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en\Documents\"/>
    </mc:Choice>
  </mc:AlternateContent>
  <xr:revisionPtr revIDLastSave="0" documentId="13_ncr:1_{C670F048-9EF7-4C4D-B545-339B44428E10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Inputs" sheetId="14" r:id="rId1"/>
    <sheet name="Rev" sheetId="18" r:id="rId2"/>
    <sheet name="IS" sheetId="1" r:id="rId3"/>
    <sheet name="BS" sheetId="2" r:id="rId4"/>
    <sheet name="CF_F" sheetId="28" r:id="rId5"/>
    <sheet name="PF + Liq + Rtg" sheetId="38" r:id="rId6"/>
    <sheet name="Opportunity Set" sheetId="35" r:id="rId7"/>
    <sheet name="Comp metrics" sheetId="29" r:id="rId8"/>
    <sheet name="Bond Yield time series" sheetId="39" r:id="rId9"/>
    <sheet name="Company Presentation" sheetId="37" r:id="rId10"/>
    <sheet name="S&amp;P Upgrade triggers" sheetId="36" r:id="rId11"/>
    <sheet name="Fundamentals" sheetId="30" r:id="rId12"/>
    <sheet name="Technicals" sheetId="31" r:id="rId13"/>
    <sheet name="Internal Rating" sheetId="32" r:id="rId14"/>
    <sheet name="Charts &amp; Graphs" sheetId="33" r:id="rId15"/>
    <sheet name="CS_IS" sheetId="20" r:id="rId16"/>
    <sheet name="CS_BS" sheetId="21" r:id="rId17"/>
  </sheets>
  <definedNames>
    <definedName name="_xlnm.Print_Area" localSheetId="3">BS!$B$1:$W$58</definedName>
    <definedName name="_xlnm.Print_Area" localSheetId="4">CF_F!$B$1:$W$44</definedName>
    <definedName name="_xlnm.Print_Area" localSheetId="7">'Comp metrics'!$A$1:$P$44</definedName>
    <definedName name="_xlnm.Print_Area" localSheetId="2">IS!$B$1:$W$51</definedName>
    <definedName name="_xlnm.Print_Area" localSheetId="6">'Opportunity Set'!$A$1:$L$63</definedName>
    <definedName name="_xlnm.Print_Area" localSheetId="5">'PF + Liq + Rtg'!$A$1:$L$45</definedName>
    <definedName name="_xlnm.Print_Area" localSheetId="1">Rev!$B$1:$X$60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9" i="18" l="1"/>
  <c r="Q14" i="18"/>
  <c r="Q37" i="18"/>
  <c r="Q36" i="18"/>
  <c r="T3" i="35"/>
  <c r="P3" i="35"/>
  <c r="R14" i="18"/>
  <c r="R36" i="18"/>
  <c r="T14" i="18"/>
  <c r="W33" i="2"/>
  <c r="P13" i="35"/>
  <c r="P12" i="35"/>
  <c r="I43" i="1"/>
  <c r="C43" i="1"/>
  <c r="D43" i="1"/>
  <c r="E43" i="1"/>
  <c r="F43" i="1"/>
  <c r="H43" i="1"/>
  <c r="J43" i="1" a="1"/>
  <c r="G43" i="1"/>
  <c r="J43" i="1" l="1"/>
  <c r="P24" i="28"/>
  <c r="S19" i="28"/>
  <c r="S8" i="28"/>
  <c r="S9" i="28"/>
  <c r="S10" i="28"/>
  <c r="S11" i="28"/>
  <c r="S12" i="28"/>
  <c r="E44" i="1"/>
  <c r="K45" i="1" a="1"/>
  <c r="D45" i="1"/>
  <c r="K44" i="1" a="1"/>
  <c r="O45" i="1" a="1"/>
  <c r="I45" i="1"/>
  <c r="K43" i="1" a="1"/>
  <c r="F44" i="1"/>
  <c r="C37" i="2"/>
  <c r="G44" i="1"/>
  <c r="O44" i="1" a="1"/>
  <c r="J44" i="1" a="1"/>
  <c r="F45" i="1"/>
  <c r="G45" i="1"/>
  <c r="C44" i="1"/>
  <c r="L43" i="1" a="1"/>
  <c r="H44" i="1"/>
  <c r="L45" i="1" a="1"/>
  <c r="E45" i="1"/>
  <c r="E37" i="2" a="1"/>
  <c r="D44" i="1"/>
  <c r="I44" i="1"/>
  <c r="C45" i="1"/>
  <c r="M45" i="1" a="1"/>
  <c r="D37" i="2"/>
  <c r="H45" i="1"/>
  <c r="J45" i="1" a="1"/>
  <c r="M43" i="1" a="1"/>
  <c r="O43" i="1" a="1"/>
  <c r="N43" i="1"/>
  <c r="M44" i="1" a="1"/>
  <c r="L44" i="1" a="1"/>
  <c r="L44" i="1" l="1"/>
  <c r="M44" i="1"/>
  <c r="N44" i="1" s="1"/>
  <c r="O43" i="1"/>
  <c r="M43" i="1"/>
  <c r="J45" i="1"/>
  <c r="M45" i="1"/>
  <c r="N45" i="1" s="1"/>
  <c r="L45" i="1"/>
  <c r="L43" i="1"/>
  <c r="J44" i="1"/>
  <c r="O44" i="1"/>
  <c r="K43" i="1"/>
  <c r="O45" i="1"/>
  <c r="K44" i="1"/>
  <c r="K45" i="1"/>
  <c r="E37" i="2"/>
  <c r="F37" i="2" a="1"/>
  <c r="F37" i="2" l="1"/>
  <c r="O26" i="28"/>
  <c r="O28" i="28" s="1"/>
  <c r="P26" i="28"/>
  <c r="P28" i="28" s="1"/>
  <c r="Q26" i="28"/>
  <c r="R26" i="28"/>
  <c r="U26" i="28"/>
  <c r="V26" i="28"/>
  <c r="W26" i="28"/>
  <c r="S24" i="28"/>
  <c r="S25" i="28"/>
  <c r="S27" i="28"/>
  <c r="S23" i="28"/>
  <c r="T23" i="28" s="1"/>
  <c r="U23" i="28" s="1"/>
  <c r="V23" i="28" s="1"/>
  <c r="W23" i="28" s="1"/>
  <c r="S38" i="28"/>
  <c r="S22" i="1"/>
  <c r="S13" i="1"/>
  <c r="S14" i="1"/>
  <c r="P28" i="18"/>
  <c r="N14" i="1"/>
  <c r="P15" i="2"/>
  <c r="Q15" i="2"/>
  <c r="R15" i="2"/>
  <c r="S15" i="2" s="1"/>
  <c r="T15" i="2" s="1"/>
  <c r="U15" i="2" s="1"/>
  <c r="V15" i="2" s="1"/>
  <c r="W15" i="2" s="1"/>
  <c r="S26" i="1"/>
  <c r="T26" i="1" s="1"/>
  <c r="U26" i="1" s="1"/>
  <c r="V26" i="1" s="1"/>
  <c r="W26" i="1" s="1"/>
  <c r="P10" i="35"/>
  <c r="Q9" i="35"/>
  <c r="Q11" i="35"/>
  <c r="R11" i="35" s="1"/>
  <c r="S11" i="35" s="1"/>
  <c r="Q7" i="35"/>
  <c r="R7" i="35" s="1"/>
  <c r="Q8" i="35"/>
  <c r="R8" i="35" s="1"/>
  <c r="S8" i="35" s="1"/>
  <c r="T8" i="35" s="1"/>
  <c r="Q6" i="35"/>
  <c r="P7" i="35"/>
  <c r="P8" i="35"/>
  <c r="P9" i="35"/>
  <c r="P11" i="35"/>
  <c r="P6" i="35"/>
  <c r="S36" i="35"/>
  <c r="S31" i="35"/>
  <c r="S30" i="35"/>
  <c r="S29" i="35"/>
  <c r="S27" i="35"/>
  <c r="S28" i="35"/>
  <c r="S26" i="35"/>
  <c r="X43" i="18"/>
  <c r="W43" i="18"/>
  <c r="V43" i="18"/>
  <c r="U43" i="18"/>
  <c r="P42" i="18"/>
  <c r="P39" i="18"/>
  <c r="T26" i="18"/>
  <c r="T23" i="18"/>
  <c r="T20" i="18"/>
  <c r="P36" i="18"/>
  <c r="M37" i="2" a="1"/>
  <c r="F38" i="28"/>
  <c r="G37" i="2" a="1"/>
  <c r="G38" i="28"/>
  <c r="J14" i="18"/>
  <c r="K38" i="28" a="1"/>
  <c r="N37" i="2"/>
  <c r="H38" i="28"/>
  <c r="M13" i="1" a="1"/>
  <c r="H37" i="2" a="1"/>
  <c r="O37" i="2" a="1"/>
  <c r="I38" i="28"/>
  <c r="C38" i="28"/>
  <c r="N20" i="1"/>
  <c r="L37" i="2" a="1"/>
  <c r="I37" i="2"/>
  <c r="E38" i="28"/>
  <c r="J37" i="2" a="1"/>
  <c r="M38" i="28" a="1"/>
  <c r="J17" i="18"/>
  <c r="L38" i="28" a="1"/>
  <c r="K37" i="2" a="1"/>
  <c r="J38" i="28" a="1"/>
  <c r="D38" i="28"/>
  <c r="K37" i="2" l="1"/>
  <c r="J37" i="2"/>
  <c r="L37" i="2"/>
  <c r="O37" i="2"/>
  <c r="H37" i="2"/>
  <c r="G37" i="2"/>
  <c r="M37" i="2"/>
  <c r="R6" i="35"/>
  <c r="Q3" i="35"/>
  <c r="T20" i="1" s="1"/>
  <c r="S34" i="35"/>
  <c r="S7" i="35"/>
  <c r="J28" i="18"/>
  <c r="T26" i="28"/>
  <c r="S26" i="28"/>
  <c r="K38" i="28"/>
  <c r="L38" i="28"/>
  <c r="M38" i="28"/>
  <c r="J38" i="28"/>
  <c r="M13" i="1"/>
  <c r="N13" i="1" s="1"/>
  <c r="V27" i="18"/>
  <c r="W27" i="18"/>
  <c r="X27" i="18"/>
  <c r="V24" i="18"/>
  <c r="W24" i="18"/>
  <c r="X24" i="18"/>
  <c r="V21" i="18"/>
  <c r="W21" i="18"/>
  <c r="X21" i="18"/>
  <c r="C23" i="18"/>
  <c r="C14" i="18"/>
  <c r="C11" i="18"/>
  <c r="C26" i="18"/>
  <c r="C5" i="18"/>
  <c r="J26" i="18"/>
  <c r="C17" i="18"/>
  <c r="C20" i="18"/>
  <c r="N38" i="28" l="1"/>
  <c r="S6" i="35"/>
  <c r="R3" i="35"/>
  <c r="U20" i="1" s="1"/>
  <c r="C28" i="18"/>
  <c r="C42" i="18"/>
  <c r="C39" i="18"/>
  <c r="C36" i="18"/>
  <c r="C8" i="18"/>
  <c r="C33" i="18" s="1"/>
  <c r="O15" i="2"/>
  <c r="J12" i="2" a="1"/>
  <c r="J16" i="2" a="1"/>
  <c r="O14" i="2" a="1"/>
  <c r="M30" i="2" a="1"/>
  <c r="O22" i="2" a="1"/>
  <c r="O24" i="2" a="1"/>
  <c r="K30" i="2" a="1"/>
  <c r="L16" i="2" a="1"/>
  <c r="J22" i="2" a="1"/>
  <c r="K16" i="2" a="1"/>
  <c r="O36" i="2" a="1"/>
  <c r="L30" i="2" a="1"/>
  <c r="O29" i="2" a="1"/>
  <c r="O7" i="2" a="1"/>
  <c r="O16" i="2" a="1"/>
  <c r="M16" i="2" a="1"/>
  <c r="O13" i="2" a="1"/>
  <c r="O12" i="2" a="1"/>
  <c r="O28" i="2" a="1"/>
  <c r="O30" i="2" a="1"/>
  <c r="O6" i="2" a="1"/>
  <c r="O38" i="2" a="1"/>
  <c r="J30" i="2" a="1"/>
  <c r="O8" i="2" a="1"/>
  <c r="O27" i="2" a="1"/>
  <c r="O9" i="2" a="1"/>
  <c r="O23" i="2" a="1"/>
  <c r="O35" i="2" a="1"/>
  <c r="T6" i="35" l="1"/>
  <c r="S3" i="35"/>
  <c r="V20" i="1" s="1"/>
  <c r="O16" i="2"/>
  <c r="O30" i="2"/>
  <c r="P30" i="2" s="1"/>
  <c r="Q30" i="2" s="1"/>
  <c r="R30" i="2" s="1"/>
  <c r="S30" i="2" s="1"/>
  <c r="T30" i="2" s="1"/>
  <c r="U30" i="2" s="1"/>
  <c r="V30" i="2" s="1"/>
  <c r="W30" i="2" s="1"/>
  <c r="M30" i="2"/>
  <c r="L30" i="2"/>
  <c r="K30" i="2"/>
  <c r="J30" i="2"/>
  <c r="M16" i="2"/>
  <c r="L16" i="2"/>
  <c r="K16" i="2"/>
  <c r="J16" i="2"/>
  <c r="J22" i="2"/>
  <c r="J12" i="2"/>
  <c r="O36" i="2"/>
  <c r="P36" i="2" s="1"/>
  <c r="Q36" i="2" s="1"/>
  <c r="R36" i="2" s="1"/>
  <c r="S36" i="2" s="1"/>
  <c r="O35" i="2"/>
  <c r="O38" i="2"/>
  <c r="O29" i="2"/>
  <c r="P29" i="2" s="1"/>
  <c r="Q29" i="2" s="1"/>
  <c r="R29" i="2" s="1"/>
  <c r="S29" i="2" s="1"/>
  <c r="T29" i="2" s="1"/>
  <c r="U29" i="2" s="1"/>
  <c r="V29" i="2" s="1"/>
  <c r="W29" i="2" s="1"/>
  <c r="O28" i="2"/>
  <c r="P28" i="2" s="1"/>
  <c r="Q28" i="2" s="1"/>
  <c r="R28" i="2" s="1"/>
  <c r="S28" i="2" s="1"/>
  <c r="T28" i="2" s="1"/>
  <c r="U28" i="2" s="1"/>
  <c r="V28" i="2" s="1"/>
  <c r="W28" i="2" s="1"/>
  <c r="O27" i="2"/>
  <c r="P27" i="2" s="1"/>
  <c r="Q27" i="2" s="1"/>
  <c r="R27" i="2" s="1"/>
  <c r="S27" i="2" s="1"/>
  <c r="T27" i="2" s="1"/>
  <c r="U27" i="2" s="1"/>
  <c r="V27" i="2" s="1"/>
  <c r="W27" i="2" s="1"/>
  <c r="O24" i="2"/>
  <c r="P24" i="2" s="1"/>
  <c r="Q24" i="2" s="1"/>
  <c r="R24" i="2" s="1"/>
  <c r="S24" i="2" s="1"/>
  <c r="T24" i="2" s="1"/>
  <c r="U24" i="2" s="1"/>
  <c r="V24" i="2" s="1"/>
  <c r="W24" i="2" s="1"/>
  <c r="O23" i="2"/>
  <c r="O22" i="2"/>
  <c r="P22" i="2" s="1"/>
  <c r="Q22" i="2" s="1"/>
  <c r="R22" i="2" s="1"/>
  <c r="O14" i="2"/>
  <c r="P14" i="2" s="1"/>
  <c r="Q14" i="2" s="1"/>
  <c r="R14" i="2" s="1"/>
  <c r="O13" i="2"/>
  <c r="P13" i="2" s="1"/>
  <c r="O12" i="2"/>
  <c r="O9" i="2"/>
  <c r="P9" i="2" s="1"/>
  <c r="Q9" i="2" s="1"/>
  <c r="R9" i="2" s="1"/>
  <c r="S9" i="2" s="1"/>
  <c r="T9" i="2" s="1"/>
  <c r="U9" i="2" s="1"/>
  <c r="V9" i="2" s="1"/>
  <c r="W9" i="2" s="1"/>
  <c r="O8" i="2"/>
  <c r="O7" i="2"/>
  <c r="O6" i="2"/>
  <c r="S35" i="35" s="1"/>
  <c r="S47" i="35" s="1"/>
  <c r="S49" i="35" s="1"/>
  <c r="O34" i="2" a="1"/>
  <c r="W20" i="1" l="1"/>
  <c r="S20" i="1"/>
  <c r="P16" i="2"/>
  <c r="Q16" i="2" s="1"/>
  <c r="R16" i="2" s="1"/>
  <c r="S16" i="2" s="1"/>
  <c r="T16" i="2" s="1"/>
  <c r="U16" i="2" s="1"/>
  <c r="V16" i="2" s="1"/>
  <c r="W16" i="2" s="1"/>
  <c r="P23" i="2"/>
  <c r="Q23" i="2" s="1"/>
  <c r="R23" i="2" s="1"/>
  <c r="S23" i="2" s="1"/>
  <c r="T23" i="2" s="1"/>
  <c r="U23" i="2" s="1"/>
  <c r="V23" i="2" s="1"/>
  <c r="W23" i="2" s="1"/>
  <c r="P7" i="2"/>
  <c r="Q7" i="2" s="1"/>
  <c r="R7" i="2" s="1"/>
  <c r="P8" i="2"/>
  <c r="P25" i="2"/>
  <c r="S22" i="2"/>
  <c r="T22" i="2" s="1"/>
  <c r="U22" i="2" s="1"/>
  <c r="V22" i="2" s="1"/>
  <c r="W22" i="2" s="1"/>
  <c r="P13" i="28"/>
  <c r="Q13" i="2"/>
  <c r="S37" i="35"/>
  <c r="S39" i="35" s="1"/>
  <c r="P38" i="2"/>
  <c r="Q38" i="2" s="1"/>
  <c r="R38" i="2" s="1"/>
  <c r="S38" i="2" s="1"/>
  <c r="O34" i="2"/>
  <c r="O39" i="2" s="1"/>
  <c r="N10" i="28"/>
  <c r="K12" i="28"/>
  <c r="K11" i="28"/>
  <c r="P48" i="18"/>
  <c r="O13" i="28"/>
  <c r="D12" i="28"/>
  <c r="P8" i="18"/>
  <c r="P33" i="18" s="1"/>
  <c r="G7" i="1" a="1"/>
  <c r="M14" i="18" a="1"/>
  <c r="I26" i="18" a="1"/>
  <c r="H6" i="2" a="1"/>
  <c r="K30" i="28" a="1"/>
  <c r="C13" i="28"/>
  <c r="G35" i="2" a="1"/>
  <c r="K24" i="28" a="1"/>
  <c r="H21" i="1" a="1"/>
  <c r="I17" i="18" a="1"/>
  <c r="K23" i="28" a="1"/>
  <c r="J28" i="2" a="1"/>
  <c r="H15" i="2" a="1"/>
  <c r="M9" i="2" a="1"/>
  <c r="K29" i="2" a="1"/>
  <c r="M19" i="28" a="1"/>
  <c r="M23" i="2" a="1"/>
  <c r="H22" i="1" a="1"/>
  <c r="E8" i="1" a="1"/>
  <c r="H17" i="18" a="1"/>
  <c r="H12" i="2" a="1"/>
  <c r="L6" i="2" a="1"/>
  <c r="J20" i="1" a="1"/>
  <c r="G18" i="28" a="1"/>
  <c r="I14" i="18" a="1"/>
  <c r="J14" i="1" a="1"/>
  <c r="K27" i="2" a="1"/>
  <c r="H29" i="2" a="1"/>
  <c r="J13" i="2" a="1"/>
  <c r="F14" i="18" a="1"/>
  <c r="F35" i="2" a="1"/>
  <c r="J36" i="2" a="1"/>
  <c r="L30" i="28" a="1"/>
  <c r="E13" i="1" a="1"/>
  <c r="N14" i="18" a="1"/>
  <c r="E29" i="2" a="1"/>
  <c r="H7" i="2" a="1"/>
  <c r="K22" i="1" a="1"/>
  <c r="F36" i="2" a="1"/>
  <c r="H38" i="2" a="1"/>
  <c r="M36" i="2" a="1"/>
  <c r="K5" i="18" a="1"/>
  <c r="J8" i="1" a="1"/>
  <c r="F23" i="2" a="1"/>
  <c r="L9" i="2" a="1"/>
  <c r="K12" i="2" a="1"/>
  <c r="G28" i="2" a="1"/>
  <c r="L29" i="2" a="1"/>
  <c r="L27" i="28" a="1"/>
  <c r="I11" i="18" a="1"/>
  <c r="G16" i="2" a="1"/>
  <c r="G12" i="1" a="1"/>
  <c r="J29" i="2" a="1"/>
  <c r="M18" i="28" a="1"/>
  <c r="L38" i="2" a="1"/>
  <c r="G23" i="2" a="1"/>
  <c r="K24" i="2" a="1"/>
  <c r="G14" i="2" a="1"/>
  <c r="L14" i="28" a="1"/>
  <c r="G11" i="18" a="1"/>
  <c r="J25" i="28" a="1"/>
  <c r="M12" i="2" a="1"/>
  <c r="F7" i="1" a="1"/>
  <c r="J14" i="2" a="1"/>
  <c r="E7" i="2" a="1"/>
  <c r="I20" i="18" a="1"/>
  <c r="H23" i="18" a="1"/>
  <c r="H14" i="2" a="1"/>
  <c r="K12" i="1" a="1"/>
  <c r="L23" i="2" a="1"/>
  <c r="G21" i="1" a="1"/>
  <c r="E24" i="2" a="1"/>
  <c r="O14" i="18"/>
  <c r="E18" i="28" a="1"/>
  <c r="E38" i="2" a="1"/>
  <c r="L25" i="28" a="1"/>
  <c r="G25" i="1" a="1"/>
  <c r="L14" i="1" a="1"/>
  <c r="G22" i="1" a="1"/>
  <c r="F34" i="2" a="1"/>
  <c r="M29" i="2" a="1"/>
  <c r="L20" i="1" a="1"/>
  <c r="F24" i="2" a="1"/>
  <c r="F16" i="2" a="1"/>
  <c r="J6" i="2" a="1"/>
  <c r="M11" i="18" a="1"/>
  <c r="H27" i="2" a="1"/>
  <c r="J23" i="2" a="1"/>
  <c r="L18" i="28" a="1"/>
  <c r="H11" i="18" a="1"/>
  <c r="K13" i="2" a="1"/>
  <c r="H28" i="2" a="1"/>
  <c r="L24" i="2" a="1"/>
  <c r="F12" i="1" a="1"/>
  <c r="L12" i="1" a="1"/>
  <c r="E13" i="2" a="1"/>
  <c r="M14" i="2" a="1"/>
  <c r="F8" i="1" a="1"/>
  <c r="G38" i="2" a="1"/>
  <c r="K36" i="2" a="1"/>
  <c r="L23" i="28" a="1"/>
  <c r="E28" i="2" a="1"/>
  <c r="M23" i="18" a="1"/>
  <c r="G24" i="2" a="1"/>
  <c r="L13" i="2" a="1"/>
  <c r="F14" i="2" a="1"/>
  <c r="M28" i="2" a="1"/>
  <c r="F22" i="2" a="1"/>
  <c r="E9" i="2" a="1"/>
  <c r="F29" i="2" a="1"/>
  <c r="I23" i="18" a="1"/>
  <c r="L26" i="1" a="1"/>
  <c r="K35" i="2" a="1"/>
  <c r="F22" i="1" a="1"/>
  <c r="K6" i="2" a="1"/>
  <c r="G15" i="2" a="1"/>
  <c r="H20" i="18" a="1"/>
  <c r="K38" i="2" a="1"/>
  <c r="K18" i="28" a="1"/>
  <c r="E21" i="1" a="1"/>
  <c r="L17" i="18" a="1"/>
  <c r="M22" i="2" a="1"/>
  <c r="F28" i="2" a="1"/>
  <c r="M24" i="2" a="1"/>
  <c r="K23" i="18" a="1"/>
  <c r="H8" i="1" a="1"/>
  <c r="E12" i="2" a="1"/>
  <c r="K20" i="18" a="1"/>
  <c r="J35" i="2" a="1"/>
  <c r="H22" i="2" a="1"/>
  <c r="K14" i="2" a="1"/>
  <c r="H12" i="1" a="1"/>
  <c r="I5" i="18" a="1"/>
  <c r="H23" i="2" a="1"/>
  <c r="F27" i="2" a="1"/>
  <c r="L14" i="2" a="1"/>
  <c r="F30" i="2" a="1"/>
  <c r="J13" i="28" a="1"/>
  <c r="H16" i="2" a="1"/>
  <c r="K7" i="2" a="1"/>
  <c r="L27" i="2" a="1"/>
  <c r="E35" i="2" a="1"/>
  <c r="M27" i="2" a="1"/>
  <c r="M14" i="28" a="1"/>
  <c r="G7" i="2" a="1"/>
  <c r="K31" i="28" a="1"/>
  <c r="G8" i="1" a="1"/>
  <c r="E6" i="2" a="1"/>
  <c r="M26" i="18" a="1"/>
  <c r="E36" i="2" a="1"/>
  <c r="E22" i="2" a="1"/>
  <c r="M25" i="1" a="1"/>
  <c r="F38" i="2" a="1"/>
  <c r="G13" i="2" a="1"/>
  <c r="F26" i="1" a="1"/>
  <c r="L12" i="2" a="1"/>
  <c r="G12" i="2" a="1"/>
  <c r="E34" i="2" a="1"/>
  <c r="F11" i="18" a="1"/>
  <c r="E26" i="1" a="1"/>
  <c r="I13" i="28"/>
  <c r="J8" i="2" a="1"/>
  <c r="M8" i="2" a="1"/>
  <c r="K22" i="2" a="1"/>
  <c r="M7" i="1" a="1"/>
  <c r="M8" i="1" a="1"/>
  <c r="H36" i="2" a="1"/>
  <c r="K14" i="1" a="1"/>
  <c r="D14" i="18"/>
  <c r="J38" i="2" a="1"/>
  <c r="K14" i="28" a="1"/>
  <c r="J27" i="28" a="1"/>
  <c r="G14" i="18" a="1"/>
  <c r="N5" i="18" a="1"/>
  <c r="J25" i="1" a="1"/>
  <c r="F13" i="2" a="1"/>
  <c r="K9" i="2" a="1"/>
  <c r="G5" i="18" a="1"/>
  <c r="N26" i="18" a="1"/>
  <c r="E25" i="1" a="1"/>
  <c r="J7" i="1" a="1"/>
  <c r="J14" i="28" a="1"/>
  <c r="F8" i="2" a="1"/>
  <c r="K11" i="18" a="1"/>
  <c r="E30" i="2" a="1"/>
  <c r="L19" i="28" a="1"/>
  <c r="F17" i="18" a="1"/>
  <c r="L22" i="1" a="1"/>
  <c r="J23" i="28" a="1"/>
  <c r="F12" i="2" a="1"/>
  <c r="M6" i="2" a="1"/>
  <c r="M26" i="1" a="1"/>
  <c r="L31" i="28" a="1"/>
  <c r="E20" i="1" a="1"/>
  <c r="D13" i="28"/>
  <c r="F25" i="1" a="1"/>
  <c r="G6" i="2" a="1"/>
  <c r="H8" i="2" a="1"/>
  <c r="G27" i="2" a="1"/>
  <c r="M15" i="2" a="1"/>
  <c r="G20" i="18" a="1"/>
  <c r="G9" i="2" a="1"/>
  <c r="K20" i="1" a="1"/>
  <c r="F13" i="1" a="1"/>
  <c r="N11" i="18" a="1"/>
  <c r="F20" i="1" a="1"/>
  <c r="N23" i="18" a="1"/>
  <c r="J7" i="2" a="1"/>
  <c r="E16" i="2" a="1"/>
  <c r="L7" i="2" a="1"/>
  <c r="H30" i="2" a="1"/>
  <c r="K26" i="1" a="1"/>
  <c r="E14" i="2" a="1"/>
  <c r="G23" i="18" a="1"/>
  <c r="J31" i="28" a="1"/>
  <c r="L22" i="2" a="1"/>
  <c r="J26" i="1" a="1"/>
  <c r="F21" i="1" a="1"/>
  <c r="J24" i="2" a="1"/>
  <c r="G26" i="18" a="1"/>
  <c r="L5" i="18" a="1"/>
  <c r="M30" i="28" a="1"/>
  <c r="H5" i="18" a="1"/>
  <c r="F18" i="28" a="1"/>
  <c r="M38" i="2" a="1"/>
  <c r="K17" i="18" a="1"/>
  <c r="G20" i="1" a="1"/>
  <c r="F7" i="2" a="1"/>
  <c r="J22" i="1" a="1"/>
  <c r="E14" i="18"/>
  <c r="M27" i="28" a="1"/>
  <c r="H7" i="1" a="1"/>
  <c r="G8" i="2" a="1"/>
  <c r="K8" i="2" a="1"/>
  <c r="H20" i="1" a="1"/>
  <c r="L25" i="1" a="1"/>
  <c r="G22" i="2" a="1"/>
  <c r="L8" i="2" a="1"/>
  <c r="H35" i="2" a="1"/>
  <c r="F6" i="2" a="1"/>
  <c r="L8" i="1" a="1"/>
  <c r="H14" i="18" a="1"/>
  <c r="J30" i="28" a="1"/>
  <c r="G13" i="1" a="1"/>
  <c r="L11" i="18" a="1"/>
  <c r="L24" i="28" a="1"/>
  <c r="F15" i="2" a="1"/>
  <c r="K25" i="1" a="1"/>
  <c r="H24" i="2" a="1"/>
  <c r="G34" i="2" a="1"/>
  <c r="K28" i="2" a="1"/>
  <c r="M22" i="1" a="1"/>
  <c r="H25" i="1" a="1"/>
  <c r="J12" i="1" a="1"/>
  <c r="K19" i="28" a="1"/>
  <c r="L36" i="2" a="1"/>
  <c r="H13" i="1" a="1"/>
  <c r="E15" i="2" a="1"/>
  <c r="H26" i="18" a="1"/>
  <c r="N17" i="18" a="1"/>
  <c r="J24" i="28" a="1"/>
  <c r="E8" i="2" a="1"/>
  <c r="G30" i="2" a="1"/>
  <c r="K25" i="28" a="1"/>
  <c r="L14" i="18" a="1"/>
  <c r="M23" i="28" a="1"/>
  <c r="G29" i="2" a="1"/>
  <c r="K23" i="2" a="1"/>
  <c r="M20" i="18" a="1"/>
  <c r="M31" i="28" a="1"/>
  <c r="E22" i="1" a="1"/>
  <c r="L26" i="18" a="1"/>
  <c r="L35" i="2" a="1"/>
  <c r="H18" i="28" a="1"/>
  <c r="F26" i="18" a="1"/>
  <c r="J9" i="2" a="1"/>
  <c r="M24" i="28" a="1"/>
  <c r="E7" i="1" a="1"/>
  <c r="K26" i="18" a="1"/>
  <c r="H9" i="2" a="1"/>
  <c r="M20" i="1" a="1"/>
  <c r="M5" i="18" a="1"/>
  <c r="E12" i="1" a="1"/>
  <c r="L23" i="18" a="1"/>
  <c r="L7" i="1" a="1"/>
  <c r="J18" i="28" a="1"/>
  <c r="F20" i="18" a="1"/>
  <c r="K13" i="28" a="1"/>
  <c r="M35" i="2" a="1"/>
  <c r="G26" i="1" a="1"/>
  <c r="K8" i="1" a="1"/>
  <c r="H13" i="2" a="1"/>
  <c r="E23" i="2" a="1"/>
  <c r="M13" i="2" a="1"/>
  <c r="E27" i="2" a="1"/>
  <c r="K27" i="28" a="1"/>
  <c r="L20" i="18" a="1"/>
  <c r="M7" i="2" a="1"/>
  <c r="G36" i="2" a="1"/>
  <c r="L28" i="2" a="1"/>
  <c r="J19" i="28" a="1"/>
  <c r="H34" i="2" a="1"/>
  <c r="K7" i="1" a="1"/>
  <c r="G17" i="18" a="1"/>
  <c r="H26" i="1" a="1"/>
  <c r="F5" i="18" a="1"/>
  <c r="M12" i="1" a="1"/>
  <c r="M17" i="18" a="1"/>
  <c r="F9" i="2" a="1"/>
  <c r="J27" i="2" a="1"/>
  <c r="N20" i="18" a="1"/>
  <c r="M25" i="28" a="1"/>
  <c r="K14" i="18" a="1"/>
  <c r="F23" i="18" a="1"/>
  <c r="P20" i="1" l="1"/>
  <c r="Q20" i="1"/>
  <c r="L12" i="28"/>
  <c r="M12" i="28" s="1"/>
  <c r="N12" i="28" s="1"/>
  <c r="R13" i="2"/>
  <c r="S13" i="2" s="1"/>
  <c r="Q8" i="2"/>
  <c r="P14" i="28"/>
  <c r="Q13" i="28"/>
  <c r="Q14" i="28"/>
  <c r="P34" i="2"/>
  <c r="L11" i="28"/>
  <c r="O15" i="18"/>
  <c r="J15" i="18"/>
  <c r="D15" i="18"/>
  <c r="E15" i="18"/>
  <c r="P47" i="18"/>
  <c r="O5" i="1" s="1"/>
  <c r="O10" i="2"/>
  <c r="K13" i="28"/>
  <c r="J13" i="28"/>
  <c r="L31" i="28"/>
  <c r="M31" i="28"/>
  <c r="K31" i="28"/>
  <c r="J31" i="28"/>
  <c r="M30" i="28"/>
  <c r="K30" i="28"/>
  <c r="L30" i="28"/>
  <c r="J30" i="28"/>
  <c r="J24" i="28"/>
  <c r="L25" i="28"/>
  <c r="K25" i="28"/>
  <c r="L27" i="28"/>
  <c r="M24" i="28"/>
  <c r="M27" i="28"/>
  <c r="K27" i="28"/>
  <c r="J27" i="28"/>
  <c r="L24" i="28"/>
  <c r="J25" i="28"/>
  <c r="M25" i="28"/>
  <c r="K24" i="28"/>
  <c r="L23" i="28"/>
  <c r="M23" i="28"/>
  <c r="K23" i="28"/>
  <c r="J23" i="28"/>
  <c r="J19" i="28"/>
  <c r="K19" i="28"/>
  <c r="M19" i="28"/>
  <c r="L19" i="28"/>
  <c r="M18" i="28"/>
  <c r="M20" i="28" s="1"/>
  <c r="K18" i="28"/>
  <c r="K20" i="28" s="1"/>
  <c r="L18" i="28"/>
  <c r="J18" i="28"/>
  <c r="J14" i="28"/>
  <c r="M14" i="28"/>
  <c r="L14" i="28"/>
  <c r="K14" i="28"/>
  <c r="H18" i="28"/>
  <c r="G18" i="28"/>
  <c r="F18" i="28"/>
  <c r="E18" i="28"/>
  <c r="F12" i="1"/>
  <c r="G12" i="1"/>
  <c r="H12" i="1"/>
  <c r="H36" i="2"/>
  <c r="E35" i="2"/>
  <c r="F36" i="2"/>
  <c r="E38" i="2"/>
  <c r="E36" i="2"/>
  <c r="F35" i="2"/>
  <c r="G36" i="2"/>
  <c r="H38" i="2"/>
  <c r="H35" i="2"/>
  <c r="F38" i="2"/>
  <c r="G38" i="2"/>
  <c r="G35" i="2"/>
  <c r="F34" i="2"/>
  <c r="G34" i="2"/>
  <c r="H34" i="2"/>
  <c r="E34" i="2"/>
  <c r="H29" i="2"/>
  <c r="F28" i="2"/>
  <c r="G29" i="2"/>
  <c r="E28" i="2"/>
  <c r="H30" i="2"/>
  <c r="F29" i="2"/>
  <c r="G30" i="2"/>
  <c r="E29" i="2"/>
  <c r="F30" i="2"/>
  <c r="H28" i="2"/>
  <c r="E30" i="2"/>
  <c r="G28" i="2"/>
  <c r="F27" i="2"/>
  <c r="G27" i="2"/>
  <c r="H27" i="2"/>
  <c r="E27" i="2"/>
  <c r="F23" i="2"/>
  <c r="G24" i="2"/>
  <c r="E23" i="2"/>
  <c r="F24" i="2"/>
  <c r="H24" i="2"/>
  <c r="E24" i="2"/>
  <c r="H23" i="2"/>
  <c r="G23" i="2"/>
  <c r="F22" i="2"/>
  <c r="G22" i="2"/>
  <c r="H22" i="2"/>
  <c r="E22" i="2"/>
  <c r="H13" i="2"/>
  <c r="F15" i="2"/>
  <c r="E14" i="2"/>
  <c r="H16" i="2"/>
  <c r="G16" i="2"/>
  <c r="G13" i="2"/>
  <c r="E15" i="2"/>
  <c r="F14" i="2"/>
  <c r="F16" i="2"/>
  <c r="F13" i="2"/>
  <c r="H15" i="2"/>
  <c r="H14" i="2"/>
  <c r="G15" i="2"/>
  <c r="E16" i="2"/>
  <c r="G14" i="2"/>
  <c r="E13" i="2"/>
  <c r="F12" i="2"/>
  <c r="H12" i="2"/>
  <c r="G12" i="2"/>
  <c r="E12" i="2"/>
  <c r="F9" i="2"/>
  <c r="E8" i="2"/>
  <c r="H8" i="2"/>
  <c r="E9" i="2"/>
  <c r="G8" i="2"/>
  <c r="G9" i="2"/>
  <c r="H9" i="2"/>
  <c r="F8" i="2"/>
  <c r="F7" i="2"/>
  <c r="H7" i="2"/>
  <c r="G7" i="2"/>
  <c r="E7" i="2"/>
  <c r="F6" i="2"/>
  <c r="H6" i="2"/>
  <c r="G6" i="2"/>
  <c r="E6" i="2"/>
  <c r="E26" i="1"/>
  <c r="E26" i="28" s="1"/>
  <c r="G26" i="1"/>
  <c r="G26" i="28" s="1"/>
  <c r="H26" i="1"/>
  <c r="H26" i="28" s="1"/>
  <c r="F26" i="1"/>
  <c r="F26" i="28" s="1"/>
  <c r="H25" i="1"/>
  <c r="G25" i="1"/>
  <c r="F25" i="1"/>
  <c r="E25" i="1"/>
  <c r="G20" i="1"/>
  <c r="F22" i="1"/>
  <c r="H21" i="1"/>
  <c r="G22" i="1"/>
  <c r="F20" i="1"/>
  <c r="G21" i="1"/>
  <c r="F21" i="1"/>
  <c r="H22" i="1"/>
  <c r="H20" i="1"/>
  <c r="E22" i="1"/>
  <c r="E21" i="1"/>
  <c r="E20" i="1"/>
  <c r="G13" i="1"/>
  <c r="F13" i="1"/>
  <c r="E12" i="1"/>
  <c r="E13" i="1"/>
  <c r="H13" i="1"/>
  <c r="H8" i="1"/>
  <c r="G8" i="1"/>
  <c r="E8" i="1"/>
  <c r="F8" i="1"/>
  <c r="H7" i="1"/>
  <c r="H41" i="1" s="1"/>
  <c r="G7" i="1"/>
  <c r="G41" i="1" s="1"/>
  <c r="F7" i="1"/>
  <c r="F41" i="1" s="1"/>
  <c r="E7" i="1"/>
  <c r="E41" i="1" s="1"/>
  <c r="H20" i="18"/>
  <c r="F26" i="18"/>
  <c r="I14" i="18"/>
  <c r="F17" i="18"/>
  <c r="I23" i="18"/>
  <c r="G20" i="18"/>
  <c r="G11" i="18"/>
  <c r="H23" i="18"/>
  <c r="F20" i="18"/>
  <c r="H14" i="18"/>
  <c r="F11" i="18"/>
  <c r="H11" i="18"/>
  <c r="I26" i="18"/>
  <c r="G23" i="18"/>
  <c r="I17" i="18"/>
  <c r="G14" i="18"/>
  <c r="H26" i="18"/>
  <c r="F23" i="18"/>
  <c r="H17" i="18"/>
  <c r="F14" i="18"/>
  <c r="F28" i="18" s="1"/>
  <c r="G26" i="18"/>
  <c r="I20" i="18"/>
  <c r="G17" i="18"/>
  <c r="I11" i="18"/>
  <c r="G5" i="18"/>
  <c r="H5" i="18"/>
  <c r="I5" i="18"/>
  <c r="I49" i="18" s="1"/>
  <c r="F5" i="18"/>
  <c r="K35" i="2"/>
  <c r="J35" i="2"/>
  <c r="K36" i="2"/>
  <c r="K38" i="2"/>
  <c r="J38" i="2"/>
  <c r="L36" i="2"/>
  <c r="J36" i="2"/>
  <c r="M36" i="2"/>
  <c r="M38" i="2"/>
  <c r="M35" i="2"/>
  <c r="L38" i="2"/>
  <c r="L35" i="2"/>
  <c r="J28" i="2"/>
  <c r="K29" i="2"/>
  <c r="J29" i="2"/>
  <c r="M28" i="2"/>
  <c r="L29" i="2"/>
  <c r="L28" i="2"/>
  <c r="M29" i="2"/>
  <c r="K28" i="2"/>
  <c r="K27" i="2"/>
  <c r="M27" i="2"/>
  <c r="L27" i="2"/>
  <c r="J27" i="2"/>
  <c r="K24" i="2"/>
  <c r="J24" i="2"/>
  <c r="L24" i="2"/>
  <c r="L23" i="2"/>
  <c r="J23" i="2"/>
  <c r="M23" i="2"/>
  <c r="M24" i="2"/>
  <c r="K23" i="2"/>
  <c r="L22" i="2"/>
  <c r="K22" i="2"/>
  <c r="M22" i="2"/>
  <c r="M14" i="2"/>
  <c r="K13" i="2"/>
  <c r="L14" i="2"/>
  <c r="M15" i="2"/>
  <c r="K14" i="2"/>
  <c r="J13" i="2"/>
  <c r="J14" i="2"/>
  <c r="M13" i="2"/>
  <c r="L13" i="2"/>
  <c r="M12" i="2"/>
  <c r="L12" i="2"/>
  <c r="K12" i="2"/>
  <c r="J9" i="2"/>
  <c r="M8" i="2"/>
  <c r="L8" i="2"/>
  <c r="J8" i="2"/>
  <c r="L9" i="2"/>
  <c r="K9" i="2"/>
  <c r="M9" i="2"/>
  <c r="K8" i="2"/>
  <c r="P43" i="1" s="1"/>
  <c r="L7" i="2"/>
  <c r="M7" i="2"/>
  <c r="K7" i="2"/>
  <c r="J7" i="2"/>
  <c r="M6" i="2"/>
  <c r="L6" i="2"/>
  <c r="K6" i="2"/>
  <c r="J6" i="2"/>
  <c r="M26" i="1"/>
  <c r="M26" i="28" s="1"/>
  <c r="L26" i="1"/>
  <c r="L26" i="28" s="1"/>
  <c r="J26" i="1"/>
  <c r="J26" i="28" s="1"/>
  <c r="K26" i="1"/>
  <c r="K26" i="28" s="1"/>
  <c r="K25" i="1"/>
  <c r="L25" i="1"/>
  <c r="M25" i="1"/>
  <c r="J25" i="1"/>
  <c r="L22" i="1"/>
  <c r="J22" i="1"/>
  <c r="K22" i="1"/>
  <c r="M22" i="1"/>
  <c r="K20" i="1"/>
  <c r="M20" i="1"/>
  <c r="L20" i="1"/>
  <c r="J20" i="1"/>
  <c r="L14" i="1"/>
  <c r="M12" i="1"/>
  <c r="L12" i="1"/>
  <c r="K14" i="1"/>
  <c r="K12" i="1"/>
  <c r="J14" i="1"/>
  <c r="J12" i="1"/>
  <c r="J7" i="28" s="1"/>
  <c r="J7" i="1"/>
  <c r="K8" i="1"/>
  <c r="M7" i="1"/>
  <c r="M8" i="1"/>
  <c r="L7" i="1"/>
  <c r="L8" i="1"/>
  <c r="K7" i="1"/>
  <c r="J8" i="1"/>
  <c r="K26" i="18"/>
  <c r="L14" i="18"/>
  <c r="M11" i="18"/>
  <c r="L11" i="18"/>
  <c r="K11" i="18"/>
  <c r="L23" i="18"/>
  <c r="N14" i="18"/>
  <c r="K23" i="18"/>
  <c r="K17" i="18"/>
  <c r="L20" i="18"/>
  <c r="M23" i="18"/>
  <c r="N26" i="18"/>
  <c r="M26" i="18"/>
  <c r="M17" i="18"/>
  <c r="K14" i="18"/>
  <c r="N23" i="18"/>
  <c r="M14" i="18"/>
  <c r="M28" i="18" s="1"/>
  <c r="N17" i="18"/>
  <c r="N20" i="18"/>
  <c r="M20" i="18"/>
  <c r="K20" i="18"/>
  <c r="L26" i="18"/>
  <c r="L17" i="18"/>
  <c r="N11" i="18"/>
  <c r="L5" i="18"/>
  <c r="Q5" i="18" s="1"/>
  <c r="N5" i="18"/>
  <c r="S5" i="18" s="1"/>
  <c r="M5" i="18"/>
  <c r="R5" i="18" s="1"/>
  <c r="K5" i="18"/>
  <c r="O6" i="1"/>
  <c r="P49" i="18"/>
  <c r="P50" i="18"/>
  <c r="P52" i="18"/>
  <c r="P54" i="18"/>
  <c r="P56" i="18"/>
  <c r="O53" i="2"/>
  <c r="O31" i="1"/>
  <c r="Q28" i="28"/>
  <c r="R28" i="28"/>
  <c r="S28" i="28"/>
  <c r="T28" i="28"/>
  <c r="U28" i="28"/>
  <c r="V28" i="28"/>
  <c r="W28" i="28"/>
  <c r="O20" i="28"/>
  <c r="O31" i="2"/>
  <c r="O25" i="2"/>
  <c r="Q25" i="2"/>
  <c r="R25" i="2"/>
  <c r="S25" i="2"/>
  <c r="T25" i="2"/>
  <c r="U25" i="2"/>
  <c r="V25" i="2"/>
  <c r="W25" i="2"/>
  <c r="P31" i="2"/>
  <c r="P33" i="2" s="1"/>
  <c r="Q31" i="2"/>
  <c r="R31" i="2"/>
  <c r="S31" i="2"/>
  <c r="T31" i="2"/>
  <c r="U31" i="2"/>
  <c r="V31" i="2"/>
  <c r="W31" i="2"/>
  <c r="O11" i="1"/>
  <c r="O36" i="1" s="1"/>
  <c r="S36" i="1" s="1"/>
  <c r="O7" i="28"/>
  <c r="O9" i="1"/>
  <c r="A4" i="21"/>
  <c r="A4" i="20"/>
  <c r="B4" i="28"/>
  <c r="B4" i="2"/>
  <c r="B4" i="1"/>
  <c r="B4" i="18"/>
  <c r="N50" i="14"/>
  <c r="M50" i="14"/>
  <c r="L50" i="14"/>
  <c r="K50" i="14"/>
  <c r="J50" i="14"/>
  <c r="I50" i="14"/>
  <c r="H50" i="14"/>
  <c r="G50" i="14"/>
  <c r="F50" i="14"/>
  <c r="E50" i="14"/>
  <c r="D50" i="14"/>
  <c r="C50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M64" i="14"/>
  <c r="L64" i="14"/>
  <c r="K64" i="14"/>
  <c r="J64" i="14"/>
  <c r="I64" i="14"/>
  <c r="H64" i="14"/>
  <c r="G64" i="14"/>
  <c r="F64" i="14"/>
  <c r="E64" i="14"/>
  <c r="D64" i="14"/>
  <c r="C64" i="14"/>
  <c r="M58" i="14"/>
  <c r="L58" i="14"/>
  <c r="K58" i="14"/>
  <c r="J58" i="14"/>
  <c r="I58" i="14"/>
  <c r="H58" i="14"/>
  <c r="G58" i="14"/>
  <c r="F58" i="14"/>
  <c r="E58" i="14"/>
  <c r="D58" i="14"/>
  <c r="C58" i="14"/>
  <c r="N58" i="14" s="1"/>
  <c r="B20" i="14"/>
  <c r="B19" i="14"/>
  <c r="N31" i="28"/>
  <c r="G11" i="1" a="1"/>
  <c r="E11" i="18"/>
  <c r="D15" i="2"/>
  <c r="D19" i="28"/>
  <c r="C38" i="2"/>
  <c r="C7" i="2"/>
  <c r="D24" i="28"/>
  <c r="D14" i="28"/>
  <c r="C13" i="1"/>
  <c r="D11" i="18"/>
  <c r="N18" i="28"/>
  <c r="N12" i="1"/>
  <c r="D27" i="28"/>
  <c r="I38" i="2"/>
  <c r="C6" i="2"/>
  <c r="N35" i="2"/>
  <c r="C29" i="2"/>
  <c r="I27" i="28"/>
  <c r="I29" i="2"/>
  <c r="J34" i="2" a="1"/>
  <c r="I8" i="1"/>
  <c r="D26" i="1"/>
  <c r="N6" i="2"/>
  <c r="N14" i="28"/>
  <c r="C8" i="1"/>
  <c r="C24" i="28"/>
  <c r="M34" i="2" a="1"/>
  <c r="I19" i="28"/>
  <c r="I13" i="2"/>
  <c r="D24" i="2"/>
  <c r="D30" i="2"/>
  <c r="N38" i="2"/>
  <c r="D16" i="2"/>
  <c r="D7" i="2"/>
  <c r="H11" i="1" a="1"/>
  <c r="N30" i="28"/>
  <c r="N27" i="28"/>
  <c r="N27" i="2"/>
  <c r="D22" i="1"/>
  <c r="C23" i="28"/>
  <c r="I21" i="1"/>
  <c r="D23" i="2"/>
  <c r="D12" i="1"/>
  <c r="N13" i="2"/>
  <c r="D23" i="28"/>
  <c r="N14" i="2"/>
  <c r="D8" i="2"/>
  <c r="C21" i="1"/>
  <c r="O23" i="18"/>
  <c r="I30" i="28"/>
  <c r="D28" i="2"/>
  <c r="C12" i="1"/>
  <c r="C27" i="2"/>
  <c r="N29" i="2"/>
  <c r="K34" i="2" a="1"/>
  <c r="I23" i="28"/>
  <c r="N8" i="1"/>
  <c r="C15" i="2"/>
  <c r="C35" i="2"/>
  <c r="N30" i="2"/>
  <c r="I26" i="1"/>
  <c r="D25" i="1"/>
  <c r="C30" i="28"/>
  <c r="C14" i="28"/>
  <c r="N25" i="28"/>
  <c r="N36" i="2"/>
  <c r="D14" i="2"/>
  <c r="I8" i="2"/>
  <c r="C19" i="28"/>
  <c r="N8" i="2"/>
  <c r="N22" i="2"/>
  <c r="D5" i="18"/>
  <c r="O11" i="18"/>
  <c r="E23" i="18"/>
  <c r="D38" i="2"/>
  <c r="C12" i="2"/>
  <c r="L13" i="28" a="1"/>
  <c r="I18" i="28"/>
  <c r="N15" i="2"/>
  <c r="D30" i="28"/>
  <c r="O17" i="18"/>
  <c r="I15" i="2"/>
  <c r="C13" i="2"/>
  <c r="J5" i="18"/>
  <c r="C14" i="2"/>
  <c r="F11" i="1" a="1"/>
  <c r="I16" i="2"/>
  <c r="C22" i="1"/>
  <c r="C9" i="2"/>
  <c r="C22" i="2"/>
  <c r="C26" i="1"/>
  <c r="D6" i="2"/>
  <c r="C16" i="2"/>
  <c r="I22" i="2"/>
  <c r="C36" i="2"/>
  <c r="L34" i="2" a="1"/>
  <c r="D35" i="2"/>
  <c r="I35" i="2"/>
  <c r="C25" i="28"/>
  <c r="N7" i="2"/>
  <c r="D7" i="1"/>
  <c r="J11" i="18"/>
  <c r="M11" i="1" a="1"/>
  <c r="I14" i="28"/>
  <c r="I36" i="2"/>
  <c r="D20" i="18"/>
  <c r="C25" i="1"/>
  <c r="I12" i="1"/>
  <c r="N7" i="1"/>
  <c r="O20" i="18"/>
  <c r="I28" i="2"/>
  <c r="C27" i="28"/>
  <c r="N24" i="2"/>
  <c r="E11" i="1" a="1"/>
  <c r="C8" i="2"/>
  <c r="N19" i="28"/>
  <c r="D22" i="2"/>
  <c r="I25" i="28"/>
  <c r="C24" i="2"/>
  <c r="C30" i="2"/>
  <c r="D9" i="2"/>
  <c r="D12" i="2"/>
  <c r="C23" i="2"/>
  <c r="N26" i="1"/>
  <c r="I14" i="2"/>
  <c r="D8" i="1"/>
  <c r="D29" i="2"/>
  <c r="E26" i="18"/>
  <c r="J11" i="1" a="1"/>
  <c r="C18" i="28"/>
  <c r="N9" i="2"/>
  <c r="D13" i="1"/>
  <c r="C7" i="1"/>
  <c r="I31" i="28"/>
  <c r="I6" i="2"/>
  <c r="E20" i="18"/>
  <c r="D25" i="28"/>
  <c r="E17" i="18"/>
  <c r="I12" i="2"/>
  <c r="I25" i="1"/>
  <c r="D18" i="28"/>
  <c r="I30" i="2"/>
  <c r="C31" i="28"/>
  <c r="N16" i="2"/>
  <c r="I23" i="2"/>
  <c r="O26" i="18"/>
  <c r="O5" i="18"/>
  <c r="D36" i="2"/>
  <c r="I24" i="28"/>
  <c r="I13" i="1"/>
  <c r="E5" i="18"/>
  <c r="I24" i="2"/>
  <c r="N24" i="28"/>
  <c r="J23" i="18"/>
  <c r="D23" i="18"/>
  <c r="D26" i="18"/>
  <c r="D13" i="2"/>
  <c r="N28" i="2"/>
  <c r="I7" i="1"/>
  <c r="I22" i="1"/>
  <c r="C28" i="2"/>
  <c r="N23" i="2"/>
  <c r="N25" i="1"/>
  <c r="I9" i="2"/>
  <c r="D27" i="2"/>
  <c r="N22" i="1"/>
  <c r="D31" i="28"/>
  <c r="N23" i="28"/>
  <c r="J20" i="18"/>
  <c r="N12" i="2"/>
  <c r="D21" i="1"/>
  <c r="L11" i="1" a="1"/>
  <c r="I7" i="2"/>
  <c r="K11" i="1" a="1"/>
  <c r="D17" i="18"/>
  <c r="I27" i="2"/>
  <c r="R20" i="1" l="1"/>
  <c r="M42" i="18"/>
  <c r="L28" i="18"/>
  <c r="H28" i="18"/>
  <c r="K53" i="2"/>
  <c r="L20" i="28"/>
  <c r="T13" i="2"/>
  <c r="Q43" i="1"/>
  <c r="R8" i="2"/>
  <c r="R13" i="28"/>
  <c r="S13" i="28" s="1"/>
  <c r="K28" i="18"/>
  <c r="P29" i="18" s="1"/>
  <c r="G28" i="18"/>
  <c r="L29" i="18" s="1"/>
  <c r="O28" i="18"/>
  <c r="O29" i="18" s="1"/>
  <c r="E28" i="18"/>
  <c r="D28" i="18"/>
  <c r="D29" i="18" s="1"/>
  <c r="N28" i="18"/>
  <c r="M29" i="18"/>
  <c r="I28" i="18"/>
  <c r="O33" i="1"/>
  <c r="O15" i="1"/>
  <c r="O18" i="1" s="1"/>
  <c r="D26" i="28"/>
  <c r="D28" i="28" s="1"/>
  <c r="C26" i="28"/>
  <c r="C28" i="28" s="1"/>
  <c r="I26" i="28"/>
  <c r="N26" i="28"/>
  <c r="N28" i="28" s="1"/>
  <c r="M14" i="1"/>
  <c r="K7" i="28"/>
  <c r="P12" i="1"/>
  <c r="L7" i="28"/>
  <c r="Q12" i="1"/>
  <c r="Q7" i="28" s="1"/>
  <c r="M7" i="28"/>
  <c r="R12" i="1"/>
  <c r="R7" i="28" s="1"/>
  <c r="S14" i="2"/>
  <c r="T14" i="2" s="1"/>
  <c r="U14" i="2" s="1"/>
  <c r="V14" i="2" s="1"/>
  <c r="W14" i="2" s="1"/>
  <c r="Q34" i="2"/>
  <c r="O55" i="2"/>
  <c r="R14" i="28"/>
  <c r="S14" i="28" s="1"/>
  <c r="L13" i="28"/>
  <c r="J53" i="2"/>
  <c r="M11" i="28"/>
  <c r="T5" i="18"/>
  <c r="U5" i="18" s="1"/>
  <c r="D52" i="18"/>
  <c r="J20" i="28"/>
  <c r="M53" i="2"/>
  <c r="H39" i="18"/>
  <c r="J28" i="28"/>
  <c r="K28" i="28"/>
  <c r="M28" i="28"/>
  <c r="L53" i="2"/>
  <c r="L28" i="28"/>
  <c r="G9" i="1"/>
  <c r="E11" i="1"/>
  <c r="H11" i="1"/>
  <c r="G11" i="1"/>
  <c r="F11" i="1"/>
  <c r="K42" i="18"/>
  <c r="P43" i="18" s="1"/>
  <c r="K39" i="18"/>
  <c r="P40" i="18" s="1"/>
  <c r="N42" i="18"/>
  <c r="S43" i="18" s="1"/>
  <c r="G42" i="18"/>
  <c r="N39" i="18"/>
  <c r="S39" i="18" s="1"/>
  <c r="F42" i="18"/>
  <c r="L42" i="18"/>
  <c r="Q43" i="18" s="1"/>
  <c r="L36" i="18"/>
  <c r="L39" i="18"/>
  <c r="Q39" i="18" s="1"/>
  <c r="I42" i="18"/>
  <c r="J42" i="18"/>
  <c r="J39" i="18"/>
  <c r="E42" i="18"/>
  <c r="O39" i="18"/>
  <c r="E39" i="18"/>
  <c r="D39" i="18"/>
  <c r="D40" i="18" s="1"/>
  <c r="D42" i="18"/>
  <c r="D43" i="18" s="1"/>
  <c r="O42" i="18"/>
  <c r="R43" i="18"/>
  <c r="F39" i="18"/>
  <c r="I39" i="18"/>
  <c r="M39" i="18"/>
  <c r="R39" i="18" s="1"/>
  <c r="H42" i="18"/>
  <c r="M43" i="18" s="1"/>
  <c r="G39" i="18"/>
  <c r="D49" i="18"/>
  <c r="D36" i="18"/>
  <c r="D37" i="18" s="1"/>
  <c r="D48" i="18"/>
  <c r="C6" i="1" s="1"/>
  <c r="D50" i="18"/>
  <c r="D56" i="18"/>
  <c r="F36" i="18"/>
  <c r="N36" i="18"/>
  <c r="J36" i="18"/>
  <c r="O36" i="18"/>
  <c r="E36" i="18"/>
  <c r="M36" i="18"/>
  <c r="R49" i="18" s="1"/>
  <c r="Q7" i="1" s="1"/>
  <c r="Q18" i="28" s="1"/>
  <c r="G36" i="18"/>
  <c r="I36" i="18"/>
  <c r="K36" i="18"/>
  <c r="H36" i="18"/>
  <c r="O49" i="18"/>
  <c r="E27" i="18"/>
  <c r="J21" i="18"/>
  <c r="E12" i="18"/>
  <c r="O24" i="18"/>
  <c r="E21" i="18"/>
  <c r="E24" i="18"/>
  <c r="J18" i="18"/>
  <c r="J27" i="18"/>
  <c r="D12" i="18"/>
  <c r="J24" i="18"/>
  <c r="O18" i="18"/>
  <c r="E18" i="18"/>
  <c r="D18" i="18"/>
  <c r="O27" i="18"/>
  <c r="D24" i="18"/>
  <c r="O12" i="18"/>
  <c r="D27" i="18"/>
  <c r="D21" i="18"/>
  <c r="J12" i="18"/>
  <c r="O21" i="18"/>
  <c r="P24" i="18"/>
  <c r="K24" i="18"/>
  <c r="N21" i="18"/>
  <c r="S21" i="18"/>
  <c r="L24" i="18"/>
  <c r="Q24" i="18"/>
  <c r="S24" i="18"/>
  <c r="N24" i="18"/>
  <c r="L12" i="18"/>
  <c r="R21" i="18"/>
  <c r="M21" i="18"/>
  <c r="N18" i="18"/>
  <c r="R15" i="18"/>
  <c r="M15" i="18"/>
  <c r="K12" i="18"/>
  <c r="P12" i="18"/>
  <c r="K15" i="18"/>
  <c r="P15" i="18"/>
  <c r="M12" i="18"/>
  <c r="M18" i="18"/>
  <c r="L15" i="18"/>
  <c r="U27" i="18"/>
  <c r="T27" i="18"/>
  <c r="N12" i="18"/>
  <c r="N27" i="18"/>
  <c r="S27" i="18"/>
  <c r="N15" i="18"/>
  <c r="R27" i="18"/>
  <c r="M27" i="18"/>
  <c r="U24" i="18"/>
  <c r="T24" i="18"/>
  <c r="L18" i="18"/>
  <c r="M24" i="18"/>
  <c r="R24" i="18"/>
  <c r="K27" i="18"/>
  <c r="P27" i="18"/>
  <c r="U21" i="18"/>
  <c r="T21" i="18"/>
  <c r="Q27" i="18"/>
  <c r="L27" i="18"/>
  <c r="Q21" i="18"/>
  <c r="L21" i="18"/>
  <c r="K21" i="18"/>
  <c r="P21" i="18"/>
  <c r="K18" i="18"/>
  <c r="P18" i="18"/>
  <c r="L48" i="18"/>
  <c r="K6" i="1" s="1"/>
  <c r="I8" i="18"/>
  <c r="G54" i="18"/>
  <c r="L56" i="18"/>
  <c r="L52" i="18"/>
  <c r="J6" i="18"/>
  <c r="D6" i="18"/>
  <c r="O6" i="18"/>
  <c r="E6" i="18"/>
  <c r="K6" i="18"/>
  <c r="P6" i="18"/>
  <c r="L6" i="18"/>
  <c r="M6" i="18"/>
  <c r="R6" i="18"/>
  <c r="N6" i="18"/>
  <c r="S6" i="18"/>
  <c r="K52" i="18"/>
  <c r="K50" i="18"/>
  <c r="H54" i="18"/>
  <c r="F49" i="18"/>
  <c r="G8" i="18"/>
  <c r="I50" i="18"/>
  <c r="H49" i="18"/>
  <c r="E39" i="2"/>
  <c r="H10" i="2"/>
  <c r="E17" i="2"/>
  <c r="L34" i="2"/>
  <c r="L39" i="2" s="1"/>
  <c r="J34" i="2"/>
  <c r="J39" i="2" s="1"/>
  <c r="M34" i="2"/>
  <c r="M39" i="2" s="1"/>
  <c r="K34" i="2"/>
  <c r="K39" i="2" s="1"/>
  <c r="G10" i="2"/>
  <c r="H25" i="2"/>
  <c r="H31" i="2"/>
  <c r="G25" i="2"/>
  <c r="G31" i="2"/>
  <c r="F10" i="2"/>
  <c r="F25" i="2"/>
  <c r="G17" i="2"/>
  <c r="M36" i="28"/>
  <c r="F31" i="2"/>
  <c r="H39" i="2"/>
  <c r="H17" i="2"/>
  <c r="G39" i="2"/>
  <c r="F17" i="2"/>
  <c r="F39" i="2"/>
  <c r="K36" i="28"/>
  <c r="J36" i="28"/>
  <c r="L36" i="28"/>
  <c r="E10" i="2"/>
  <c r="E25" i="2"/>
  <c r="E31" i="2"/>
  <c r="K10" i="2"/>
  <c r="J25" i="2"/>
  <c r="L17" i="2"/>
  <c r="J31" i="2"/>
  <c r="L10" i="2"/>
  <c r="M10" i="2"/>
  <c r="K17" i="2"/>
  <c r="M17" i="2"/>
  <c r="M25" i="2"/>
  <c r="K25" i="2"/>
  <c r="M31" i="2"/>
  <c r="L31" i="2"/>
  <c r="J10" i="2"/>
  <c r="L25" i="2"/>
  <c r="K31" i="2"/>
  <c r="J17" i="2"/>
  <c r="J19" i="2" s="1"/>
  <c r="K11" i="1"/>
  <c r="K36" i="1" s="1"/>
  <c r="L11" i="1"/>
  <c r="L36" i="1" s="1"/>
  <c r="M11" i="1"/>
  <c r="M36" i="1" s="1"/>
  <c r="J11" i="1"/>
  <c r="J36" i="1" s="1"/>
  <c r="E9" i="1"/>
  <c r="F9" i="1"/>
  <c r="K9" i="1"/>
  <c r="H9" i="1"/>
  <c r="F50" i="18"/>
  <c r="I56" i="18"/>
  <c r="H52" i="18"/>
  <c r="F56" i="18"/>
  <c r="I48" i="18"/>
  <c r="H6" i="1" s="1"/>
  <c r="H48" i="18"/>
  <c r="G6" i="1" s="1"/>
  <c r="G50" i="18"/>
  <c r="F48" i="18"/>
  <c r="E6" i="1" s="1"/>
  <c r="I52" i="18"/>
  <c r="H8" i="18"/>
  <c r="G56" i="18"/>
  <c r="F52" i="18"/>
  <c r="F8" i="18"/>
  <c r="G49" i="18"/>
  <c r="H50" i="18"/>
  <c r="G48" i="18"/>
  <c r="F6" i="1" s="1"/>
  <c r="F54" i="18"/>
  <c r="G52" i="18"/>
  <c r="H56" i="18"/>
  <c r="I54" i="18"/>
  <c r="L8" i="18"/>
  <c r="L33" i="18" s="1"/>
  <c r="Q33" i="18" s="1"/>
  <c r="L50" i="18"/>
  <c r="K54" i="18"/>
  <c r="L54" i="18"/>
  <c r="K48" i="18"/>
  <c r="J6" i="1" s="1"/>
  <c r="N50" i="18"/>
  <c r="M49" i="18"/>
  <c r="K8" i="18"/>
  <c r="K33" i="18" s="1"/>
  <c r="N49" i="18"/>
  <c r="N48" i="18"/>
  <c r="M6" i="1" s="1"/>
  <c r="N56" i="18"/>
  <c r="M54" i="18"/>
  <c r="M52" i="18"/>
  <c r="N52" i="18"/>
  <c r="N8" i="18"/>
  <c r="N33" i="18" s="1"/>
  <c r="S33" i="18" s="1"/>
  <c r="M8" i="18"/>
  <c r="M33" i="18" s="1"/>
  <c r="R33" i="18" s="1"/>
  <c r="K49" i="18"/>
  <c r="N54" i="18"/>
  <c r="M48" i="18"/>
  <c r="L6" i="1" s="1"/>
  <c r="M50" i="18"/>
  <c r="L49" i="18"/>
  <c r="M56" i="18"/>
  <c r="K56" i="18"/>
  <c r="L9" i="1"/>
  <c r="M9" i="1"/>
  <c r="J9" i="1"/>
  <c r="O17" i="2"/>
  <c r="O19" i="2" s="1"/>
  <c r="T33" i="2"/>
  <c r="D8" i="18"/>
  <c r="O8" i="18"/>
  <c r="J8" i="18"/>
  <c r="J33" i="18" s="1"/>
  <c r="E8" i="18"/>
  <c r="E33" i="18" s="1"/>
  <c r="O48" i="18"/>
  <c r="N6" i="1" s="1"/>
  <c r="J48" i="18"/>
  <c r="I6" i="1" s="1"/>
  <c r="E48" i="18"/>
  <c r="D6" i="1" s="1"/>
  <c r="O52" i="18"/>
  <c r="J52" i="18"/>
  <c r="J49" i="18"/>
  <c r="E52" i="18"/>
  <c r="O50" i="18"/>
  <c r="J50" i="18"/>
  <c r="J56" i="18"/>
  <c r="E50" i="18"/>
  <c r="O56" i="18"/>
  <c r="E56" i="18"/>
  <c r="E49" i="18"/>
  <c r="C53" i="2"/>
  <c r="C31" i="1"/>
  <c r="D53" i="2"/>
  <c r="N31" i="1"/>
  <c r="I53" i="2"/>
  <c r="N53" i="2"/>
  <c r="D31" i="1"/>
  <c r="I31" i="1"/>
  <c r="I7" i="28"/>
  <c r="C7" i="28"/>
  <c r="D7" i="28"/>
  <c r="I28" i="28"/>
  <c r="N20" i="28"/>
  <c r="I20" i="28"/>
  <c r="N7" i="28"/>
  <c r="C20" i="28"/>
  <c r="D20" i="28"/>
  <c r="Q33" i="2"/>
  <c r="R33" i="2"/>
  <c r="S33" i="2"/>
  <c r="V33" i="2"/>
  <c r="U33" i="2"/>
  <c r="O33" i="2"/>
  <c r="O41" i="2" s="1"/>
  <c r="C10" i="2"/>
  <c r="C25" i="2"/>
  <c r="C31" i="2"/>
  <c r="I25" i="2"/>
  <c r="D25" i="2"/>
  <c r="N25" i="2"/>
  <c r="N10" i="2"/>
  <c r="I10" i="2"/>
  <c r="D10" i="2"/>
  <c r="D31" i="2"/>
  <c r="I31" i="2"/>
  <c r="N31" i="2"/>
  <c r="C17" i="2"/>
  <c r="D17" i="2"/>
  <c r="I17" i="2"/>
  <c r="N17" i="2"/>
  <c r="N9" i="1"/>
  <c r="N33" i="1" s="1"/>
  <c r="I9" i="1"/>
  <c r="I33" i="1" s="1"/>
  <c r="D9" i="1"/>
  <c r="D33" i="1" s="1"/>
  <c r="C9" i="1"/>
  <c r="C33" i="1" s="1"/>
  <c r="I11" i="1"/>
  <c r="I34" i="2"/>
  <c r="D20" i="1"/>
  <c r="D11" i="1"/>
  <c r="N11" i="1"/>
  <c r="N34" i="2"/>
  <c r="C11" i="1"/>
  <c r="I20" i="1"/>
  <c r="C34" i="2"/>
  <c r="M13" i="28" a="1"/>
  <c r="D34" i="2"/>
  <c r="C20" i="1"/>
  <c r="G55" i="2" l="1"/>
  <c r="L33" i="2"/>
  <c r="O43" i="2"/>
  <c r="J15" i="1"/>
  <c r="J18" i="1" s="1"/>
  <c r="H55" i="2"/>
  <c r="U13" i="2"/>
  <c r="U13" i="28"/>
  <c r="R43" i="1"/>
  <c r="S8" i="2"/>
  <c r="T8" i="2" s="1"/>
  <c r="U8" i="2" s="1"/>
  <c r="V8" i="2" s="1"/>
  <c r="W8" i="2" s="1"/>
  <c r="T13" i="28"/>
  <c r="K15" i="1"/>
  <c r="K18" i="1" s="1"/>
  <c r="K29" i="18"/>
  <c r="R17" i="18"/>
  <c r="V5" i="18"/>
  <c r="N29" i="18"/>
  <c r="S36" i="18"/>
  <c r="S37" i="18" s="1"/>
  <c r="E29" i="18"/>
  <c r="J29" i="18"/>
  <c r="S12" i="1"/>
  <c r="T12" i="1" s="1"/>
  <c r="P7" i="28"/>
  <c r="M15" i="1"/>
  <c r="N15" i="1" s="1"/>
  <c r="N17" i="1" s="1"/>
  <c r="L15" i="1"/>
  <c r="L18" i="1" s="1"/>
  <c r="N55" i="2"/>
  <c r="D55" i="2"/>
  <c r="J55" i="2"/>
  <c r="F55" i="2"/>
  <c r="L55" i="2"/>
  <c r="I55" i="2"/>
  <c r="E55" i="2"/>
  <c r="M55" i="2"/>
  <c r="S7" i="2"/>
  <c r="C55" i="2"/>
  <c r="R34" i="2"/>
  <c r="K55" i="2"/>
  <c r="M13" i="28"/>
  <c r="N11" i="28"/>
  <c r="Q31" i="1"/>
  <c r="Q17" i="18"/>
  <c r="S17" i="18"/>
  <c r="L43" i="18"/>
  <c r="K43" i="18"/>
  <c r="F15" i="1"/>
  <c r="F23" i="1" s="1"/>
  <c r="F27" i="1" s="1"/>
  <c r="F40" i="28" s="1"/>
  <c r="E15" i="1"/>
  <c r="G15" i="1"/>
  <c r="U6" i="18"/>
  <c r="Q6" i="18"/>
  <c r="K40" i="18"/>
  <c r="H15" i="1"/>
  <c r="O42" i="2"/>
  <c r="H33" i="2"/>
  <c r="H41" i="2" s="1"/>
  <c r="H19" i="2"/>
  <c r="H43" i="2" s="1"/>
  <c r="F33" i="2"/>
  <c r="F41" i="2" s="1"/>
  <c r="E33" i="2"/>
  <c r="E41" i="2" s="1"/>
  <c r="O49" i="2"/>
  <c r="E19" i="2"/>
  <c r="E43" i="2" s="1"/>
  <c r="G33" i="2"/>
  <c r="G41" i="2" s="1"/>
  <c r="O47" i="2"/>
  <c r="O46" i="2"/>
  <c r="O38" i="1"/>
  <c r="O50" i="2"/>
  <c r="N40" i="18"/>
  <c r="N43" i="18"/>
  <c r="L37" i="18"/>
  <c r="L40" i="18"/>
  <c r="E40" i="18"/>
  <c r="J43" i="18"/>
  <c r="R40" i="18"/>
  <c r="M40" i="18"/>
  <c r="O43" i="18"/>
  <c r="T43" i="18"/>
  <c r="O40" i="18"/>
  <c r="E37" i="18"/>
  <c r="E43" i="18"/>
  <c r="J40" i="18"/>
  <c r="O37" i="18"/>
  <c r="J37" i="18"/>
  <c r="D33" i="18"/>
  <c r="D34" i="18" s="1"/>
  <c r="D47" i="18"/>
  <c r="C5" i="1" s="1"/>
  <c r="N37" i="18"/>
  <c r="P34" i="18"/>
  <c r="P37" i="18"/>
  <c r="K37" i="18"/>
  <c r="R34" i="18"/>
  <c r="S34" i="18"/>
  <c r="R37" i="18"/>
  <c r="M37" i="18"/>
  <c r="J34" i="18"/>
  <c r="I47" i="18"/>
  <c r="H5" i="1" s="1"/>
  <c r="I33" i="18"/>
  <c r="N34" i="18" s="1"/>
  <c r="G47" i="18"/>
  <c r="F5" i="1" s="1"/>
  <c r="G33" i="18"/>
  <c r="L34" i="18" s="1"/>
  <c r="F47" i="18"/>
  <c r="E5" i="1" s="1"/>
  <c r="F33" i="18"/>
  <c r="K34" i="18" s="1"/>
  <c r="H47" i="18"/>
  <c r="G5" i="1" s="1"/>
  <c r="H33" i="18"/>
  <c r="M34" i="18" s="1"/>
  <c r="O47" i="18"/>
  <c r="N5" i="1" s="1"/>
  <c r="O33" i="18"/>
  <c r="O34" i="18" s="1"/>
  <c r="J54" i="18"/>
  <c r="K47" i="18"/>
  <c r="J5" i="1" s="1"/>
  <c r="K9" i="18"/>
  <c r="P9" i="18"/>
  <c r="M47" i="18"/>
  <c r="L5" i="1" s="1"/>
  <c r="M9" i="18"/>
  <c r="J47" i="18"/>
  <c r="I5" i="1" s="1"/>
  <c r="J9" i="18"/>
  <c r="E47" i="18"/>
  <c r="D5" i="1" s="1"/>
  <c r="E9" i="18"/>
  <c r="N47" i="18"/>
  <c r="M5" i="1" s="1"/>
  <c r="N9" i="18"/>
  <c r="O9" i="18"/>
  <c r="L47" i="18"/>
  <c r="K5" i="1" s="1"/>
  <c r="L9" i="18"/>
  <c r="D9" i="18"/>
  <c r="O54" i="18"/>
  <c r="F19" i="2"/>
  <c r="F43" i="2" s="1"/>
  <c r="G19" i="2"/>
  <c r="G43" i="2" s="1"/>
  <c r="M19" i="2"/>
  <c r="M43" i="2" s="1"/>
  <c r="K19" i="2"/>
  <c r="K43" i="2" s="1"/>
  <c r="J33" i="2"/>
  <c r="J41" i="2" s="1"/>
  <c r="J43" i="2" s="1"/>
  <c r="L19" i="2"/>
  <c r="M33" i="2"/>
  <c r="M41" i="2" s="1"/>
  <c r="L41" i="2"/>
  <c r="K33" i="2"/>
  <c r="K41" i="2" s="1"/>
  <c r="J33" i="1"/>
  <c r="M33" i="1"/>
  <c r="L33" i="1"/>
  <c r="K33" i="1"/>
  <c r="O23" i="1"/>
  <c r="O27" i="1" s="1"/>
  <c r="O17" i="1"/>
  <c r="O34" i="1"/>
  <c r="N36" i="1"/>
  <c r="D36" i="1"/>
  <c r="C36" i="1"/>
  <c r="I36" i="1"/>
  <c r="D39" i="2"/>
  <c r="I39" i="2"/>
  <c r="C39" i="2"/>
  <c r="N39" i="2"/>
  <c r="C15" i="1"/>
  <c r="C18" i="1" s="1"/>
  <c r="D54" i="18" s="1"/>
  <c r="D15" i="1"/>
  <c r="I15" i="1"/>
  <c r="C33" i="2"/>
  <c r="D19" i="2"/>
  <c r="C19" i="2"/>
  <c r="N19" i="2"/>
  <c r="I19" i="2"/>
  <c r="I33" i="2"/>
  <c r="N33" i="2"/>
  <c r="D33" i="2"/>
  <c r="O1" i="14"/>
  <c r="B1" i="28"/>
  <c r="B1" i="18"/>
  <c r="A1" i="20"/>
  <c r="B1" i="2"/>
  <c r="A1" i="21"/>
  <c r="B1" i="1"/>
  <c r="N13" i="28"/>
  <c r="L17" i="1" l="1"/>
  <c r="L43" i="2"/>
  <c r="T7" i="2"/>
  <c r="T14" i="28" s="1"/>
  <c r="V13" i="2"/>
  <c r="V13" i="28" s="1"/>
  <c r="R50" i="18"/>
  <c r="Q8" i="1" s="1"/>
  <c r="Q9" i="1" s="1"/>
  <c r="Q33" i="1" s="1"/>
  <c r="R28" i="18"/>
  <c r="R29" i="18" s="1"/>
  <c r="R18" i="18"/>
  <c r="S14" i="18"/>
  <c r="S28" i="18" s="1"/>
  <c r="S29" i="18" s="1"/>
  <c r="Q28" i="18"/>
  <c r="Q29" i="18" s="1"/>
  <c r="W5" i="18"/>
  <c r="V6" i="18"/>
  <c r="O6" i="28"/>
  <c r="O15" i="28" s="1"/>
  <c r="O33" i="28" s="1"/>
  <c r="O40" i="28"/>
  <c r="G18" i="1"/>
  <c r="G38" i="1" s="1"/>
  <c r="E18" i="1"/>
  <c r="E38" i="1" s="1"/>
  <c r="F18" i="1"/>
  <c r="F38" i="1" s="1"/>
  <c r="H18" i="1"/>
  <c r="H38" i="1" s="1"/>
  <c r="S7" i="28"/>
  <c r="M17" i="1"/>
  <c r="M18" i="1"/>
  <c r="M40" i="1" s="1"/>
  <c r="G17" i="1"/>
  <c r="U12" i="1"/>
  <c r="T7" i="28"/>
  <c r="T17" i="18"/>
  <c r="T39" i="18" s="1"/>
  <c r="U39" i="18" s="1"/>
  <c r="V39" i="18" s="1"/>
  <c r="W39" i="18" s="1"/>
  <c r="X39" i="18" s="1"/>
  <c r="J42" i="2"/>
  <c r="S34" i="2"/>
  <c r="E42" i="2"/>
  <c r="S40" i="18"/>
  <c r="S50" i="18"/>
  <c r="R8" i="1" s="1"/>
  <c r="S18" i="18"/>
  <c r="Q18" i="18"/>
  <c r="Q50" i="18"/>
  <c r="I18" i="1"/>
  <c r="I38" i="1" s="1"/>
  <c r="Q40" i="18"/>
  <c r="D18" i="1"/>
  <c r="D50" i="2" s="1"/>
  <c r="T6" i="18"/>
  <c r="F17" i="1"/>
  <c r="E17" i="1"/>
  <c r="E23" i="1"/>
  <c r="E27" i="1" s="1"/>
  <c r="E40" i="28" s="1"/>
  <c r="G23" i="1"/>
  <c r="G27" i="1" s="1"/>
  <c r="G40" i="28" s="1"/>
  <c r="H42" i="2"/>
  <c r="H23" i="1"/>
  <c r="H27" i="1" s="1"/>
  <c r="H40" i="28" s="1"/>
  <c r="H17" i="1"/>
  <c r="G42" i="2"/>
  <c r="F42" i="2"/>
  <c r="K17" i="1"/>
  <c r="J34" i="1"/>
  <c r="J17" i="1"/>
  <c r="L23" i="1"/>
  <c r="L27" i="1" s="1"/>
  <c r="M23" i="1"/>
  <c r="M27" i="1" s="1"/>
  <c r="E34" i="18"/>
  <c r="C50" i="2"/>
  <c r="Q15" i="18"/>
  <c r="Q8" i="18"/>
  <c r="Q34" i="18"/>
  <c r="M31" i="1"/>
  <c r="K31" i="1"/>
  <c r="C47" i="2"/>
  <c r="L31" i="1"/>
  <c r="C38" i="1"/>
  <c r="C40" i="1"/>
  <c r="C41" i="1" s="1"/>
  <c r="C49" i="2"/>
  <c r="J31" i="1"/>
  <c r="C46" i="2"/>
  <c r="M42" i="2"/>
  <c r="L42" i="2"/>
  <c r="K42" i="2"/>
  <c r="K34" i="1"/>
  <c r="K23" i="1"/>
  <c r="K27" i="1" s="1"/>
  <c r="M34" i="1"/>
  <c r="J23" i="1"/>
  <c r="J27" i="1" s="1"/>
  <c r="L34" i="1"/>
  <c r="I41" i="2"/>
  <c r="I42" i="2" s="1"/>
  <c r="D41" i="2"/>
  <c r="D42" i="2" s="1"/>
  <c r="N23" i="1"/>
  <c r="N27" i="1" s="1"/>
  <c r="N34" i="1"/>
  <c r="C23" i="1"/>
  <c r="C27" i="1" s="1"/>
  <c r="C34" i="1"/>
  <c r="C17" i="1"/>
  <c r="D23" i="1"/>
  <c r="D27" i="1" s="1"/>
  <c r="D34" i="1"/>
  <c r="D17" i="1"/>
  <c r="I23" i="1"/>
  <c r="I27" i="1" s="1"/>
  <c r="I17" i="1"/>
  <c r="I34" i="1"/>
  <c r="C41" i="2"/>
  <c r="C42" i="2" s="1"/>
  <c r="N41" i="2"/>
  <c r="N42" i="2" s="1"/>
  <c r="I43" i="2" l="1"/>
  <c r="D43" i="2"/>
  <c r="C43" i="2"/>
  <c r="N43" i="2"/>
  <c r="W13" i="2"/>
  <c r="W13" i="28" s="1"/>
  <c r="U7" i="2"/>
  <c r="U14" i="28"/>
  <c r="U17" i="18"/>
  <c r="X5" i="18"/>
  <c r="W6" i="18"/>
  <c r="T15" i="18"/>
  <c r="T28" i="18"/>
  <c r="S49" i="18"/>
  <c r="R7" i="1" s="1"/>
  <c r="S15" i="18"/>
  <c r="N18" i="1"/>
  <c r="N38" i="1" s="1"/>
  <c r="V12" i="1"/>
  <c r="U7" i="28"/>
  <c r="M6" i="28"/>
  <c r="M15" i="28" s="1"/>
  <c r="M33" i="28" s="1"/>
  <c r="M40" i="28"/>
  <c r="D6" i="28"/>
  <c r="D15" i="28" s="1"/>
  <c r="D33" i="28" s="1"/>
  <c r="D52" i="2" s="1"/>
  <c r="D40" i="28"/>
  <c r="I6" i="28"/>
  <c r="I15" i="28" s="1"/>
  <c r="I33" i="28" s="1"/>
  <c r="I52" i="2" s="1"/>
  <c r="I40" i="28"/>
  <c r="C6" i="28"/>
  <c r="C15" i="28" s="1"/>
  <c r="C33" i="28" s="1"/>
  <c r="C52" i="2" s="1"/>
  <c r="C40" i="28"/>
  <c r="K6" i="28"/>
  <c r="K15" i="28" s="1"/>
  <c r="K33" i="28" s="1"/>
  <c r="K40" i="28"/>
  <c r="L6" i="28"/>
  <c r="L15" i="28" s="1"/>
  <c r="L33" i="28" s="1"/>
  <c r="L40" i="28"/>
  <c r="J6" i="28"/>
  <c r="J15" i="28" s="1"/>
  <c r="J33" i="28" s="1"/>
  <c r="J40" i="28"/>
  <c r="N6" i="28"/>
  <c r="N15" i="28" s="1"/>
  <c r="N33" i="28" s="1"/>
  <c r="N52" i="2" s="1"/>
  <c r="N40" i="28"/>
  <c r="I40" i="1"/>
  <c r="I41" i="1" s="1"/>
  <c r="D46" i="2"/>
  <c r="I50" i="2"/>
  <c r="I49" i="2"/>
  <c r="D40" i="1"/>
  <c r="D41" i="1" s="1"/>
  <c r="D47" i="2"/>
  <c r="I47" i="2"/>
  <c r="P8" i="1"/>
  <c r="T50" i="18"/>
  <c r="S8" i="1" s="1"/>
  <c r="I46" i="2"/>
  <c r="D49" i="2"/>
  <c r="E54" i="18"/>
  <c r="D38" i="1"/>
  <c r="P7" i="1"/>
  <c r="P18" i="28" s="1"/>
  <c r="P12" i="2" s="1"/>
  <c r="Q12" i="2" s="1"/>
  <c r="T36" i="18"/>
  <c r="U36" i="18" s="1"/>
  <c r="O40" i="1"/>
  <c r="O41" i="1" s="1"/>
  <c r="J38" i="1"/>
  <c r="J46" i="2"/>
  <c r="J47" i="2"/>
  <c r="M41" i="1"/>
  <c r="L40" i="1"/>
  <c r="L41" i="1" s="1"/>
  <c r="J40" i="1"/>
  <c r="J41" i="1" s="1"/>
  <c r="K40" i="1"/>
  <c r="K41" i="1" s="1"/>
  <c r="L38" i="1"/>
  <c r="L46" i="2"/>
  <c r="K38" i="1"/>
  <c r="K46" i="2"/>
  <c r="K47" i="2"/>
  <c r="M38" i="1"/>
  <c r="M46" i="2"/>
  <c r="O31" i="28"/>
  <c r="L35" i="28" l="1"/>
  <c r="L37" i="28" s="1"/>
  <c r="L52" i="2" s="1"/>
  <c r="V7" i="2"/>
  <c r="V14" i="28" s="1"/>
  <c r="T49" i="18"/>
  <c r="S7" i="1" s="1"/>
  <c r="S9" i="1" s="1"/>
  <c r="S33" i="1" s="1"/>
  <c r="R18" i="28"/>
  <c r="R12" i="2" s="1"/>
  <c r="R31" i="1"/>
  <c r="V36" i="18"/>
  <c r="U14" i="18"/>
  <c r="X6" i="18"/>
  <c r="V17" i="18"/>
  <c r="P17" i="2"/>
  <c r="R9" i="1"/>
  <c r="R33" i="1" s="1"/>
  <c r="N40" i="1"/>
  <c r="N41" i="1" s="1"/>
  <c r="N46" i="2"/>
  <c r="N49" i="2"/>
  <c r="N47" i="2"/>
  <c r="N50" i="2"/>
  <c r="W12" i="1"/>
  <c r="W7" i="28" s="1"/>
  <c r="V7" i="28"/>
  <c r="Q17" i="2"/>
  <c r="J35" i="28"/>
  <c r="J37" i="28" s="1"/>
  <c r="J52" i="2" s="1"/>
  <c r="K35" i="28"/>
  <c r="K37" i="28" s="1"/>
  <c r="K52" i="2" s="1"/>
  <c r="M35" i="28"/>
  <c r="M37" i="28" s="1"/>
  <c r="M52" i="2" s="1"/>
  <c r="O52" i="2"/>
  <c r="P9" i="1"/>
  <c r="P31" i="1"/>
  <c r="K50" i="2"/>
  <c r="K49" i="2"/>
  <c r="J50" i="2"/>
  <c r="J49" i="2"/>
  <c r="L50" i="2"/>
  <c r="L49" i="2"/>
  <c r="M50" i="2"/>
  <c r="M49" i="2"/>
  <c r="T37" i="18"/>
  <c r="T34" i="18" s="1"/>
  <c r="U37" i="18"/>
  <c r="U34" i="18" s="1"/>
  <c r="W7" i="2" l="1"/>
  <c r="W14" i="28"/>
  <c r="S31" i="1"/>
  <c r="U28" i="18"/>
  <c r="U49" i="18"/>
  <c r="T7" i="1" s="1"/>
  <c r="U15" i="18"/>
  <c r="V50" i="18"/>
  <c r="U8" i="1" s="1"/>
  <c r="W17" i="18"/>
  <c r="W40" i="18"/>
  <c r="W36" i="18"/>
  <c r="V14" i="18"/>
  <c r="V28" i="18" s="1"/>
  <c r="V37" i="18"/>
  <c r="V34" i="18" s="1"/>
  <c r="R17" i="2"/>
  <c r="S12" i="2"/>
  <c r="S17" i="2" s="1"/>
  <c r="P33" i="1"/>
  <c r="Q47" i="18"/>
  <c r="P5" i="1" s="1"/>
  <c r="Q9" i="18"/>
  <c r="Q11" i="18"/>
  <c r="Q48" i="18" s="1"/>
  <c r="P6" i="1" s="1"/>
  <c r="X36" i="18" l="1"/>
  <c r="W14" i="18"/>
  <c r="W37" i="18"/>
  <c r="W34" i="18" s="1"/>
  <c r="W50" i="18"/>
  <c r="V8" i="1" s="1"/>
  <c r="W18" i="18"/>
  <c r="T11" i="1"/>
  <c r="T18" i="28"/>
  <c r="T12" i="2" s="1"/>
  <c r="U12" i="2" s="1"/>
  <c r="T31" i="1"/>
  <c r="V15" i="18"/>
  <c r="V49" i="18"/>
  <c r="U7" i="1" s="1"/>
  <c r="U18" i="28" s="1"/>
  <c r="X17" i="18"/>
  <c r="X40" i="18"/>
  <c r="Q12" i="18"/>
  <c r="S8" i="18"/>
  <c r="S11" i="18" s="1"/>
  <c r="R8" i="18"/>
  <c r="R11" i="18" s="1"/>
  <c r="U11" i="1" l="1"/>
  <c r="U9" i="1"/>
  <c r="U31" i="1"/>
  <c r="W28" i="18"/>
  <c r="W29" i="18" s="1"/>
  <c r="W15" i="18"/>
  <c r="W49" i="18"/>
  <c r="V7" i="1" s="1"/>
  <c r="X50" i="18"/>
  <c r="W8" i="1" s="1"/>
  <c r="X18" i="18"/>
  <c r="X14" i="18"/>
  <c r="X37" i="18"/>
  <c r="X34" i="18" s="1"/>
  <c r="S48" i="18"/>
  <c r="R6" i="1" s="1"/>
  <c r="S12" i="18"/>
  <c r="R48" i="18"/>
  <c r="R12" i="18"/>
  <c r="S9" i="18"/>
  <c r="S47" i="18"/>
  <c r="R9" i="18"/>
  <c r="R47" i="18"/>
  <c r="Q5" i="1" s="1"/>
  <c r="T8" i="18"/>
  <c r="T11" i="18" s="1"/>
  <c r="T12" i="18" s="1"/>
  <c r="X28" i="18" l="1"/>
  <c r="X29" i="18" s="1"/>
  <c r="X15" i="18"/>
  <c r="X49" i="18"/>
  <c r="W7" i="1" s="1"/>
  <c r="V18" i="28"/>
  <c r="V12" i="2" s="1"/>
  <c r="V9" i="1"/>
  <c r="V33" i="1" s="1"/>
  <c r="V31" i="1"/>
  <c r="U33" i="1"/>
  <c r="U15" i="1"/>
  <c r="R5" i="1"/>
  <c r="T47" i="18"/>
  <c r="S5" i="1" s="1"/>
  <c r="Q6" i="1"/>
  <c r="T48" i="18"/>
  <c r="S6" i="1" s="1"/>
  <c r="T9" i="18"/>
  <c r="U34" i="1" l="1"/>
  <c r="U18" i="1"/>
  <c r="U17" i="1"/>
  <c r="U23" i="1"/>
  <c r="U25" i="1" s="1"/>
  <c r="W18" i="28"/>
  <c r="W12" i="2" s="1"/>
  <c r="W9" i="1"/>
  <c r="W33" i="1" s="1"/>
  <c r="W31" i="1"/>
  <c r="U27" i="1" l="1"/>
  <c r="U49" i="2"/>
  <c r="U40" i="1"/>
  <c r="U41" i="1" s="1"/>
  <c r="U38" i="1"/>
  <c r="U46" i="2"/>
  <c r="U6" i="28" l="1"/>
  <c r="U15" i="28" s="1"/>
  <c r="U40" i="28"/>
  <c r="P11" i="1" l="1"/>
  <c r="P15" i="1" s="1"/>
  <c r="P23" i="1" s="1"/>
  <c r="P25" i="1" s="1"/>
  <c r="P27" i="1" l="1"/>
  <c r="P18" i="1"/>
  <c r="P17" i="1"/>
  <c r="P34" i="1"/>
  <c r="P40" i="28" l="1"/>
  <c r="P6" i="28"/>
  <c r="P15" i="28" s="1"/>
  <c r="P49" i="2"/>
  <c r="P46" i="2"/>
  <c r="P40" i="1"/>
  <c r="P41" i="1" s="1"/>
  <c r="P38" i="1"/>
  <c r="Q11" i="1" l="1"/>
  <c r="Q15" i="1" s="1"/>
  <c r="Q18" i="1" l="1"/>
  <c r="Q17" i="1"/>
  <c r="Q23" i="1"/>
  <c r="Q25" i="1" s="1"/>
  <c r="Q34" i="1"/>
  <c r="Q27" i="1" l="1"/>
  <c r="Q49" i="2"/>
  <c r="Q40" i="1"/>
  <c r="Q41" i="1" s="1"/>
  <c r="Q46" i="2"/>
  <c r="Q38" i="1"/>
  <c r="Q6" i="28" l="1"/>
  <c r="Q15" i="28" s="1"/>
  <c r="Q40" i="28"/>
  <c r="R11" i="1"/>
  <c r="R15" i="1" l="1"/>
  <c r="S15" i="1" s="1"/>
  <c r="S11" i="1"/>
  <c r="S34" i="1" l="1"/>
  <c r="S23" i="1"/>
  <c r="R23" i="1"/>
  <c r="R25" i="1" s="1"/>
  <c r="S25" i="1" s="1"/>
  <c r="R34" i="1"/>
  <c r="R18" i="1"/>
  <c r="R38" i="1" s="1"/>
  <c r="R17" i="1"/>
  <c r="S18" i="1"/>
  <c r="S38" i="1" s="1"/>
  <c r="S17" i="1"/>
  <c r="P20" i="28"/>
  <c r="R49" i="2" l="1"/>
  <c r="R40" i="1"/>
  <c r="R41" i="1" s="1"/>
  <c r="R46" i="2"/>
  <c r="S27" i="1"/>
  <c r="S40" i="28" s="1"/>
  <c r="S49" i="2"/>
  <c r="S46" i="2"/>
  <c r="S40" i="1"/>
  <c r="P31" i="28"/>
  <c r="P6" i="2" s="1"/>
  <c r="P50" i="2" s="1"/>
  <c r="P33" i="28"/>
  <c r="P52" i="2" s="1"/>
  <c r="L47" i="2"/>
  <c r="P47" i="2"/>
  <c r="R27" i="1" l="1"/>
  <c r="R6" i="28" s="1"/>
  <c r="S41" i="1"/>
  <c r="T34" i="35"/>
  <c r="S40" i="35"/>
  <c r="T39" i="35"/>
  <c r="P10" i="2"/>
  <c r="P19" i="2" s="1"/>
  <c r="P39" i="2" s="1"/>
  <c r="Q47" i="2"/>
  <c r="M47" i="2"/>
  <c r="Q20" i="28"/>
  <c r="Q31" i="28" s="1"/>
  <c r="Q6" i="2" s="1"/>
  <c r="R40" i="28" l="1"/>
  <c r="R15" i="28"/>
  <c r="S6" i="28"/>
  <c r="S15" i="28" s="1"/>
  <c r="P41" i="2"/>
  <c r="P37" i="2"/>
  <c r="Q37" i="2" s="1"/>
  <c r="R37" i="2" s="1"/>
  <c r="S37" i="2" s="1"/>
  <c r="P55" i="2"/>
  <c r="Q10" i="2"/>
  <c r="Q19" i="2" s="1"/>
  <c r="Q39" i="2" s="1"/>
  <c r="Q41" i="2" s="1"/>
  <c r="Q50" i="2"/>
  <c r="Q33" i="28"/>
  <c r="Q52" i="2" s="1"/>
  <c r="Q55" i="2" l="1"/>
  <c r="Q43" i="2"/>
  <c r="S18" i="28"/>
  <c r="S20" i="28" s="1"/>
  <c r="S31" i="28" s="1"/>
  <c r="R33" i="28"/>
  <c r="S33" i="28" l="1"/>
  <c r="R52" i="2" s="1"/>
  <c r="S52" i="2" s="1"/>
  <c r="S53" i="2"/>
  <c r="S47" i="2"/>
  <c r="R47" i="2"/>
  <c r="R20" i="28"/>
  <c r="R31" i="28" s="1"/>
  <c r="R6" i="2" s="1"/>
  <c r="R10" i="2" l="1"/>
  <c r="R50" i="2"/>
  <c r="S6" i="2"/>
  <c r="R19" i="2" l="1"/>
  <c r="R55" i="2"/>
  <c r="S50" i="2"/>
  <c r="S10" i="2"/>
  <c r="S19" i="2" s="1"/>
  <c r="S39" i="2" l="1"/>
  <c r="S41" i="2" s="1"/>
  <c r="S43" i="2" s="1"/>
  <c r="R39" i="2"/>
  <c r="R41" i="2" s="1"/>
  <c r="R43" i="2" s="1"/>
  <c r="S55" i="2"/>
  <c r="V20" i="28"/>
  <c r="U33" i="28"/>
  <c r="U52" i="2" s="1"/>
  <c r="W20" i="28" l="1"/>
  <c r="U47" i="2"/>
  <c r="U20" i="28"/>
  <c r="U31" i="28" s="1"/>
  <c r="T20" i="28"/>
  <c r="T17" i="2" l="1"/>
  <c r="U17" i="2" l="1"/>
  <c r="W17" i="2" l="1"/>
  <c r="V17" i="2"/>
  <c r="P43" i="2" l="1"/>
  <c r="T29" i="18"/>
  <c r="T18" i="18"/>
  <c r="T40" i="18" l="1"/>
  <c r="V40" i="18"/>
  <c r="U40" i="18"/>
  <c r="V18" i="18" l="1"/>
  <c r="U18" i="18"/>
  <c r="U50" i="18"/>
  <c r="T8" i="1" s="1"/>
  <c r="T9" i="1" s="1"/>
  <c r="T33" i="1" l="1"/>
  <c r="T15" i="1"/>
  <c r="T23" i="1" s="1"/>
  <c r="T25" i="1" s="1"/>
  <c r="U29" i="18"/>
  <c r="V29" i="18"/>
  <c r="T18" i="1" l="1"/>
  <c r="T17" i="1"/>
  <c r="T34" i="1"/>
  <c r="T27" i="1" l="1"/>
  <c r="T49" i="2"/>
  <c r="T47" i="2"/>
  <c r="T46" i="2"/>
  <c r="T38" i="1"/>
  <c r="T40" i="1"/>
  <c r="T40" i="28" l="1"/>
  <c r="T6" i="28"/>
  <c r="T15" i="28" s="1"/>
  <c r="U34" i="35"/>
  <c r="S41" i="35"/>
  <c r="T41" i="1"/>
  <c r="U39" i="35"/>
  <c r="V11" i="1"/>
  <c r="V15" i="1" s="1"/>
  <c r="V23" i="1" s="1"/>
  <c r="V25" i="1" s="1"/>
  <c r="W11" i="1"/>
  <c r="W15" i="1" s="1"/>
  <c r="T33" i="28" l="1"/>
  <c r="T52" i="2" s="1"/>
  <c r="W18" i="1"/>
  <c r="W40" i="1" s="1"/>
  <c r="W41" i="1" s="1"/>
  <c r="W23" i="1"/>
  <c r="W25" i="1" s="1"/>
  <c r="T31" i="28"/>
  <c r="T6" i="2" s="1"/>
  <c r="U6" i="2" s="1"/>
  <c r="W47" i="2"/>
  <c r="W38" i="1"/>
  <c r="W46" i="2"/>
  <c r="W49" i="2"/>
  <c r="V34" i="1"/>
  <c r="V17" i="1"/>
  <c r="V18" i="1"/>
  <c r="W34" i="1"/>
  <c r="W17" i="1"/>
  <c r="W27" i="1" l="1"/>
  <c r="V27" i="1"/>
  <c r="T10" i="2"/>
  <c r="V46" i="2"/>
  <c r="V47" i="2"/>
  <c r="V40" i="1"/>
  <c r="V41" i="1" s="1"/>
  <c r="V38" i="1"/>
  <c r="V49" i="2"/>
  <c r="W40" i="28" l="1"/>
  <c r="W6" i="28"/>
  <c r="W15" i="28" s="1"/>
  <c r="V40" i="28"/>
  <c r="V6" i="28"/>
  <c r="V15" i="28" s="1"/>
  <c r="T50" i="2"/>
  <c r="W33" i="28" l="1"/>
  <c r="W52" i="2" s="1"/>
  <c r="W31" i="28"/>
  <c r="V31" i="28"/>
  <c r="V6" i="2" s="1"/>
  <c r="V33" i="28"/>
  <c r="V52" i="2" s="1"/>
  <c r="T55" i="2"/>
  <c r="T19" i="2"/>
  <c r="T39" i="2" s="1"/>
  <c r="T41" i="2" s="1"/>
  <c r="T43" i="2" s="1"/>
  <c r="U10" i="2"/>
  <c r="U50" i="2"/>
  <c r="W6" i="2" l="1"/>
  <c r="U55" i="2"/>
  <c r="U19" i="2"/>
  <c r="U39" i="2" s="1"/>
  <c r="U41" i="2" s="1"/>
  <c r="U43" i="2" s="1"/>
  <c r="V10" i="2"/>
  <c r="V50" i="2"/>
  <c r="V55" i="2" l="1"/>
  <c r="V19" i="2"/>
  <c r="V39" i="2" s="1"/>
  <c r="V41" i="2" s="1"/>
  <c r="V43" i="2" s="1"/>
  <c r="W10" i="2"/>
  <c r="W50" i="2"/>
  <c r="W55" i="2" l="1"/>
  <c r="W19" i="2"/>
  <c r="W39" i="2" s="1"/>
  <c r="T33" i="18"/>
  <c r="U33" i="18" s="1"/>
  <c r="W41" i="2" l="1"/>
  <c r="W43" i="2" s="1"/>
  <c r="U8" i="18"/>
  <c r="U11" i="18" s="1"/>
  <c r="V33" i="18"/>
  <c r="W33" i="18" l="1"/>
  <c r="V8" i="18"/>
  <c r="U9" i="18"/>
  <c r="U47" i="18"/>
  <c r="T5" i="1" s="1"/>
  <c r="U48" i="18" l="1"/>
  <c r="T6" i="1" s="1"/>
  <c r="U12" i="18"/>
  <c r="V47" i="18"/>
  <c r="U5" i="1" s="1"/>
  <c r="V9" i="18"/>
  <c r="V11" i="18"/>
  <c r="X33" i="18"/>
  <c r="X8" i="18" s="1"/>
  <c r="W8" i="18"/>
  <c r="W11" i="18" l="1"/>
  <c r="W9" i="18"/>
  <c r="W47" i="18"/>
  <c r="V5" i="1" s="1"/>
  <c r="X9" i="18"/>
  <c r="X47" i="18"/>
  <c r="W5" i="1" s="1"/>
  <c r="X11" i="18"/>
  <c r="V48" i="18"/>
  <c r="U6" i="1" s="1"/>
  <c r="V12" i="18"/>
  <c r="X48" i="18" l="1"/>
  <c r="W6" i="1" s="1"/>
  <c r="X12" i="18"/>
  <c r="W12" i="18"/>
  <c r="W48" i="18"/>
  <c r="V6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tc={F9714180-F228-4A36-B404-4A221A8B4335}</author>
    <author>tc={44F8742D-73BC-4D31-9BCF-B501CB8782BB}</author>
  </authors>
  <commentList>
    <comment ref="C49" authorId="0" shapeId="0" xr:uid="{00000000-0006-0000-0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May be estimated by using the average payout ratio, applying a growth rate to the prior year's dividend, or on a per share basis.</t>
      </text>
    </comment>
    <comment ref="C50" authorId="1" shapeId="0" xr:uid="{00000000-0006-0000-00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dividends paid is subtracted from retained earnings (RE) on the B/S and also listed on the CF statement.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</author>
  </authors>
  <commentList>
    <comment ref="P8" authorId="0" shapeId="0" xr:uid="{724E49F6-E990-4713-A696-F9F3F1AF7D2E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Already baked into net Income for projections</t>
        </r>
      </text>
    </comment>
    <comment ref="P9" authorId="0" shapeId="0" xr:uid="{2CC82F3D-5DB4-4A40-96EE-387385E8359D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Already baked into Net Income for projections
</t>
        </r>
      </text>
    </comment>
    <comment ref="P24" authorId="0" shapeId="0" xr:uid="{7843D8B3-D1C8-40BE-81F3-6E2A95F4E3F9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Hypothetical Issuance $1bn - retirement of 23 notes ($380mn)</t>
        </r>
      </text>
    </comment>
    <comment ref="T24" authorId="0" shapeId="0" xr:uid="{A9C8BCBB-63BC-4293-B21E-54725EEC1769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EUR Debt</t>
        </r>
      </text>
    </comment>
    <comment ref="U24" authorId="0" shapeId="0" xr:uid="{7BE5CAE4-6E8B-44EB-971E-35DD5AB055BE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Half of 2026 2k maturity</t>
        </r>
      </text>
    </comment>
    <comment ref="V24" authorId="0" shapeId="0" xr:uid="{BDA9FEA3-2220-4194-8C1D-7061C57B696E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Assume last half of 2k maturity is refi'd with 1k, CAD debt paid off with cash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</author>
  </authors>
  <commentList>
    <comment ref="P6" authorId="0" shapeId="0" xr:uid="{9B5C9F2C-D4A1-485C-8DBB-8823321D767F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USD 46</t>
        </r>
      </text>
    </comment>
    <comment ref="P7" authorId="0" shapeId="0" xr:uid="{01FF520A-0489-463B-92F1-2F3800A8D3B5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USD 26</t>
        </r>
      </text>
    </comment>
    <comment ref="S7" authorId="0" shapeId="0" xr:uid="{645FA33A-9822-4CAF-B72D-596FA43F4122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Half of issue bought back</t>
        </r>
      </text>
    </comment>
    <comment ref="P8" authorId="0" shapeId="0" xr:uid="{14AC6347-8E94-4D2F-8E79-9721821AE92D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USD 42</t>
        </r>
      </text>
    </comment>
    <comment ref="P9" authorId="0" shapeId="0" xr:uid="{6472B6EA-9F38-4C6A-BDA8-C256348CB798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EUR 24</t>
        </r>
      </text>
    </comment>
    <comment ref="P10" authorId="0" shapeId="0" xr:uid="{42674FC4-11FC-4B78-8D8D-0F166C842E43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CAD 23</t>
        </r>
      </text>
    </comment>
    <comment ref="P11" authorId="0" shapeId="0" xr:uid="{C49B767E-19FB-433A-B7F6-9A66B757A914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CAD 26</t>
        </r>
      </text>
    </comment>
    <comment ref="P12" authorId="0" shapeId="0" xr:uid="{6F797A8F-5C63-4FF2-9086-9CCA9B7E0A5C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2033 new issue</t>
        </r>
      </text>
    </comment>
    <comment ref="P13" authorId="0" shapeId="0" xr:uid="{2122AC62-7BC0-451C-8B71-9D1354924D6E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2053 new issue</t>
        </r>
      </text>
    </comment>
    <comment ref="T14" authorId="0" shapeId="0" xr:uid="{3D1F3D85-3A1D-4914-A6EE-9F1442A37FA8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1k Refi @ 5%</t>
        </r>
      </text>
    </comment>
    <comment ref="O32" authorId="0" shapeId="0" xr:uid="{021CE055-7174-4C07-BF0B-2B150B565A78}">
      <text>
        <r>
          <rPr>
            <b/>
            <sz val="9"/>
            <color indexed="81"/>
            <rFont val="Tahoma"/>
            <family val="2"/>
          </rPr>
          <t>Ben:</t>
        </r>
        <r>
          <rPr>
            <sz val="9"/>
            <color indexed="81"/>
            <rFont val="Tahoma"/>
            <family val="2"/>
          </rPr>
          <t xml:space="preserve">
Built into model</t>
        </r>
      </text>
    </comment>
    <comment ref="O33" authorId="0" shapeId="0" xr:uid="{EBCE5773-5CE0-4170-880C-72F4A5532CE7}">
      <text>
        <r>
          <rPr>
            <b/>
            <sz val="9"/>
            <color indexed="81"/>
            <rFont val="Tahoma"/>
            <family val="2"/>
          </rPr>
          <t>Ben:
Built into model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Houge, Todd</author>
  </authors>
  <commentList>
    <comment ref="A2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Houge, Todd:</t>
        </r>
        <r>
          <rPr>
            <sz val="9"/>
            <color indexed="81"/>
            <rFont val="Tahoma"/>
            <family val="2"/>
          </rPr>
          <t xml:space="preserve">
After you have cleaned up the formatting of the historical I/S data, copy the layout to this worksheet first. For each item, estimate the number as a percentage of the corresponding year's sales. Make sure to fix the cell reference (F4 function) for the sales year before copying formulas.
If you are covering a bank or insurance company, estimate the common size I/S as a percentage of total assets instead of sales.
Display the figures as a percentage (%) with 2 decimal places.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Houge, Todd</author>
  </authors>
  <commentList>
    <comment ref="A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Houge, Todd:</t>
        </r>
        <r>
          <rPr>
            <sz val="9"/>
            <color indexed="81"/>
            <rFont val="Tahoma"/>
            <family val="2"/>
          </rPr>
          <t xml:space="preserve">
After you have cleaned up the formatting of the historical B/S data, copy the layout to this worksheet FIRST. ThenFor each item, estimate the number as a percentage of the corresponding year's </t>
        </r>
        <r>
          <rPr>
            <u/>
            <sz val="9"/>
            <color indexed="81"/>
            <rFont val="Tahoma"/>
            <family val="2"/>
          </rPr>
          <t>SALES</t>
        </r>
        <r>
          <rPr>
            <sz val="9"/>
            <color indexed="81"/>
            <rFont val="Tahoma"/>
            <family val="2"/>
          </rPr>
          <t>. Make sure to fix the cell reference (F4 function) for the sales year before copying formulas. Your group may also wish to create a 2nd common size B/S that is computed as a percentage of Assets.
If you are covering a bank or insurance company, estimate the common size B/S as a percentage of total assets instead of sales.
Display the numbers as a percentage (%) with 2 decimal places.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<sst xmlns="http://schemas.openxmlformats.org/spreadsheetml/2006/main" count="537" uniqueCount="380">
  <si>
    <t>Income Statement</t>
  </si>
  <si>
    <t>Balance Sheet</t>
  </si>
  <si>
    <t>Average</t>
  </si>
  <si>
    <t>Ticker Symbol</t>
  </si>
  <si>
    <t>Current Dividend Yield</t>
  </si>
  <si>
    <t>Key Assumptions of Valuation Model</t>
  </si>
  <si>
    <t>Common Size Income Statement</t>
  </si>
  <si>
    <t>Common Size Balance Sheet</t>
  </si>
  <si>
    <t>Current Share Price</t>
  </si>
  <si>
    <t>Dec. 31</t>
  </si>
  <si>
    <t>Revenue Decomposition</t>
  </si>
  <si>
    <t>Pre-Tax Cost of Debt</t>
  </si>
  <si>
    <t>Beta</t>
  </si>
  <si>
    <t>Risk-Free Rate</t>
  </si>
  <si>
    <t>CV Growth of NOPLAT</t>
  </si>
  <si>
    <t>2023E</t>
  </si>
  <si>
    <t>Equity Risk Premium</t>
  </si>
  <si>
    <t>Current Model Date</t>
  </si>
  <si>
    <t>2024E</t>
  </si>
  <si>
    <t>CV Growth of EPS</t>
  </si>
  <si>
    <t>2025E</t>
  </si>
  <si>
    <t>2026E</t>
  </si>
  <si>
    <t>FY End (month/day)</t>
  </si>
  <si>
    <t>2027E</t>
  </si>
  <si>
    <t>2028E</t>
  </si>
  <si>
    <t>2029E</t>
  </si>
  <si>
    <t>Last FYE Date</t>
  </si>
  <si>
    <t>Next FYE Date</t>
  </si>
  <si>
    <t>Sensitivity Tables</t>
  </si>
  <si>
    <t>Variable A</t>
  </si>
  <si>
    <t>Variable B</t>
  </si>
  <si>
    <t>Variable C</t>
  </si>
  <si>
    <t>Variable E</t>
  </si>
  <si>
    <t>Variable F</t>
  </si>
  <si>
    <t>Variable D</t>
  </si>
  <si>
    <t>Cost of Equity</t>
  </si>
  <si>
    <t>Variable G</t>
  </si>
  <si>
    <t>Variable H</t>
  </si>
  <si>
    <t>Variable I</t>
  </si>
  <si>
    <t>Variable J</t>
  </si>
  <si>
    <t>Variable K</t>
  </si>
  <si>
    <t>Variable L</t>
  </si>
  <si>
    <t>2030E</t>
  </si>
  <si>
    <t>WACC</t>
  </si>
  <si>
    <t>Amortization Expense Schedule (from 10K notes)</t>
  </si>
  <si>
    <t>LT Debt Maturity Schedule (from 10K notes)</t>
  </si>
  <si>
    <t>The area below is for calculating HISTORICAL metrics to referenced when building forecasts.</t>
  </si>
  <si>
    <t>Depreciation Rate:</t>
  </si>
  <si>
    <t xml:space="preserve">   Depreciation Expense</t>
  </si>
  <si>
    <t xml:space="preserve">   Beginning Net PPE</t>
  </si>
  <si>
    <t xml:space="preserve">   Implied Depreciation Rate (%)</t>
  </si>
  <si>
    <t>Marginal Tax Rate (%)</t>
  </si>
  <si>
    <t xml:space="preserve">   State and Local Tax (%)</t>
  </si>
  <si>
    <t xml:space="preserve">   US Statutory (Federal) Tax (%)</t>
  </si>
  <si>
    <t xml:space="preserve">   Foreign Income Tax (%)</t>
  </si>
  <si>
    <t xml:space="preserve">   Implied Marginal Tax Rate</t>
  </si>
  <si>
    <t>Management CapEx Guidance (if available)</t>
  </si>
  <si>
    <t>Normal Cash Estimate (% sales)</t>
  </si>
  <si>
    <t>Share Repurchases ($, if applicable)</t>
  </si>
  <si>
    <t>The area below is for recording key information or assumptions to be referenced in building the FORECASTS. Add rows and variables as necessary.</t>
  </si>
  <si>
    <t>Normal Cash Calculation (%)</t>
  </si>
  <si>
    <t xml:space="preserve">   Cash from B/S</t>
  </si>
  <si>
    <t xml:space="preserve">   Revenue</t>
  </si>
  <si>
    <t xml:space="preserve">   Cash as a % of Sales</t>
  </si>
  <si>
    <t>Minimum</t>
  </si>
  <si>
    <t>Forecasted Marginal Tax Rate</t>
  </si>
  <si>
    <t>Forecasted Effective Tax Rate</t>
  </si>
  <si>
    <t>Dividend Payout Ratio (%)</t>
  </si>
  <si>
    <t xml:space="preserve">   Total Dividends</t>
  </si>
  <si>
    <t xml:space="preserve">   Net Income</t>
  </si>
  <si>
    <t xml:space="preserve">   Implied Payout Ratio (%)</t>
  </si>
  <si>
    <t>Total Dividends Paid</t>
  </si>
  <si>
    <t xml:space="preserve">   Beginning of FY Shares Outstanding</t>
  </si>
  <si>
    <t xml:space="preserve">   Expected Dividend per Share</t>
  </si>
  <si>
    <t xml:space="preserve">   Total Dividends Paid ($)</t>
  </si>
  <si>
    <t>2031E</t>
  </si>
  <si>
    <t>2032E</t>
  </si>
  <si>
    <t>2033E</t>
  </si>
  <si>
    <t>Molson Coors</t>
  </si>
  <si>
    <t>TAP</t>
  </si>
  <si>
    <t>SALES_REV_TURN</t>
  </si>
  <si>
    <t>IS_COGS_TO_FE_AND_PP_AND_G</t>
  </si>
  <si>
    <t>COGS</t>
  </si>
  <si>
    <t>Gross Profit</t>
  </si>
  <si>
    <t>SG&amp;A</t>
  </si>
  <si>
    <t>Operating Income</t>
  </si>
  <si>
    <t>Net Interest Expense</t>
  </si>
  <si>
    <t>Other Non-Operating Loss (Gain)</t>
  </si>
  <si>
    <t>Pretax Income</t>
  </si>
  <si>
    <t>Income Tax Expense (Benefit)</t>
  </si>
  <si>
    <t>Minority Interest</t>
  </si>
  <si>
    <t>Net Income</t>
  </si>
  <si>
    <t>1Q23</t>
  </si>
  <si>
    <t>2Q23E</t>
  </si>
  <si>
    <t>3Q23E</t>
  </si>
  <si>
    <t>4Q23E</t>
  </si>
  <si>
    <t>IS_SGA_EXPENSE</t>
  </si>
  <si>
    <t>IS_NET_INTEREST_EXPENSE</t>
  </si>
  <si>
    <t>IS_OTHER_NON_OPERATING_INC_LOSS</t>
  </si>
  <si>
    <t>IS_INC_TAX_EXP</t>
  </si>
  <si>
    <t>MIN_NONCONTROL_INTEREST_CREDITS</t>
  </si>
  <si>
    <t>TAP US EQUITY</t>
  </si>
  <si>
    <t>CASH_CASH_EQTY_STI_DETAILED</t>
  </si>
  <si>
    <t>BS_ACCT_NOTE_RCV</t>
  </si>
  <si>
    <t>BS_INVENTORIES</t>
  </si>
  <si>
    <t>OTHER_CURRENT_ASSETS_DETAILED</t>
  </si>
  <si>
    <t>BS_NET_FIX_ASSET</t>
  </si>
  <si>
    <t>BS_GOODWILL</t>
  </si>
  <si>
    <t>OTHER_INTANGIBLE_ASSETS_DETAILED</t>
  </si>
  <si>
    <t>OTHER_NONCURRENT_ASSETS_DETAILED</t>
  </si>
  <si>
    <t>Cash &amp; Equivalents</t>
  </si>
  <si>
    <t>Accounts Receivable</t>
  </si>
  <si>
    <t>Inventories</t>
  </si>
  <si>
    <t>Other Current Assets</t>
  </si>
  <si>
    <t>Current Assets</t>
  </si>
  <si>
    <t>PP&amp;E</t>
  </si>
  <si>
    <t>Goodwill</t>
  </si>
  <si>
    <t>Intangible Assets</t>
  </si>
  <si>
    <t>Deferred Tax Assets</t>
  </si>
  <si>
    <t>Other Long Term Assets</t>
  </si>
  <si>
    <t>Total Noncurrent Assets</t>
  </si>
  <si>
    <t>Total Assets</t>
  </si>
  <si>
    <t>ACCT_PAYABLE_ACCRUALS_DETAILED</t>
  </si>
  <si>
    <t>BS_ST_BORROW</t>
  </si>
  <si>
    <t>OTHER_CURRENT_LIABS_SUB_DETAILED</t>
  </si>
  <si>
    <t>Current Liabilities</t>
  </si>
  <si>
    <t>BS_LT_BORROW</t>
  </si>
  <si>
    <t>PENSION_LIABILITIES</t>
  </si>
  <si>
    <t>OTHER_NONCURRENT_LIABS_DETAILED</t>
  </si>
  <si>
    <t>Total Noncurrent Liabilites</t>
  </si>
  <si>
    <t>Total Liabilities</t>
  </si>
  <si>
    <t>Share Capital &amp; APIC</t>
  </si>
  <si>
    <t>Less: Treasury Stock</t>
  </si>
  <si>
    <t>Retained Earnings</t>
  </si>
  <si>
    <t>Total Equity</t>
  </si>
  <si>
    <t>Total Liabilities &amp; Equity</t>
  </si>
  <si>
    <t>BS_SH_CAP_AND_APIC</t>
  </si>
  <si>
    <t>OTHER_EQUITY_RATIO</t>
  </si>
  <si>
    <t>BS_AMT_OF_TSY_STOCK</t>
  </si>
  <si>
    <t>BS_PURE_RETAINED_EARNINGS</t>
  </si>
  <si>
    <t>MINORITY_NONCONTROLLING_INTEREST</t>
  </si>
  <si>
    <t>TOTAL_EQUITY</t>
  </si>
  <si>
    <t>OTHER_OPERATING_EXPENSES_RATIO</t>
  </si>
  <si>
    <t>IS_INT_INC</t>
  </si>
  <si>
    <t>Depreciation &amp; Amortization</t>
  </si>
  <si>
    <t>D&amp;A</t>
  </si>
  <si>
    <t>CF_DEPR_AMORT</t>
  </si>
  <si>
    <t>Non-Cash Items</t>
  </si>
  <si>
    <t>Change in Non-Cash Working Capital</t>
  </si>
  <si>
    <t>Cash from Operating Activities</t>
  </si>
  <si>
    <t>Investing Activities</t>
  </si>
  <si>
    <t>Net Capex</t>
  </si>
  <si>
    <t>Dividends Paid</t>
  </si>
  <si>
    <t>Cash From (Repayment) Debt</t>
  </si>
  <si>
    <t>Cash From (Repurchase) Equity</t>
  </si>
  <si>
    <t>Other Financing Activities</t>
  </si>
  <si>
    <t>Cash From Financing Activities</t>
  </si>
  <si>
    <t>FX Adjustment</t>
  </si>
  <si>
    <t>Net Changes In Cash</t>
  </si>
  <si>
    <t>NON_CASH_ITEMS_DETAILED</t>
  </si>
  <si>
    <t>CF_CHNG_NON_CASH_WORK_CAP</t>
  </si>
  <si>
    <t>FIXED_INTANG_ASST_CHANGE</t>
  </si>
  <si>
    <t>OTHER_INVESTING_ACT_DETAILED</t>
  </si>
  <si>
    <t>Cash from Investing Activities</t>
  </si>
  <si>
    <t>Financing Activities</t>
  </si>
  <si>
    <t>CF_DVD_PAID</t>
  </si>
  <si>
    <t>PROC_FR_REPAYMNTS_BOR_DETAILED</t>
  </si>
  <si>
    <t>NET_CAP_STOCK</t>
  </si>
  <si>
    <t>OTHER_FIN_AND_DEC_CAP</t>
  </si>
  <si>
    <t>CF_EFFECT_FOREIGN_EXCHANGES</t>
  </si>
  <si>
    <t>CF_NET_CHNG_CASH</t>
  </si>
  <si>
    <t>BS_DEFERRED_TAX_ASSETS_LT</t>
  </si>
  <si>
    <t>BS_DEFERRED_TAX_LIABILITIES_LT</t>
  </si>
  <si>
    <t>Payables &amp; Accruals</t>
  </si>
  <si>
    <t>Short Term Debt</t>
  </si>
  <si>
    <t>Other Short Term Liabilities</t>
  </si>
  <si>
    <t>Long Term Debt</t>
  </si>
  <si>
    <t>Pension Liabilities</t>
  </si>
  <si>
    <t>Deferred Tax Liabilities</t>
  </si>
  <si>
    <t>Other Long Term Liabilities</t>
  </si>
  <si>
    <t>Operating Activities</t>
  </si>
  <si>
    <t>Free Cash Flow (OCF Less Net Capex)</t>
  </si>
  <si>
    <t>Assets:</t>
  </si>
  <si>
    <t>Liabilities:</t>
  </si>
  <si>
    <t>Other Investing Activities</t>
  </si>
  <si>
    <t>Credit Metrics</t>
  </si>
  <si>
    <t>KPIs</t>
  </si>
  <si>
    <t>Revenue Growth YoY</t>
  </si>
  <si>
    <t>Gross Margin</t>
  </si>
  <si>
    <t>Operating Margin</t>
  </si>
  <si>
    <t>SG&amp;A as a % of Revenue</t>
  </si>
  <si>
    <t>EBITDA</t>
  </si>
  <si>
    <t>Capex as a % of Revenue</t>
  </si>
  <si>
    <t>TTM FCF as a % of Debt</t>
  </si>
  <si>
    <t>TOTAL_BEVERAGE_VOLUME_PRODUCED</t>
  </si>
  <si>
    <t>BREWER_REVENUE_PER_HECTOLITER</t>
  </si>
  <si>
    <t>EXCISE_TAX_PER_HECTOLITER</t>
  </si>
  <si>
    <t>COGS_PER_HECTOLITER</t>
  </si>
  <si>
    <t>OPEX_PER_HECTOLITER</t>
  </si>
  <si>
    <t>EBITDA_PER_HECTOLITER</t>
  </si>
  <si>
    <t>PROFIT_PER_HECTOLITER</t>
  </si>
  <si>
    <t>Revenue Per Hectoliter</t>
  </si>
  <si>
    <t>Excise Tax Per Hectoliter</t>
  </si>
  <si>
    <t>COGS Per Hectoliter</t>
  </si>
  <si>
    <t>Operating Expenses Per Hectoliter</t>
  </si>
  <si>
    <t>Net Profit Per Hectoliter</t>
  </si>
  <si>
    <t>Total Beverage Volume Produced (Hectoliters)</t>
  </si>
  <si>
    <t>Total Revenue</t>
  </si>
  <si>
    <t>Excise Tax</t>
  </si>
  <si>
    <t>Net Profit</t>
  </si>
  <si>
    <t>Net Revenue</t>
  </si>
  <si>
    <t>Gross Revenue</t>
  </si>
  <si>
    <t>Gross Revenue Per Hectoliter</t>
  </si>
  <si>
    <t>Goodwill Impairment</t>
  </si>
  <si>
    <t>*Non Cash Items includes SBC, Non-Cash Interest Expense, Non-Cash Taxes, and Other non-material items</t>
  </si>
  <si>
    <t>Operating Expenses (Sum of SG&amp;A, D&amp;A, Other)</t>
  </si>
  <si>
    <t>1Q22</t>
  </si>
  <si>
    <t>2Q22</t>
  </si>
  <si>
    <t>3Q22</t>
  </si>
  <si>
    <t>4Q22</t>
  </si>
  <si>
    <t>Q1</t>
  </si>
  <si>
    <t>Q2</t>
  </si>
  <si>
    <t>Q3</t>
  </si>
  <si>
    <t>Q4</t>
  </si>
  <si>
    <t>1Q21</t>
  </si>
  <si>
    <t>2Q21</t>
  </si>
  <si>
    <t>3Q21</t>
  </si>
  <si>
    <t>4Q21</t>
  </si>
  <si>
    <t>ADD TO ROW 36 AND HIDE</t>
  </si>
  <si>
    <t>BALANCE</t>
  </si>
  <si>
    <t>YoY Change</t>
  </si>
  <si>
    <t>Average Net Revenue Per Hectoliter</t>
  </si>
  <si>
    <t>Average Gross Revenue Per Hectoliter</t>
  </si>
  <si>
    <t>Average Net Operating Expenses Per Hectoliter</t>
  </si>
  <si>
    <t>EBITDA Per Hectoliter</t>
  </si>
  <si>
    <t>Average COGS Per Hectoliter</t>
  </si>
  <si>
    <t>Coupon</t>
  </si>
  <si>
    <t>Currency</t>
  </si>
  <si>
    <t>Maturity</t>
  </si>
  <si>
    <t>Name</t>
  </si>
  <si>
    <t>Molson Coors Beverage Co</t>
  </si>
  <si>
    <t>Molson Coors International LP</t>
  </si>
  <si>
    <t>USD</t>
  </si>
  <si>
    <t>Amt Out (millions)</t>
  </si>
  <si>
    <t>EUR</t>
  </si>
  <si>
    <t>CAD</t>
  </si>
  <si>
    <t>Last Price</t>
  </si>
  <si>
    <t>Opportunity Set Live</t>
  </si>
  <si>
    <t>Opportunity Set Hypothetical</t>
  </si>
  <si>
    <t>G Spread</t>
  </si>
  <si>
    <t>YTW</t>
  </si>
  <si>
    <t>Pro-Forma Capital Structure</t>
  </si>
  <si>
    <t>$ Millions</t>
  </si>
  <si>
    <t>Q1 2023</t>
  </si>
  <si>
    <t>xLTM EBITDA 23</t>
  </si>
  <si>
    <t>Revolving Credit Facility 07/07/2024</t>
  </si>
  <si>
    <t>2046 Sr Unsecured</t>
  </si>
  <si>
    <t>2026 Sr Unsecured</t>
  </si>
  <si>
    <t>2042 Sr Unsecured</t>
  </si>
  <si>
    <t>2024 EUR Sr Unsecured</t>
  </si>
  <si>
    <t>2023 CAD Sr Unsecured</t>
  </si>
  <si>
    <t>2026 CAD Sr Unsecured</t>
  </si>
  <si>
    <t>Total Debt</t>
  </si>
  <si>
    <t>Operating/Finance Leases</t>
  </si>
  <si>
    <t>Market Capitalization</t>
  </si>
  <si>
    <t>Enterprise Value</t>
  </si>
  <si>
    <t>EBITDA 2023e</t>
  </si>
  <si>
    <t>EBITDA 2024e</t>
  </si>
  <si>
    <t>xLTM EBITDA 24</t>
  </si>
  <si>
    <t>Less: Cash &amp; Equivalents</t>
  </si>
  <si>
    <t>Int Exp</t>
  </si>
  <si>
    <t>Interest Expense</t>
  </si>
  <si>
    <t>Note: EUR and CAD debt converted at 1.1 EUR/USD &amp; .76 CAD/USD</t>
  </si>
  <si>
    <t>Liquidity</t>
  </si>
  <si>
    <t>Revolving Credit Facility (Undrawn)</t>
  </si>
  <si>
    <t>Total Liquidity</t>
  </si>
  <si>
    <t>Inventory Growth YoY</t>
  </si>
  <si>
    <t>Inventory Turnover</t>
  </si>
  <si>
    <t>Inventory Days</t>
  </si>
  <si>
    <t>INVENTORY_GROWTH</t>
  </si>
  <si>
    <t>INVENT_TURN</t>
  </si>
  <si>
    <t>INVENT_DAYS</t>
  </si>
  <si>
    <t>Current Ratio</t>
  </si>
  <si>
    <t>Impairment, Asset Abandonment, Restructuring</t>
  </si>
  <si>
    <t>Adjusted EBITDA</t>
  </si>
  <si>
    <t>Other Operating Income (Loss)</t>
  </si>
  <si>
    <t>TTM Adjusted EBITDA</t>
  </si>
  <si>
    <t>TTM Adjusted EBITDA Margin</t>
  </si>
  <si>
    <t>Debt/Adj EBITDA</t>
  </si>
  <si>
    <t>Adj EBITDA Interest Coverage</t>
  </si>
  <si>
    <t>(Adj EBITDA-Capex)/Int Expense</t>
  </si>
  <si>
    <t>Net Debt/Adj EBITDA</t>
  </si>
  <si>
    <t>Ratings</t>
  </si>
  <si>
    <t>Agency</t>
  </si>
  <si>
    <t>Rating</t>
  </si>
  <si>
    <t>Outlook</t>
  </si>
  <si>
    <t>Projected</t>
  </si>
  <si>
    <t>S&amp;P</t>
  </si>
  <si>
    <t>Moodys</t>
  </si>
  <si>
    <t>Internal</t>
  </si>
  <si>
    <t>BBB-</t>
  </si>
  <si>
    <t>Baa3</t>
  </si>
  <si>
    <t>Stable</t>
  </si>
  <si>
    <t>BBB</t>
  </si>
  <si>
    <t>Gross Margin Per Hectoliter</t>
  </si>
  <si>
    <t>CF_STOCK_BASED_COMPENSATION</t>
  </si>
  <si>
    <t>SBC</t>
  </si>
  <si>
    <t>Dividend Schedule</t>
  </si>
  <si>
    <t>Payout Ratio</t>
  </si>
  <si>
    <t>balance</t>
  </si>
  <si>
    <t>Quarterly Adjusted EBITDA Margin</t>
  </si>
  <si>
    <t>Positive</t>
  </si>
  <si>
    <t>2033 New Issue</t>
  </si>
  <si>
    <t>2053 New Issue</t>
  </si>
  <si>
    <t>Loss (Gain) on FX and Derivatives</t>
  </si>
  <si>
    <t>Asset Impairment</t>
  </si>
  <si>
    <t>Economy</t>
  </si>
  <si>
    <t>Premium</t>
  </si>
  <si>
    <t>Above Premium</t>
  </si>
  <si>
    <t>Branik</t>
  </si>
  <si>
    <t>Icehouse</t>
  </si>
  <si>
    <t>Keystone</t>
  </si>
  <si>
    <t>Miller High Life</t>
  </si>
  <si>
    <t>Milwaukee's Best</t>
  </si>
  <si>
    <t>Steel Reserve</t>
  </si>
  <si>
    <t>Bergenbier</t>
  </si>
  <si>
    <t>Borsodi</t>
  </si>
  <si>
    <t>Carling</t>
  </si>
  <si>
    <t>Coors Banquet</t>
  </si>
  <si>
    <t>Coors Light</t>
  </si>
  <si>
    <t>Jelen</t>
  </si>
  <si>
    <t>Kamenitza</t>
  </si>
  <si>
    <t>Miller Lite</t>
  </si>
  <si>
    <t>Molson Canadian</t>
  </si>
  <si>
    <t>Molson Dry</t>
  </si>
  <si>
    <t>Molson Export</t>
  </si>
  <si>
    <t>Niksicko</t>
  </si>
  <si>
    <t>Ozujsko</t>
  </si>
  <si>
    <t>Aspall Cider</t>
  </si>
  <si>
    <t>Blue Moon</t>
  </si>
  <si>
    <t>Coors Original</t>
  </si>
  <si>
    <t>Hop Valley</t>
  </si>
  <si>
    <t>Leinenkugel's</t>
  </si>
  <si>
    <t>Miller Genuine Draft</t>
  </si>
  <si>
    <t>Molson Ultra</t>
  </si>
  <si>
    <t>Sharp's</t>
  </si>
  <si>
    <t>Staropramen</t>
  </si>
  <si>
    <t>Vizzy Hard Seltzer</t>
  </si>
  <si>
    <t>Owned Brands</t>
  </si>
  <si>
    <t>Partner Brands</t>
  </si>
  <si>
    <t>Arnold Palmer Spiked</t>
  </si>
  <si>
    <t>Beck's</t>
  </si>
  <si>
    <t>Heineken</t>
  </si>
  <si>
    <t>Lownbrau</t>
  </si>
  <si>
    <t>Madri</t>
  </si>
  <si>
    <t>Peroni</t>
  </si>
  <si>
    <t>Pilsner Urquell</t>
  </si>
  <si>
    <t>Redd's</t>
  </si>
  <si>
    <t>Simply Spiked</t>
  </si>
  <si>
    <t>Sol</t>
  </si>
  <si>
    <t>Stella Artois</t>
  </si>
  <si>
    <t>Topo Chico Hard Seltzer</t>
  </si>
  <si>
    <t>Zoa</t>
  </si>
  <si>
    <t>Excise Tax (Alcohol Tax)</t>
  </si>
  <si>
    <t>moodys</t>
  </si>
  <si>
    <t>Cash Flow Statement</t>
  </si>
  <si>
    <t>Comp Metrics</t>
  </si>
  <si>
    <t>Comp Opportunity Set (On the Run)</t>
  </si>
  <si>
    <t>Constellation Brands Inc</t>
  </si>
  <si>
    <t>Anheuser-Busch InBev Worldwide Inc</t>
  </si>
  <si>
    <t>Date</t>
  </si>
  <si>
    <t>ABIBB 2026</t>
  </si>
  <si>
    <t>TAP 2026</t>
  </si>
  <si>
    <t>STZ 2026</t>
  </si>
  <si>
    <t>TAP 2046</t>
  </si>
  <si>
    <t>ABIBB 2046</t>
  </si>
  <si>
    <t>STZ 2050</t>
  </si>
  <si>
    <t>Note: STZ 2026 issued 01/30/2023</t>
  </si>
  <si>
    <t>Less: Cash Taxes</t>
  </si>
  <si>
    <t>Less: Cash 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</si>
</sst>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  <numFmt numFmtId="166" formatCode="0.0%"/>
    <numFmt numFmtId="167" formatCode="_(&quot;$&quot;* #,##0.0_);_(&quot;$&quot;* \(#,##0.0\);_(&quot;$&quot;* &quot;-&quot;??_);_(@_)"/>
    <numFmt numFmtId="168" formatCode="0.00\x"/>
  </numFmts>
  <fonts count="28" x14ac:knownFonts="1">
    <font>
      <sz val="10"/>
      <name val="Arial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u/>
      <sz val="9"/>
      <color indexed="81"/>
      <name val="Tahoma"/>
      <family val="2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11"/>
      <color theme="0"/>
      <name val="Calibri"/>
      <family val="2"/>
      <scheme val="minor"/>
    </font>
    <font>
      <sz val="28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sz val="8"/>
      <name val="Arial"/>
      <family val="2"/>
    </font>
    <font>
      <u/>
      <sz val="28"/>
      <name val="Arial"/>
      <family val="2"/>
    </font>
    <font>
      <u/>
      <sz val="14"/>
      <name val="Arial"/>
      <family val="2"/>
    </font>
    <font>
      <sz val="11"/>
      <name val="Arial"/>
      <family val="2"/>
    </font>
    <font>
      <u/>
      <sz val="10"/>
      <name val="Arial"/>
      <family val="2"/>
    </font>
    <font>
      <u/>
      <sz val="26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 applyFill="1" applyAlignment="1">
      <alignment horizontal="left"/>
    </xf>
    <xf numFmtId="0" fontId="3" fillId="0" borderId="0" xfId="0" applyFont="1" applyFill="1"/>
    <xf numFmtId="0" fontId="4" fillId="0" borderId="0" xfId="0" applyFont="1" applyFill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5" fillId="0" borderId="0" xfId="0" applyFont="1" applyBorder="1"/>
    <xf numFmtId="0" fontId="3" fillId="0" borderId="0" xfId="0" applyFont="1" applyFill="1" applyBorder="1" applyAlignment="1">
      <alignment horizontal="left" wrapText="1"/>
    </xf>
    <xf numFmtId="0" fontId="3" fillId="0" borderId="0" xfId="0" applyFont="1" applyFill="1" applyBorder="1" applyAlignment="1">
      <alignment horizontal="right" wrapText="1"/>
    </xf>
    <xf numFmtId="1" fontId="3" fillId="0" borderId="0" xfId="0" applyNumberFormat="1" applyFont="1" applyFill="1" applyBorder="1" applyAlignment="1">
      <alignment horizontal="right" wrapText="1"/>
    </xf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/>
    <xf numFmtId="1" fontId="3" fillId="0" borderId="0" xfId="0" applyNumberFormat="1" applyFont="1" applyFill="1" applyBorder="1"/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/>
    <xf numFmtId="1" fontId="2" fillId="0" borderId="0" xfId="0" applyNumberFormat="1" applyFont="1" applyFill="1" applyBorder="1"/>
    <xf numFmtId="44" fontId="2" fillId="0" borderId="0" xfId="2" applyFont="1" applyFill="1" applyBorder="1"/>
    <xf numFmtId="44" fontId="3" fillId="0" borderId="0" xfId="2" applyFont="1" applyFill="1" applyBorder="1"/>
    <xf numFmtId="0" fontId="2" fillId="0" borderId="0" xfId="0" applyFont="1" applyFill="1" applyBorder="1" applyAlignment="1">
      <alignment horizontal="left" wrapText="1"/>
    </xf>
    <xf numFmtId="7" fontId="3" fillId="0" borderId="0" xfId="0" applyNumberFormat="1" applyFont="1" applyFill="1" applyBorder="1"/>
    <xf numFmtId="0" fontId="3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6" fillId="0" borderId="0" xfId="0" applyFont="1" applyBorder="1"/>
    <xf numFmtId="0" fontId="6" fillId="0" borderId="0" xfId="0" applyFont="1" applyBorder="1" applyAlignment="1">
      <alignment horizontal="right"/>
    </xf>
    <xf numFmtId="0" fontId="6" fillId="0" borderId="0" xfId="0" applyFont="1" applyFill="1" applyBorder="1" applyAlignment="1">
      <alignment horizontal="right" wrapText="1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right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right"/>
    </xf>
    <xf numFmtId="7" fontId="6" fillId="0" borderId="0" xfId="0" applyNumberFormat="1" applyFont="1" applyFill="1" applyBorder="1"/>
    <xf numFmtId="7" fontId="6" fillId="0" borderId="0" xfId="0" applyNumberFormat="1" applyFont="1" applyFill="1" applyBorder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Border="1" applyAlignment="1">
      <alignment horizontal="right"/>
    </xf>
    <xf numFmtId="0" fontId="3" fillId="0" borderId="1" xfId="0" applyFont="1" applyBorder="1"/>
    <xf numFmtId="10" fontId="3" fillId="0" borderId="0" xfId="0" applyNumberFormat="1" applyFont="1" applyAlignment="1">
      <alignment horizontal="right"/>
    </xf>
    <xf numFmtId="44" fontId="3" fillId="0" borderId="1" xfId="2" applyFont="1" applyBorder="1"/>
    <xf numFmtId="0" fontId="10" fillId="0" borderId="0" xfId="0" applyFont="1"/>
    <xf numFmtId="8" fontId="6" fillId="0" borderId="0" xfId="0" applyNumberFormat="1" applyFont="1" applyFill="1" applyAlignment="1">
      <alignment horizontal="right"/>
    </xf>
    <xf numFmtId="14" fontId="6" fillId="0" borderId="0" xfId="0" applyNumberFormat="1" applyFont="1" applyFill="1" applyAlignment="1">
      <alignment horizontal="right"/>
    </xf>
    <xf numFmtId="10" fontId="6" fillId="0" borderId="0" xfId="0" applyNumberFormat="1" applyFont="1" applyFill="1" applyAlignment="1">
      <alignment horizontal="right"/>
    </xf>
    <xf numFmtId="43" fontId="6" fillId="0" borderId="0" xfId="1" applyFont="1" applyFill="1" applyAlignment="1">
      <alignment horizontal="right"/>
    </xf>
    <xf numFmtId="0" fontId="12" fillId="2" borderId="3" xfId="0" applyFont="1" applyFill="1" applyBorder="1" applyAlignment="1">
      <alignment horizontal="left" wrapText="1"/>
    </xf>
    <xf numFmtId="0" fontId="11" fillId="2" borderId="3" xfId="0" applyFont="1" applyFill="1" applyBorder="1" applyAlignment="1">
      <alignment horizontal="right" wrapText="1"/>
    </xf>
    <xf numFmtId="0" fontId="7" fillId="0" borderId="3" xfId="0" applyFont="1" applyFill="1" applyBorder="1" applyAlignment="1">
      <alignment horizontal="right" wrapText="1"/>
    </xf>
    <xf numFmtId="0" fontId="2" fillId="0" borderId="0" xfId="0" applyFont="1" applyFill="1" applyBorder="1" applyAlignment="1">
      <alignment horizontal="right" wrapText="1"/>
    </xf>
    <xf numFmtId="0" fontId="2" fillId="0" borderId="0" xfId="0" applyFont="1" applyFill="1" applyBorder="1" applyAlignment="1">
      <alignment horizontal="right"/>
    </xf>
    <xf numFmtId="43" fontId="3" fillId="0" borderId="0" xfId="1" applyFont="1" applyBorder="1" applyAlignment="1">
      <alignment horizontal="center"/>
    </xf>
    <xf numFmtId="43" fontId="3" fillId="0" borderId="10" xfId="1" applyFont="1" applyBorder="1" applyAlignment="1">
      <alignment horizontal="center"/>
    </xf>
    <xf numFmtId="43" fontId="3" fillId="0" borderId="11" xfId="1" applyFont="1" applyBorder="1" applyAlignment="1">
      <alignment horizontal="center"/>
    </xf>
    <xf numFmtId="43" fontId="3" fillId="0" borderId="12" xfId="1" applyFont="1" applyBorder="1" applyAlignment="1">
      <alignment horizontal="center"/>
    </xf>
    <xf numFmtId="43" fontId="3" fillId="0" borderId="13" xfId="1" applyFont="1" applyBorder="1" applyAlignment="1">
      <alignment horizontal="center"/>
    </xf>
    <xf numFmtId="43" fontId="3" fillId="0" borderId="14" xfId="1" applyFont="1" applyBorder="1" applyAlignment="1">
      <alignment horizontal="center"/>
    </xf>
    <xf numFmtId="43" fontId="3" fillId="0" borderId="16" xfId="1" applyFont="1" applyBorder="1" applyAlignment="1">
      <alignment horizontal="center"/>
    </xf>
    <xf numFmtId="43" fontId="3" fillId="0" borderId="17" xfId="1" applyFont="1" applyBorder="1" applyAlignment="1">
      <alignment horizontal="center"/>
    </xf>
    <xf numFmtId="10" fontId="3" fillId="0" borderId="0" xfId="3" applyNumberFormat="1" applyFont="1"/>
    <xf numFmtId="0" fontId="3" fillId="0" borderId="0" xfId="0" applyFont="1" applyBorder="1" applyAlignment="1">
      <alignment horizontal="center" vertical="center" textRotation="90"/>
    </xf>
    <xf numFmtId="10" fontId="3" fillId="4" borderId="5" xfId="0" applyNumberFormat="1" applyFont="1" applyFill="1" applyBorder="1"/>
    <xf numFmtId="43" fontId="3" fillId="0" borderId="8" xfId="1" applyNumberFormat="1" applyFont="1" applyBorder="1" applyAlignment="1">
      <alignment horizontal="center"/>
    </xf>
    <xf numFmtId="43" fontId="3" fillId="0" borderId="4" xfId="1" applyNumberFormat="1" applyFont="1" applyBorder="1" applyAlignment="1">
      <alignment horizontal="center"/>
    </xf>
    <xf numFmtId="43" fontId="3" fillId="0" borderId="15" xfId="1" applyNumberFormat="1" applyFont="1" applyBorder="1" applyAlignment="1">
      <alignment horizontal="center"/>
    </xf>
    <xf numFmtId="43" fontId="3" fillId="0" borderId="9" xfId="1" applyNumberFormat="1" applyFont="1" applyBorder="1" applyAlignment="1">
      <alignment horizontal="center"/>
    </xf>
    <xf numFmtId="43" fontId="3" fillId="0" borderId="0" xfId="1" applyNumberFormat="1" applyFont="1" applyBorder="1" applyAlignment="1">
      <alignment horizontal="center"/>
    </xf>
    <xf numFmtId="43" fontId="3" fillId="0" borderId="7" xfId="1" applyNumberFormat="1" applyFont="1" applyBorder="1" applyAlignment="1">
      <alignment horizontal="center"/>
    </xf>
    <xf numFmtId="43" fontId="3" fillId="0" borderId="18" xfId="1" applyNumberFormat="1" applyFont="1" applyBorder="1" applyAlignment="1">
      <alignment horizontal="center"/>
    </xf>
    <xf numFmtId="43" fontId="3" fillId="0" borderId="2" xfId="1" applyNumberFormat="1" applyFont="1" applyBorder="1" applyAlignment="1">
      <alignment horizontal="center"/>
    </xf>
    <xf numFmtId="43" fontId="3" fillId="0" borderId="6" xfId="1" applyNumberFormat="1" applyFont="1" applyBorder="1" applyAlignment="1">
      <alignment horizontal="center"/>
    </xf>
    <xf numFmtId="49" fontId="6" fillId="0" borderId="0" xfId="0" applyNumberFormat="1" applyFont="1" applyFill="1" applyAlignment="1">
      <alignment horizontal="right"/>
    </xf>
    <xf numFmtId="0" fontId="3" fillId="0" borderId="0" xfId="0" applyFont="1" applyBorder="1" applyAlignment="1">
      <alignment horizontal="center" vertical="center" textRotation="90"/>
    </xf>
    <xf numFmtId="0" fontId="3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 wrapText="1"/>
    </xf>
    <xf numFmtId="0" fontId="14" fillId="0" borderId="0" xfId="0" applyFont="1" applyFill="1" applyBorder="1" applyAlignment="1">
      <alignment horizontal="center" wrapText="1"/>
    </xf>
    <xf numFmtId="0" fontId="16" fillId="0" borderId="0" xfId="0" applyFont="1" applyFill="1" applyBorder="1" applyAlignment="1">
      <alignment horizontal="center" wrapText="1"/>
    </xf>
    <xf numFmtId="0" fontId="15" fillId="0" borderId="0" xfId="0" applyFont="1" applyFill="1" applyBorder="1" applyAlignment="1">
      <alignment horizontal="right" wrapText="1"/>
    </xf>
    <xf numFmtId="0" fontId="17" fillId="0" borderId="0" xfId="0" applyFont="1" applyFill="1" applyBorder="1" applyAlignment="1">
      <alignment horizontal="right" wrapText="1"/>
    </xf>
    <xf numFmtId="0" fontId="12" fillId="2" borderId="3" xfId="0" applyFont="1" applyFill="1" applyBorder="1" applyAlignment="1">
      <alignment horizontal="right" wrapText="1"/>
    </xf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7" fontId="3" fillId="0" borderId="0" xfId="0" applyNumberFormat="1" applyFont="1" applyFill="1" applyBorder="1" applyAlignment="1">
      <alignment horizontal="right"/>
    </xf>
    <xf numFmtId="0" fontId="17" fillId="0" borderId="4" xfId="0" applyFont="1" applyFill="1" applyBorder="1" applyAlignment="1">
      <alignment horizontal="right" wrapText="1"/>
    </xf>
    <xf numFmtId="0" fontId="2" fillId="0" borderId="4" xfId="0" applyFont="1" applyFill="1" applyBorder="1" applyAlignment="1">
      <alignment horizontal="right" wrapText="1"/>
    </xf>
    <xf numFmtId="0" fontId="2" fillId="0" borderId="4" xfId="0" applyFont="1" applyFill="1" applyBorder="1"/>
    <xf numFmtId="165" fontId="3" fillId="0" borderId="0" xfId="2" applyNumberFormat="1" applyFont="1" applyFill="1" applyBorder="1" applyAlignment="1">
      <alignment horizontal="right" wrapText="1"/>
    </xf>
    <xf numFmtId="165" fontId="6" fillId="0" borderId="0" xfId="2" applyNumberFormat="1" applyFont="1" applyFill="1" applyBorder="1" applyAlignment="1">
      <alignment horizontal="right" wrapText="1"/>
    </xf>
    <xf numFmtId="165" fontId="2" fillId="0" borderId="4" xfId="2" applyNumberFormat="1" applyFont="1" applyFill="1" applyBorder="1" applyAlignment="1">
      <alignment horizontal="right" wrapText="1"/>
    </xf>
    <xf numFmtId="165" fontId="6" fillId="0" borderId="0" xfId="2" applyNumberFormat="1" applyFont="1" applyFill="1" applyBorder="1"/>
    <xf numFmtId="165" fontId="3" fillId="0" borderId="0" xfId="2" applyNumberFormat="1" applyFont="1" applyFill="1" applyBorder="1"/>
    <xf numFmtId="165" fontId="7" fillId="0" borderId="0" xfId="2" applyNumberFormat="1" applyFont="1" applyFill="1" applyBorder="1"/>
    <xf numFmtId="165" fontId="2" fillId="0" borderId="0" xfId="2" applyNumberFormat="1" applyFont="1" applyFill="1" applyBorder="1"/>
    <xf numFmtId="165" fontId="2" fillId="0" borderId="4" xfId="2" applyNumberFormat="1" applyFont="1" applyFill="1" applyBorder="1"/>
    <xf numFmtId="165" fontId="2" fillId="0" borderId="0" xfId="2" applyNumberFormat="1" applyFont="1" applyFill="1" applyBorder="1" applyAlignment="1">
      <alignment horizontal="right" wrapText="1"/>
    </xf>
    <xf numFmtId="0" fontId="16" fillId="0" borderId="4" xfId="0" applyFont="1" applyFill="1" applyBorder="1" applyAlignment="1">
      <alignment horizontal="center" wrapText="1"/>
    </xf>
    <xf numFmtId="165" fontId="3" fillId="0" borderId="0" xfId="2" applyNumberFormat="1" applyFont="1" applyFill="1"/>
    <xf numFmtId="165" fontId="2" fillId="0" borderId="0" xfId="2" applyNumberFormat="1" applyFont="1" applyFill="1" applyAlignment="1">
      <alignment horizontal="center"/>
    </xf>
    <xf numFmtId="165" fontId="6" fillId="0" borderId="0" xfId="2" applyNumberFormat="1" applyFont="1" applyFill="1"/>
    <xf numFmtId="165" fontId="6" fillId="0" borderId="0" xfId="2" applyNumberFormat="1" applyFont="1" applyFill="1" applyAlignment="1">
      <alignment horizontal="right"/>
    </xf>
    <xf numFmtId="165" fontId="4" fillId="0" borderId="0" xfId="2" applyNumberFormat="1" applyFont="1" applyFill="1" applyAlignment="1">
      <alignment horizontal="center"/>
    </xf>
    <xf numFmtId="165" fontId="3" fillId="0" borderId="0" xfId="2" applyNumberFormat="1" applyFont="1" applyBorder="1"/>
    <xf numFmtId="165" fontId="3" fillId="0" borderId="0" xfId="2" applyNumberFormat="1" applyFont="1" applyBorder="1" applyAlignment="1">
      <alignment horizontal="left"/>
    </xf>
    <xf numFmtId="165" fontId="5" fillId="0" borderId="0" xfId="2" applyNumberFormat="1" applyFont="1" applyBorder="1"/>
    <xf numFmtId="165" fontId="6" fillId="0" borderId="0" xfId="2" applyNumberFormat="1" applyFont="1" applyBorder="1"/>
    <xf numFmtId="165" fontId="6" fillId="0" borderId="0" xfId="2" applyNumberFormat="1" applyFont="1" applyBorder="1" applyAlignment="1">
      <alignment horizontal="right"/>
    </xf>
    <xf numFmtId="165" fontId="7" fillId="0" borderId="3" xfId="2" applyNumberFormat="1" applyFont="1" applyFill="1" applyBorder="1" applyAlignment="1">
      <alignment horizontal="right" wrapText="1"/>
    </xf>
    <xf numFmtId="165" fontId="12" fillId="2" borderId="3" xfId="2" applyNumberFormat="1" applyFont="1" applyFill="1" applyBorder="1" applyAlignment="1">
      <alignment horizontal="left" wrapText="1"/>
    </xf>
    <xf numFmtId="165" fontId="11" fillId="2" borderId="3" xfId="2" applyNumberFormat="1" applyFont="1" applyFill="1" applyBorder="1" applyAlignment="1">
      <alignment horizontal="right" wrapText="1"/>
    </xf>
    <xf numFmtId="165" fontId="15" fillId="0" borderId="0" xfId="2" applyNumberFormat="1" applyFont="1" applyFill="1" applyBorder="1" applyAlignment="1">
      <alignment horizontal="right" wrapText="1"/>
    </xf>
    <xf numFmtId="165" fontId="3" fillId="0" borderId="0" xfId="2" applyNumberFormat="1" applyFont="1" applyFill="1" applyBorder="1" applyAlignment="1">
      <alignment horizontal="right"/>
    </xf>
    <xf numFmtId="165" fontId="6" fillId="0" borderId="0" xfId="2" applyNumberFormat="1" applyFont="1" applyFill="1" applyBorder="1" applyAlignment="1">
      <alignment horizontal="right"/>
    </xf>
    <xf numFmtId="165" fontId="7" fillId="0" borderId="0" xfId="2" applyNumberFormat="1" applyFont="1" applyFill="1" applyBorder="1" applyAlignment="1">
      <alignment horizontal="right"/>
    </xf>
    <xf numFmtId="165" fontId="2" fillId="0" borderId="4" xfId="2" applyNumberFormat="1" applyFont="1" applyFill="1" applyBorder="1" applyAlignment="1">
      <alignment horizontal="right"/>
    </xf>
    <xf numFmtId="165" fontId="2" fillId="0" borderId="0" xfId="2" applyNumberFormat="1" applyFont="1" applyFill="1" applyBorder="1" applyAlignment="1">
      <alignment horizontal="right"/>
    </xf>
    <xf numFmtId="165" fontId="17" fillId="0" borderId="4" xfId="2" applyNumberFormat="1" applyFont="1" applyFill="1" applyBorder="1" applyAlignment="1">
      <alignment horizontal="right" wrapText="1"/>
    </xf>
    <xf numFmtId="165" fontId="17" fillId="0" borderId="0" xfId="2" applyNumberFormat="1" applyFont="1" applyFill="1" applyBorder="1" applyAlignment="1">
      <alignment horizontal="right" wrapText="1"/>
    </xf>
    <xf numFmtId="0" fontId="11" fillId="2" borderId="3" xfId="2" applyNumberFormat="1" applyFont="1" applyFill="1" applyBorder="1" applyAlignment="1">
      <alignment horizontal="right" wrapText="1"/>
    </xf>
    <xf numFmtId="0" fontId="4" fillId="0" borderId="0" xfId="0" applyFont="1" applyFill="1" applyBorder="1" applyAlignment="1">
      <alignment horizontal="center" wrapText="1"/>
    </xf>
    <xf numFmtId="0" fontId="4" fillId="0" borderId="0" xfId="0" applyFont="1" applyFill="1" applyBorder="1" applyAlignment="1">
      <alignment horizontal="right" wrapText="1"/>
    </xf>
    <xf numFmtId="9" fontId="3" fillId="0" borderId="0" xfId="3" applyFont="1" applyFill="1" applyBorder="1"/>
    <xf numFmtId="166" fontId="3" fillId="0" borderId="0" xfId="3" applyNumberFormat="1" applyFont="1" applyFill="1" applyBorder="1"/>
    <xf numFmtId="2" fontId="3" fillId="0" borderId="0" xfId="3" applyNumberFormat="1" applyFont="1" applyFill="1" applyBorder="1" applyAlignment="1">
      <alignment horizontal="right" wrapText="1"/>
    </xf>
    <xf numFmtId="0" fontId="18" fillId="3" borderId="0" xfId="0" applyFont="1" applyFill="1"/>
    <xf numFmtId="167" fontId="6" fillId="0" borderId="0" xfId="2" applyNumberFormat="1" applyFont="1" applyFill="1" applyBorder="1" applyAlignment="1">
      <alignment horizontal="right" wrapText="1"/>
    </xf>
    <xf numFmtId="164" fontId="6" fillId="0" borderId="0" xfId="2" applyNumberFormat="1" applyFont="1" applyFill="1" applyBorder="1" applyAlignment="1">
      <alignment horizontal="right" wrapText="1"/>
    </xf>
    <xf numFmtId="165" fontId="6" fillId="0" borderId="0" xfId="0" applyNumberFormat="1" applyFont="1" applyFill="1"/>
    <xf numFmtId="0" fontId="3" fillId="0" borderId="4" xfId="0" applyFont="1" applyFill="1" applyBorder="1" applyAlignment="1">
      <alignment horizontal="right" wrapText="1"/>
    </xf>
    <xf numFmtId="0" fontId="18" fillId="0" borderId="0" xfId="0" quotePrefix="1" applyFont="1" applyFill="1"/>
    <xf numFmtId="0" fontId="18" fillId="0" borderId="0" xfId="0" applyFont="1" applyFill="1"/>
    <xf numFmtId="0" fontId="18" fillId="0" borderId="0" xfId="0" applyFont="1" applyBorder="1"/>
    <xf numFmtId="165" fontId="3" fillId="5" borderId="0" xfId="2" applyNumberFormat="1" applyFont="1" applyFill="1" applyBorder="1" applyAlignment="1">
      <alignment horizontal="right" wrapText="1"/>
    </xf>
    <xf numFmtId="165" fontId="3" fillId="5" borderId="4" xfId="2" applyNumberFormat="1" applyFont="1" applyFill="1" applyBorder="1" applyAlignment="1">
      <alignment horizontal="right" wrapText="1"/>
    </xf>
    <xf numFmtId="165" fontId="2" fillId="5" borderId="4" xfId="2" applyNumberFormat="1" applyFont="1" applyFill="1" applyBorder="1" applyAlignment="1">
      <alignment horizontal="right" wrapText="1"/>
    </xf>
    <xf numFmtId="165" fontId="2" fillId="5" borderId="4" xfId="2" applyNumberFormat="1" applyFont="1" applyFill="1" applyBorder="1"/>
    <xf numFmtId="165" fontId="2" fillId="5" borderId="0" xfId="2" applyNumberFormat="1" applyFont="1" applyFill="1" applyBorder="1"/>
    <xf numFmtId="165" fontId="3" fillId="5" borderId="0" xfId="2" applyNumberFormat="1" applyFont="1" applyFill="1" applyBorder="1"/>
    <xf numFmtId="166" fontId="3" fillId="5" borderId="0" xfId="3" applyNumberFormat="1" applyFont="1" applyFill="1" applyBorder="1"/>
    <xf numFmtId="0" fontId="3" fillId="5" borderId="0" xfId="0" applyFont="1" applyFill="1" applyBorder="1"/>
    <xf numFmtId="0" fontId="3" fillId="5" borderId="0" xfId="0" applyFont="1" applyFill="1" applyBorder="1" applyAlignment="1">
      <alignment horizontal="right" wrapText="1"/>
    </xf>
    <xf numFmtId="165" fontId="3" fillId="5" borderId="1" xfId="2" applyNumberFormat="1" applyFont="1" applyFill="1" applyBorder="1" applyAlignment="1">
      <alignment horizontal="right" wrapText="1"/>
    </xf>
    <xf numFmtId="165" fontId="3" fillId="5" borderId="0" xfId="0" applyNumberFormat="1" applyFont="1" applyFill="1" applyBorder="1"/>
    <xf numFmtId="165" fontId="3" fillId="3" borderId="0" xfId="2" applyNumberFormat="1" applyFont="1" applyFill="1" applyBorder="1" applyAlignment="1">
      <alignment horizontal="right" wrapText="1"/>
    </xf>
    <xf numFmtId="165" fontId="3" fillId="3" borderId="4" xfId="2" applyNumberFormat="1" applyFont="1" applyFill="1" applyBorder="1" applyAlignment="1">
      <alignment horizontal="right" wrapText="1"/>
    </xf>
    <xf numFmtId="165" fontId="2" fillId="3" borderId="4" xfId="2" applyNumberFormat="1" applyFont="1" applyFill="1" applyBorder="1" applyAlignment="1">
      <alignment horizontal="right" wrapText="1"/>
    </xf>
    <xf numFmtId="165" fontId="3" fillId="3" borderId="1" xfId="2" applyNumberFormat="1" applyFont="1" applyFill="1" applyBorder="1" applyAlignment="1">
      <alignment horizontal="right" wrapText="1"/>
    </xf>
    <xf numFmtId="165" fontId="2" fillId="3" borderId="4" xfId="2" applyNumberFormat="1" applyFont="1" applyFill="1" applyBorder="1"/>
    <xf numFmtId="165" fontId="2" fillId="3" borderId="0" xfId="2" applyNumberFormat="1" applyFont="1" applyFill="1" applyBorder="1"/>
    <xf numFmtId="165" fontId="3" fillId="3" borderId="0" xfId="2" applyNumberFormat="1" applyFont="1" applyFill="1" applyBorder="1"/>
    <xf numFmtId="166" fontId="3" fillId="3" borderId="0" xfId="3" applyNumberFormat="1" applyFont="1" applyFill="1" applyBorder="1"/>
    <xf numFmtId="0" fontId="3" fillId="3" borderId="0" xfId="0" applyFont="1" applyFill="1" applyBorder="1"/>
    <xf numFmtId="165" fontId="3" fillId="3" borderId="0" xfId="0" applyNumberFormat="1" applyFont="1" applyFill="1" applyBorder="1"/>
    <xf numFmtId="0" fontId="3" fillId="3" borderId="0" xfId="0" applyFont="1" applyFill="1" applyBorder="1" applyAlignment="1">
      <alignment horizontal="right" wrapText="1"/>
    </xf>
    <xf numFmtId="7" fontId="3" fillId="3" borderId="0" xfId="0" applyNumberFormat="1" applyFont="1" applyFill="1" applyBorder="1"/>
    <xf numFmtId="0" fontId="6" fillId="3" borderId="0" xfId="0" applyFont="1" applyFill="1" applyBorder="1"/>
    <xf numFmtId="0" fontId="3" fillId="3" borderId="0" xfId="0" applyFont="1" applyFill="1"/>
    <xf numFmtId="0" fontId="6" fillId="3" borderId="0" xfId="0" applyFont="1" applyFill="1"/>
    <xf numFmtId="0" fontId="5" fillId="3" borderId="0" xfId="0" applyFont="1" applyFill="1"/>
    <xf numFmtId="9" fontId="2" fillId="3" borderId="0" xfId="3" applyFont="1" applyFill="1" applyBorder="1"/>
    <xf numFmtId="165" fontId="18" fillId="3" borderId="0" xfId="2" applyNumberFormat="1" applyFont="1" applyFill="1" applyBorder="1"/>
    <xf numFmtId="165" fontId="11" fillId="3" borderId="0" xfId="2" applyNumberFormat="1" applyFont="1" applyFill="1" applyBorder="1"/>
    <xf numFmtId="166" fontId="11" fillId="3" borderId="0" xfId="3" applyNumberFormat="1" applyFont="1" applyFill="1" applyBorder="1"/>
    <xf numFmtId="0" fontId="18" fillId="3" borderId="0" xfId="0" applyFont="1" applyFill="1" applyBorder="1"/>
    <xf numFmtId="164" fontId="6" fillId="5" borderId="0" xfId="2" applyNumberFormat="1" applyFont="1" applyFill="1" applyBorder="1" applyAlignment="1">
      <alignment horizontal="right" wrapText="1"/>
    </xf>
    <xf numFmtId="167" fontId="6" fillId="5" borderId="0" xfId="2" applyNumberFormat="1" applyFont="1" applyFill="1" applyBorder="1" applyAlignment="1">
      <alignment horizontal="right" wrapText="1"/>
    </xf>
    <xf numFmtId="0" fontId="11" fillId="2" borderId="3" xfId="0" applyFont="1" applyFill="1" applyBorder="1" applyAlignment="1">
      <alignment horizontal="left" wrapText="1"/>
    </xf>
    <xf numFmtId="2" fontId="6" fillId="5" borderId="0" xfId="3" applyNumberFormat="1" applyFont="1" applyFill="1" applyBorder="1" applyAlignment="1">
      <alignment horizontal="right" wrapText="1"/>
    </xf>
    <xf numFmtId="166" fontId="3" fillId="3" borderId="0" xfId="3" applyNumberFormat="1" applyFont="1" applyFill="1" applyBorder="1" applyAlignment="1">
      <alignment horizontal="right" wrapText="1"/>
    </xf>
    <xf numFmtId="168" fontId="3" fillId="0" borderId="0" xfId="0" applyNumberFormat="1" applyFont="1" applyFill="1" applyBorder="1"/>
    <xf numFmtId="168" fontId="3" fillId="0" borderId="0" xfId="0" applyNumberFormat="1" applyFont="1" applyFill="1" applyBorder="1" applyAlignment="1">
      <alignment horizontal="right" wrapText="1"/>
    </xf>
    <xf numFmtId="168" fontId="6" fillId="0" borderId="0" xfId="0" applyNumberFormat="1" applyFont="1" applyFill="1" applyBorder="1" applyAlignment="1">
      <alignment horizontal="right"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0" fontId="1" fillId="0" borderId="0" xfId="0" applyNumberFormat="1" applyFont="1" applyAlignment="1">
      <alignment horizontal="center"/>
    </xf>
    <xf numFmtId="0" fontId="21" fillId="0" borderId="0" xfId="0" applyFont="1"/>
    <xf numFmtId="44" fontId="0" fillId="0" borderId="0" xfId="2" applyFont="1"/>
    <xf numFmtId="165" fontId="0" fillId="0" borderId="0" xfId="2" applyNumberFormat="1" applyFont="1"/>
    <xf numFmtId="0" fontId="0" fillId="6" borderId="0" xfId="0" applyFill="1"/>
    <xf numFmtId="0" fontId="20" fillId="6" borderId="0" xfId="0" applyFont="1" applyFill="1"/>
    <xf numFmtId="165" fontId="0" fillId="6" borderId="0" xfId="0" applyNumberFormat="1" applyFill="1"/>
    <xf numFmtId="165" fontId="20" fillId="6" borderId="0" xfId="0" applyNumberFormat="1" applyFont="1" applyFill="1"/>
    <xf numFmtId="168" fontId="20" fillId="6" borderId="0" xfId="0" applyNumberFormat="1" applyFont="1" applyFill="1" applyAlignment="1">
      <alignment horizontal="center"/>
    </xf>
    <xf numFmtId="168" fontId="20" fillId="6" borderId="0" xfId="0" applyNumberFormat="1" applyFont="1" applyFill="1" applyAlignment="1"/>
    <xf numFmtId="0" fontId="22" fillId="0" borderId="0" xfId="0" applyFont="1"/>
    <xf numFmtId="0" fontId="19" fillId="0" borderId="0" xfId="0" applyFont="1" applyAlignment="1"/>
    <xf numFmtId="0" fontId="23" fillId="0" borderId="0" xfId="0" applyFont="1" applyAlignment="1">
      <alignment horizontal="center"/>
    </xf>
    <xf numFmtId="165" fontId="0" fillId="0" borderId="0" xfId="0" applyNumberFormat="1"/>
    <xf numFmtId="164" fontId="3" fillId="0" borderId="0" xfId="2" applyNumberFormat="1" applyFont="1" applyFill="1" applyBorder="1" applyAlignment="1">
      <alignment horizontal="right" wrapText="1"/>
    </xf>
    <xf numFmtId="166" fontId="3" fillId="0" borderId="0" xfId="3" applyNumberFormat="1" applyFont="1" applyFill="1" applyBorder="1" applyAlignment="1">
      <alignment horizontal="right" wrapText="1"/>
    </xf>
    <xf numFmtId="167" fontId="3" fillId="0" borderId="0" xfId="2" applyNumberFormat="1" applyFont="1" applyFill="1" applyBorder="1" applyAlignment="1">
      <alignment horizontal="right" wrapText="1"/>
    </xf>
    <xf numFmtId="2" fontId="3" fillId="3" borderId="0" xfId="3" applyNumberFormat="1" applyFont="1" applyFill="1" applyBorder="1" applyAlignment="1">
      <alignment horizontal="right" wrapText="1"/>
    </xf>
    <xf numFmtId="165" fontId="3" fillId="0" borderId="0" xfId="0" applyNumberFormat="1" applyFont="1" applyFill="1" applyBorder="1"/>
    <xf numFmtId="165" fontId="2" fillId="0" borderId="0" xfId="0" applyNumberFormat="1" applyFont="1" applyFill="1" applyBorder="1"/>
    <xf numFmtId="2" fontId="7" fillId="5" borderId="0" xfId="3" applyNumberFormat="1" applyFont="1" applyFill="1" applyBorder="1" applyAlignment="1">
      <alignment horizontal="right" wrapText="1"/>
    </xf>
    <xf numFmtId="2" fontId="2" fillId="3" borderId="0" xfId="3" applyNumberFormat="1" applyFont="1" applyFill="1" applyBorder="1" applyAlignment="1">
      <alignment horizontal="right" wrapText="1"/>
    </xf>
    <xf numFmtId="164" fontId="7" fillId="5" borderId="0" xfId="2" applyNumberFormat="1" applyFont="1" applyFill="1" applyBorder="1" applyAlignment="1">
      <alignment horizontal="right" wrapText="1"/>
    </xf>
    <xf numFmtId="166" fontId="2" fillId="0" borderId="0" xfId="3" applyNumberFormat="1" applyFont="1" applyFill="1" applyBorder="1" applyAlignment="1">
      <alignment horizontal="right" wrapText="1"/>
    </xf>
    <xf numFmtId="167" fontId="7" fillId="5" borderId="0" xfId="2" applyNumberFormat="1" applyFont="1" applyFill="1" applyBorder="1" applyAlignment="1">
      <alignment horizontal="right" wrapText="1"/>
    </xf>
    <xf numFmtId="164" fontId="2" fillId="0" borderId="0" xfId="2" applyNumberFormat="1" applyFont="1" applyFill="1" applyBorder="1" applyAlignment="1">
      <alignment horizontal="right" wrapText="1"/>
    </xf>
    <xf numFmtId="167" fontId="2" fillId="0" borderId="0" xfId="2" applyNumberFormat="1" applyFont="1" applyFill="1" applyBorder="1" applyAlignment="1">
      <alignment horizontal="right" wrapText="1"/>
    </xf>
    <xf numFmtId="167" fontId="7" fillId="0" borderId="0" xfId="2" applyNumberFormat="1" applyFont="1" applyFill="1" applyBorder="1" applyAlignment="1">
      <alignment horizontal="right" wrapText="1"/>
    </xf>
    <xf numFmtId="164" fontId="7" fillId="0" borderId="0" xfId="2" applyNumberFormat="1" applyFont="1" applyFill="1" applyBorder="1" applyAlignment="1">
      <alignment horizontal="right" wrapText="1"/>
    </xf>
    <xf numFmtId="168" fontId="3" fillId="3" borderId="0" xfId="0" applyNumberFormat="1" applyFont="1" applyFill="1" applyBorder="1" applyAlignment="1">
      <alignment horizontal="right" wrapText="1"/>
    </xf>
    <xf numFmtId="2" fontId="3" fillId="3" borderId="0" xfId="0" applyNumberFormat="1" applyFont="1" applyFill="1" applyBorder="1" applyAlignment="1">
      <alignment horizontal="right" wrapText="1"/>
    </xf>
    <xf numFmtId="2" fontId="3" fillId="3" borderId="0" xfId="0" applyNumberFormat="1" applyFont="1" applyFill="1" applyBorder="1"/>
    <xf numFmtId="0" fontId="23" fillId="0" borderId="0" xfId="0" applyFont="1" applyAlignment="1"/>
    <xf numFmtId="165" fontId="6" fillId="3" borderId="0" xfId="2" applyNumberFormat="1" applyFont="1" applyFill="1" applyBorder="1"/>
    <xf numFmtId="165" fontId="6" fillId="0" borderId="0" xfId="0" applyNumberFormat="1" applyFont="1" applyFill="1" applyBorder="1"/>
    <xf numFmtId="0" fontId="3" fillId="3" borderId="0" xfId="0" applyNumberFormat="1" applyFont="1" applyFill="1" applyBorder="1"/>
    <xf numFmtId="168" fontId="2" fillId="0" borderId="0" xfId="3" applyNumberFormat="1" applyFont="1" applyFill="1" applyBorder="1" applyAlignment="1">
      <alignment horizontal="right" wrapText="1"/>
    </xf>
    <xf numFmtId="165" fontId="2" fillId="3" borderId="0" xfId="0" applyNumberFormat="1" applyFont="1" applyFill="1" applyBorder="1"/>
    <xf numFmtId="0" fontId="2" fillId="3" borderId="0" xfId="0" applyFont="1" applyFill="1" applyBorder="1"/>
    <xf numFmtId="44" fontId="2" fillId="3" borderId="0" xfId="0" applyNumberFormat="1" applyFont="1" applyFill="1" applyBorder="1"/>
    <xf numFmtId="44" fontId="3" fillId="3" borderId="0" xfId="0" applyNumberFormat="1" applyFont="1" applyFill="1" applyBorder="1"/>
    <xf numFmtId="168" fontId="3" fillId="3" borderId="0" xfId="0" applyNumberFormat="1" applyFont="1" applyFill="1" applyBorder="1"/>
    <xf numFmtId="0" fontId="6" fillId="3" borderId="0" xfId="0" applyFont="1" applyFill="1" applyBorder="1" applyAlignment="1">
      <alignment horizontal="right"/>
    </xf>
    <xf numFmtId="0" fontId="6" fillId="3" borderId="0" xfId="0" applyFont="1" applyFill="1" applyAlignment="1">
      <alignment horizontal="right"/>
    </xf>
    <xf numFmtId="165" fontId="6" fillId="3" borderId="0" xfId="2" applyNumberFormat="1" applyFont="1" applyFill="1" applyBorder="1" applyAlignment="1">
      <alignment horizontal="right"/>
    </xf>
    <xf numFmtId="165" fontId="7" fillId="3" borderId="0" xfId="2" applyNumberFormat="1" applyFont="1" applyFill="1" applyBorder="1"/>
    <xf numFmtId="165" fontId="7" fillId="3" borderId="0" xfId="2" applyNumberFormat="1" applyFont="1" applyFill="1" applyBorder="1" applyAlignment="1">
      <alignment horizontal="right"/>
    </xf>
    <xf numFmtId="44" fontId="2" fillId="3" borderId="0" xfId="2" applyFont="1" applyFill="1" applyBorder="1"/>
    <xf numFmtId="0" fontId="7" fillId="3" borderId="0" xfId="0" applyFont="1" applyFill="1" applyBorder="1"/>
    <xf numFmtId="0" fontId="7" fillId="3" borderId="0" xfId="0" applyFont="1" applyFill="1" applyBorder="1" applyAlignment="1">
      <alignment horizontal="right"/>
    </xf>
    <xf numFmtId="9" fontId="3" fillId="3" borderId="0" xfId="3" applyFont="1" applyFill="1" applyBorder="1"/>
    <xf numFmtId="1" fontId="3" fillId="3" borderId="0" xfId="0" applyNumberFormat="1" applyFont="1" applyFill="1" applyBorder="1"/>
    <xf numFmtId="44" fontId="3" fillId="3" borderId="0" xfId="2" applyFont="1" applyFill="1" applyBorder="1"/>
    <xf numFmtId="0" fontId="6" fillId="3" borderId="0" xfId="0" applyFont="1" applyFill="1" applyBorder="1" applyAlignment="1">
      <alignment horizontal="right" wrapText="1"/>
    </xf>
    <xf numFmtId="7" fontId="6" fillId="3" borderId="0" xfId="0" applyNumberFormat="1" applyFont="1" applyFill="1" applyBorder="1"/>
    <xf numFmtId="7" fontId="6" fillId="3" borderId="0" xfId="0" applyNumberFormat="1" applyFont="1" applyFill="1" applyBorder="1" applyAlignment="1">
      <alignment horizontal="right"/>
    </xf>
    <xf numFmtId="0" fontId="25" fillId="0" borderId="0" xfId="0" applyFont="1"/>
    <xf numFmtId="0" fontId="26" fillId="0" borderId="0" xfId="0" applyFont="1" applyAlignment="1"/>
    <xf numFmtId="0" fontId="24" fillId="0" borderId="0" xfId="0" applyFont="1" applyAlignment="1"/>
    <xf numFmtId="164" fontId="2" fillId="7" borderId="0" xfId="2" applyNumberFormat="1" applyFont="1" applyFill="1" applyBorder="1" applyAlignment="1">
      <alignment horizontal="right" wrapText="1"/>
    </xf>
    <xf numFmtId="165" fontId="3" fillId="7" borderId="0" xfId="2" applyNumberFormat="1" applyFont="1" applyFill="1" applyBorder="1" applyAlignment="1">
      <alignment horizontal="right" wrapText="1"/>
    </xf>
    <xf numFmtId="165" fontId="3" fillId="7" borderId="4" xfId="2" applyNumberFormat="1" applyFont="1" applyFill="1" applyBorder="1" applyAlignment="1">
      <alignment horizontal="right" wrapText="1"/>
    </xf>
    <xf numFmtId="165" fontId="3" fillId="7" borderId="1" xfId="2" applyNumberFormat="1" applyFont="1" applyFill="1" applyBorder="1" applyAlignment="1">
      <alignment horizontal="right" wrapText="1"/>
    </xf>
    <xf numFmtId="165" fontId="2" fillId="7" borderId="4" xfId="2" applyNumberFormat="1" applyFont="1" applyFill="1" applyBorder="1" applyAlignment="1">
      <alignment horizontal="right" wrapText="1"/>
    </xf>
    <xf numFmtId="165" fontId="2" fillId="7" borderId="4" xfId="2" applyNumberFormat="1" applyFont="1" applyFill="1" applyBorder="1"/>
    <xf numFmtId="165" fontId="2" fillId="7" borderId="0" xfId="2" applyNumberFormat="1" applyFont="1" applyFill="1" applyBorder="1"/>
    <xf numFmtId="165" fontId="3" fillId="7" borderId="0" xfId="2" applyNumberFormat="1" applyFont="1" applyFill="1" applyBorder="1"/>
    <xf numFmtId="166" fontId="3" fillId="7" borderId="0" xfId="3" applyNumberFormat="1" applyFont="1" applyFill="1" applyBorder="1"/>
    <xf numFmtId="0" fontId="3" fillId="7" borderId="0" xfId="0" applyFont="1" applyFill="1" applyBorder="1"/>
    <xf numFmtId="165" fontId="3" fillId="7" borderId="0" xfId="0" applyNumberFormat="1" applyFont="1" applyFill="1" applyBorder="1"/>
    <xf numFmtId="166" fontId="3" fillId="7" borderId="0" xfId="0" applyNumberFormat="1" applyFont="1" applyFill="1" applyBorder="1" applyAlignment="1">
      <alignment horizontal="right" wrapText="1"/>
    </xf>
    <xf numFmtId="166" fontId="2" fillId="7" borderId="0" xfId="3" applyNumberFormat="1" applyFont="1" applyFill="1" applyBorder="1" applyAlignment="1">
      <alignment horizontal="right" wrapText="1"/>
    </xf>
    <xf numFmtId="166" fontId="3" fillId="7" borderId="0" xfId="3" applyNumberFormat="1" applyFont="1" applyFill="1" applyBorder="1" applyAlignment="1">
      <alignment horizontal="right" wrapText="1"/>
    </xf>
    <xf numFmtId="167" fontId="3" fillId="7" borderId="0" xfId="2" applyNumberFormat="1" applyFont="1" applyFill="1" applyBorder="1" applyAlignment="1">
      <alignment horizontal="right" wrapText="1"/>
    </xf>
    <xf numFmtId="164" fontId="3" fillId="7" borderId="0" xfId="2" applyNumberFormat="1" applyFont="1" applyFill="1" applyBorder="1" applyAlignment="1">
      <alignment horizontal="right" wrapText="1"/>
    </xf>
    <xf numFmtId="167" fontId="2" fillId="7" borderId="0" xfId="2" applyNumberFormat="1" applyFont="1" applyFill="1" applyBorder="1" applyAlignment="1">
      <alignment horizontal="right" wrapText="1"/>
    </xf>
    <xf numFmtId="2" fontId="3" fillId="7" borderId="0" xfId="3" applyNumberFormat="1" applyFont="1" applyFill="1" applyBorder="1" applyAlignment="1">
      <alignment horizontal="right" wrapText="1"/>
    </xf>
    <xf numFmtId="2" fontId="2" fillId="7" borderId="0" xfId="3" applyNumberFormat="1" applyFont="1" applyFill="1" applyBorder="1" applyAlignment="1">
      <alignment horizontal="right" wrapText="1"/>
    </xf>
    <xf numFmtId="165" fontId="2" fillId="7" borderId="0" xfId="0" applyNumberFormat="1" applyFont="1" applyFill="1" applyBorder="1"/>
    <xf numFmtId="164" fontId="3" fillId="7" borderId="0" xfId="3" applyNumberFormat="1" applyFont="1" applyFill="1" applyBorder="1" applyAlignment="1">
      <alignment horizontal="right" wrapText="1"/>
    </xf>
    <xf numFmtId="0" fontId="3" fillId="7" borderId="0" xfId="0" applyFont="1" applyFill="1" applyBorder="1" applyAlignment="1">
      <alignment horizontal="right" wrapText="1"/>
    </xf>
    <xf numFmtId="165" fontId="2" fillId="7" borderId="0" xfId="2" applyNumberFormat="1" applyFont="1" applyFill="1" applyBorder="1" applyAlignment="1">
      <alignment horizontal="right" wrapText="1"/>
    </xf>
    <xf numFmtId="1" fontId="3" fillId="7" borderId="0" xfId="0" applyNumberFormat="1" applyFont="1" applyFill="1" applyBorder="1"/>
    <xf numFmtId="165" fontId="6" fillId="7" borderId="0" xfId="0" applyNumberFormat="1" applyFont="1" applyFill="1" applyBorder="1"/>
    <xf numFmtId="44" fontId="3" fillId="7" borderId="0" xfId="2" applyFont="1" applyFill="1" applyBorder="1"/>
    <xf numFmtId="0" fontId="6" fillId="7" borderId="0" xfId="0" applyFont="1" applyFill="1" applyBorder="1"/>
    <xf numFmtId="168" fontId="3" fillId="7" borderId="0" xfId="0" applyNumberFormat="1" applyFont="1" applyFill="1" applyBorder="1"/>
    <xf numFmtId="168" fontId="3" fillId="7" borderId="0" xfId="0" applyNumberFormat="1" applyFont="1" applyFill="1" applyBorder="1" applyAlignment="1">
      <alignment horizontal="right" wrapText="1"/>
    </xf>
    <xf numFmtId="168" fontId="6" fillId="7" borderId="0" xfId="0" applyNumberFormat="1" applyFont="1" applyFill="1" applyBorder="1" applyAlignment="1">
      <alignment horizontal="right" wrapText="1"/>
    </xf>
    <xf numFmtId="168" fontId="2" fillId="7" borderId="0" xfId="3" applyNumberFormat="1" applyFont="1" applyFill="1" applyBorder="1" applyAlignment="1">
      <alignment horizontal="right" wrapText="1"/>
    </xf>
    <xf numFmtId="7" fontId="3" fillId="7" borderId="0" xfId="0" applyNumberFormat="1" applyFont="1" applyFill="1" applyBorder="1"/>
    <xf numFmtId="7" fontId="6" fillId="7" borderId="0" xfId="0" applyNumberFormat="1" applyFont="1" applyFill="1" applyBorder="1"/>
    <xf numFmtId="2" fontId="3" fillId="7" borderId="0" xfId="0" applyNumberFormat="1" applyFont="1" applyFill="1" applyBorder="1"/>
    <xf numFmtId="0" fontId="6" fillId="7" borderId="0" xfId="0" applyFont="1" applyFill="1" applyBorder="1" applyAlignment="1">
      <alignment horizontal="right"/>
    </xf>
    <xf numFmtId="7" fontId="6" fillId="7" borderId="0" xfId="0" applyNumberFormat="1" applyFont="1" applyFill="1" applyBorder="1" applyAlignment="1">
      <alignment horizontal="right"/>
    </xf>
    <xf numFmtId="165" fontId="6" fillId="7" borderId="0" xfId="2" applyNumberFormat="1" applyFont="1" applyFill="1" applyBorder="1" applyAlignment="1">
      <alignment horizontal="right" wrapText="1"/>
    </xf>
    <xf numFmtId="165" fontId="6" fillId="7" borderId="0" xfId="2" applyNumberFormat="1" applyFont="1" applyFill="1" applyBorder="1"/>
    <xf numFmtId="165" fontId="7" fillId="7" borderId="0" xfId="2" applyNumberFormat="1" applyFont="1" applyFill="1" applyBorder="1"/>
    <xf numFmtId="0" fontId="3" fillId="0" borderId="0" xfId="0" applyFont="1" applyBorder="1" applyAlignment="1">
      <alignment horizontal="center" vertical="center" textRotation="90"/>
    </xf>
    <xf numFmtId="0" fontId="3" fillId="0" borderId="0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0" fontId="27" fillId="0" borderId="0" xfId="0" applyFont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10579.4</v>
        <stp/>
        <stp>##V3_BDPV12</stp>
        <stp>TAP US EQUITY</stp>
        <stp>SALES_REV_TURN</stp>
        <stp>[Molson Coors.xlsx]IS!R7C3</stp>
        <stp>EQY_FUND_RELATIVE_PERIOD</stp>
        <stp>2019</stp>
        <tr r="C7" s="1"/>
      </tp>
      <tp>
        <v>135.1</v>
        <stp/>
        <stp>##V3_BDPV12</stp>
        <stp>TAP US EQUITY</stp>
        <stp>OTHER_NONCURRENT_LIABS_DETAILED</stp>
        <stp>[Molson Coors.xlsx]BS!R30C8</stp>
        <stp>EQY_FUND_YEAR</stp>
        <stp>2021</stp>
        <stp>FUND_PER</stp>
        <stp>Q4</stp>
        <tr r="H30" s="2"/>
      </tp>
      <tp>
        <v>156.69999999999999</v>
        <stp/>
        <stp>##V3_BDPV12</stp>
        <stp>TAP US EQUITY</stp>
        <stp>OTHER_NONCURRENT_LIABS_DETAILED</stp>
        <stp>[Molson Coors.xlsx]BS!R30C5</stp>
        <stp>EQY_FUND_YEAR</stp>
        <stp>2021</stp>
        <stp>FUND_PER</stp>
        <stp>Q1</stp>
        <tr r="E30" s="2"/>
      </tp>
      <tp>
        <v>152.19999999999999</v>
        <stp/>
        <stp>##V3_BDPV12</stp>
        <stp>TAP US EQUITY</stp>
        <stp>OTHER_NONCURRENT_LIABS_DETAILED</stp>
        <stp>[Molson Coors.xlsx]BS!R30C7</stp>
        <stp>EQY_FUND_YEAR</stp>
        <stp>2021</stp>
        <stp>FUND_PER</stp>
        <stp>Q3</stp>
        <tr r="G30" s="2"/>
      </tp>
      <tp>
        <v>158.69999999999999</v>
        <stp/>
        <stp>##V3_BDPV12</stp>
        <stp>TAP US EQUITY</stp>
        <stp>OTHER_NONCURRENT_LIABS_DETAILED</stp>
        <stp>[Molson Coors.xlsx]BS!R30C6</stp>
        <stp>EQY_FUND_YEAR</stp>
        <stp>2021</stp>
        <stp>FUND_PER</stp>
        <stp>Q2</stp>
        <tr r="F30" s="2"/>
      </tp>
      <tp>
        <v>500.3</v>
        <stp/>
        <stp>##V3_BDPV12</stp>
        <stp>TAP US EQUITY</stp>
        <stp>BS_DEFERRED_TAX_ASSETS_LT</stp>
        <stp>[Molson Coors.xlsx]BS!R15C14</stp>
        <stp>EQY_FUND_RELATIVE_PERIOD</stp>
        <stp>2022</stp>
        <tr r="N15" s="2"/>
      </tp>
      <tp>
        <v>6171.7999999999993</v>
        <stp/>
        <stp>##V3_BDPV12</stp>
        <stp>TAP US EQUITY</stp>
        <stp>BS_LT_BORROW</stp>
        <stp>[Molson Coors.xlsx]BS!R27C12</stp>
        <stp>EQY_FUND_YEAR</stp>
        <stp>2022</stp>
        <stp>FUND_PER</stp>
        <stp>Q3</stp>
        <tr r="L27" s="2"/>
      </tp>
      <tp>
        <v>6654.9</v>
        <stp/>
        <stp>##V3_BDPV12</stp>
        <stp>TAP US EQUITY</stp>
        <stp>BS_LT_BORROW</stp>
        <stp>[Molson Coors.xlsx]BS!R27C11</stp>
        <stp>EQY_FUND_YEAR</stp>
        <stp>2022</stp>
        <stp>FUND_PER</stp>
        <stp>Q2</stp>
        <tr r="K27" s="2"/>
      </tp>
      <tp>
        <v>6716.2</v>
        <stp/>
        <stp>##V3_BDPV12</stp>
        <stp>TAP US EQUITY</stp>
        <stp>BS_LT_BORROW</stp>
        <stp>[Molson Coors.xlsx]BS!R27C10</stp>
        <stp>EQY_FUND_YEAR</stp>
        <stp>2022</stp>
        <stp>FUND_PER</stp>
        <stp>Q1</stp>
        <tr r="J27" s="2"/>
      </tp>
      <tp>
        <v>6302.2999999999993</v>
        <stp/>
        <stp>##V3_BDPV12</stp>
        <stp>TAP US EQUITY</stp>
        <stp>BS_LT_BORROW</stp>
        <stp>[Molson Coors.xlsx]BS!R27C15</stp>
        <stp>EQY_FUND_YEAR</stp>
        <stp>2023</stp>
        <stp>FUND_PER</stp>
        <stp>Q1</stp>
        <tr r="O27" s="2"/>
      </tp>
      <tp>
        <v>6264.5</v>
        <stp/>
        <stp>##V3_BDPV12</stp>
        <stp>TAP US EQUITY</stp>
        <stp>BS_LT_BORROW</stp>
        <stp>[Molson Coors.xlsx]BS!R27C13</stp>
        <stp>EQY_FUND_YEAR</stp>
        <stp>2022</stp>
        <stp>FUND_PER</stp>
        <stp>Q4</stp>
        <tr r="M27" s="2"/>
      </tp>
      <tp>
        <v>716.6</v>
        <stp/>
        <stp>##V3_BDPV12</stp>
        <stp>TAP US EQUITY</stp>
        <stp>PENSION_LIABILITIES</stp>
        <stp>[Molson Coors.xlsx]BS!R28C3</stp>
        <stp>EQY_FUND_RELATIVE_PERIOD</stp>
        <stp>2019</stp>
        <tr r="C28" s="2"/>
      </tp>
      <tp>
        <v>4311.5</v>
        <stp/>
        <stp>##V3_BDPV12</stp>
        <stp>TAP US EQUITY</stp>
        <stp>BS_NET_FIX_ASSET</stp>
        <stp>[Molson Coors.xlsx]BS!R12C9</stp>
        <stp>EQY_FUND_RELATIVE_PERIOD</stp>
        <stp>2021</stp>
        <tr r="I12" s="2"/>
      </tp>
      <tp>
        <v>-24.099999999999998</v>
        <stp/>
        <stp>##V3_BDPV12</stp>
        <stp>TAP US EQUITY</stp>
        <stp>CF_EFFECT_FOREIGN_EXCHANGES</stp>
        <stp>[Molson Coors.xlsx]CF_F!R30C9</stp>
        <stp>EQY_FUND_RELATIVE_PERIOD</stp>
        <stp>2021</stp>
        <tr r="I30" s="28"/>
      </tp>
      <tp>
        <v>34.556026778714994</v>
        <stp/>
        <stp>##V3_BDPV12</stp>
        <stp>TAP US EQUITY</stp>
        <stp>INVENT_DAYS</stp>
        <stp>[Molson Coors.xlsx]IS!R45C3</stp>
        <stp>EQY_FUND_RELATIVE_PERIOD</stp>
        <stp>2019</stp>
        <tr r="C45" s="1"/>
      </tp>
      <tp>
        <v>347.59999999999997</v>
        <stp/>
        <stp>##V3_BDPV12</stp>
        <stp>TAP US EQUITY</stp>
        <stp>OTHER_CURRENT_LIABS_SUB_DETAILED</stp>
        <stp>[Molson Coors.xlsx]BS!R24C14</stp>
        <stp>EQY_FUND_RELATIVE_PERIOD</stp>
        <stp>2022</stp>
        <tr r="N24" s="2"/>
      </tp>
      <tp>
        <v>24.2</v>
        <stp/>
        <stp>##V3_BDPV12</stp>
        <stp>TAP US EQUITY</stp>
        <stp>CF_STOCK_BASED_COMPENSATION</stp>
        <stp>[Molson Coors.xlsx]CF_F!R38C4</stp>
        <stp>EQY_FUND_RELATIVE_PERIOD</stp>
        <stp>2020</stp>
        <tr r="D38" s="28"/>
      </tp>
      <tp>
        <v>39.804373311585707</v>
        <stp/>
        <stp>##V3_BDPV12</stp>
        <stp>TAP US EQUITY</stp>
        <stp>INVENT_DAYS</stp>
        <stp>[Molson Coors.xlsx]IS!R45C4</stp>
        <stp>EQY_FUND_RELATIVE_PERIOD</stp>
        <stp>2020</stp>
        <tr r="D45" s="1"/>
      </tp>
      <tp>
        <v>6152.5999999999995</v>
        <stp/>
        <stp>##V3_BDPV12</stp>
        <stp>TAP US EQUITY</stp>
        <stp>BS_GOODWILL</stp>
        <stp>[Molson Coors.xlsx]BS!R13C9</stp>
        <stp>EQY_FUND_RELATIVE_PERIOD</stp>
        <stp>2021</stp>
        <tr r="I13" s="2"/>
      </tp>
      <tp>
        <v>8.5</v>
        <stp/>
        <stp>##V3_BDPV12</stp>
        <stp>TAP US EQUITY</stp>
        <stp>CF_STOCK_BASED_COMPENSATION</stp>
        <stp>[Molson Coors.xlsx]CF_F!R38C3</stp>
        <stp>EQY_FUND_RELATIVE_PERIOD</stp>
        <stp>2019</stp>
        <tr r="C38" s="28"/>
      </tp>
      <tp>
        <v>0.79999999999999993</v>
        <stp/>
        <stp>##V3_BDPV12</stp>
        <stp>TAP US EQUITY</stp>
        <stp>MIN_NONCONTROL_INTEREST_CREDITS</stp>
        <stp>[Molson Coors.xlsx]IS!R26C7</stp>
        <stp>EQY_FUND_YEAR</stp>
        <stp>2021</stp>
        <stp>FUND_PER</stp>
        <stp>Q3</stp>
        <tr r="G26" s="1"/>
      </tp>
      <tp>
        <v>1.7</v>
        <stp/>
        <stp>##V3_BDPV12</stp>
        <stp>TAP US EQUITY</stp>
        <stp>MIN_NONCONTROL_INTEREST_CREDITS</stp>
        <stp>[Molson Coors.xlsx]IS!R26C6</stp>
        <stp>EQY_FUND_YEAR</stp>
        <stp>2021</stp>
        <stp>FUND_PER</stp>
        <stp>Q2</stp>
        <tr r="F26" s="1"/>
      </tp>
      <tp>
        <v>-2.1</v>
        <stp/>
        <stp>##V3_BDPV12</stp>
        <stp>TAP US EQUITY</stp>
        <stp>MIN_NONCONTROL_INTEREST_CREDITS</stp>
        <stp>[Molson Coors.xlsx]IS!R26C5</stp>
        <stp>EQY_FUND_YEAR</stp>
        <stp>2021</stp>
        <stp>FUND_PER</stp>
        <stp>Q1</stp>
        <tr r="E26" s="1"/>
      </tp>
      <tp>
        <v>2.4</v>
        <stp/>
        <stp>##V3_BDPV12</stp>
        <stp>TAP US EQUITY</stp>
        <stp>MIN_NONCONTROL_INTEREST_CREDITS</stp>
        <stp>[Molson Coors.xlsx]IS!R26C8</stp>
        <stp>EQY_FUND_YEAR</stp>
        <stp>2021</stp>
        <stp>FUND_PER</stp>
        <stp>Q4</stp>
        <tr r="H26" s="1"/>
      </tp>
      <tp>
        <v>763.19999999999993</v>
        <stp/>
        <stp>##V3_BDPV12</stp>
        <stp>TAP US EQUITY</stp>
        <stp>PENSION_LIABILITIES</stp>
        <stp>[Molson Coors.xlsx]BS!R28C4</stp>
        <stp>EQY_FUND_RELATIVE_PERIOD</stp>
        <stp>2020</stp>
        <tr r="D28" s="2"/>
      </tp>
      <tp>
        <v>441.79999999999995</v>
        <stp/>
        <stp>##V3_BDPV12</stp>
        <stp>TAP US EQUITY</stp>
        <stp>BS_ST_BORROW</stp>
        <stp>[Molson Coors.xlsx]BS!R23C13</stp>
        <stp>EQY_FUND_YEAR</stp>
        <stp>2022</stp>
        <stp>FUND_PER</stp>
        <stp>Q4</stp>
        <tr r="M23" s="2"/>
      </tp>
      <tp>
        <v>458.79999999999995</v>
        <stp/>
        <stp>##V3_BDPV12</stp>
        <stp>TAP US EQUITY</stp>
        <stp>BS_ST_BORROW</stp>
        <stp>[Molson Coors.xlsx]BS!R23C15</stp>
        <stp>EQY_FUND_YEAR</stp>
        <stp>2023</stp>
        <stp>FUND_PER</stp>
        <stp>Q1</stp>
        <tr r="O23" s="2"/>
      </tp>
      <tp>
        <v>726.5</v>
        <stp/>
        <stp>##V3_BDPV12</stp>
        <stp>TAP US EQUITY</stp>
        <stp>BS_ST_BORROW</stp>
        <stp>[Molson Coors.xlsx]BS!R23C10</stp>
        <stp>EQY_FUND_YEAR</stp>
        <stp>2022</stp>
        <stp>FUND_PER</stp>
        <stp>Q1</stp>
        <tr r="J23" s="2"/>
      </tp>
      <tp>
        <v>291.89999999999998</v>
        <stp/>
        <stp>##V3_BDPV12</stp>
        <stp>TAP US EQUITY</stp>
        <stp>BS_ST_BORROW</stp>
        <stp>[Molson Coors.xlsx]BS!R23C11</stp>
        <stp>EQY_FUND_YEAR</stp>
        <stp>2022</stp>
        <stp>FUND_PER</stp>
        <stp>Q2</stp>
        <tr r="K23" s="2"/>
      </tp>
      <tp>
        <v>546</v>
        <stp/>
        <stp>##V3_BDPV12</stp>
        <stp>TAP US EQUITY</stp>
        <stp>BS_ST_BORROW</stp>
        <stp>[Molson Coors.xlsx]BS!R23C12</stp>
        <stp>EQY_FUND_YEAR</stp>
        <stp>2022</stp>
        <stp>FUND_PER</stp>
        <stp>Q3</stp>
        <tr r="L23" s="2"/>
      </tp>
      <tp>
        <v>225.5</v>
        <stp/>
        <stp>##V3_BDPV12</stp>
        <stp>TAP US EQUITY</stp>
        <stp>MINORITY_NONCONTROLLING_INTEREST</stp>
        <stp>[Molson Coors.xlsx]BS!R38C14</stp>
        <stp>EQY_FUND_RELATIVE_PERIOD</stp>
        <stp>2022</stp>
        <tr r="N38" s="2"/>
      </tp>
      <tp>
        <v>9654</v>
        <stp/>
        <stp>##V3_BDPV12</stp>
        <stp>TAP US EQUITY</stp>
        <stp>SALES_REV_TURN</stp>
        <stp>[Molson Coors.xlsx]IS!R7C4</stp>
        <stp>EQY_FUND_RELATIVE_PERIOD</stp>
        <stp>2020</stp>
        <tr r="D7" s="1"/>
      </tp>
      <tp>
        <v>654.4</v>
        <stp/>
        <stp>##V3_BDPV12</stp>
        <stp>TAP US EQUITY</stp>
        <stp>PENSION_LIABILITIES</stp>
        <stp>[Molson Coors.xlsx]BS!R28C9</stp>
        <stp>EQY_FUND_RELATIVE_PERIOD</stp>
        <stp>2021</stp>
        <tr r="I28" s="2"/>
      </tp>
      <tp>
        <v>4701</v>
        <stp/>
        <stp>##V3_BDPV12</stp>
        <stp>TAP US EQUITY</stp>
        <stp>BS_NET_FIX_ASSET</stp>
        <stp>[Molson Coors.xlsx]BS!R12C3</stp>
        <stp>EQY_FUND_RELATIVE_PERIOD</stp>
        <stp>2019</stp>
        <tr r="C12" s="2"/>
      </tp>
      <tp>
        <v>8.5</v>
        <stp/>
        <stp>##V3_BDPV12</stp>
        <stp>TAP US EQUITY</stp>
        <stp>CF_EFFECT_FOREIGN_EXCHANGES</stp>
        <stp>[Molson Coors.xlsx]CF_F!R30C3</stp>
        <stp>EQY_FUND_RELATIVE_PERIOD</stp>
        <stp>2019</stp>
        <tr r="C30" s="28"/>
      </tp>
      <tp>
        <v>43.058076225045369</v>
        <stp/>
        <stp>##V3_BDPV12</stp>
        <stp>TAP US EQUITY</stp>
        <stp>INVENT_DAYS</stp>
        <stp>[Molson Coors.xlsx]IS!R45C9</stp>
        <stp>EQY_FUND_RELATIVE_PERIOD</stp>
        <stp>2021</stp>
        <tr r="I45" s="1"/>
      </tp>
      <tp>
        <v>6151</v>
        <stp/>
        <stp>##V3_BDPV12</stp>
        <stp>TAP US EQUITY</stp>
        <stp>BS_GOODWILL</stp>
        <stp>[Molson Coors.xlsx]BS!R13C4</stp>
        <stp>EQY_FUND_RELATIVE_PERIOD</stp>
        <stp>2020</stp>
        <tr r="D13" s="2"/>
      </tp>
      <tp t="s">
        <v>#N/A N/A</v>
        <stp/>
        <stp>##V3_BDPV12</stp>
        <stp>TAP US EQUITY</stp>
        <stp>IS_INT_INC</stp>
        <stp>[Molson Coors.xlsx]IS!R21C6</stp>
        <stp>EQY_FUND_YEAR</stp>
        <stp>2021</stp>
        <stp>FUND_PER</stp>
        <stp>Q2</stp>
        <tr r="F21" s="1"/>
      </tp>
      <tp t="s">
        <v>#N/A N/A</v>
        <stp/>
        <stp>##V3_BDPV12</stp>
        <stp>TAP US EQUITY</stp>
        <stp>IS_INT_INC</stp>
        <stp>[Molson Coors.xlsx]IS!R21C7</stp>
        <stp>EQY_FUND_YEAR</stp>
        <stp>2021</stp>
        <stp>FUND_PER</stp>
        <stp>Q3</stp>
        <tr r="G21" s="1"/>
      </tp>
      <tp t="s">
        <v>#N/A N/A</v>
        <stp/>
        <stp>##V3_BDPV12</stp>
        <stp>TAP US EQUITY</stp>
        <stp>IS_INT_INC</stp>
        <stp>[Molson Coors.xlsx]IS!R21C5</stp>
        <stp>EQY_FUND_YEAR</stp>
        <stp>2021</stp>
        <stp>FUND_PER</stp>
        <stp>Q1</stp>
        <tr r="E21" s="1"/>
      </tp>
      <tp t="s">
        <v>#N/A N/A</v>
        <stp/>
        <stp>##V3_BDPV12</stp>
        <stp>TAP US EQUITY</stp>
        <stp>IS_INT_INC</stp>
        <stp>[Molson Coors.xlsx]IS!R21C8</stp>
        <stp>EQY_FUND_YEAR</stp>
        <stp>2021</stp>
        <stp>FUND_PER</stp>
        <stp>Q4</stp>
        <tr r="H21" s="1"/>
      </tp>
      <tp>
        <v>10279.700000000001</v>
        <stp/>
        <stp>##V3_BDPV12</stp>
        <stp>TAP US EQUITY</stp>
        <stp>SALES_REV_TURN</stp>
        <stp>[Molson Coors.xlsx]IS!R7C9</stp>
        <stp>EQY_FUND_RELATIVE_PERIOD</stp>
        <stp>2021</stp>
        <tr r="I7" s="1"/>
      </tp>
      <tp>
        <v>5292.4</v>
        <stp/>
        <stp>##V3_BDPV12</stp>
        <stp>TAP US EQUITY</stp>
        <stp>BS_GOODWILL</stp>
        <stp>[Molson Coors.xlsx]BS!R13C15</stp>
        <stp>EQY_FUND_YEAR</stp>
        <stp>2023</stp>
        <stp>FUND_PER</stp>
        <stp>Q1</stp>
        <tr r="O13" s="2"/>
      </tp>
      <tp>
        <v>6155</v>
        <stp/>
        <stp>##V3_BDPV12</stp>
        <stp>TAP US EQUITY</stp>
        <stp>BS_GOODWILL</stp>
        <stp>[Molson Coors.xlsx]BS!R13C10</stp>
        <stp>EQY_FUND_YEAR</stp>
        <stp>2022</stp>
        <stp>FUND_PER</stp>
        <stp>Q1</stp>
        <tr r="J13" s="2"/>
      </tp>
      <tp>
        <v>6148.5</v>
        <stp/>
        <stp>##V3_BDPV12</stp>
        <stp>TAP US EQUITY</stp>
        <stp>BS_GOODWILL</stp>
        <stp>[Molson Coors.xlsx]BS!R13C11</stp>
        <stp>EQY_FUND_YEAR</stp>
        <stp>2022</stp>
        <stp>FUND_PER</stp>
        <stp>Q2</stp>
        <tr r="K13" s="2"/>
      </tp>
      <tp>
        <v>6133.2999999999993</v>
        <stp/>
        <stp>##V3_BDPV12</stp>
        <stp>TAP US EQUITY</stp>
        <stp>BS_GOODWILL</stp>
        <stp>[Molson Coors.xlsx]BS!R13C12</stp>
        <stp>EQY_FUND_YEAR</stp>
        <stp>2022</stp>
        <stp>FUND_PER</stp>
        <stp>Q3</stp>
        <tr r="L13" s="2"/>
      </tp>
      <tp>
        <v>5291.9</v>
        <stp/>
        <stp>##V3_BDPV12</stp>
        <stp>TAP US EQUITY</stp>
        <stp>BS_GOODWILL</stp>
        <stp>[Molson Coors.xlsx]BS!R13C13</stp>
        <stp>EQY_FUND_YEAR</stp>
        <stp>2022</stp>
        <stp>FUND_PER</stp>
        <stp>Q4</stp>
        <tr r="M13" s="2"/>
      </tp>
      <tp>
        <v>600</v>
        <stp/>
        <stp>##V3_BDPV12</stp>
        <stp>TAP US EQUITY</stp>
        <stp>CASH_CASH_EQTY_STI_DETAILED</stp>
        <stp>[Molson Coors.xlsx]BS!R6C14</stp>
        <stp>EQY_FUND_RELATIVE_PERIOD</stp>
        <stp>2022</stp>
        <tr r="N6" s="2"/>
      </tp>
      <tp>
        <v>61.8</v>
        <stp/>
        <stp>##V3_BDPV12</stp>
        <stp>TAP US EQUITY</stp>
        <stp>IS_NET_INTEREST_EXPENSE</stp>
        <stp>[Molson Coors.xlsx]IS!R20C8</stp>
        <stp>EQY_FUND_YEAR</stp>
        <stp>2021</stp>
        <stp>FUND_PER</stp>
        <stp>Q4</stp>
        <tr r="H20" s="1"/>
      </tp>
      <tp>
        <v>65.3</v>
        <stp/>
        <stp>##V3_BDPV12</stp>
        <stp>TAP US EQUITY</stp>
        <stp>IS_NET_INTEREST_EXPENSE</stp>
        <stp>[Molson Coors.xlsx]IS!R20C5</stp>
        <stp>EQY_FUND_YEAR</stp>
        <stp>2021</stp>
        <stp>FUND_PER</stp>
        <stp>Q1</stp>
        <tr r="E20" s="1"/>
      </tp>
      <tp>
        <v>63.3</v>
        <stp/>
        <stp>##V3_BDPV12</stp>
        <stp>TAP US EQUITY</stp>
        <stp>IS_NET_INTEREST_EXPENSE</stp>
        <stp>[Molson Coors.xlsx]IS!R20C7</stp>
        <stp>EQY_FUND_YEAR</stp>
        <stp>2021</stp>
        <stp>FUND_PER</stp>
        <stp>Q3</stp>
        <tr r="G20" s="1"/>
      </tp>
      <tp>
        <v>67.899999999999991</v>
        <stp/>
        <stp>##V3_BDPV12</stp>
        <stp>TAP US EQUITY</stp>
        <stp>IS_NET_INTEREST_EXPENSE</stp>
        <stp>[Molson Coors.xlsx]IS!R20C6</stp>
        <stp>EQY_FUND_YEAR</stp>
        <stp>2021</stp>
        <stp>FUND_PER</stp>
        <stp>Q2</stp>
        <tr r="F20" s="1"/>
      </tp>
      <tp>
        <v>18.734999999999999</v>
        <stp/>
        <stp>##V3_BDPV12</stp>
        <stp>TAP US EQUITY</stp>
        <stp>TOTAL_BEVERAGE_VOLUME_PRODUCED</stp>
        <stp>[Molson Coors.xlsx]Rev!R5C14</stp>
        <stp>EQY_FUND_YEAR</stp>
        <stp>2022</stp>
        <stp>FUND_PER</stp>
        <stp>Q4</stp>
        <tr r="N5" s="18"/>
      </tp>
      <tp>
        <v>16.530999999999999</v>
        <stp/>
        <stp>##V3_BDPV12</stp>
        <stp>TAP US EQUITY</stp>
        <stp>TOTAL_BEVERAGE_VOLUME_PRODUCED</stp>
        <stp>[Molson Coors.xlsx]Rev!R5C11</stp>
        <stp>EQY_FUND_YEAR</stp>
        <stp>2022</stp>
        <stp>FUND_PER</stp>
        <stp>Q1</stp>
        <tr r="K5" s="18"/>
      </tp>
      <tp>
        <v>21.74</v>
        <stp/>
        <stp>##V3_BDPV12</stp>
        <stp>TAP US EQUITY</stp>
        <stp>TOTAL_BEVERAGE_VOLUME_PRODUCED</stp>
        <stp>[Molson Coors.xlsx]Rev!R5C12</stp>
        <stp>EQY_FUND_YEAR</stp>
        <stp>2022</stp>
        <stp>FUND_PER</stp>
        <stp>Q2</stp>
        <tr r="L5" s="18"/>
      </tp>
      <tp>
        <v>22.09</v>
        <stp/>
        <stp>##V3_BDPV12</stp>
        <stp>TAP US EQUITY</stp>
        <stp>TOTAL_BEVERAGE_VOLUME_PRODUCED</stp>
        <stp>[Molson Coors.xlsx]Rev!R5C13</stp>
        <stp>EQY_FUND_YEAR</stp>
        <stp>2022</stp>
        <stp>FUND_PER</stp>
        <stp>Q3</stp>
        <tr r="M5" s="18"/>
      </tp>
      <tp>
        <v>7631.4</v>
        <stp/>
        <stp>##V3_BDPV12</stp>
        <stp>TAP US EQUITY</stp>
        <stp>BS_GOODWILL</stp>
        <stp>[Molson Coors.xlsx]BS!R13C3</stp>
        <stp>EQY_FUND_RELATIVE_PERIOD</stp>
        <stp>2019</stp>
        <tr r="C13" s="2"/>
      </tp>
      <tp>
        <v>32.1</v>
        <stp/>
        <stp>##V3_BDPV12</stp>
        <stp>TAP US EQUITY</stp>
        <stp>CF_STOCK_BASED_COMPENSATION</stp>
        <stp>[Molson Coors.xlsx]CF_F!R38C9</stp>
        <stp>EQY_FUND_RELATIVE_PERIOD</stp>
        <stp>2021</stp>
        <tr r="I38" s="28"/>
      </tp>
      <tp>
        <v>41.380964546254503</v>
        <stp/>
        <stp>##V3_BDPV12</stp>
        <stp>TAP US EQUITY</stp>
        <stp>INVENT_DAYS</stp>
        <stp>[Molson Coors.xlsx]IS!R45C13</stp>
        <stp>EQY_FUND_YEAR</stp>
        <stp>2022</stp>
        <stp>FUND_PER</stp>
        <stp>Q4</stp>
        <tr r="M45" s="1"/>
      </tp>
      <tp>
        <v>48.379453803362914</v>
        <stp/>
        <stp>##V3_BDPV12</stp>
        <stp>TAP US EQUITY</stp>
        <stp>INVENT_DAYS</stp>
        <stp>[Molson Coors.xlsx]IS!R45C10</stp>
        <stp>EQY_FUND_YEAR</stp>
        <stp>2022</stp>
        <stp>FUND_PER</stp>
        <stp>Q1</stp>
        <tr r="J45" s="1"/>
      </tp>
      <tp>
        <v>42.999373407116401</v>
        <stp/>
        <stp>##V3_BDPV12</stp>
        <stp>TAP US EQUITY</stp>
        <stp>INVENT_DAYS</stp>
        <stp>[Molson Coors.xlsx]IS!R45C12</stp>
        <stp>EQY_FUND_YEAR</stp>
        <stp>2022</stp>
        <stp>FUND_PER</stp>
        <stp>Q3</stp>
        <tr r="L45" s="1"/>
      </tp>
      <tp>
        <v>43.660557563242129</v>
        <stp/>
        <stp>##V3_BDPV12</stp>
        <stp>TAP US EQUITY</stp>
        <stp>INVENT_DAYS</stp>
        <stp>[Molson Coors.xlsx]IS!R45C11</stp>
        <stp>EQY_FUND_YEAR</stp>
        <stp>2022</stp>
        <stp>FUND_PER</stp>
        <stp>Q2</stp>
        <tr r="K45" s="1"/>
      </tp>
      <tp>
        <v>1286.8</v>
        <stp/>
        <stp>##V3_BDPV12</stp>
        <stp>TAP US EQUITY</stp>
        <stp>IS_COGS_TO_FE_AND_PP_AND_G</stp>
        <stp>[Molson Coors.xlsx]IS!R8C10</stp>
        <stp>EQY_FUND_YEAR</stp>
        <stp>2022</stp>
        <stp>FUND_PER</stp>
        <stp>Q1</stp>
        <tr r="J8" s="1"/>
      </tp>
      <tp>
        <v>1951.5</v>
        <stp/>
        <stp>##V3_BDPV12</stp>
        <stp>TAP US EQUITY</stp>
        <stp>IS_COGS_TO_FE_AND_PP_AND_G</stp>
        <stp>[Molson Coors.xlsx]IS!R8C12</stp>
        <stp>EQY_FUND_YEAR</stp>
        <stp>2022</stp>
        <stp>FUND_PER</stp>
        <stp>Q3</stp>
        <tr r="L8" s="1"/>
      </tp>
      <tp>
        <v>2101.6999999999998</v>
        <stp/>
        <stp>##V3_BDPV12</stp>
        <stp>TAP US EQUITY</stp>
        <stp>IS_COGS_TO_FE_AND_PP_AND_G</stp>
        <stp>[Molson Coors.xlsx]IS!R8C11</stp>
        <stp>EQY_FUND_YEAR</stp>
        <stp>2022</stp>
        <stp>FUND_PER</stp>
        <stp>Q2</stp>
        <tr r="K8" s="1"/>
      </tp>
      <tp>
        <v>1705.8</v>
        <stp/>
        <stp>##V3_BDPV12</stp>
        <stp>TAP US EQUITY</stp>
        <stp>IS_COGS_TO_FE_AND_PP_AND_G</stp>
        <stp>[Molson Coors.xlsx]IS!R8C13</stp>
        <stp>EQY_FUND_YEAR</stp>
        <stp>2022</stp>
        <stp>FUND_PER</stp>
        <stp>Q4</stp>
        <tr r="M8" s="1"/>
      </tp>
      <tp>
        <v>4386.5</v>
        <stp/>
        <stp>##V3_BDPV12</stp>
        <stp>TAP US EQUITY</stp>
        <stp>BS_NET_FIX_ASSET</stp>
        <stp>[Molson Coors.xlsx]BS!R12C4</stp>
        <stp>EQY_FUND_RELATIVE_PERIOD</stp>
        <stp>2020</stp>
        <tr r="D12" s="2"/>
      </tp>
      <tp>
        <v>35</v>
        <stp/>
        <stp>##V3_BDPV12</stp>
        <stp>TAP US EQUITY</stp>
        <stp>CF_EFFECT_FOREIGN_EXCHANGES</stp>
        <stp>[Molson Coors.xlsx]CF_F!R30C4</stp>
        <stp>EQY_FUND_RELATIVE_PERIOD</stp>
        <stp>2020</stp>
        <tr r="D30" s="28"/>
      </tp>
      <tp>
        <v>-9.6999999999999993</v>
        <stp/>
        <stp>##V3_BDPV12</stp>
        <stp>TAP US EQUITY</stp>
        <stp>IS_OTHER_NON_OPERATING_INC_LOSS</stp>
        <stp>[Molson Coors.xlsx]IS!R22C6</stp>
        <stp>EQY_FUND_YEAR</stp>
        <stp>2021</stp>
        <stp>FUND_PER</stp>
        <stp>Q2</stp>
        <tr r="F22" s="1"/>
      </tp>
      <tp>
        <v>-12.5</v>
        <stp/>
        <stp>##V3_BDPV12</stp>
        <stp>TAP US EQUITY</stp>
        <stp>IS_OTHER_NON_OPERATING_INC_LOSS</stp>
        <stp>[Molson Coors.xlsx]IS!R22C7</stp>
        <stp>EQY_FUND_YEAR</stp>
        <stp>2021</stp>
        <stp>FUND_PER</stp>
        <stp>Q3</stp>
        <tr r="G22" s="1"/>
      </tp>
      <tp>
        <v>-14.4</v>
        <stp/>
        <stp>##V3_BDPV12</stp>
        <stp>TAP US EQUITY</stp>
        <stp>IS_OTHER_NON_OPERATING_INC_LOSS</stp>
        <stp>[Molson Coors.xlsx]IS!R22C5</stp>
        <stp>EQY_FUND_YEAR</stp>
        <stp>2021</stp>
        <stp>FUND_PER</stp>
        <stp>Q1</stp>
        <tr r="E22" s="1"/>
      </tp>
      <tp>
        <v>-6.3</v>
        <stp/>
        <stp>##V3_BDPV12</stp>
        <stp>TAP US EQUITY</stp>
        <stp>IS_OTHER_NON_OPERATING_INC_LOSS</stp>
        <stp>[Molson Coors.xlsx]IS!R22C8</stp>
        <stp>EQY_FUND_YEAR</stp>
        <stp>2021</stp>
        <stp>FUND_PER</stp>
        <stp>Q4</stp>
        <tr r="H22" s="1"/>
      </tp>
      <tp>
        <v>473.29999999999995</v>
        <stp/>
        <stp>##V3_BDPV12</stp>
        <stp>TAP US EQUITY</stp>
        <stp>PENSION_LIABILITIES</stp>
        <stp>[Molson Coors.xlsx]BS!R28C13</stp>
        <stp>EQY_FUND_YEAR</stp>
        <stp>2022</stp>
        <stp>FUND_PER</stp>
        <stp>Q4</stp>
        <tr r="M28" s="2"/>
      </tp>
      <tp>
        <v>470</v>
        <stp/>
        <stp>##V3_BDPV12</stp>
        <stp>TAP US EQUITY</stp>
        <stp>PENSION_LIABILITIES</stp>
        <stp>[Molson Coors.xlsx]BS!R28C15</stp>
        <stp>EQY_FUND_YEAR</stp>
        <stp>2023</stp>
        <stp>FUND_PER</stp>
        <stp>Q1</stp>
        <tr r="O28" s="2"/>
      </tp>
      <tp>
        <v>649.9</v>
        <stp/>
        <stp>##V3_BDPV12</stp>
        <stp>TAP US EQUITY</stp>
        <stp>PENSION_LIABILITIES</stp>
        <stp>[Molson Coors.xlsx]BS!R28C10</stp>
        <stp>EQY_FUND_YEAR</stp>
        <stp>2022</stp>
        <stp>FUND_PER</stp>
        <stp>Q1</stp>
        <tr r="J28" s="2"/>
      </tp>
      <tp>
        <v>640</v>
        <stp/>
        <stp>##V3_BDPV12</stp>
        <stp>TAP US EQUITY</stp>
        <stp>PENSION_LIABILITIES</stp>
        <stp>[Molson Coors.xlsx]BS!R28C11</stp>
        <stp>EQY_FUND_YEAR</stp>
        <stp>2022</stp>
        <stp>FUND_PER</stp>
        <stp>Q2</stp>
        <tr r="K28" s="2"/>
      </tp>
      <tp>
        <v>625.29999999999995</v>
        <stp/>
        <stp>##V3_BDPV12</stp>
        <stp>TAP US EQUITY</stp>
        <stp>PENSION_LIABILITIES</stp>
        <stp>[Molson Coors.xlsx]BS!R28C12</stp>
        <stp>EQY_FUND_YEAR</stp>
        <stp>2022</stp>
        <stp>FUND_PER</stp>
        <stp>Q3</stp>
        <tr r="L28" s="2"/>
      </tp>
      <tp>
        <v>-329.3</v>
        <stp/>
        <stp>##V3_BDPV12</stp>
        <stp>TAP US EQUITY</stp>
        <stp>CF_DVD_PAID</stp>
        <stp>[Molson Coors.xlsx]CF_F!R23C14</stp>
        <stp>EQY_FUND_RELATIVE_PERIOD</stp>
        <stp>2022</stp>
        <tr r="N23" s="28"/>
      </tp>
      <tp>
        <v>471.4</v>
        <stp/>
        <stp>##V3_BDPV12</stp>
        <stp>TAP US EQUITY</stp>
        <stp>BS_AMT_OF_TSY_STOCK</stp>
        <stp>[Molson Coors.xlsx]BS!R36C4</stp>
        <stp>EQY_FUND_RELATIVE_PERIOD</stp>
        <stp>2020</stp>
        <tr r="D36" s="2"/>
      </tp>
      <tp>
        <v>233.5</v>
        <stp/>
        <stp>##V3_BDPV12</stp>
        <stp>TAP US EQUITY</stp>
        <stp>OTHER_NONCURRENT_ASSETS_DETAILED</stp>
        <stp>[Molson Coors.xlsx]BS!R16C14</stp>
        <stp>EQY_FUND_RELATIVE_PERIOD</stp>
        <stp>2022</stp>
        <tr r="N16" s="2"/>
      </tp>
      <tp>
        <v>21.13502935420745</v>
        <stp/>
        <stp>##V3_BDPV12</stp>
        <stp>TAP US EQUITY</stp>
        <stp>INVENTORY_GROWTH</stp>
        <stp>[Molson Coors.xlsx]IS!R43C9</stp>
        <stp>EQY_FUND_RELATIVE_PERIOD</stp>
        <stp>2021</stp>
        <tr r="I43" s="1"/>
      </tp>
      <tp>
        <v>-125.3</v>
        <stp/>
        <stp>##V3_BDPV12</stp>
        <stp>TAP US EQUITY</stp>
        <stp>CF_DVD_PAID</stp>
        <stp>[Molson Coors.xlsx]CF_F!R23C4</stp>
        <stp>EQY_FUND_RELATIVE_PERIOD</stp>
        <stp>2020</stp>
        <tr r="D23" s="28"/>
      </tp>
      <tp>
        <v>804.69999999999993</v>
        <stp/>
        <stp>##V3_BDPV12</stp>
        <stp>TAP US EQUITY</stp>
        <stp>BS_INVENTORIES</stp>
        <stp>[Molson Coors.xlsx]BS!R8C9</stp>
        <stp>EQY_FUND_RELATIVE_PERIOD</stp>
        <stp>2021</stp>
        <tr r="I8" s="2"/>
      </tp>
      <tp>
        <v>-24.799999999999997</v>
        <stp/>
        <stp>##V3_BDPV12</stp>
        <stp>TAP US EQUITY</stp>
        <stp>CF_EFFECT_FOREIGN_EXCHANGES</stp>
        <stp>[Molson Coors.xlsx]CF_F!R30C14</stp>
        <stp>EQY_FUND_RELATIVE_PERIOD</stp>
        <stp>2022</stp>
        <tr r="N30" s="28"/>
      </tp>
      <tp>
        <v>12800.1</v>
        <stp/>
        <stp>##V3_BDPV12</stp>
        <stp>TAP US EQUITY</stp>
        <stp>OTHER_INTANGIBLE_ASSETS_DETAILED</stp>
        <stp>[Molson Coors.xlsx]BS!R14C14</stp>
        <stp>EQY_FUND_RELATIVE_PERIOD</stp>
        <stp>2022</stp>
        <tr r="N14" s="2"/>
      </tp>
      <tp>
        <v>1167.3999999999999</v>
        <stp/>
        <stp>##V3_BDPV12</stp>
        <stp>TAP US EQUITY</stp>
        <stp>IS_COGS_TO_FE_AND_PP_AND_G</stp>
        <stp>[Molson Coors.xlsx]IS!R8C5</stp>
        <stp>EQY_FUND_YEAR</stp>
        <stp>2021</stp>
        <stp>FUND_PER</stp>
        <stp>Q1</stp>
        <tr r="E8" s="1"/>
      </tp>
      <tp>
        <v>1629.1</v>
        <stp/>
        <stp>##V3_BDPV12</stp>
        <stp>TAP US EQUITY</stp>
        <stp>IS_COGS_TO_FE_AND_PP_AND_G</stp>
        <stp>[Molson Coors.xlsx]IS!R8C7</stp>
        <stp>EQY_FUND_YEAR</stp>
        <stp>2021</stp>
        <stp>FUND_PER</stp>
        <stp>Q3</stp>
        <tr r="G8" s="1"/>
      </tp>
      <tp>
        <v>1667.8999999999999</v>
        <stp/>
        <stp>##V3_BDPV12</stp>
        <stp>TAP US EQUITY</stp>
        <stp>IS_COGS_TO_FE_AND_PP_AND_G</stp>
        <stp>[Molson Coors.xlsx]IS!R8C6</stp>
        <stp>EQY_FUND_YEAR</stp>
        <stp>2021</stp>
        <stp>FUND_PER</stp>
        <stp>Q2</stp>
        <tr r="F8" s="1"/>
      </tp>
      <tp>
        <v>1761.8999999999999</v>
        <stp/>
        <stp>##V3_BDPV12</stp>
        <stp>TAP US EQUITY</stp>
        <stp>IS_COGS_TO_FE_AND_PP_AND_G</stp>
        <stp>[Molson Coors.xlsx]IS!R8C8</stp>
        <stp>EQY_FUND_YEAR</stp>
        <stp>2021</stp>
        <stp>FUND_PER</stp>
        <stp>Q4</stp>
        <tr r="H8" s="1"/>
      </tp>
      <tp>
        <v>8.476923076923077</v>
        <stp/>
        <stp>##V3_BDPV12</stp>
        <stp>TAP US EQUITY</stp>
        <stp>INVENT_TURN</stp>
        <stp>[Molson Coors.xlsx]IS!R44C9</stp>
        <stp>EQY_FUND_RELATIVE_PERIOD</stp>
        <stp>2021</stp>
        <tr r="I44" s="1"/>
      </tp>
      <tp>
        <v>-13.3</v>
        <stp/>
        <stp>##V3_BDPV12</stp>
        <stp>TAP US EQUITY</stp>
        <stp>OTHER_INVESTING_ACT_DETAILED</stp>
        <stp>[Molson Coors.xlsx]CF_F!R19C9</stp>
        <stp>EQY_FUND_RELATIVE_PERIOD</stp>
        <stp>2021</stp>
        <tr r="I19" s="28"/>
      </tp>
      <tp>
        <v>510.2</v>
        <stp/>
        <stp>##V3_BDPV12</stp>
        <stp>TAP US EQUITY</stp>
        <stp>BS_AMT_OF_TSY_STOCK</stp>
        <stp>[Molson Coors.xlsx]BS!R36C12</stp>
        <stp>EQY_FUND_YEAR</stp>
        <stp>2022</stp>
        <stp>FUND_PER</stp>
        <stp>Q3</stp>
        <tr r="L36" s="2"/>
      </tp>
      <tp>
        <v>497.59999999999997</v>
        <stp/>
        <stp>##V3_BDPV12</stp>
        <stp>TAP US EQUITY</stp>
        <stp>BS_AMT_OF_TSY_STOCK</stp>
        <stp>[Molson Coors.xlsx]BS!R36C11</stp>
        <stp>EQY_FUND_YEAR</stp>
        <stp>2022</stp>
        <stp>FUND_PER</stp>
        <stp>Q2</stp>
        <tr r="K36" s="2"/>
      </tp>
      <tp>
        <v>485.5</v>
        <stp/>
        <stp>##V3_BDPV12</stp>
        <stp>TAP US EQUITY</stp>
        <stp>BS_AMT_OF_TSY_STOCK</stp>
        <stp>[Molson Coors.xlsx]BS!R36C10</stp>
        <stp>EQY_FUND_YEAR</stp>
        <stp>2022</stp>
        <stp>FUND_PER</stp>
        <stp>Q1</stp>
        <tr r="J36" s="2"/>
      </tp>
      <tp>
        <v>537.5</v>
        <stp/>
        <stp>##V3_BDPV12</stp>
        <stp>TAP US EQUITY</stp>
        <stp>BS_AMT_OF_TSY_STOCK</stp>
        <stp>[Molson Coors.xlsx]BS!R36C15</stp>
        <stp>EQY_FUND_YEAR</stp>
        <stp>2023</stp>
        <stp>FUND_PER</stp>
        <stp>Q1</stp>
        <tr r="O36" s="2"/>
      </tp>
      <tp>
        <v>522.9</v>
        <stp/>
        <stp>##V3_BDPV12</stp>
        <stp>TAP US EQUITY</stp>
        <stp>BS_AMT_OF_TSY_STOCK</stp>
        <stp>[Molson Coors.xlsx]BS!R36C13</stp>
        <stp>EQY_FUND_YEAR</stp>
        <stp>2022</stp>
        <stp>FUND_PER</stp>
        <stp>Q4</stp>
        <tr r="M36" s="2"/>
      </tp>
      <tp>
        <v>471.4</v>
        <stp/>
        <stp>##V3_BDPV12</stp>
        <stp>TAP US EQUITY</stp>
        <stp>BS_AMT_OF_TSY_STOCK</stp>
        <stp>[Molson Coors.xlsx]BS!R36C3</stp>
        <stp>EQY_FUND_RELATIVE_PERIOD</stp>
        <stp>2019</stp>
        <tr r="C36" s="2"/>
      </tp>
      <tp>
        <v>-424.4</v>
        <stp/>
        <stp>##V3_BDPV12</stp>
        <stp>TAP US EQUITY</stp>
        <stp>CF_DVD_PAID</stp>
        <stp>[Molson Coors.xlsx]CF_F!R23C3</stp>
        <stp>EQY_FUND_RELATIVE_PERIOD</stp>
        <stp>2019</stp>
        <tr r="C23" s="28"/>
      </tp>
      <tp>
        <v>6894.0999999999995</v>
        <stp/>
        <stp>##V3_BDPV12</stp>
        <stp>TAP US EQUITY</stp>
        <stp>BS_PURE_RETAINED_EARNINGS</stp>
        <stp>[Molson Coors.xlsx]BS!R37C14</stp>
        <stp>EQY_FUND_RELATIVE_PERIOD</stp>
        <stp>2022</stp>
        <tr r="N37" s="2"/>
      </tp>
      <tp>
        <v>4.4000000000000004</v>
        <stp/>
        <stp>##V3_BDPV12</stp>
        <stp>TAP US EQUITY</stp>
        <stp>OTHER_INVESTING_ACT_DETAILED</stp>
        <stp>[Molson Coors.xlsx]CF_F!R19C10</stp>
        <stp>EQY_FUND_YEAR</stp>
        <stp>2022</stp>
        <stp>FUND_PER</stp>
        <stp>Q1</stp>
        <tr r="J19" s="28"/>
      </tp>
      <tp>
        <v>-0.2</v>
        <stp/>
        <stp>##V3_BDPV12</stp>
        <stp>TAP US EQUITY</stp>
        <stp>OTHER_INVESTING_ACT_DETAILED</stp>
        <stp>[Molson Coors.xlsx]CF_F!R19C11</stp>
        <stp>EQY_FUND_YEAR</stp>
        <stp>2022</stp>
        <stp>FUND_PER</stp>
        <stp>Q2</stp>
        <tr r="K19" s="28"/>
      </tp>
      <tp>
        <v>-0.5</v>
        <stp/>
        <stp>##V3_BDPV12</stp>
        <stp>TAP US EQUITY</stp>
        <stp>OTHER_INVESTING_ACT_DETAILED</stp>
        <stp>[Molson Coors.xlsx]CF_F!R19C12</stp>
        <stp>EQY_FUND_YEAR</stp>
        <stp>2022</stp>
        <stp>FUND_PER</stp>
        <stp>Q3</stp>
        <tr r="L19" s="28"/>
      </tp>
      <tp>
        <v>0.4</v>
        <stp/>
        <stp>##V3_BDPV12</stp>
        <stp>TAP US EQUITY</stp>
        <stp>OTHER_INVESTING_ACT_DETAILED</stp>
        <stp>[Molson Coors.xlsx]CF_F!R19C13</stp>
        <stp>EQY_FUND_YEAR</stp>
        <stp>2022</stp>
        <stp>FUND_PER</stp>
        <stp>Q4</stp>
        <tr r="M19" s="28"/>
      </tp>
      <tp>
        <v>-136.9</v>
        <stp/>
        <stp>##V3_BDPV12</stp>
        <stp>TAP US EQUITY</stp>
        <stp>NON_CASH_ITEMS_DETAILED</stp>
        <stp>[Molson Coors.xlsx]CF_F!R13C10</stp>
        <stp>EQY_FUND_YEAR</stp>
        <stp>2022</stp>
        <stp>FUND_PER</stp>
        <stp>Q1</stp>
        <tr r="J13" s="28"/>
      </tp>
      <tp>
        <v>76</v>
        <stp/>
        <stp>##V3_BDPV12</stp>
        <stp>TAP US EQUITY</stp>
        <stp>NON_CASH_ITEMS_DETAILED</stp>
        <stp>[Molson Coors.xlsx]CF_F!R13C12</stp>
        <stp>EQY_FUND_YEAR</stp>
        <stp>2022</stp>
        <stp>FUND_PER</stp>
        <stp>Q3</stp>
        <tr r="L13" s="28"/>
      </tp>
      <tp>
        <v>312.29999999999995</v>
        <stp/>
        <stp>##V3_BDPV12</stp>
        <stp>TAP US EQUITY</stp>
        <stp>NON_CASH_ITEMS_DETAILED</stp>
        <stp>[Molson Coors.xlsx]CF_F!R13C11</stp>
        <stp>EQY_FUND_YEAR</stp>
        <stp>2022</stp>
        <stp>FUND_PER</stp>
        <stp>Q2</stp>
        <tr r="K13" s="28"/>
      </tp>
      <tp>
        <v>924.3</v>
        <stp/>
        <stp>##V3_BDPV12</stp>
        <stp>TAP US EQUITY</stp>
        <stp>NON_CASH_ITEMS_DETAILED</stp>
        <stp>[Molson Coors.xlsx]CF_F!R13C13</stp>
        <stp>EQY_FUND_YEAR</stp>
        <stp>2022</stp>
        <stp>FUND_PER</stp>
        <stp>Q4</stp>
        <tr r="M13" s="28"/>
      </tp>
      <tp>
        <v>4.0723217303142993</v>
        <stp/>
        <stp>##V3_BDPV12</stp>
        <stp>TAP US EQUITY</stp>
        <stp>INVENTORY_GROWTH</stp>
        <stp>[Molson Coors.xlsx]IS!R43C3</stp>
        <stp>EQY_FUND_RELATIVE_PERIOD</stp>
        <stp>2019</stp>
        <tr r="C43" s="1"/>
      </tp>
      <tp>
        <v>28.222854819032129</v>
        <stp/>
        <stp>##V3_BDPV12</stp>
        <stp>TAP US EQUITY</stp>
        <stp>EXCISE_TAX_PER_HECTOLITER</stp>
        <stp>[Molson Coors.xlsx]Rev!R11C7</stp>
        <stp>EQY_FUND_YEAR</stp>
        <stp>2021</stp>
        <stp>FUND_PER</stp>
        <stp>Q2</stp>
        <tr r="G11" s="18"/>
      </tp>
      <tp>
        <v>27.181580231578014</v>
        <stp/>
        <stp>##V3_BDPV12</stp>
        <stp>TAP US EQUITY</stp>
        <stp>EXCISE_TAX_PER_HECTOLITER</stp>
        <stp>[Molson Coors.xlsx]Rev!R11C8</stp>
        <stp>EQY_FUND_YEAR</stp>
        <stp>2021</stp>
        <stp>FUND_PER</stp>
        <stp>Q3</stp>
        <tr r="H11" s="18"/>
      </tp>
      <tp>
        <v>22.015017232890198</v>
        <stp/>
        <stp>##V3_BDPV12</stp>
        <stp>TAP US EQUITY</stp>
        <stp>EXCISE_TAX_PER_HECTOLITER</stp>
        <stp>[Molson Coors.xlsx]Rev!R11C6</stp>
        <stp>EQY_FUND_YEAR</stp>
        <stp>2021</stp>
        <stp>FUND_PER</stp>
        <stp>Q1</stp>
        <tr r="F11" s="18"/>
      </tp>
      <tp>
        <v>29.119627398369872</v>
        <stp/>
        <stp>##V3_BDPV12</stp>
        <stp>TAP US EQUITY</stp>
        <stp>EXCISE_TAX_PER_HECTOLITER</stp>
        <stp>[Molson Coors.xlsx]Rev!R11C9</stp>
        <stp>EQY_FUND_YEAR</stp>
        <stp>2021</stp>
        <stp>FUND_PER</stp>
        <stp>Q4</stp>
        <tr r="I11" s="18"/>
      </tp>
      <tp>
        <v>4355.5</v>
        <stp/>
        <stp>##V3_BDPV12</stp>
        <stp>TAP US EQUITY</stp>
        <stp>BS_NET_FIX_ASSET</stp>
        <stp>[Molson Coors.xlsx]BS!R12C14</stp>
        <stp>EQY_FUND_RELATIVE_PERIOD</stp>
        <stp>2022</stp>
        <tr r="N12" s="2"/>
      </tp>
      <tp>
        <v>615.9</v>
        <stp/>
        <stp>##V3_BDPV12</stp>
        <stp>TAP US EQUITY</stp>
        <stp>BS_INVENTORIES</stp>
        <stp>[Molson Coors.xlsx]BS!R8C3</stp>
        <stp>EQY_FUND_RELATIVE_PERIOD</stp>
        <stp>2019</stp>
        <tr r="C8" s="2"/>
      </tp>
      <tp>
        <v>9.1949695360099994</v>
        <stp/>
        <stp>##V3_BDPV12</stp>
        <stp>TAP US EQUITY</stp>
        <stp>INVENT_TURN</stp>
        <stp>[Molson Coors.xlsx]IS!R44C4</stp>
        <stp>EQY_FUND_RELATIVE_PERIOD</stp>
        <stp>2020</stp>
        <tr r="D44" s="1"/>
      </tp>
      <tp>
        <v>2.4</v>
        <stp/>
        <stp>##V3_BDPV12</stp>
        <stp>TAP US EQUITY</stp>
        <stp>OTHER_INVESTING_ACT_DETAILED</stp>
        <stp>[Molson Coors.xlsx]CF_F!R19C4</stp>
        <stp>EQY_FUND_RELATIVE_PERIOD</stp>
        <stp>2020</stp>
        <tr r="D19" s="28"/>
      </tp>
      <tp>
        <v>-1006</v>
        <stp/>
        <stp>##V3_BDPV12</stp>
        <stp>TAP US EQUITY</stp>
        <stp>OTHER_EQUITY_RATIO</stp>
        <stp>[Molson Coors.xlsx]BS!R35C8</stp>
        <stp>EQY_FUND_YEAR</stp>
        <stp>2021</stp>
        <stp>FUND_PER</stp>
        <stp>Q4</stp>
        <tr r="H35" s="2"/>
      </tp>
      <tp>
        <v>-1045.4000000000001</v>
        <stp/>
        <stp>##V3_BDPV12</stp>
        <stp>TAP US EQUITY</stp>
        <stp>OTHER_EQUITY_RATIO</stp>
        <stp>[Molson Coors.xlsx]BS!R35C5</stp>
        <stp>EQY_FUND_YEAR</stp>
        <stp>2021</stp>
        <stp>FUND_PER</stp>
        <stp>Q1</stp>
        <tr r="E35" s="2"/>
      </tp>
      <tp>
        <v>-1134.5</v>
        <stp/>
        <stp>##V3_BDPV12</stp>
        <stp>TAP US EQUITY</stp>
        <stp>OTHER_EQUITY_RATIO</stp>
        <stp>[Molson Coors.xlsx]BS!R35C7</stp>
        <stp>EQY_FUND_YEAR</stp>
        <stp>2021</stp>
        <stp>FUND_PER</stp>
        <stp>Q3</stp>
        <tr r="G35" s="2"/>
      </tp>
      <tp>
        <v>-1038.0999999999999</v>
        <stp/>
        <stp>##V3_BDPV12</stp>
        <stp>TAP US EQUITY</stp>
        <stp>OTHER_EQUITY_RATIO</stp>
        <stp>[Molson Coors.xlsx]BS!R35C6</stp>
        <stp>EQY_FUND_YEAR</stp>
        <stp>2021</stp>
        <stp>FUND_PER</stp>
        <stp>Q2</stp>
        <tr r="F35" s="2"/>
      </tp>
      <tp>
        <v>7.5445250267506827</v>
        <stp/>
        <stp>##V3_BDPV12</stp>
        <stp>TAP US EQUITY</stp>
        <stp>INVENT_TURN</stp>
        <stp>[Molson Coors.xlsx]IS!R44C10</stp>
        <stp>EQY_FUND_YEAR</stp>
        <stp>2022</stp>
        <stp>FUND_PER</stp>
        <stp>Q1</stp>
        <tr r="J44" s="1"/>
      </tp>
      <tp>
        <v>8.3599482088908061</v>
        <stp/>
        <stp>##V3_BDPV12</stp>
        <stp>TAP US EQUITY</stp>
        <stp>INVENT_TURN</stp>
        <stp>[Molson Coors.xlsx]IS!R44C11</stp>
        <stp>EQY_FUND_YEAR</stp>
        <stp>2022</stp>
        <stp>FUND_PER</stp>
        <stp>Q2</stp>
        <tr r="K44" s="1"/>
      </tp>
      <tp>
        <v>8.4884957867686612</v>
        <stp/>
        <stp>##V3_BDPV12</stp>
        <stp>TAP US EQUITY</stp>
        <stp>INVENT_TURN</stp>
        <stp>[Molson Coors.xlsx]IS!R44C12</stp>
        <stp>EQY_FUND_YEAR</stp>
        <stp>2022</stp>
        <stp>FUND_PER</stp>
        <stp>Q3</stp>
        <tr r="L44" s="1"/>
      </tp>
      <tp>
        <v>8.8204807210816227</v>
        <stp/>
        <stp>##V3_BDPV12</stp>
        <stp>TAP US EQUITY</stp>
        <stp>INVENT_TURN</stp>
        <stp>[Molson Coors.xlsx]IS!R44C13</stp>
        <stp>EQY_FUND_YEAR</stp>
        <stp>2022</stp>
        <stp>FUND_PER</stp>
        <stp>Q4</stp>
        <tr r="M44" s="1"/>
      </tp>
      <tp>
        <v>664.3</v>
        <stp/>
        <stp>##V3_BDPV12</stp>
        <stp>TAP US EQUITY</stp>
        <stp>BS_INVENTORIES</stp>
        <stp>[Molson Coors.xlsx]BS!R8C4</stp>
        <stp>EQY_FUND_RELATIVE_PERIOD</stp>
        <stp>2020</stp>
        <tr r="D8" s="2"/>
      </tp>
      <tp>
        <v>10.562556926389005</v>
        <stp/>
        <stp>##V3_BDPV12</stp>
        <stp>TAP US EQUITY</stp>
        <stp>INVENT_TURN</stp>
        <stp>[Molson Coors.xlsx]IS!R44C3</stp>
        <stp>EQY_FUND_RELATIVE_PERIOD</stp>
        <stp>2019</stp>
        <tr r="C44" s="1"/>
      </tp>
      <tp>
        <v>44.6</v>
        <stp/>
        <stp>##V3_BDPV12</stp>
        <stp>TAP US EQUITY</stp>
        <stp>OTHER_INVESTING_ACT_DETAILED</stp>
        <stp>[Molson Coors.xlsx]CF_F!R19C3</stp>
        <stp>EQY_FUND_RELATIVE_PERIOD</stp>
        <stp>2019</stp>
        <tr r="C19" s="28"/>
      </tp>
      <tp>
        <v>471.4</v>
        <stp/>
        <stp>##V3_BDPV12</stp>
        <stp>TAP US EQUITY</stp>
        <stp>BS_AMT_OF_TSY_STOCK</stp>
        <stp>[Molson Coors.xlsx]BS!R36C9</stp>
        <stp>EQY_FUND_RELATIVE_PERIOD</stp>
        <stp>2021</stp>
        <tr r="I36" s="2"/>
      </tp>
      <tp>
        <v>7.8584185744439008</v>
        <stp/>
        <stp>##V3_BDPV12</stp>
        <stp>TAP US EQUITY</stp>
        <stp>INVENTORY_GROWTH</stp>
        <stp>[Molson Coors.xlsx]IS!R43C4</stp>
        <stp>EQY_FUND_RELATIVE_PERIOD</stp>
        <stp>2020</stp>
        <tr r="D43" s="1"/>
      </tp>
      <tp>
        <v>-147.79999999999998</v>
        <stp/>
        <stp>##V3_BDPV12</stp>
        <stp>TAP US EQUITY</stp>
        <stp>CF_DVD_PAID</stp>
        <stp>[Molson Coors.xlsx]CF_F!R23C9</stp>
        <stp>EQY_FUND_RELATIVE_PERIOD</stp>
        <stp>2021</stp>
        <tr r="I23" s="28"/>
      </tp>
      <tp>
        <v>739.8</v>
        <stp/>
        <stp>##V3_BDPV12</stp>
        <stp>TAP US EQUITY</stp>
        <stp>BS_ACCT_NOTE_RCV</stp>
        <stp>[Molson Coors.xlsx]BS!R7C14</stp>
        <stp>EQY_FUND_RELATIVE_PERIOD</stp>
        <stp>2022</stp>
        <tr r="N7" s="2"/>
      </tp>
      <tp>
        <v>7493</v>
        <stp/>
        <stp>##V3_BDPV12</stp>
        <stp>TAP US EQUITY</stp>
        <stp>BS_SH_CAP_AND_APIC</stp>
        <stp>[Molson Coors.xlsx]BS!R34C8</stp>
        <stp>EQY_FUND_YEAR</stp>
        <stp>2021</stp>
        <stp>FUND_PER</stp>
        <stp>Q4</stp>
        <tr r="H34" s="2"/>
      </tp>
      <tp>
        <v>7469.2999999999993</v>
        <stp/>
        <stp>##V3_BDPV12</stp>
        <stp>TAP US EQUITY</stp>
        <stp>BS_SH_CAP_AND_APIC</stp>
        <stp>[Molson Coors.xlsx]BS!R34C5</stp>
        <stp>EQY_FUND_YEAR</stp>
        <stp>2021</stp>
        <stp>FUND_PER</stp>
        <stp>Q1</stp>
        <tr r="E34" s="2"/>
      </tp>
      <tp>
        <v>7477.4</v>
        <stp/>
        <stp>##V3_BDPV12</stp>
        <stp>TAP US EQUITY</stp>
        <stp>BS_SH_CAP_AND_APIC</stp>
        <stp>[Molson Coors.xlsx]BS!R34C6</stp>
        <stp>EQY_FUND_YEAR</stp>
        <stp>2021</stp>
        <stp>FUND_PER</stp>
        <stp>Q2</stp>
        <tr r="F34" s="2"/>
      </tp>
      <tp>
        <v>7485.5999999999995</v>
        <stp/>
        <stp>##V3_BDPV12</stp>
        <stp>TAP US EQUITY</stp>
        <stp>BS_SH_CAP_AND_APIC</stp>
        <stp>[Molson Coors.xlsx]BS!R34C7</stp>
        <stp>EQY_FUND_YEAR</stp>
        <stp>2021</stp>
        <stp>FUND_PER</stp>
        <stp>Q3</stp>
        <tr r="G34" s="2"/>
      </tp>
      <tp>
        <v>230.5</v>
        <stp/>
        <stp>##V3_BDPV12</stp>
        <stp>TAP US EQUITY</stp>
        <stp>IS_INC_TAX_EXP</stp>
        <stp>[Molson Coors.xlsx]IS!R25C9</stp>
        <stp>EQY_FUND_RELATIVE_PERIOD</stp>
        <stp>2021</stp>
        <tr r="I25" s="1"/>
      </tp>
    </main>
    <main first="bloomberg.rtd">
      <tp>
        <v>176.7</v>
        <stp/>
        <stp>##V3_BDPV12</stp>
        <stp>TAP US EQUITY</stp>
        <stp>OTHER_NONCURRENT_ASSETS_DETAILED</stp>
        <stp>[Molson Coors.xlsx]BS!R16C3</stp>
        <stp>EQY_FUND_RELATIVE_PERIOD</stp>
        <stp>2019</stp>
        <tr r="C16" s="2"/>
      </tp>
      <tp>
        <v>247</v>
        <stp/>
        <stp>##V3_BDPV12</stp>
        <stp>TAP US EQUITY</stp>
        <stp>MINORITY_NONCONTROLLING_INTEREST</stp>
        <stp>[Molson Coors.xlsx]BS!R38C9</stp>
        <stp>EQY_FUND_RELATIVE_PERIOD</stp>
        <stp>2021</stp>
        <tr r="I38" s="2"/>
      </tp>
      <tp>
        <v>13556.1</v>
        <stp/>
        <stp>##V3_BDPV12</stp>
        <stp>TAP US EQUITY</stp>
        <stp>OTHER_INTANGIBLE_ASSETS_DETAILED</stp>
        <stp>[Molson Coors.xlsx]BS!R14C4</stp>
        <stp>EQY_FUND_RELATIVE_PERIOD</stp>
        <stp>2020</stp>
        <tr r="D14" s="2"/>
      </tp>
      <tp>
        <v>127.42429313401014</v>
        <stp/>
        <stp>##V3_BDPV12</stp>
        <stp>TAP US EQUITY</stp>
        <stp>BREWER_REVENUE_PER_HECTOLITER</stp>
        <stp>[Molson Coors.xlsx]Rev!R14C10</stp>
        <stp>EQY_FUND_RELATIVE_PERIOD</stp>
        <stp>2021</stp>
        <tr r="J14" s="18"/>
      </tp>
      <tp>
        <v>-48.4</v>
        <stp/>
        <stp>##V3_BDPV12</stp>
        <stp>TAP US EQUITY</stp>
        <stp>NET_CAP_STOCK</stp>
        <stp>[Molson Coors.xlsx]CF_F!R25C14</stp>
        <stp>EQY_FUND_RELATIVE_PERIOD</stp>
        <stp>2022</stp>
        <tr r="N25" s="28"/>
      </tp>
      <tp>
        <v>-37.4</v>
        <stp/>
        <stp>##V3_BDPV12</stp>
        <stp>TAP US EQUITY</stp>
        <stp>CF_NET_CHNG_CASH</stp>
        <stp>[Molson Coors.xlsx]CF_F!R31C14</stp>
        <stp>EQY_FUND_RELATIVE_PERIOD</stp>
        <stp>2022</stp>
        <tr r="N31" s="28"/>
      </tp>
      <tp>
        <v>2646.4</v>
        <stp/>
        <stp>##V3_BDPV12</stp>
        <stp>TAP US EQUITY</stp>
        <stp>BS_DEFERRED_TAX_LIABILITIES_LT</stp>
        <stp>[Molson Coors.xlsx]BS!R29C14</stp>
        <stp>EQY_FUND_RELATIVE_PERIOD</stp>
        <stp>2022</stp>
        <tr r="N29" s="2"/>
      </tp>
      <tp>
        <v>13656</v>
        <stp/>
        <stp>##V3_BDPV12</stp>
        <stp>TAP US EQUITY</stp>
        <stp>OTHER_INTANGIBLE_ASSETS_DETAILED</stp>
        <stp>[Molson Coors.xlsx]BS!R14C3</stp>
        <stp>EQY_FUND_RELATIVE_PERIOD</stp>
        <stp>2019</stp>
        <tr r="C14" s="2"/>
      </tp>
      <tp>
        <v>135.29129159502375</v>
        <stp/>
        <stp>##V3_BDPV12</stp>
        <stp>TAP US EQUITY</stp>
        <stp>BREWER_REVENUE_PER_HECTOLITER</stp>
        <stp>[Molson Coors.xlsx]Rev!R14C15</stp>
        <stp>EQY_FUND_RELATIVE_PERIOD</stp>
        <stp>2022</stp>
        <tr r="O14" s="18"/>
      </tp>
      <tp>
        <v>2626.9</v>
        <stp/>
        <stp>##V3_BDPV12</stp>
        <stp>TAP US EQUITY</stp>
        <stp>ACCT_PAYABLE_ACCRUALS_DETAILED</stp>
        <stp>[Molson Coors.xlsx]BS!R22C9</stp>
        <stp>EQY_FUND_RELATIVE_PERIOD</stp>
        <stp>2021</stp>
        <tr r="I22" s="2"/>
      </tp>
      <tp>
        <v>2776.6</v>
        <stp/>
        <stp>##V3_BDPV12</stp>
        <stp>TAP US EQUITY</stp>
        <stp>BS_DEFERRED_TAX_LIABILITIES_LT</stp>
        <stp>[Molson Coors.xlsx]BS!R29C10</stp>
        <stp>EQY_FUND_YEAR</stp>
        <stp>2022</stp>
        <stp>FUND_PER</stp>
        <stp>Q1</stp>
        <tr r="J29" s="2"/>
      </tp>
      <tp>
        <v>2658.6</v>
        <stp/>
        <stp>##V3_BDPV12</stp>
        <stp>TAP US EQUITY</stp>
        <stp>BS_DEFERRED_TAX_LIABILITIES_LT</stp>
        <stp>[Molson Coors.xlsx]BS!R29C15</stp>
        <stp>EQY_FUND_YEAR</stp>
        <stp>2023</stp>
        <stp>FUND_PER</stp>
        <stp>Q1</stp>
        <tr r="O29" s="2"/>
      </tp>
      <tp>
        <v>2727.6</v>
        <stp/>
        <stp>##V3_BDPV12</stp>
        <stp>TAP US EQUITY</stp>
        <stp>BS_DEFERRED_TAX_LIABILITIES_LT</stp>
        <stp>[Molson Coors.xlsx]BS!R29C12</stp>
        <stp>EQY_FUND_YEAR</stp>
        <stp>2022</stp>
        <stp>FUND_PER</stp>
        <stp>Q3</stp>
        <tr r="L29" s="2"/>
      </tp>
      <tp>
        <v>2782.7</v>
        <stp/>
        <stp>##V3_BDPV12</stp>
        <stp>TAP US EQUITY</stp>
        <stp>BS_DEFERRED_TAX_LIABILITIES_LT</stp>
        <stp>[Molson Coors.xlsx]BS!R29C11</stp>
        <stp>EQY_FUND_YEAR</stp>
        <stp>2022</stp>
        <stp>FUND_PER</stp>
        <stp>Q2</stp>
        <tr r="K29" s="2"/>
      </tp>
      <tp>
        <v>2646.4</v>
        <stp/>
        <stp>##V3_BDPV12</stp>
        <stp>TAP US EQUITY</stp>
        <stp>BS_DEFERRED_TAX_LIABILITIES_LT</stp>
        <stp>[Molson Coors.xlsx]BS!R29C13</stp>
        <stp>EQY_FUND_YEAR</stp>
        <stp>2022</stp>
        <stp>FUND_PER</stp>
        <stp>Q4</stp>
        <tr r="M29" s="2"/>
      </tp>
      <tp>
        <v>132.1</v>
        <stp/>
        <stp>##V3_BDPV12</stp>
        <stp>TAP US EQUITY</stp>
        <stp>OTHER_NONCURRENT_ASSETS_DETAILED</stp>
        <stp>[Molson Coors.xlsx]BS!R16C4</stp>
        <stp>EQY_FUND_RELATIVE_PERIOD</stp>
        <stp>2020</stp>
        <tr r="D16" s="2"/>
      </tp>
      <tp>
        <v>117.68434654346422</v>
        <stp/>
        <stp>##V3_BDPV12</stp>
        <stp>TAP US EQUITY</stp>
        <stp>BREWER_REVENUE_PER_HECTOLITER</stp>
        <stp>[Molson Coors.xlsx]Rev!R14C5</stp>
        <stp>EQY_FUND_RELATIVE_PERIOD</stp>
        <stp>2020</stp>
        <tr r="E14" s="18"/>
      </tp>
      <tp>
        <v>118.94182987430575</v>
        <stp/>
        <stp>##V3_BDPV12</stp>
        <stp>TAP US EQUITY</stp>
        <stp>BREWER_REVENUE_PER_HECTOLITER</stp>
        <stp>[Molson Coors.xlsx]Rev!R14C4</stp>
        <stp>EQY_FUND_RELATIVE_PERIOD</stp>
        <stp>2019</stp>
        <tr r="D14" s="18"/>
      </tp>
      <tp>
        <v>27.7</v>
        <stp/>
        <stp>##V3_BDPV12</stp>
        <stp>TAP US EQUITY</stp>
        <stp>OTHER_OPERATING_EXPENSES_RATIO</stp>
        <stp>[Molson Coors.xlsx]IS!R14C10</stp>
        <stp>EQY_FUND_YEAR</stp>
        <stp>2022</stp>
        <stp>FUND_PER</stp>
        <stp>Q1</stp>
        <tr r="J14" s="1"/>
      </tp>
      <tp>
        <v>-6.4</v>
        <stp/>
        <stp>##V3_BDPV12</stp>
        <stp>TAP US EQUITY</stp>
        <stp>OTHER_OPERATING_EXPENSES_RATIO</stp>
        <stp>[Molson Coors.xlsx]IS!R14C12</stp>
        <stp>EQY_FUND_YEAR</stp>
        <stp>2022</stp>
        <stp>FUND_PER</stp>
        <stp>Q3</stp>
        <tr r="L14" s="1"/>
      </tp>
      <tp>
        <v>-2.1</v>
        <stp/>
        <stp>##V3_BDPV12</stp>
        <stp>TAP US EQUITY</stp>
        <stp>OTHER_OPERATING_EXPENSES_RATIO</stp>
        <stp>[Molson Coors.xlsx]IS!R14C11</stp>
        <stp>EQY_FUND_YEAR</stp>
        <stp>2022</stp>
        <stp>FUND_PER</stp>
        <stp>Q2</stp>
        <tr r="K14" s="1"/>
      </tp>
      <tp>
        <v>233.7</v>
        <stp/>
        <stp>##V3_BDPV12</stp>
        <stp>TAP US EQUITY</stp>
        <stp>IS_INC_TAX_EXP</stp>
        <stp>[Molson Coors.xlsx]IS!R25C3</stp>
        <stp>EQY_FUND_RELATIVE_PERIOD</stp>
        <stp>2019</stp>
        <tr r="C25" s="1"/>
      </tp>
      <tp>
        <v>2254.8000000000002</v>
        <stp/>
        <stp>##V3_BDPV12</stp>
        <stp>TAP US EQUITY</stp>
        <stp>ACCT_PAYABLE_ACCRUALS_DETAILED</stp>
        <stp>[Molson Coors.xlsx]BS!R22C4</stp>
        <stp>EQY_FUND_RELATIVE_PERIOD</stp>
        <stp>2020</stp>
        <tr r="D22" s="2"/>
      </tp>
      <tp>
        <v>498.1</v>
        <stp/>
        <stp>##V3_BDPV12</stp>
        <stp>TAP US EQUITY</stp>
        <stp>OTHER_NONCURRENT_ASSETS_DETAILED</stp>
        <stp>[Molson Coors.xlsx]BS!R16C9</stp>
        <stp>EQY_FUND_RELATIVE_PERIOD</stp>
        <stp>2021</stp>
        <tr r="I16" s="2"/>
      </tp>
      <tp>
        <v>253.7</v>
        <stp/>
        <stp>##V3_BDPV12</stp>
        <stp>TAP US EQUITY</stp>
        <stp>MINORITY_NONCONTROLLING_INTEREST</stp>
        <stp>[Molson Coors.xlsx]BS!R38C3</stp>
        <stp>EQY_FUND_RELATIVE_PERIOD</stp>
        <stp>2019</stp>
        <tr r="C38" s="2"/>
      </tp>
      <tp>
        <v>672.2</v>
        <stp/>
        <stp>##V3_BDPV12</stp>
        <stp>TAP US EQUITY</stp>
        <stp>OTHER_CURRENT_ASSETS_DETAILED</stp>
        <stp>[Molson Coors.xlsx]BS!R9C11</stp>
        <stp>EQY_FUND_YEAR</stp>
        <stp>2022</stp>
        <stp>FUND_PER</stp>
        <stp>Q2</stp>
        <tr r="K9" s="2"/>
      </tp>
      <tp>
        <v>547.6</v>
        <stp/>
        <stp>##V3_BDPV12</stp>
        <stp>TAP US EQUITY</stp>
        <stp>OTHER_CURRENT_ASSETS_DETAILED</stp>
        <stp>[Molson Coors.xlsx]BS!R9C12</stp>
        <stp>EQY_FUND_YEAR</stp>
        <stp>2022</stp>
        <stp>FUND_PER</stp>
        <stp>Q3</stp>
        <tr r="L9" s="2"/>
      </tp>
      <tp>
        <v>504</v>
        <stp/>
        <stp>##V3_BDPV12</stp>
        <stp>TAP US EQUITY</stp>
        <stp>OTHER_CURRENT_ASSETS_DETAILED</stp>
        <stp>[Molson Coors.xlsx]BS!R9C15</stp>
        <stp>EQY_FUND_YEAR</stp>
        <stp>2023</stp>
        <stp>FUND_PER</stp>
        <stp>Q1</stp>
        <tr r="O9" s="2"/>
      </tp>
      <tp>
        <v>814.9</v>
        <stp/>
        <stp>##V3_BDPV12</stp>
        <stp>TAP US EQUITY</stp>
        <stp>OTHER_CURRENT_ASSETS_DETAILED</stp>
        <stp>[Molson Coors.xlsx]BS!R9C10</stp>
        <stp>EQY_FUND_YEAR</stp>
        <stp>2022</stp>
        <stp>FUND_PER</stp>
        <stp>Q1</stp>
        <tr r="J9" s="2"/>
      </tp>
      <tp>
        <v>505.3</v>
        <stp/>
        <stp>##V3_BDPV12</stp>
        <stp>TAP US EQUITY</stp>
        <stp>OTHER_CURRENT_ASSETS_DETAILED</stp>
        <stp>[Molson Coors.xlsx]BS!R9C13</stp>
        <stp>EQY_FUND_YEAR</stp>
        <stp>2022</stp>
        <stp>FUND_PER</stp>
        <stp>Q4</stp>
        <tr r="M9" s="2"/>
      </tp>
      <tp>
        <v>792.9</v>
        <stp/>
        <stp>##V3_BDPV12</stp>
        <stp>TAP US EQUITY</stp>
        <stp>BS_INVENTORIES</stp>
        <stp>[Molson Coors.xlsx]BS!R8C14</stp>
        <stp>EQY_FUND_RELATIVE_PERIOD</stp>
        <stp>2022</stp>
        <tr r="N8" s="2"/>
      </tp>
      <tp>
        <v>256.3</v>
        <stp/>
        <stp>##V3_BDPV12</stp>
        <stp>TAP US EQUITY</stp>
        <stp>MINORITY_NONCONTROLLING_INTEREST</stp>
        <stp>[Molson Coors.xlsx]BS!R38C4</stp>
        <stp>EQY_FUND_RELATIVE_PERIOD</stp>
        <stp>2020</stp>
        <tr r="D38" s="2"/>
      </tp>
      <tp>
        <v>473.29999999999995</v>
        <stp/>
        <stp>##V3_BDPV12</stp>
        <stp>TAP US EQUITY</stp>
        <stp>PENSION_LIABILITIES</stp>
        <stp>[Molson Coors.xlsx]BS!R28C14</stp>
        <stp>EQY_FUND_RELATIVE_PERIOD</stp>
        <stp>2022</stp>
        <tr r="N28" s="2"/>
      </tp>
      <tp>
        <v>301.8</v>
        <stp/>
        <stp>##V3_BDPV12</stp>
        <stp>TAP US EQUITY</stp>
        <stp>IS_INC_TAX_EXP</stp>
        <stp>[Molson Coors.xlsx]IS!R25C4</stp>
        <stp>EQY_FUND_RELATIVE_PERIOD</stp>
        <stp>2020</stp>
        <tr r="D25" s="1"/>
      </tp>
      <tp>
        <v>2249.1999999999998</v>
        <stp/>
        <stp>##V3_BDPV12</stp>
        <stp>TAP US EQUITY</stp>
        <stp>ACCT_PAYABLE_ACCRUALS_DETAILED</stp>
        <stp>[Molson Coors.xlsx]BS!R22C3</stp>
        <stp>EQY_FUND_RELATIVE_PERIOD</stp>
        <stp>2019</stp>
        <tr r="C22" s="2"/>
      </tp>
      <tp>
        <v>27.536696023485455</v>
        <stp/>
        <stp>##V3_BDPV12</stp>
        <stp>TAP US EQUITY</stp>
        <stp>EXCISE_TAX_PER_HECTOLITER</stp>
        <stp>[Molson Coors.xlsx]Rev!R11C14</stp>
        <stp>EQY_FUND_YEAR</stp>
        <stp>2022</stp>
        <stp>FUND_PER</stp>
        <stp>Q4</stp>
        <tr r="N11" s="18"/>
      </tp>
      <tp>
        <v>26.355817111815302</v>
        <stp/>
        <stp>##V3_BDPV12</stp>
        <stp>TAP US EQUITY</stp>
        <stp>EXCISE_TAX_PER_HECTOLITER</stp>
        <stp>[Molson Coors.xlsx]Rev!R11C13</stp>
        <stp>EQY_FUND_YEAR</stp>
        <stp>2022</stp>
        <stp>FUND_PER</stp>
        <stp>Q3</stp>
        <tr r="M11" s="18"/>
      </tp>
      <tp>
        <v>26.665133394664217</v>
        <stp/>
        <stp>##V3_BDPV12</stp>
        <stp>TAP US EQUITY</stp>
        <stp>EXCISE_TAX_PER_HECTOLITER</stp>
        <stp>[Molson Coors.xlsx]Rev!R11C12</stp>
        <stp>EQY_FUND_YEAR</stp>
        <stp>2022</stp>
        <stp>FUND_PER</stp>
        <stp>Q2</stp>
        <tr r="L11" s="18"/>
      </tp>
      <tp>
        <v>25.933095396527737</v>
        <stp/>
        <stp>##V3_BDPV12</stp>
        <stp>TAP US EQUITY</stp>
        <stp>EXCISE_TAX_PER_HECTOLITER</stp>
        <stp>[Molson Coors.xlsx]Rev!R11C11</stp>
        <stp>EQY_FUND_YEAR</stp>
        <stp>2022</stp>
        <stp>FUND_PER</stp>
        <stp>Q1</stp>
        <tr r="K11" s="18"/>
      </tp>
      <tp>
        <v>124</v>
        <stp/>
        <stp>##V3_BDPV12</stp>
        <stp>TAP US EQUITY</stp>
        <stp>IS_INC_TAX_EXP</stp>
        <stp>[Molson Coors.xlsx]IS!R25C14</stp>
        <stp>EQY_FUND_RELATIVE_PERIOD</stp>
        <stp>2022</stp>
        <tr r="N25" s="1"/>
      </tp>
      <tp>
        <v>116.88173560087257</v>
        <stp/>
        <stp>##V3_BDPV12</stp>
        <stp>TAP US EQUITY</stp>
        <stp>BREWER_REVENUE_PER_HECTOLITER</stp>
        <stp>[Molson Coors.xlsx]Rev!R14C3</stp>
        <stp>EQY_FUND_RELATIVE_PERIOD</stp>
        <stp>2018</stp>
        <tr r="C14" s="18"/>
      </tp>
      <tp>
        <v>859.7</v>
        <stp/>
        <stp>##V3_BDPV12</stp>
        <stp>TAP US EQUITY</stp>
        <stp>OTHER_OPERATING_EXPENSES_RATIO</stp>
        <stp>[Molson Coors.xlsx]IS!R13C13</stp>
        <stp>EQY_FUND_YEAR</stp>
        <stp>2022</stp>
        <stp>FUND_PER</stp>
        <stp>Q4</stp>
        <tr r="M13" s="1"/>
      </tp>
      <tp>
        <v>13286.8</v>
        <stp/>
        <stp>##V3_BDPV12</stp>
        <stp>TAP US EQUITY</stp>
        <stp>OTHER_INTANGIBLE_ASSETS_DETAILED</stp>
        <stp>[Molson Coors.xlsx]BS!R14C9</stp>
        <stp>EQY_FUND_RELATIVE_PERIOD</stp>
        <stp>2021</stp>
        <tr r="I14" s="2"/>
      </tp>
      <tp>
        <v>2381.6</v>
        <stp/>
        <stp>##V3_BDPV12</stp>
        <stp>TAP US EQUITY</stp>
        <stp>BS_DEFERRED_TAX_LIABILITIES_LT</stp>
        <stp>[Molson Coors.xlsx]BS!R29C4</stp>
        <stp>EQY_FUND_RELATIVE_PERIOD</stp>
        <stp>2020</stp>
        <tr r="D29" s="2"/>
      </tp>
      <tp>
        <v>6894.0999999999995</v>
        <stp/>
        <stp>##V3_BDPV12</stp>
        <stp>TAP US EQUITY</stp>
        <stp>BS_PURE_RETAINED_EARNINGS</stp>
        <stp>[Molson Coors.xlsx]BS!R37C13</stp>
        <stp>EQY_FUND_YEAR</stp>
        <stp>2022</stp>
        <stp>FUND_PER</stp>
        <stp>Q4</stp>
        <tr r="M37" s="2"/>
      </tp>
      <tp>
        <v>7567.4</v>
        <stp/>
        <stp>##V3_BDPV12</stp>
        <stp>TAP US EQUITY</stp>
        <stp>BS_PURE_RETAINED_EARNINGS</stp>
        <stp>[Molson Coors.xlsx]BS!R37C12</stp>
        <stp>EQY_FUND_YEAR</stp>
        <stp>2022</stp>
        <stp>FUND_PER</stp>
        <stp>Q3</stp>
        <tr r="L37" s="2"/>
      </tp>
      <tp>
        <v>7433.7999999999993</v>
        <stp/>
        <stp>##V3_BDPV12</stp>
        <stp>TAP US EQUITY</stp>
        <stp>BS_PURE_RETAINED_EARNINGS</stp>
        <stp>[Molson Coors.xlsx]BS!R37C11</stp>
        <stp>EQY_FUND_YEAR</stp>
        <stp>2022</stp>
        <stp>FUND_PER</stp>
        <stp>Q2</stp>
        <tr r="K37" s="2"/>
      </tp>
      <tp>
        <v>7469.7999999999993</v>
        <stp/>
        <stp>##V3_BDPV12</stp>
        <stp>TAP US EQUITY</stp>
        <stp>BS_PURE_RETAINED_EARNINGS</stp>
        <stp>[Molson Coors.xlsx]BS!R37C10</stp>
        <stp>EQY_FUND_YEAR</stp>
        <stp>2022</stp>
        <stp>FUND_PER</stp>
        <stp>Q1</stp>
        <tr r="J37" s="2"/>
      </tp>
      <tp>
        <v>6877</v>
        <stp/>
        <stp>##V3_BDPV12</stp>
        <stp>TAP US EQUITY</stp>
        <stp>BS_PURE_RETAINED_EARNINGS</stp>
        <stp>[Molson Coors.xlsx]BS!R37C15</stp>
        <stp>EQY_FUND_YEAR</stp>
        <stp>2023</stp>
        <stp>FUND_PER</stp>
        <stp>Q1</stp>
        <tr r="O37" s="2"/>
      </tp>
      <tp>
        <v>12.466376606795334</v>
        <stp/>
        <stp>##V3_BDPV12</stp>
        <stp>TAP US EQUITY</stp>
        <stp>PROFIT_PER_HECTOLITER</stp>
        <stp>[Molson Coors.xlsx]Rev!R26C10</stp>
        <stp>EQY_FUND_RELATIVE_PERIOD</stp>
        <stp>2021</stp>
        <tr r="J26" s="18"/>
      </tp>
      <tp>
        <v>587.59999999999991</v>
        <stp/>
        <stp>##V3_BDPV12</stp>
        <stp>TAP US EQUITY</stp>
        <stp>OTHER_CURRENT_LIABS_SUB_DETAILED</stp>
        <stp>[Molson Coors.xlsx]BS!R24C4</stp>
        <stp>EQY_FUND_RELATIVE_PERIOD</stp>
        <stp>2020</stp>
        <tr r="D24" s="2"/>
      </tp>
      <tp>
        <v>76.099999999999994</v>
        <stp/>
        <stp>##V3_BDPV12</stp>
        <stp>TAP US EQUITY</stp>
        <stp>CF_CHNG_NON_CASH_WORK_CAP</stp>
        <stp>[Molson Coors.xlsx]CF_F!R14C4</stp>
        <stp>EQY_FUND_RELATIVE_PERIOD</stp>
        <stp>2020</stp>
        <tr r="D14" s="28"/>
      </tp>
      <tp>
        <v>2437</v>
        <stp/>
        <stp>##V3_BDPV12</stp>
        <stp>TAP US EQUITY</stp>
        <stp>IS_SGA_EXPENSE</stp>
        <stp>[Molson Coors.xlsx]IS!R11C4</stp>
        <stp>EQY_FUND_RELATIVE_PERIOD</stp>
        <stp>2020</stp>
        <tr r="D11" s="1"/>
      </tp>
      <tp>
        <v>-1587.9</v>
        <stp/>
        <stp>##V3_BDPV12</stp>
        <stp>TAP US EQUITY</stp>
        <stp>PROC_FR_REPAYMNTS_BOR_DETAILED</stp>
        <stp>[Molson Coors.xlsx]CF_F!R24C3</stp>
        <stp>EQY_FUND_RELATIVE_PERIOD</stp>
        <stp>2019</stp>
        <tr r="C24" s="28"/>
      </tp>
      <tp>
        <v>505.3</v>
        <stp/>
        <stp>##V3_BDPV12</stp>
        <stp>TAP US EQUITY</stp>
        <stp>OTHER_CURRENT_ASSETS_DETAILED</stp>
        <stp>[Molson Coors.xlsx]BS!R9C14</stp>
        <stp>EQY_FUND_RELATIVE_PERIOD</stp>
        <stp>2022</stp>
        <tr r="N9" s="2"/>
      </tp>
      <tp>
        <v>708.8</v>
        <stp/>
        <stp>##V3_BDPV12</stp>
        <stp>TAP US EQUITY</stp>
        <stp>OTHER_OPERATING_EXPENSES_RATIO</stp>
        <stp>[Molson Coors.xlsx]IS!R13C3</stp>
        <stp>EQY_FUND_RELATIVE_PERIOD</stp>
        <stp>2019</stp>
        <tr r="C13" s="1"/>
      </tp>
      <tp>
        <v>11.565692323252755</v>
        <stp/>
        <stp>##V3_BDPV12</stp>
        <stp>TAP US EQUITY</stp>
        <stp>EBITDA_PER_HECTOLITER</stp>
        <stp>[Molson Coors.xlsx]Rev!R23C15</stp>
        <stp>EQY_FUND_RELATIVE_PERIOD</stp>
        <stp>2022</stp>
        <tr r="O23" s="18"/>
      </tp>
      <tp>
        <v>922</v>
        <stp/>
        <stp>##V3_BDPV12</stp>
        <stp>TAP US EQUITY</stp>
        <stp>CF_DEPR_AMORT</stp>
        <stp>[Molson Coors.xlsx]IS!R12C4</stp>
        <stp>EQY_FUND_RELATIVE_PERIOD</stp>
        <stp>2020</stp>
        <tr r="D12" s="1"/>
      </tp>
      <tp>
        <v>1740.2</v>
        <stp/>
        <stp>##V3_BDPV12</stp>
        <stp>TAP US EQUITY</stp>
        <stp>OTHER_OPERATING_EXPENSES_RATIO</stp>
        <stp>[Molson Coors.xlsx]IS!R13C4</stp>
        <stp>EQY_FUND_RELATIVE_PERIOD</stp>
        <stp>2020</stp>
        <tr r="D13" s="1"/>
      </tp>
      <tp>
        <v>2618.8000000000002</v>
        <stp/>
        <stp>##V3_BDPV12</stp>
        <stp>TAP US EQUITY</stp>
        <stp>IS_SGA_EXPENSE</stp>
        <stp>[Molson Coors.xlsx]IS!R11C14</stp>
        <stp>EQY_FUND_RELATIVE_PERIOD</stp>
        <stp>2022</stp>
        <tr r="N11" s="1"/>
      </tp>
      <tp>
        <v>859</v>
        <stp/>
        <stp>##V3_BDPV12</stp>
        <stp>TAP US EQUITY</stp>
        <stp>CF_DEPR_AMORT</stp>
        <stp>[Molson Coors.xlsx]IS!R12C3</stp>
        <stp>EQY_FUND_RELATIVE_PERIOD</stp>
        <stp>2019</stp>
        <tr r="C12" s="1"/>
      </tp>
      <tp>
        <v>2728</v>
        <stp/>
        <stp>##V3_BDPV12</stp>
        <stp>TAP US EQUITY</stp>
        <stp>IS_SGA_EXPENSE</stp>
        <stp>[Molson Coors.xlsx]IS!R11C3</stp>
        <stp>EQY_FUND_RELATIVE_PERIOD</stp>
        <stp>2019</stp>
        <tr r="C11" s="1"/>
      </tp>
      <tp>
        <v>-2.2162941235966422</v>
        <stp/>
        <stp>##V3_BDPV12</stp>
        <stp>TAP US EQUITY</stp>
        <stp>PROFIT_PER_HECTOLITER</stp>
        <stp>[Molson Coors.xlsx]Rev!R26C15</stp>
        <stp>EQY_FUND_RELATIVE_PERIOD</stp>
        <stp>2022</stp>
        <tr r="O26" s="18"/>
      </tp>
      <tp>
        <v>-915.9</v>
        <stp/>
        <stp>##V3_BDPV12</stp>
        <stp>TAP US EQUITY</stp>
        <stp>PROC_FR_REPAYMNTS_BOR_DETAILED</stp>
        <stp>[Molson Coors.xlsx]CF_F!R24C4</stp>
        <stp>EQY_FUND_RELATIVE_PERIOD</stp>
        <stp>2020</stp>
        <tr r="D24" s="28"/>
      </tp>
      <tp>
        <v>28.679979671017563</v>
        <stp/>
        <stp>##V3_BDPV12</stp>
        <stp>TAP US EQUITY</stp>
        <stp>EBITDA_PER_HECTOLITER</stp>
        <stp>[Molson Coors.xlsx]Rev!R23C10</stp>
        <stp>EQY_FUND_RELATIVE_PERIOD</stp>
        <stp>2021</stp>
        <tr r="J23" s="18"/>
      </tp>
      <tp>
        <v>-27.7</v>
        <stp/>
        <stp>##V3_BDPV12</stp>
        <stp>TAP US EQUITY</stp>
        <stp>CF_CHNG_NON_CASH_WORK_CAP</stp>
        <stp>[Molson Coors.xlsx]CF_F!R14C3</stp>
        <stp>EQY_FUND_RELATIVE_PERIOD</stp>
        <stp>2019</stp>
        <tr r="C14" s="28"/>
      </tp>
      <tp>
        <v>35.047840834303649</v>
        <stp/>
        <stp>##V3_BDPV12</stp>
        <stp>TAP US EQUITY</stp>
        <stp>OPEX_PER_HECTOLITER</stp>
        <stp>[Molson Coors.xlsx]Rev!R20C9</stp>
        <stp>EQY_FUND_YEAR</stp>
        <stp>2021</stp>
        <stp>FUND_PER</stp>
        <stp>Q4</stp>
        <tr r="I20" s="18"/>
      </tp>
      <tp>
        <v>31.209615471510553</v>
        <stp/>
        <stp>##V3_BDPV12</stp>
        <stp>TAP US EQUITY</stp>
        <stp>OPEX_PER_HECTOLITER</stp>
        <stp>[Molson Coors.xlsx]Rev!R20C7</stp>
        <stp>EQY_FUND_YEAR</stp>
        <stp>2021</stp>
        <stp>FUND_PER</stp>
        <stp>Q2</stp>
        <tr r="G20" s="18"/>
      </tp>
      <tp>
        <v>29.377578634488266</v>
        <stp/>
        <stp>##V3_BDPV12</stp>
        <stp>TAP US EQUITY</stp>
        <stp>OPEX_PER_HECTOLITER</stp>
        <stp>[Molson Coors.xlsx]Rev!R20C8</stp>
        <stp>EQY_FUND_YEAR</stp>
        <stp>2021</stp>
        <stp>FUND_PER</stp>
        <stp>Q3</stp>
        <tr r="H20" s="18"/>
      </tp>
      <tp>
        <v>34.084194977843424</v>
        <stp/>
        <stp>##V3_BDPV12</stp>
        <stp>TAP US EQUITY</stp>
        <stp>OPEX_PER_HECTOLITER</stp>
        <stp>[Molson Coors.xlsx]Rev!R20C6</stp>
        <stp>EQY_FUND_YEAR</stp>
        <stp>2021</stp>
        <stp>FUND_PER</stp>
        <stp>Q1</stp>
        <tr r="F20" s="18"/>
      </tp>
      <tp>
        <v>2258.6</v>
        <stp/>
        <stp>##V3_BDPV12</stp>
        <stp>TAP US EQUITY</stp>
        <stp>BS_DEFERRED_TAX_LIABILITIES_LT</stp>
        <stp>[Molson Coors.xlsx]BS!R29C3</stp>
        <stp>EQY_FUND_RELATIVE_PERIOD</stp>
        <stp>2019</stp>
        <tr r="C29" s="2"/>
      </tp>
      <tp>
        <v>471.5</v>
        <stp/>
        <stp>##V3_BDPV12</stp>
        <stp>TAP US EQUITY</stp>
        <stp>OTHER_CURRENT_LIABS_SUB_DETAILED</stp>
        <stp>[Molson Coors.xlsx]BS!R24C3</stp>
        <stp>EQY_FUND_RELATIVE_PERIOD</stp>
        <stp>2019</stp>
        <tr r="C24" s="2"/>
      </tp>
      <tp>
        <v>560.29999999999995</v>
        <stp/>
        <stp>##V3_BDPV12</stp>
        <stp>TAP US EQUITY</stp>
        <stp>BS_ST_BORROW</stp>
        <stp>[Molson Coors.xlsx]BS!R23C8</stp>
        <stp>EQY_FUND_YEAR</stp>
        <stp>2021</stp>
        <stp>FUND_PER</stp>
        <stp>Q4</stp>
        <tr r="H23" s="2"/>
      </tp>
      <tp>
        <v>606.6</v>
        <stp/>
        <stp>##V3_BDPV12</stp>
        <stp>TAP US EQUITY</stp>
        <stp>BS_ST_BORROW</stp>
        <stp>[Molson Coors.xlsx]BS!R23C7</stp>
        <stp>EQY_FUND_YEAR</stp>
        <stp>2021</stp>
        <stp>FUND_PER</stp>
        <stp>Q3</stp>
        <tr r="G23" s="2"/>
      </tp>
      <tp>
        <v>1573.1999999999998</v>
        <stp/>
        <stp>##V3_BDPV12</stp>
        <stp>TAP US EQUITY</stp>
        <stp>BS_ST_BORROW</stp>
        <stp>[Molson Coors.xlsx]BS!R23C6</stp>
        <stp>EQY_FUND_YEAR</stp>
        <stp>2021</stp>
        <stp>FUND_PER</stp>
        <stp>Q2</stp>
        <tr r="F23" s="2"/>
      </tp>
      <tp>
        <v>1110.8999999999999</v>
        <stp/>
        <stp>##V3_BDPV12</stp>
        <stp>TAP US EQUITY</stp>
        <stp>BS_ST_BORROW</stp>
        <stp>[Molson Coors.xlsx]BS!R23C5</stp>
        <stp>EQY_FUND_YEAR</stp>
        <stp>2021</stp>
        <stp>FUND_PER</stp>
        <stp>Q1</stp>
        <tr r="E23" s="2"/>
      </tp>
      <tp>
        <v>6735</v>
        <stp/>
        <stp>##V3_BDPV12</stp>
        <stp>TAP US EQUITY</stp>
        <stp>BS_LT_BORROW</stp>
        <stp>[Molson Coors.xlsx]BS!R27C8</stp>
        <stp>EQY_FUND_YEAR</stp>
        <stp>2021</stp>
        <stp>FUND_PER</stp>
        <stp>Q4</stp>
        <tr r="H27" s="2"/>
      </tp>
      <tp>
        <v>6755.0999999999995</v>
        <stp/>
        <stp>##V3_BDPV12</stp>
        <stp>TAP US EQUITY</stp>
        <stp>BS_LT_BORROW</stp>
        <stp>[Molson Coors.xlsx]BS!R27C7</stp>
        <stp>EQY_FUND_YEAR</stp>
        <stp>2021</stp>
        <stp>FUND_PER</stp>
        <stp>Q3</stp>
        <tr r="G27" s="2"/>
      </tp>
      <tp>
        <v>6803.4</v>
        <stp/>
        <stp>##V3_BDPV12</stp>
        <stp>TAP US EQUITY</stp>
        <stp>BS_LT_BORROW</stp>
        <stp>[Molson Coors.xlsx]BS!R27C6</stp>
        <stp>EQY_FUND_YEAR</stp>
        <stp>2021</stp>
        <stp>FUND_PER</stp>
        <stp>Q2</stp>
        <tr r="F27" s="2"/>
      </tp>
      <tp>
        <v>7282.5</v>
        <stp/>
        <stp>##V3_BDPV12</stp>
        <stp>TAP US EQUITY</stp>
        <stp>BS_LT_BORROW</stp>
        <stp>[Molson Coors.xlsx]BS!R27C5</stp>
        <stp>EQY_FUND_YEAR</stp>
        <stp>2021</stp>
        <stp>FUND_PER</stp>
        <stp>Q1</stp>
        <tr r="E27" s="2"/>
      </tp>
      <tp>
        <v>7.1251813294649713</v>
        <stp/>
        <stp>##V3_BDPV12</stp>
        <stp>TAP US EQUITY</stp>
        <stp>EBITDA_PER_HECTOLITER</stp>
        <stp>[Molson Coors.xlsx]Rev!R23C5</stp>
        <stp>EQY_FUND_RELATIVE_PERIOD</stp>
        <stp>2020</stp>
        <tr r="E23" s="18"/>
      </tp>
      <tp>
        <v>660</v>
        <stp/>
        <stp>##V3_BDPV12</stp>
        <stp>TAP US EQUITY</stp>
        <stp>IS_SGA_EXPENSE</stp>
        <stp>[Molson Coors.xlsx]IS!R11C12</stp>
        <stp>EQY_FUND_YEAR</stp>
        <stp>2022</stp>
        <stp>FUND_PER</stp>
        <stp>Q3</stp>
        <tr r="L11" s="1"/>
      </tp>
      <tp>
        <v>707.6</v>
        <stp/>
        <stp>##V3_BDPV12</stp>
        <stp>TAP US EQUITY</stp>
        <stp>IS_SGA_EXPENSE</stp>
        <stp>[Molson Coors.xlsx]IS!R11C11</stp>
        <stp>EQY_FUND_YEAR</stp>
        <stp>2022</stp>
        <stp>FUND_PER</stp>
        <stp>Q2</stp>
        <tr r="K11" s="1"/>
      </tp>
      <tp>
        <v>675.7</v>
        <stp/>
        <stp>##V3_BDPV12</stp>
        <stp>TAP US EQUITY</stp>
        <stp>IS_SGA_EXPENSE</stp>
        <stp>[Molson Coors.xlsx]IS!R11C10</stp>
        <stp>EQY_FUND_YEAR</stp>
        <stp>2022</stp>
        <stp>FUND_PER</stp>
        <stp>Q1</stp>
        <tr r="J11" s="1"/>
      </tp>
      <tp>
        <v>575.5</v>
        <stp/>
        <stp>##V3_BDPV12</stp>
        <stp>TAP US EQUITY</stp>
        <stp>IS_SGA_EXPENSE</stp>
        <stp>[Molson Coors.xlsx]IS!R11C13</stp>
        <stp>EQY_FUND_YEAR</stp>
        <stp>2022</stp>
        <stp>FUND_PER</stp>
        <stp>Q4</stp>
        <tr r="M11" s="1"/>
      </tp>
      <tp>
        <v>2585.9999999999995</v>
        <stp/>
        <stp>##V3_BDPV12</stp>
        <stp>TAP US EQUITY</stp>
        <stp>ACCT_PAYABLE_ACCRUALS_DETAILED</stp>
        <stp>[Molson Coors.xlsx]BS!R22C14</stp>
        <stp>EQY_FUND_RELATIVE_PERIOD</stp>
        <stp>2022</stp>
        <tr r="N22" s="2"/>
      </tp>
      <tp>
        <v>-1005.2</v>
        <stp/>
        <stp>##V3_BDPV12</stp>
        <stp>TAP US EQUITY</stp>
        <stp>PROC_FR_REPAYMNTS_BOR_DETAILED</stp>
        <stp>[Molson Coors.xlsx]CF_F!R24C9</stp>
        <stp>EQY_FUND_RELATIVE_PERIOD</stp>
        <stp>2021</stp>
        <tr r="I24" s="28"/>
      </tp>
      <tp>
        <v>44.5</v>
        <stp/>
        <stp>##V3_BDPV12</stp>
        <stp>TAP US EQUITY</stp>
        <stp>OTHER_OPERATING_EXPENSES_RATIO</stp>
        <stp>[Molson Coors.xlsx]IS!R13C9</stp>
        <stp>EQY_FUND_RELATIVE_PERIOD</stp>
        <stp>2021</stp>
        <tr r="I13" s="1"/>
      </tp>
      <tp>
        <v>19.753</v>
        <stp/>
        <stp>##V3_BDPV12</stp>
        <stp>TAP US EQUITY</stp>
        <stp>TOTAL_BEVERAGE_VOLUME_PRODUCED</stp>
        <stp>[Molson Coors.xlsx]Rev!R5C9</stp>
        <stp>EQY_FUND_YEAR</stp>
        <stp>2021</stp>
        <stp>FUND_PER</stp>
        <stp>Q4</stp>
        <tr r="I5" s="18"/>
      </tp>
      <tp>
        <v>16.248000000000001</v>
        <stp/>
        <stp>##V3_BDPV12</stp>
        <stp>TAP US EQUITY</stp>
        <stp>TOTAL_BEVERAGE_VOLUME_PRODUCED</stp>
        <stp>[Molson Coors.xlsx]Rev!R5C6</stp>
        <stp>EQY_FUND_YEAR</stp>
        <stp>2021</stp>
        <stp>FUND_PER</stp>
        <stp>Q1</stp>
        <tr r="F5" s="18"/>
      </tp>
      <tp>
        <v>22.541</v>
        <stp/>
        <stp>##V3_BDPV12</stp>
        <stp>TAP US EQUITY</stp>
        <stp>TOTAL_BEVERAGE_VOLUME_PRODUCED</stp>
        <stp>[Molson Coors.xlsx]Rev!R5C8</stp>
        <stp>EQY_FUND_YEAR</stp>
        <stp>2021</stp>
        <stp>FUND_PER</stp>
        <stp>Q3</stp>
        <tr r="H5" s="18"/>
      </tp>
      <tp>
        <v>22.131</v>
        <stp/>
        <stp>##V3_BDPV12</stp>
        <stp>TAP US EQUITY</stp>
        <stp>TOTAL_BEVERAGE_VOLUME_PRODUCED</stp>
        <stp>[Molson Coors.xlsx]Rev!R5C7</stp>
        <stp>EQY_FUND_YEAR</stp>
        <stp>2021</stp>
        <stp>FUND_PER</stp>
        <stp>Q2</stp>
        <tr r="G5" s="18"/>
      </tp>
      <tp>
        <v>19.049760528860208</v>
        <stp/>
        <stp>##V3_BDPV12</stp>
        <stp>TAP US EQUITY</stp>
        <stp>EBITDA_PER_HECTOLITER</stp>
        <stp>[Molson Coors.xlsx]Rev!R23C4</stp>
        <stp>EQY_FUND_RELATIVE_PERIOD</stp>
        <stp>2019</stp>
        <tr r="D23" s="18"/>
      </tp>
      <tp>
        <v>89.196577735027589</v>
        <stp/>
        <stp>##V3_BDPV12</stp>
        <stp>TAP US EQUITY</stp>
        <stp>COGS_PER_HECTOLITER</stp>
        <stp>[Molson Coors.xlsx]Rev!R17C9</stp>
        <stp>EQY_FUND_YEAR</stp>
        <stp>2021</stp>
        <stp>FUND_PER</stp>
        <stp>Q4</stp>
        <tr r="I17" s="18"/>
      </tp>
      <tp>
        <v>71.848842934515019</v>
        <stp/>
        <stp>##V3_BDPV12</stp>
        <stp>TAP US EQUITY</stp>
        <stp>COGS_PER_HECTOLITER</stp>
        <stp>[Molson Coors.xlsx]Rev!R17C6</stp>
        <stp>EQY_FUND_YEAR</stp>
        <stp>2021</stp>
        <stp>FUND_PER</stp>
        <stp>Q1</stp>
        <tr r="F17" s="18"/>
      </tp>
      <tp>
        <v>75.364872802855729</v>
        <stp/>
        <stp>##V3_BDPV12</stp>
        <stp>TAP US EQUITY</stp>
        <stp>COGS_PER_HECTOLITER</stp>
        <stp>[Molson Coors.xlsx]Rev!R17C7</stp>
        <stp>EQY_FUND_YEAR</stp>
        <stp>2021</stp>
        <stp>FUND_PER</stp>
        <stp>Q2</stp>
        <tr r="G17" s="18"/>
      </tp>
      <tp>
        <v>72.272747438001858</v>
        <stp/>
        <stp>##V3_BDPV12</stp>
        <stp>TAP US EQUITY</stp>
        <stp>COGS_PER_HECTOLITER</stp>
        <stp>[Molson Coors.xlsx]Rev!R17C8</stp>
        <stp>EQY_FUND_YEAR</stp>
        <stp>2021</stp>
        <stp>FUND_PER</stp>
        <stp>Q3</stp>
        <tr r="H17" s="18"/>
      </tp>
      <tp>
        <v>-629.19999999999993</v>
        <stp/>
        <stp>##V3_BDPV12</stp>
        <stp>TAP US EQUITY</stp>
        <stp>FIXED_INTANG_ASST_CHANGE</stp>
        <stp>[Molson Coors.xlsx]CF_F!R18C14</stp>
        <stp>EQY_FUND_RELATIVE_PERIOD</stp>
        <stp>2022</stp>
        <tr r="N18" s="28"/>
      </tp>
      <tp>
        <v>10701</v>
        <stp/>
        <stp>##V3_BDPV12</stp>
        <stp>TAP US EQUITY</stp>
        <stp>SALES_REV_TURN</stp>
        <stp>[Molson Coors.xlsx]IS!R7C14</stp>
        <stp>EQY_FUND_RELATIVE_PERIOD</stp>
        <stp>2022</stp>
        <tr r="N7" s="1"/>
      </tp>
      <tp>
        <v>181.9</v>
        <stp/>
        <stp>##V3_BDPV12</stp>
        <stp>TAP US EQUITY</stp>
        <stp>CF_DEPR_AMORT</stp>
        <stp>[Molson Coors.xlsx]IS!R12C8</stp>
        <stp>EQY_FUND_YEAR</stp>
        <stp>2021</stp>
        <stp>FUND_PER</stp>
        <stp>Q4</stp>
        <tr r="H12" s="1"/>
      </tp>
      <tp>
        <v>202.29999999999998</v>
        <stp/>
        <stp>##V3_BDPV12</stp>
        <stp>TAP US EQUITY</stp>
        <stp>CF_DEPR_AMORT</stp>
        <stp>[Molson Coors.xlsx]IS!R12C5</stp>
        <stp>EQY_FUND_YEAR</stp>
        <stp>2021</stp>
        <stp>FUND_PER</stp>
        <stp>Q1</stp>
        <tr r="E12" s="1"/>
      </tp>
      <tp>
        <v>200.29999999999998</v>
        <stp/>
        <stp>##V3_BDPV12</stp>
        <stp>TAP US EQUITY</stp>
        <stp>CF_DEPR_AMORT</stp>
        <stp>[Molson Coors.xlsx]IS!R12C7</stp>
        <stp>EQY_FUND_YEAR</stp>
        <stp>2021</stp>
        <stp>FUND_PER</stp>
        <stp>Q3</stp>
        <tr r="G12" s="1"/>
      </tp>
      <tp>
        <v>201.6</v>
        <stp/>
        <stp>##V3_BDPV12</stp>
        <stp>TAP US EQUITY</stp>
        <stp>CF_DEPR_AMORT</stp>
        <stp>[Molson Coors.xlsx]IS!R12C6</stp>
        <stp>EQY_FUND_YEAR</stp>
        <stp>2021</stp>
        <stp>FUND_PER</stp>
        <stp>Q2</stp>
        <tr r="F12" s="1"/>
      </tp>
      <tp>
        <v>12.117298488186583</v>
        <stp/>
        <stp>##V3_BDPV12</stp>
        <stp>TAP US EQUITY</stp>
        <stp>PROFIT_PER_HECTOLITER</stp>
        <stp>[Molson Coors.xlsx]Rev!R26C3</stp>
        <stp>EQY_FUND_RELATIVE_PERIOD</stp>
        <stp>2018</stp>
        <tr r="C26" s="18"/>
      </tp>
      <tp>
        <v>500.3</v>
        <stp/>
        <stp>##V3_BDPV12</stp>
        <stp>TAP US EQUITY</stp>
        <stp>BS_DEFERRED_TAX_ASSETS_LT</stp>
        <stp>[Molson Coors.xlsx]BS!R15C13</stp>
        <stp>EQY_FUND_YEAR</stp>
        <stp>2022</stp>
        <stp>FUND_PER</stp>
        <stp>Q4</stp>
        <tr r="M15" s="2"/>
      </tp>
      <tp>
        <v>2.7173790839385692</v>
        <stp/>
        <stp>##V3_BDPV12</stp>
        <stp>TAP US EQUITY</stp>
        <stp>PROFIT_PER_HECTOLITER</stp>
        <stp>[Molson Coors.xlsx]Rev!R26C4</stp>
        <stp>EQY_FUND_RELATIVE_PERIOD</stp>
        <stp>2019</stp>
        <tr r="D26" s="18"/>
      </tp>
      <tp>
        <v>25.7</v>
        <stp/>
        <stp>##V3_BDPV12</stp>
        <stp>TAP US EQUITY</stp>
        <stp>IS_INC_TAX_EXP</stp>
        <stp>[Molson Coors.xlsx]IS!R25C13</stp>
        <stp>EQY_FUND_YEAR</stp>
        <stp>2022</stp>
        <stp>FUND_PER</stp>
        <stp>Q4</stp>
        <tr r="M25" s="1"/>
      </tp>
      <tp>
        <v>36.4</v>
        <stp/>
        <stp>##V3_BDPV12</stp>
        <stp>TAP US EQUITY</stp>
        <stp>IS_INC_TAX_EXP</stp>
        <stp>[Molson Coors.xlsx]IS!R25C10</stp>
        <stp>EQY_FUND_YEAR</stp>
        <stp>2022</stp>
        <stp>FUND_PER</stp>
        <stp>Q1</stp>
        <tr r="J25" s="1"/>
      </tp>
      <tp>
        <v>7</v>
        <stp/>
        <stp>##V3_BDPV12</stp>
        <stp>TAP US EQUITY</stp>
        <stp>IS_INC_TAX_EXP</stp>
        <stp>[Molson Coors.xlsx]IS!R25C11</stp>
        <stp>EQY_FUND_YEAR</stp>
        <stp>2022</stp>
        <stp>FUND_PER</stp>
        <stp>Q2</stp>
        <tr r="K25" s="1"/>
      </tp>
      <tp>
        <v>54.9</v>
        <stp/>
        <stp>##V3_BDPV12</stp>
        <stp>TAP US EQUITY</stp>
        <stp>IS_INC_TAX_EXP</stp>
        <stp>[Molson Coors.xlsx]IS!R25C12</stp>
        <stp>EQY_FUND_YEAR</stp>
        <stp>2022</stp>
        <stp>FUND_PER</stp>
        <stp>Q3</stp>
        <tr r="L25" s="1"/>
      </tp>
      <tp>
        <v>-36.1</v>
        <stp/>
        <stp>##V3_BDPV12</stp>
        <stp>TAP US EQUITY</stp>
        <stp>CF_CHNG_NON_CASH_WORK_CAP</stp>
        <stp>[Molson Coors.xlsx]CF_F!R14C9</stp>
        <stp>EQY_FUND_RELATIVE_PERIOD</stp>
        <stp>2021</stp>
        <tr r="I14" s="28"/>
      </tp>
      <tp>
        <v>2704.6</v>
        <stp/>
        <stp>##V3_BDPV12</stp>
        <stp>TAP US EQUITY</stp>
        <stp>BS_DEFERRED_TAX_LIABILITIES_LT</stp>
        <stp>[Molson Coors.xlsx]BS!R29C9</stp>
        <stp>EQY_FUND_RELATIVE_PERIOD</stp>
        <stp>2021</stp>
        <tr r="I29" s="2"/>
      </tp>
      <tp>
        <v>-11.568515109772896</v>
        <stp/>
        <stp>##V3_BDPV12</stp>
        <stp>TAP US EQUITY</stp>
        <stp>PROFIT_PER_HECTOLITER</stp>
        <stp>[Molson Coors.xlsx]Rev!R26C5</stp>
        <stp>EQY_FUND_RELATIVE_PERIOD</stp>
        <stp>2020</stp>
        <tr r="E26" s="18"/>
      </tp>
      <tp>
        <v>435</v>
        <stp/>
        <stp>##V3_BDPV12</stp>
        <stp>TAP US EQUITY</stp>
        <stp>OTHER_CURRENT_LIABS_SUB_DETAILED</stp>
        <stp>[Molson Coors.xlsx]BS!R24C9</stp>
        <stp>EQY_FUND_RELATIVE_PERIOD</stp>
        <stp>2021</stp>
        <tr r="I24" s="2"/>
      </tp>
      <tp>
        <v>3012.1</v>
        <stp/>
        <stp>##V3_BDPV12</stp>
        <stp>TAP US EQUITY</stp>
        <stp>ACCT_PAYABLE_ACCRUALS_DETAILED</stp>
        <stp>[Molson Coors.xlsx]BS!R22C12</stp>
        <stp>EQY_FUND_YEAR</stp>
        <stp>2022</stp>
        <stp>FUND_PER</stp>
        <stp>Q3</stp>
        <tr r="L22" s="2"/>
      </tp>
      <tp>
        <v>3208.6</v>
        <stp/>
        <stp>##V3_BDPV12</stp>
        <stp>TAP US EQUITY</stp>
        <stp>ACCT_PAYABLE_ACCRUALS_DETAILED</stp>
        <stp>[Molson Coors.xlsx]BS!R22C11</stp>
        <stp>EQY_FUND_YEAR</stp>
        <stp>2022</stp>
        <stp>FUND_PER</stp>
        <stp>Q2</stp>
        <tr r="K22" s="2"/>
      </tp>
      <tp>
        <v>2783.3</v>
        <stp/>
        <stp>##V3_BDPV12</stp>
        <stp>TAP US EQUITY</stp>
        <stp>ACCT_PAYABLE_ACCRUALS_DETAILED</stp>
        <stp>[Molson Coors.xlsx]BS!R22C10</stp>
        <stp>EQY_FUND_YEAR</stp>
        <stp>2022</stp>
        <stp>FUND_PER</stp>
        <stp>Q1</stp>
        <tr r="J22" s="2"/>
      </tp>
      <tp>
        <v>2821</v>
        <stp/>
        <stp>##V3_BDPV12</stp>
        <stp>TAP US EQUITY</stp>
        <stp>ACCT_PAYABLE_ACCRUALS_DETAILED</stp>
        <stp>[Molson Coors.xlsx]BS!R22C15</stp>
        <stp>EQY_FUND_YEAR</stp>
        <stp>2023</stp>
        <stp>FUND_PER</stp>
        <stp>Q1</stp>
        <tr r="O22" s="2"/>
      </tp>
      <tp>
        <v>2585.9999999999995</v>
        <stp/>
        <stp>##V3_BDPV12</stp>
        <stp>TAP US EQUITY</stp>
        <stp>ACCT_PAYABLE_ACCRUALS_DETAILED</stp>
        <stp>[Molson Coors.xlsx]BS!R22C13</stp>
        <stp>EQY_FUND_YEAR</stp>
        <stp>2022</stp>
        <stp>FUND_PER</stp>
        <stp>Q4</stp>
        <tr r="M22" s="2"/>
      </tp>
      <tp>
        <v>5291.9</v>
        <stp/>
        <stp>##V3_BDPV12</stp>
        <stp>TAP US EQUITY</stp>
        <stp>BS_GOODWILL</stp>
        <stp>[Molson Coors.xlsx]BS!R13C14</stp>
        <stp>EQY_FUND_RELATIVE_PERIOD</stp>
        <stp>2022</stp>
        <tr r="N13" s="2"/>
      </tp>
      <tp>
        <v>27.016203427355901</v>
        <stp/>
        <stp>##V3_BDPV12</stp>
        <stp>TAP US EQUITY</stp>
        <stp>EBITDA_PER_HECTOLITER</stp>
        <stp>[Molson Coors.xlsx]Rev!R23C3</stp>
        <stp>EQY_FUND_RELATIVE_PERIOD</stp>
        <stp>2018</stp>
        <tr r="C23" s="18"/>
      </tp>
      <tp>
        <v>-307.59999999999997</v>
        <stp/>
        <stp>##V3_BDPV12</stp>
        <stp>TAP US EQUITY</stp>
        <stp>CF_CHNG_NON_CASH_WORK_CAP</stp>
        <stp>[Molson Coors.xlsx]CF_F!R14C10</stp>
        <stp>EQY_FUND_YEAR</stp>
        <stp>2022</stp>
        <stp>FUND_PER</stp>
        <stp>Q1</stp>
        <tr r="J14" s="28"/>
      </tp>
      <tp>
        <v>254.79999999999998</v>
        <stp/>
        <stp>##V3_BDPV12</stp>
        <stp>TAP US EQUITY</stp>
        <stp>CF_CHNG_NON_CASH_WORK_CAP</stp>
        <stp>[Molson Coors.xlsx]CF_F!R14C11</stp>
        <stp>EQY_FUND_YEAR</stp>
        <stp>2022</stp>
        <stp>FUND_PER</stp>
        <stp>Q2</stp>
        <tr r="K14" s="28"/>
      </tp>
      <tp>
        <v>-11.899999999999999</v>
        <stp/>
        <stp>##V3_BDPV12</stp>
        <stp>TAP US EQUITY</stp>
        <stp>CF_CHNG_NON_CASH_WORK_CAP</stp>
        <stp>[Molson Coors.xlsx]CF_F!R14C12</stp>
        <stp>EQY_FUND_YEAR</stp>
        <stp>2022</stp>
        <stp>FUND_PER</stp>
        <stp>Q3</stp>
        <tr r="L14" s="28"/>
      </tp>
      <tp>
        <v>-118.5</v>
        <stp/>
        <stp>##V3_BDPV12</stp>
        <stp>TAP US EQUITY</stp>
        <stp>CF_CHNG_NON_CASH_WORK_CAP</stp>
        <stp>[Molson Coors.xlsx]CF_F!R14C13</stp>
        <stp>EQY_FUND_YEAR</stp>
        <stp>2022</stp>
        <stp>FUND_PER</stp>
        <stp>Q4</stp>
        <tr r="M14" s="28"/>
      </tp>
      <tp>
        <v>-6</v>
        <stp/>
        <stp>##V3_BDPV12</stp>
        <stp>TAP US EQUITY</stp>
        <stp>OTHER_FIN_AND_DEC_CAP</stp>
        <stp>[Molson Coors.xlsx]CF_F!R27C14</stp>
        <stp>EQY_FUND_RELATIVE_PERIOD</stp>
        <stp>2022</stp>
        <tr r="N27" s="28"/>
      </tp>
      <tp>
        <v>522.9</v>
        <stp/>
        <stp>##V3_BDPV12</stp>
        <stp>TAP US EQUITY</stp>
        <stp>BS_AMT_OF_TSY_STOCK</stp>
        <stp>[Molson Coors.xlsx]BS!R36C14</stp>
        <stp>EQY_FUND_RELATIVE_PERIOD</stp>
        <stp>2022</stp>
        <tr r="N36" s="2"/>
      </tp>
      <tp>
        <v>786.09999999999991</v>
        <stp/>
        <stp>##V3_BDPV12</stp>
        <stp>TAP US EQUITY</stp>
        <stp>CF_DEPR_AMORT</stp>
        <stp>[Molson Coors.xlsx]IS!R12C9</stp>
        <stp>EQY_FUND_RELATIVE_PERIOD</stp>
        <stp>2021</stp>
        <tr r="I12" s="1"/>
      </tp>
      <tp>
        <v>2554.5</v>
        <stp/>
        <stp>##V3_BDPV12</stp>
        <stp>TAP US EQUITY</stp>
        <stp>IS_SGA_EXPENSE</stp>
        <stp>[Molson Coors.xlsx]IS!R11C9</stp>
        <stp>EQY_FUND_RELATIVE_PERIOD</stp>
        <stp>2021</stp>
        <tr r="I11" s="1"/>
      </tp>
      <tp>
        <v>792.9</v>
        <stp/>
        <stp>##V3_BDPV12</stp>
        <stp>TAP US EQUITY</stp>
        <stp>BS_INVENTORIES</stp>
        <stp>[Molson Coors.xlsx]BS!R8C13</stp>
        <stp>EQY_FUND_YEAR</stp>
        <stp>2022</stp>
        <stp>FUND_PER</stp>
        <stp>Q4</stp>
        <tr r="M8" s="2"/>
      </tp>
      <tp>
        <v>866.8</v>
        <stp/>
        <stp>##V3_BDPV12</stp>
        <stp>TAP US EQUITY</stp>
        <stp>BS_INVENTORIES</stp>
        <stp>[Molson Coors.xlsx]BS!R8C12</stp>
        <stp>EQY_FUND_YEAR</stp>
        <stp>2022</stp>
        <stp>FUND_PER</stp>
        <stp>Q3</stp>
        <tr r="L8" s="2"/>
      </tp>
      <tp>
        <v>872.4</v>
        <stp/>
        <stp>##V3_BDPV12</stp>
        <stp>TAP US EQUITY</stp>
        <stp>BS_INVENTORIES</stp>
        <stp>[Molson Coors.xlsx]BS!R8C11</stp>
        <stp>EQY_FUND_YEAR</stp>
        <stp>2022</stp>
        <stp>FUND_PER</stp>
        <stp>Q2</stp>
        <tr r="K8" s="2"/>
      </tp>
      <tp>
        <v>935.8</v>
        <stp/>
        <stp>##V3_BDPV12</stp>
        <stp>TAP US EQUITY</stp>
        <stp>BS_INVENTORIES</stp>
        <stp>[Molson Coors.xlsx]BS!R8C10</stp>
        <stp>EQY_FUND_YEAR</stp>
        <stp>2022</stp>
        <stp>FUND_PER</stp>
        <stp>Q1</stp>
        <tr r="J8" s="2"/>
      </tp>
      <tp>
        <v>915.59999999999991</v>
        <stp/>
        <stp>##V3_BDPV12</stp>
        <stp>TAP US EQUITY</stp>
        <stp>BS_INVENTORIES</stp>
        <stp>[Molson Coors.xlsx]BS!R8C15</stp>
        <stp>EQY_FUND_YEAR</stp>
        <stp>2023</stp>
        <stp>FUND_PER</stp>
        <stp>Q1</stp>
        <tr r="O8" s="2"/>
      </tp>
      <tp>
        <v>77.179477644317188</v>
        <stp/>
        <stp>##V3_BDPV12</stp>
        <stp>TAP US EQUITY</stp>
        <stp>COGS_PER_HECTOLITER</stp>
        <stp>[Molson Coors.xlsx]Rev!R17C10</stp>
        <stp>EQY_FUND_RELATIVE_PERIOD</stp>
        <stp>2021</stp>
        <tr r="J17" s="18"/>
      </tp>
      <tp>
        <v>-82.2</v>
        <stp/>
        <stp>##V3_BDPV12</stp>
        <stp>TAP US EQUITY</stp>
        <stp>CF_DVD_PAID</stp>
        <stp>[Molson Coors.xlsx]CF_F!R23C12</stp>
        <stp>EQY_FUND_YEAR</stp>
        <stp>2022</stp>
        <stp>FUND_PER</stp>
        <stp>Q3</stp>
        <tr r="L23" s="28"/>
      </tp>
      <tp>
        <v>-82.5</v>
        <stp/>
        <stp>##V3_BDPV12</stp>
        <stp>TAP US EQUITY</stp>
        <stp>CF_DVD_PAID</stp>
        <stp>[Molson Coors.xlsx]CF_F!R23C11</stp>
        <stp>EQY_FUND_YEAR</stp>
        <stp>2022</stp>
        <stp>FUND_PER</stp>
        <stp>Q2</stp>
        <tr r="K23" s="28"/>
      </tp>
      <tp>
        <v>-82.399999999999991</v>
        <stp/>
        <stp>##V3_BDPV12</stp>
        <stp>TAP US EQUITY</stp>
        <stp>CF_DVD_PAID</stp>
        <stp>[Molson Coors.xlsx]CF_F!R23C10</stp>
        <stp>EQY_FUND_YEAR</stp>
        <stp>2022</stp>
        <stp>FUND_PER</stp>
        <stp>Q1</stp>
        <tr r="J23" s="28"/>
      </tp>
      <tp>
        <v>-82.2</v>
        <stp/>
        <stp>##V3_BDPV12</stp>
        <stp>TAP US EQUITY</stp>
        <stp>CF_DVD_PAID</stp>
        <stp>[Molson Coors.xlsx]CF_F!R23C13</stp>
        <stp>EQY_FUND_YEAR</stp>
        <stp>2022</stp>
        <stp>FUND_PER</stp>
        <stp>Q4</stp>
        <tr r="M23" s="28"/>
      </tp>
      <tp>
        <v>684.8</v>
        <stp/>
        <stp>##V3_BDPV12</stp>
        <stp>TAP US EQUITY</stp>
        <stp>CF_DEPR_AMORT</stp>
        <stp>[Molson Coors.xlsx]IS!R12C14</stp>
        <stp>EQY_FUND_RELATIVE_PERIOD</stp>
        <stp>2022</stp>
        <tr r="N12" s="1"/>
      </tp>
      <tp>
        <v>58.699999999999996</v>
        <stp/>
        <stp>##V3_BDPV12</stp>
        <stp>TAP US EQUITY</stp>
        <stp>IS_NET_INTEREST_EXPENSE</stp>
        <stp>[Molson Coors.xlsx]IS!R20C12</stp>
        <stp>EQY_FUND_YEAR</stp>
        <stp>2022</stp>
        <stp>FUND_PER</stp>
        <stp>Q3</stp>
        <tr r="L20" s="1"/>
      </tp>
      <tp>
        <v>66.599999999999994</v>
        <stp/>
        <stp>##V3_BDPV12</stp>
        <stp>TAP US EQUITY</stp>
        <stp>IS_NET_INTEREST_EXPENSE</stp>
        <stp>[Molson Coors.xlsx]IS!R20C11</stp>
        <stp>EQY_FUND_YEAR</stp>
        <stp>2022</stp>
        <stp>FUND_PER</stp>
        <stp>Q2</stp>
        <tr r="K20" s="1"/>
      </tp>
      <tp>
        <v>63.3</v>
        <stp/>
        <stp>##V3_BDPV12</stp>
        <stp>TAP US EQUITY</stp>
        <stp>IS_NET_INTEREST_EXPENSE</stp>
        <stp>[Molson Coors.xlsx]IS!R20C10</stp>
        <stp>EQY_FUND_YEAR</stp>
        <stp>2022</stp>
        <stp>FUND_PER</stp>
        <stp>Q1</stp>
        <tr r="J20" s="1"/>
      </tp>
      <tp>
        <v>57.699999999999996</v>
        <stp/>
        <stp>##V3_BDPV12</stp>
        <stp>TAP US EQUITY</stp>
        <stp>IS_NET_INTEREST_EXPENSE</stp>
        <stp>[Molson Coors.xlsx]IS!R20C13</stp>
        <stp>EQY_FUND_YEAR</stp>
        <stp>2022</stp>
        <stp>FUND_PER</stp>
        <stp>Q4</stp>
        <tr r="M20" s="1"/>
      </tp>
      <tp>
        <v>27.707535190631749</v>
        <stp/>
        <stp>##V3_BDPV12</stp>
        <stp>TAP US EQUITY</stp>
        <stp>OPEX_PER_HECTOLITER</stp>
        <stp>[Molson Coors.xlsx]Rev!R20C3</stp>
        <stp>EQY_FUND_RELATIVE_PERIOD</stp>
        <stp>2018</stp>
        <tr r="C20" s="18"/>
      </tp>
      <tp>
        <v>92.141000000000005</v>
        <stp/>
        <stp>##V3_BDPV12</stp>
        <stp>TAP US EQUITY</stp>
        <stp>TOTAL_BEVERAGE_VOLUME_PRODUCED</stp>
        <stp>[Molson Coors.xlsx]Rev!R5C3</stp>
        <stp>EQY_FUND_RELATIVE_PERIOD</stp>
        <stp>2018</stp>
        <tr r="C5" s="18"/>
      </tp>
      <tp>
        <v>974.8</v>
        <stp/>
        <stp>##V3_BDPV12</stp>
        <stp>TAP US EQUITY</stp>
        <stp>BS_ST_BORROW</stp>
        <stp>[Molson Coors.xlsx]BS!R23C3</stp>
        <stp>EQY_FUND_RELATIVE_PERIOD</stp>
        <stp>2019</stp>
        <tr r="C23" s="2"/>
      </tp>
      <tp>
        <v>-132.69999999999999</v>
        <stp/>
        <stp>##V3_BDPV12</stp>
        <stp>TAP US EQUITY</stp>
        <stp>CF_NET_CHNG_CASH</stp>
        <stp>[Molson Coors.xlsx]CF_F!R31C9</stp>
        <stp>EQY_FUND_RELATIVE_PERIOD</stp>
        <stp>2021</stp>
        <tr r="I31" s="28"/>
      </tp>
      <tp>
        <v>3102</v>
        <stp/>
        <stp>##V3_BDPV12</stp>
        <stp>TAP US EQUITY</stp>
        <stp>ACCT_PAYABLE_ACCRUALS_DETAILED</stp>
        <stp>[Molson Coors.xlsx]BS!R22C7</stp>
        <stp>EQY_FUND_YEAR</stp>
        <stp>2021</stp>
        <stp>FUND_PER</stp>
        <stp>Q3</stp>
        <tr r="G22" s="2"/>
      </tp>
      <tp>
        <v>3226.2</v>
        <stp/>
        <stp>##V3_BDPV12</stp>
        <stp>TAP US EQUITY</stp>
        <stp>ACCT_PAYABLE_ACCRUALS_DETAILED</stp>
        <stp>[Molson Coors.xlsx]BS!R22C6</stp>
        <stp>EQY_FUND_YEAR</stp>
        <stp>2021</stp>
        <stp>FUND_PER</stp>
        <stp>Q2</stp>
        <tr r="F22" s="2"/>
      </tp>
      <tp>
        <v>2442.4</v>
        <stp/>
        <stp>##V3_BDPV12</stp>
        <stp>TAP US EQUITY</stp>
        <stp>ACCT_PAYABLE_ACCRUALS_DETAILED</stp>
        <stp>[Molson Coors.xlsx]BS!R22C5</stp>
        <stp>EQY_FUND_YEAR</stp>
        <stp>2021</stp>
        <stp>FUND_PER</stp>
        <stp>Q1</stp>
        <tr r="E22" s="2"/>
      </tp>
      <tp>
        <v>2626.9</v>
        <stp/>
        <stp>##V3_BDPV12</stp>
        <stp>TAP US EQUITY</stp>
        <stp>ACCT_PAYABLE_ACCRUALS_DETAILED</stp>
        <stp>[Molson Coors.xlsx]BS!R22C8</stp>
        <stp>EQY_FUND_YEAR</stp>
        <stp>2021</stp>
        <stp>FUND_PER</stp>
        <stp>Q4</stp>
        <tr r="H22" s="2"/>
      </tp>
      <tp>
        <v>441.79999999999995</v>
        <stp/>
        <stp>##V3_BDPV12</stp>
        <stp>TAP US EQUITY</stp>
        <stp>BS_ST_BORROW</stp>
        <stp>[Molson Coors.xlsx]BS!R23C14</stp>
        <stp>EQY_FUND_RELATIVE_PERIOD</stp>
        <stp>2022</stp>
        <tr r="N23" s="2"/>
      </tp>
      <tp>
        <v>6264.5</v>
        <stp/>
        <stp>##V3_BDPV12</stp>
        <stp>TAP US EQUITY</stp>
        <stp>BS_LT_BORROW</stp>
        <stp>[Molson Coors.xlsx]BS!R27C14</stp>
        <stp>EQY_FUND_RELATIVE_PERIOD</stp>
        <stp>2022</stp>
        <tr r="N27" s="2"/>
      </tp>
      <tp>
        <v>79.096000000000004</v>
        <stp/>
        <stp>##V3_BDPV12</stp>
        <stp>TAP US EQUITY</stp>
        <stp>TOTAL_BEVERAGE_VOLUME_PRODUCED</stp>
        <stp>[Molson Coors.xlsx]Rev!R5C15</stp>
        <stp>EQY_FUND_RELATIVE_PERIOD</stp>
        <stp>2022</stp>
        <tr r="O5" s="18"/>
      </tp>
      <tp>
        <v>89.079093759482149</v>
        <stp/>
        <stp>##V3_BDPV12</stp>
        <stp>TAP US EQUITY</stp>
        <stp>COGS_PER_HECTOLITER</stp>
        <stp>[Molson Coors.xlsx]Rev!R17C15</stp>
        <stp>EQY_FUND_RELATIVE_PERIOD</stp>
        <stp>2022</stp>
        <tr r="O17" s="18"/>
      </tp>
      <tp>
        <v>27.2</v>
        <stp/>
        <stp>##V3_BDPV12</stp>
        <stp>TAP US EQUITY</stp>
        <stp>CF_EFFECT_FOREIGN_EXCHANGES</stp>
        <stp>[Molson Coors.xlsx]CF_F!R30C13</stp>
        <stp>EQY_FUND_YEAR</stp>
        <stp>2022</stp>
        <stp>FUND_PER</stp>
        <stp>Q4</stp>
        <tr r="M30" s="28"/>
      </tp>
      <tp>
        <v>-17.099999999999998</v>
        <stp/>
        <stp>##V3_BDPV12</stp>
        <stp>TAP US EQUITY</stp>
        <stp>CF_EFFECT_FOREIGN_EXCHANGES</stp>
        <stp>[Molson Coors.xlsx]CF_F!R30C11</stp>
        <stp>EQY_FUND_YEAR</stp>
        <stp>2022</stp>
        <stp>FUND_PER</stp>
        <stp>Q2</stp>
        <tr r="K30" s="28"/>
      </tp>
      <tp>
        <v>-29.2</v>
        <stp/>
        <stp>##V3_BDPV12</stp>
        <stp>TAP US EQUITY</stp>
        <stp>CF_EFFECT_FOREIGN_EXCHANGES</stp>
        <stp>[Molson Coors.xlsx]CF_F!R30C12</stp>
        <stp>EQY_FUND_YEAR</stp>
        <stp>2022</stp>
        <stp>FUND_PER</stp>
        <stp>Q3</stp>
        <tr r="L30" s="28"/>
      </tp>
      <tp>
        <v>-5.7</v>
        <stp/>
        <stp>##V3_BDPV12</stp>
        <stp>TAP US EQUITY</stp>
        <stp>CF_EFFECT_FOREIGN_EXCHANGES</stp>
        <stp>[Molson Coors.xlsx]CF_F!R30C10</stp>
        <stp>EQY_FUND_YEAR</stp>
        <stp>2022</stp>
        <stp>FUND_PER</stp>
        <stp>Q1</stp>
        <tr r="J30" s="28"/>
      </tp>
      <tp>
        <v>45.5</v>
        <stp/>
        <stp>##V3_BDPV12</stp>
        <stp>TAP US EQUITY</stp>
        <stp>OTHER_CURRENT_LIABS_SUB_DETAILED</stp>
        <stp>[Molson Coors.xlsx]BS!R24C10</stp>
        <stp>EQY_FUND_YEAR</stp>
        <stp>2022</stp>
        <stp>FUND_PER</stp>
        <stp>Q1</stp>
        <tr r="J24" s="2"/>
      </tp>
      <tp>
        <v>26.4</v>
        <stp/>
        <stp>##V3_BDPV12</stp>
        <stp>TAP US EQUITY</stp>
        <stp>OTHER_CURRENT_LIABS_SUB_DETAILED</stp>
        <stp>[Molson Coors.xlsx]BS!R24C15</stp>
        <stp>EQY_FUND_YEAR</stp>
        <stp>2023</stp>
        <stp>FUND_PER</stp>
        <stp>Q1</stp>
        <tr r="O24" s="2"/>
      </tp>
      <tp>
        <v>33.1</v>
        <stp/>
        <stp>##V3_BDPV12</stp>
        <stp>TAP US EQUITY</stp>
        <stp>OTHER_CURRENT_LIABS_SUB_DETAILED</stp>
        <stp>[Molson Coors.xlsx]BS!R24C12</stp>
        <stp>EQY_FUND_YEAR</stp>
        <stp>2022</stp>
        <stp>FUND_PER</stp>
        <stp>Q3</stp>
        <tr r="L24" s="2"/>
      </tp>
      <tp>
        <v>13.8</v>
        <stp/>
        <stp>##V3_BDPV12</stp>
        <stp>TAP US EQUITY</stp>
        <stp>OTHER_CURRENT_LIABS_SUB_DETAILED</stp>
        <stp>[Molson Coors.xlsx]BS!R24C11</stp>
        <stp>EQY_FUND_YEAR</stp>
        <stp>2022</stp>
        <stp>FUND_PER</stp>
        <stp>Q2</stp>
        <tr r="K24" s="2"/>
      </tp>
      <tp>
        <v>347.59999999999997</v>
        <stp/>
        <stp>##V3_BDPV12</stp>
        <stp>TAP US EQUITY</stp>
        <stp>OTHER_CURRENT_LIABS_SUB_DETAILED</stp>
        <stp>[Molson Coors.xlsx]BS!R24C13</stp>
        <stp>EQY_FUND_YEAR</stp>
        <stp>2022</stp>
        <stp>FUND_PER</stp>
        <stp>Q4</stp>
        <tr r="M24" s="2"/>
      </tp>
      <tp>
        <v>82.033000000000001</v>
        <stp/>
        <stp>##V3_BDPV12</stp>
        <stp>TAP US EQUITY</stp>
        <stp>TOTAL_BEVERAGE_VOLUME_PRODUCED</stp>
        <stp>[Molson Coors.xlsx]Rev!R5C5</stp>
        <stp>EQY_FUND_RELATIVE_PERIOD</stp>
        <stp>2020</stp>
        <tr r="E5" s="18"/>
      </tp>
      <tp>
        <v>471.4</v>
        <stp/>
        <stp>##V3_BDPV12</stp>
        <stp>TAP US EQUITY</stp>
        <stp>BS_AMT_OF_TSY_STOCK</stp>
        <stp>[Molson Coors.xlsx]BS!R36C6</stp>
        <stp>EQY_FUND_YEAR</stp>
        <stp>2021</stp>
        <stp>FUND_PER</stp>
        <stp>Q2</stp>
        <tr r="F36" s="2"/>
      </tp>
      <tp>
        <v>471.4</v>
        <stp/>
        <stp>##V3_BDPV12</stp>
        <stp>TAP US EQUITY</stp>
        <stp>BS_AMT_OF_TSY_STOCK</stp>
        <stp>[Molson Coors.xlsx]BS!R36C7</stp>
        <stp>EQY_FUND_YEAR</stp>
        <stp>2021</stp>
        <stp>FUND_PER</stp>
        <stp>Q3</stp>
        <tr r="G36" s="2"/>
      </tp>
      <tp>
        <v>471.4</v>
        <stp/>
        <stp>##V3_BDPV12</stp>
        <stp>TAP US EQUITY</stp>
        <stp>BS_AMT_OF_TSY_STOCK</stp>
        <stp>[Molson Coors.xlsx]BS!R36C5</stp>
        <stp>EQY_FUND_YEAR</stp>
        <stp>2021</stp>
        <stp>FUND_PER</stp>
        <stp>Q1</stp>
        <tr r="E36" s="2"/>
      </tp>
      <tp>
        <v>471.4</v>
        <stp/>
        <stp>##V3_BDPV12</stp>
        <stp>TAP US EQUITY</stp>
        <stp>BS_AMT_OF_TSY_STOCK</stp>
        <stp>[Molson Coors.xlsx]BS!R36C8</stp>
        <stp>EQY_FUND_YEAR</stp>
        <stp>2021</stp>
        <stp>FUND_PER</stp>
        <stp>Q4</stp>
        <tr r="H36" s="2"/>
      </tp>
      <tp>
        <v>88.945999999999998</v>
        <stp/>
        <stp>##V3_BDPV12</stp>
        <stp>TAP US EQUITY</stp>
        <stp>TOTAL_BEVERAGE_VOLUME_PRODUCED</stp>
        <stp>[Molson Coors.xlsx]Rev!R5C4</stp>
        <stp>EQY_FUND_RELATIVE_PERIOD</stp>
        <stp>2019</stp>
        <tr r="D5" s="18"/>
      </tp>
      <tp>
        <v>1067.2</v>
        <stp/>
        <stp>##V3_BDPV12</stp>
        <stp>TAP US EQUITY</stp>
        <stp>BS_ST_BORROW</stp>
        <stp>[Molson Coors.xlsx]BS!R23C4</stp>
        <stp>EQY_FUND_RELATIVE_PERIOD</stp>
        <stp>2020</stp>
        <tr r="D23" s="2"/>
      </tp>
      <tp>
        <v>6152.5999999999995</v>
        <stp/>
        <stp>##V3_BDPV12</stp>
        <stp>TAP US EQUITY</stp>
        <stp>BS_GOODWILL</stp>
        <stp>[Molson Coors.xlsx]BS!R13C8</stp>
        <stp>EQY_FUND_YEAR</stp>
        <stp>2021</stp>
        <stp>FUND_PER</stp>
        <stp>Q4</stp>
        <tr r="H13" s="2"/>
      </tp>
      <tp>
        <v>6156.9</v>
        <stp/>
        <stp>##V3_BDPV12</stp>
        <stp>TAP US EQUITY</stp>
        <stp>BS_GOODWILL</stp>
        <stp>[Molson Coors.xlsx]BS!R13C6</stp>
        <stp>EQY_FUND_YEAR</stp>
        <stp>2021</stp>
        <stp>FUND_PER</stp>
        <stp>Q2</stp>
        <tr r="F13" s="2"/>
      </tp>
      <tp>
        <v>6151.7999999999993</v>
        <stp/>
        <stp>##V3_BDPV12</stp>
        <stp>TAP US EQUITY</stp>
        <stp>BS_GOODWILL</stp>
        <stp>[Molson Coors.xlsx]BS!R13C7</stp>
        <stp>EQY_FUND_YEAR</stp>
        <stp>2021</stp>
        <stp>FUND_PER</stp>
        <stp>Q3</stp>
        <tr r="G13" s="2"/>
      </tp>
      <tp>
        <v>6153.9</v>
        <stp/>
        <stp>##V3_BDPV12</stp>
        <stp>TAP US EQUITY</stp>
        <stp>BS_GOODWILL</stp>
        <stp>[Molson Coors.xlsx]BS!R13C5</stp>
        <stp>EQY_FUND_YEAR</stp>
        <stp>2021</stp>
        <stp>FUND_PER</stp>
        <stp>Q1</stp>
        <tr r="E13" s="2"/>
      </tp>
      <tp>
        <v>-101.4</v>
        <stp/>
        <stp>##V3_BDPV12</stp>
        <stp>TAP US EQUITY</stp>
        <stp>FIXED_INTANG_ASST_CHANGE</stp>
        <stp>[Molson Coors.xlsx]CF_F!R18C5</stp>
        <stp>EQY_FUND_YEAR</stp>
        <stp>2021</stp>
        <stp>FUND_PER</stp>
        <stp>Q1</stp>
        <tr r="E18" s="28"/>
      </tp>
      <tp>
        <v>-107.30000000000001</v>
        <stp/>
        <stp>##V3_BDPV12</stp>
        <stp>TAP US EQUITY</stp>
        <stp>FIXED_INTANG_ASST_CHANGE</stp>
        <stp>[Molson Coors.xlsx]CF_F!R18C6</stp>
        <stp>EQY_FUND_YEAR</stp>
        <stp>2021</stp>
        <stp>FUND_PER</stp>
        <stp>Q2</stp>
        <tr r="F18" s="28"/>
      </tp>
      <tp>
        <v>-130.6</v>
        <stp/>
        <stp>##V3_BDPV12</stp>
        <stp>TAP US EQUITY</stp>
        <stp>FIXED_INTANG_ASST_CHANGE</stp>
        <stp>[Molson Coors.xlsx]CF_F!R18C7</stp>
        <stp>EQY_FUND_YEAR</stp>
        <stp>2021</stp>
        <stp>FUND_PER</stp>
        <stp>Q3</stp>
        <tr r="G18" s="28"/>
      </tp>
      <tp>
        <v>-157.29999999999998</v>
        <stp/>
        <stp>##V3_BDPV12</stp>
        <stp>TAP US EQUITY</stp>
        <stp>FIXED_INTANG_ASST_CHANGE</stp>
        <stp>[Molson Coors.xlsx]CF_F!R18C8</stp>
        <stp>EQY_FUND_YEAR</stp>
        <stp>2021</stp>
        <stp>FUND_PER</stp>
        <stp>Q4</stp>
        <tr r="H18" s="28"/>
      </tp>
      <tp>
        <v>2629.5</v>
        <stp/>
        <stp>##V3_BDPV12</stp>
        <stp>TAP US EQUITY</stp>
        <stp>SALES_REV_TURN</stp>
        <stp>[Molson Coors.xlsx]IS!R7C13</stp>
        <stp>EQY_FUND_YEAR</stp>
        <stp>2022</stp>
        <stp>FUND_PER</stp>
        <stp>Q4</stp>
        <tr r="M7" s="1"/>
      </tp>
      <tp>
        <v>2921.7</v>
        <stp/>
        <stp>##V3_BDPV12</stp>
        <stp>TAP US EQUITY</stp>
        <stp>SALES_REV_TURN</stp>
        <stp>[Molson Coors.xlsx]IS!R7C11</stp>
        <stp>EQY_FUND_YEAR</stp>
        <stp>2022</stp>
        <stp>FUND_PER</stp>
        <stp>Q2</stp>
        <tr r="K7" s="1"/>
      </tp>
      <tp>
        <v>2935.2</v>
        <stp/>
        <stp>##V3_BDPV12</stp>
        <stp>TAP US EQUITY</stp>
        <stp>SALES_REV_TURN</stp>
        <stp>[Molson Coors.xlsx]IS!R7C12</stp>
        <stp>EQY_FUND_YEAR</stp>
        <stp>2022</stp>
        <stp>FUND_PER</stp>
        <stp>Q3</stp>
        <tr r="L7" s="1"/>
      </tp>
      <tp>
        <v>2214.6</v>
        <stp/>
        <stp>##V3_BDPV12</stp>
        <stp>TAP US EQUITY</stp>
        <stp>SALES_REV_TURN</stp>
        <stp>[Molson Coors.xlsx]IS!R7C10</stp>
        <stp>EQY_FUND_YEAR</stp>
        <stp>2022</stp>
        <stp>FUND_PER</stp>
        <stp>Q1</stp>
        <tr r="J7" s="1"/>
      </tp>
      <tp>
        <v>1898.4</v>
        <stp/>
        <stp>##V3_BDPV12</stp>
        <stp>TAP US EQUITY</stp>
        <stp>SALES_REV_TURN</stp>
        <stp>[Molson Coors.xlsx]IS!R7C5</stp>
        <stp>EQY_FUND_YEAR</stp>
        <stp>2021</stp>
        <stp>FUND_PER</stp>
        <stp>Q1</stp>
        <tr r="E7" s="1"/>
      </tp>
      <tp>
        <v>2939.4</v>
        <stp/>
        <stp>##V3_BDPV12</stp>
        <stp>TAP US EQUITY</stp>
        <stp>SALES_REV_TURN</stp>
        <stp>[Molson Coors.xlsx]IS!R7C6</stp>
        <stp>EQY_FUND_YEAR</stp>
        <stp>2021</stp>
        <stp>FUND_PER</stp>
        <stp>Q2</stp>
        <tr r="F7" s="1"/>
      </tp>
      <tp>
        <v>2822.7</v>
        <stp/>
        <stp>##V3_BDPV12</stp>
        <stp>TAP US EQUITY</stp>
        <stp>SALES_REV_TURN</stp>
        <stp>[Molson Coors.xlsx]IS!R7C7</stp>
        <stp>EQY_FUND_YEAR</stp>
        <stp>2021</stp>
        <stp>FUND_PER</stp>
        <stp>Q3</stp>
        <tr r="G7" s="1"/>
      </tp>
      <tp>
        <v>2619.1999999999998</v>
        <stp/>
        <stp>##V3_BDPV12</stp>
        <stp>TAP US EQUITY</stp>
        <stp>SALES_REV_TURN</stp>
        <stp>[Molson Coors.xlsx]IS!R7C8</stp>
        <stp>EQY_FUND_YEAR</stp>
        <stp>2021</stp>
        <stp>FUND_PER</stp>
        <stp>Q4</stp>
        <tr r="H7" s="1"/>
      </tp>
      <tp>
        <v>80.673000000000002</v>
        <stp/>
        <stp>##V3_BDPV12</stp>
        <stp>TAP US EQUITY</stp>
        <stp>TOTAL_BEVERAGE_VOLUME_PRODUCED</stp>
        <stp>[Molson Coors.xlsx]Rev!R5C10</stp>
        <stp>EQY_FUND_RELATIVE_PERIOD</stp>
        <stp>2021</stp>
        <tr r="J5" s="18"/>
      </tp>
      <tp>
        <v>38.639174330492665</v>
        <stp/>
        <stp>##V3_BDPV12</stp>
        <stp>TAP US EQUITY</stp>
        <stp>OPEX_PER_HECTOLITER</stp>
        <stp>[Molson Coors.xlsx]Rev!R20C4</stp>
        <stp>EQY_FUND_RELATIVE_PERIOD</stp>
        <stp>2019</stp>
        <tr r="D20" s="18"/>
      </tp>
      <tp>
        <v>637.4</v>
        <stp/>
        <stp>##V3_BDPV12</stp>
        <stp>TAP US EQUITY</stp>
        <stp>CASH_CASH_EQTY_STI_DETAILED</stp>
        <stp>[Molson Coors.xlsx]BS!R6C9</stp>
        <stp>EQY_FUND_RELATIVE_PERIOD</stp>
        <stp>2021</stp>
        <tr r="I6" s="2"/>
      </tp>
      <tp>
        <v>50.920970828812791</v>
        <stp/>
        <stp>##V3_BDPV12</stp>
        <stp>TAP US EQUITY</stp>
        <stp>OPEX_PER_HECTOLITER</stp>
        <stp>[Molson Coors.xlsx]Rev!R20C5</stp>
        <stp>EQY_FUND_RELATIVE_PERIOD</stp>
        <stp>2020</stp>
        <tr r="E20" s="18"/>
      </tp>
      <tp>
        <v>12663.2</v>
        <stp/>
        <stp>##V3_BDPV12</stp>
        <stp>TAP US EQUITY</stp>
        <stp>OTHER_INTANGIBLE_ASSETS_DETAILED</stp>
        <stp>[Molson Coors.xlsx]BS!R14C12</stp>
        <stp>EQY_FUND_YEAR</stp>
        <stp>2022</stp>
        <stp>FUND_PER</stp>
        <stp>Q3</stp>
        <tr r="L14" s="2"/>
      </tp>
      <tp>
        <v>12993.5</v>
        <stp/>
        <stp>##V3_BDPV12</stp>
        <stp>TAP US EQUITY</stp>
        <stp>OTHER_INTANGIBLE_ASSETS_DETAILED</stp>
        <stp>[Molson Coors.xlsx]BS!R14C11</stp>
        <stp>EQY_FUND_YEAR</stp>
        <stp>2022</stp>
        <stp>FUND_PER</stp>
        <stp>Q2</stp>
        <tr r="K14" s="2"/>
      </tp>
      <tp>
        <v>13221.8</v>
        <stp/>
        <stp>##V3_BDPV12</stp>
        <stp>TAP US EQUITY</stp>
        <stp>OTHER_INTANGIBLE_ASSETS_DETAILED</stp>
        <stp>[Molson Coors.xlsx]BS!R14C10</stp>
        <stp>EQY_FUND_YEAR</stp>
        <stp>2022</stp>
        <stp>FUND_PER</stp>
        <stp>Q1</stp>
        <tr r="J14" s="2"/>
      </tp>
      <tp>
        <v>12799.3</v>
        <stp/>
        <stp>##V3_BDPV12</stp>
        <stp>TAP US EQUITY</stp>
        <stp>OTHER_INTANGIBLE_ASSETS_DETAILED</stp>
        <stp>[Molson Coors.xlsx]BS!R14C15</stp>
        <stp>EQY_FUND_YEAR</stp>
        <stp>2023</stp>
        <stp>FUND_PER</stp>
        <stp>Q1</stp>
        <tr r="O14" s="2"/>
      </tp>
      <tp>
        <v>12800.1</v>
        <stp/>
        <stp>##V3_BDPV12</stp>
        <stp>TAP US EQUITY</stp>
        <stp>OTHER_INTANGIBLE_ASSETS_DETAILED</stp>
        <stp>[Molson Coors.xlsx]BS!R14C13</stp>
        <stp>EQY_FUND_YEAR</stp>
        <stp>2022</stp>
        <stp>FUND_PER</stp>
        <stp>Q4</stp>
        <tr r="M14" s="2"/>
      </tp>
      <tp>
        <v>4.0500177188275197</v>
        <stp/>
        <stp>##V3_BDPV12</stp>
        <stp>TAP US EQUITY</stp>
        <stp>PROFIT_PER_HECTOLITER</stp>
        <stp>[Molson Coors.xlsx]Rev!R26C9</stp>
        <stp>EQY_FUND_YEAR</stp>
        <stp>2021</stp>
        <stp>FUND_PER</stp>
        <stp>Q4</stp>
        <tr r="I26" s="18"/>
      </tp>
      <tp>
        <v>5.1760216642048249</v>
        <stp/>
        <stp>##V3_BDPV12</stp>
        <stp>TAP US EQUITY</stp>
        <stp>PROFIT_PER_HECTOLITER</stp>
        <stp>[Molson Coors.xlsx]Rev!R26C6</stp>
        <stp>EQY_FUND_YEAR</stp>
        <stp>2021</stp>
        <stp>FUND_PER</stp>
        <stp>Q1</stp>
        <tr r="F26" s="18"/>
      </tp>
      <tp>
        <v>17.559080023496453</v>
        <stp/>
        <stp>##V3_BDPV12</stp>
        <stp>TAP US EQUITY</stp>
        <stp>PROFIT_PER_HECTOLITER</stp>
        <stp>[Molson Coors.xlsx]Rev!R26C7</stp>
        <stp>EQY_FUND_YEAR</stp>
        <stp>2021</stp>
        <stp>FUND_PER</stp>
        <stp>Q2</stp>
        <tr r="G26" s="18"/>
      </tp>
      <tp>
        <v>20.096712656936248</v>
        <stp/>
        <stp>##V3_BDPV12</stp>
        <stp>TAP US EQUITY</stp>
        <stp>PROFIT_PER_HECTOLITER</stp>
        <stp>[Molson Coors.xlsx]Rev!R26C8</stp>
        <stp>EQY_FUND_YEAR</stp>
        <stp>2021</stp>
        <stp>FUND_PER</stp>
        <stp>Q3</stp>
        <tr r="H26" s="18"/>
      </tp>
      <tp>
        <v>560.29999999999995</v>
        <stp/>
        <stp>##V3_BDPV12</stp>
        <stp>TAP US EQUITY</stp>
        <stp>BS_ST_BORROW</stp>
        <stp>[Molson Coors.xlsx]BS!R23C9</stp>
        <stp>EQY_FUND_RELATIVE_PERIOD</stp>
        <stp>2021</stp>
        <tr r="I23" s="2"/>
      </tp>
      <tp>
        <v>-534.5</v>
        <stp/>
        <stp>##V3_BDPV12</stp>
        <stp>TAP US EQUITY</stp>
        <stp>CF_NET_CHNG_CASH</stp>
        <stp>[Molson Coors.xlsx]CF_F!R31C3</stp>
        <stp>EQY_FUND_RELATIVE_PERIOD</stp>
        <stp>2019</stp>
        <tr r="C31" s="28"/>
      </tp>
      <tp>
        <v>1.7</v>
        <stp/>
        <stp>##V3_BDPV12</stp>
        <stp>TAP US EQUITY</stp>
        <stp>MIN_NONCONTROL_INTEREST_CREDITS</stp>
        <stp>[Molson Coors.xlsx]IS!R26C12</stp>
        <stp>EQY_FUND_YEAR</stp>
        <stp>2022</stp>
        <stp>FUND_PER</stp>
        <stp>Q3</stp>
        <tr r="L26" s="1"/>
      </tp>
      <tp>
        <v>0.6</v>
        <stp/>
        <stp>##V3_BDPV12</stp>
        <stp>TAP US EQUITY</stp>
        <stp>MIN_NONCONTROL_INTEREST_CREDITS</stp>
        <stp>[Molson Coors.xlsx]IS!R26C11</stp>
        <stp>EQY_FUND_YEAR</stp>
        <stp>2022</stp>
        <stp>FUND_PER</stp>
        <stp>Q2</stp>
        <tr r="K26" s="1"/>
      </tp>
      <tp>
        <v>-14.2</v>
        <stp/>
        <stp>##V3_BDPV12</stp>
        <stp>TAP US EQUITY</stp>
        <stp>MIN_NONCONTROL_INTEREST_CREDITS</stp>
        <stp>[Molson Coors.xlsx]IS!R26C10</stp>
        <stp>EQY_FUND_YEAR</stp>
        <stp>2022</stp>
        <stp>FUND_PER</stp>
        <stp>Q1</stp>
        <tr r="J26" s="1"/>
      </tp>
      <tp>
        <v>0.7</v>
        <stp/>
        <stp>##V3_BDPV12</stp>
        <stp>TAP US EQUITY</stp>
        <stp>MIN_NONCONTROL_INTEREST_CREDITS</stp>
        <stp>[Molson Coors.xlsx]IS!R26C13</stp>
        <stp>EQY_FUND_YEAR</stp>
        <stp>2022</stp>
        <stp>FUND_PER</stp>
        <stp>Q4</stp>
        <tr r="M26" s="1"/>
      </tp>
      <tp>
        <v>-1.4663849881943665</v>
        <stp/>
        <stp>##V3_BDPV12</stp>
        <stp>TAP US EQUITY</stp>
        <stp>INVENTORY_GROWTH</stp>
        <stp>[Molson Coors.xlsx]IS!R43C13</stp>
        <stp>EQY_FUND_YEAR</stp>
        <stp>2022</stp>
        <stp>FUND_PER</stp>
        <stp>Q4</stp>
        <tr r="M43" s="1"/>
      </tp>
      <tp>
        <v>16.397598398932619</v>
        <stp/>
        <stp>##V3_BDPV12</stp>
        <stp>TAP US EQUITY</stp>
        <stp>INVENTORY_GROWTH</stp>
        <stp>[Molson Coors.xlsx]IS!R43C11</stp>
        <stp>EQY_FUND_YEAR</stp>
        <stp>2022</stp>
        <stp>FUND_PER</stp>
        <stp>Q2</stp>
        <tr r="K43" s="1"/>
      </tp>
      <tp>
        <v>7.4767513949162998</v>
        <stp/>
        <stp>##V3_BDPV12</stp>
        <stp>TAP US EQUITY</stp>
        <stp>INVENTORY_GROWTH</stp>
        <stp>[Molson Coors.xlsx]IS!R43C12</stp>
        <stp>EQY_FUND_YEAR</stp>
        <stp>2022</stp>
        <stp>FUND_PER</stp>
        <stp>Q3</stp>
        <tr r="L43" s="1"/>
      </tp>
      <tp>
        <v>25.375133976420145</v>
        <stp/>
        <stp>##V3_BDPV12</stp>
        <stp>TAP US EQUITY</stp>
        <stp>INVENTORY_GROWTH</stp>
        <stp>[Molson Coors.xlsx]IS!R43C10</stp>
        <stp>EQY_FUND_YEAR</stp>
        <stp>2022</stp>
        <stp>FUND_PER</stp>
        <stp>Q1</stp>
        <tr r="J43" s="1"/>
      </tp>
      <tp>
        <v>770.1</v>
        <stp/>
        <stp>##V3_BDPV12</stp>
        <stp>TAP US EQUITY</stp>
        <stp>CASH_CASH_EQTY_STI_DETAILED</stp>
        <stp>[Molson Coors.xlsx]BS!R6C4</stp>
        <stp>EQY_FUND_RELATIVE_PERIOD</stp>
        <stp>2020</stp>
        <tr r="D6" s="2"/>
      </tp>
      <tp>
        <v>71.464386103905966</v>
        <stp/>
        <stp>##V3_BDPV12</stp>
        <stp>TAP US EQUITY</stp>
        <stp>COGS_PER_HECTOLITER</stp>
        <stp>[Molson Coors.xlsx]Rev!R17C3</stp>
        <stp>EQY_FUND_RELATIVE_PERIOD</stp>
        <stp>2018</stp>
        <tr r="C17" s="18"/>
      </tp>
      <tp>
        <v>44.220946697683821</v>
        <stp/>
        <stp>##V3_BDPV12</stp>
        <stp>TAP US EQUITY</stp>
        <stp>OPEX_PER_HECTOLITER</stp>
        <stp>[Molson Coors.xlsx]Rev!R20C15</stp>
        <stp>EQY_FUND_RELATIVE_PERIOD</stp>
        <stp>2022</stp>
        <tr r="O20" s="18"/>
      </tp>
      <tp>
        <v>71.747955091243767</v>
        <stp/>
        <stp>##V3_BDPV12</stp>
        <stp>TAP US EQUITY</stp>
        <stp>COGS_PER_HECTOLITER</stp>
        <stp>[Molson Coors.xlsx]Rev!R17C5</stp>
        <stp>EQY_FUND_RELATIVE_PERIOD</stp>
        <stp>2020</stp>
        <tr r="E17" s="18"/>
      </tp>
      <tp>
        <v>523.4</v>
        <stp/>
        <stp>##V3_BDPV12</stp>
        <stp>TAP US EQUITY</stp>
        <stp>CASH_CASH_EQTY_STI_DETAILED</stp>
        <stp>[Molson Coors.xlsx]BS!R6C3</stp>
        <stp>EQY_FUND_RELATIVE_PERIOD</stp>
        <stp>2019</stp>
        <tr r="C6" s="2"/>
      </tp>
      <tp>
        <v>71.70867717491511</v>
        <stp/>
        <stp>##V3_BDPV12</stp>
        <stp>TAP US EQUITY</stp>
        <stp>COGS_PER_HECTOLITER</stp>
        <stp>[Molson Coors.xlsx]Rev!R17C4</stp>
        <stp>EQY_FUND_RELATIVE_PERIOD</stp>
        <stp>2019</stp>
        <tr r="D17" s="18"/>
      </tp>
      <tp>
        <v>246.7</v>
        <stp/>
        <stp>##V3_BDPV12</stp>
        <stp>TAP US EQUITY</stp>
        <stp>CF_NET_CHNG_CASH</stp>
        <stp>[Molson Coors.xlsx]CF_F!R31C4</stp>
        <stp>EQY_FUND_RELATIVE_PERIOD</stp>
        <stp>2020</stp>
        <tr r="D31" s="28"/>
      </tp>
      <tp>
        <v>32.216478871493557</v>
        <stp/>
        <stp>##V3_BDPV12</stp>
        <stp>TAP US EQUITY</stp>
        <stp>OPEX_PER_HECTOLITER</stp>
        <stp>[Molson Coors.xlsx]Rev!R20C10</stp>
        <stp>EQY_FUND_RELATIVE_PERIOD</stp>
        <stp>2021</stp>
        <tr r="J20" s="18"/>
      </tp>
      <tp>
        <v>673.9</v>
        <stp/>
        <stp>##V3_BDPV12</stp>
        <stp>TAP US EQUITY</stp>
        <stp>OTHER_CURRENT_ASSETS_DETAILED</stp>
        <stp>[Molson Coors.xlsx]BS!R9C8</stp>
        <stp>EQY_FUND_YEAR</stp>
        <stp>2021</stp>
        <stp>FUND_PER</stp>
        <stp>Q4</stp>
        <tr r="H9" s="2"/>
      </tp>
      <tp>
        <v>528.9</v>
        <stp/>
        <stp>##V3_BDPV12</stp>
        <stp>TAP US EQUITY</stp>
        <stp>OTHER_CURRENT_ASSETS_DETAILED</stp>
        <stp>[Molson Coors.xlsx]BS!R9C5</stp>
        <stp>EQY_FUND_YEAR</stp>
        <stp>2021</stp>
        <stp>FUND_PER</stp>
        <stp>Q1</stp>
        <tr r="E9" s="2"/>
      </tp>
      <tp>
        <v>688.8</v>
        <stp/>
        <stp>##V3_BDPV12</stp>
        <stp>TAP US EQUITY</stp>
        <stp>OTHER_CURRENT_ASSETS_DETAILED</stp>
        <stp>[Molson Coors.xlsx]BS!R9C7</stp>
        <stp>EQY_FUND_YEAR</stp>
        <stp>2021</stp>
        <stp>FUND_PER</stp>
        <stp>Q3</stp>
        <tr r="G9" s="2"/>
      </tp>
      <tp>
        <v>611.4</v>
        <stp/>
        <stp>##V3_BDPV12</stp>
        <stp>TAP US EQUITY</stp>
        <stp>OTHER_CURRENT_ASSETS_DETAILED</stp>
        <stp>[Molson Coors.xlsx]BS!R9C6</stp>
        <stp>EQY_FUND_YEAR</stp>
        <stp>2021</stp>
        <stp>FUND_PER</stp>
        <stp>Q2</stp>
        <tr r="F9" s="2"/>
      </tp>
      <tp>
        <v>17.561889333265832</v>
        <stp/>
        <stp>##V3_BDPV12</stp>
        <stp>TAP US EQUITY</stp>
        <stp>EBITDA_PER_HECTOLITER</stp>
        <stp>[Molson Coors.xlsx]Rev!R23C9</stp>
        <stp>EQY_FUND_YEAR</stp>
        <stp>2021</stp>
        <stp>FUND_PER</stp>
        <stp>Q4</stp>
        <tr r="I23" s="18"/>
      </tp>
      <tp>
        <v>23.356720827178727</v>
        <stp/>
        <stp>##V3_BDPV12</stp>
        <stp>TAP US EQUITY</stp>
        <stp>EBITDA_PER_HECTOLITER</stp>
        <stp>[Molson Coors.xlsx]Rev!R23C6</stp>
        <stp>EQY_FUND_YEAR</stp>
        <stp>2021</stp>
        <stp>FUND_PER</stp>
        <stp>Q1</stp>
        <tr r="F23" s="18"/>
      </tp>
      <tp>
        <v>35.353124576386065</v>
        <stp/>
        <stp>##V3_BDPV12</stp>
        <stp>TAP US EQUITY</stp>
        <stp>EBITDA_PER_HECTOLITER</stp>
        <stp>[Molson Coors.xlsx]Rev!R23C7</stp>
        <stp>EQY_FUND_YEAR</stp>
        <stp>2021</stp>
        <stp>FUND_PER</stp>
        <stp>Q2</stp>
        <tr r="G23" s="18"/>
      </tp>
      <tp>
        <v>32.460849119382459</v>
        <stp/>
        <stp>##V3_BDPV12</stp>
        <stp>TAP US EQUITY</stp>
        <stp>EBITDA_PER_HECTOLITER</stp>
        <stp>[Molson Coors.xlsx]Rev!R23C8</stp>
        <stp>EQY_FUND_YEAR</stp>
        <stp>2021</stp>
        <stp>FUND_PER</stp>
        <stp>Q3</stp>
        <tr r="H23" s="18"/>
      </tp>
      <tp>
        <v>665.1</v>
        <stp/>
        <stp>##V3_BDPV12</stp>
        <stp>TAP US EQUITY</stp>
        <stp>IS_SGA_EXPENSE</stp>
        <stp>[Molson Coors.xlsx]IS!R11C8</stp>
        <stp>EQY_FUND_YEAR</stp>
        <stp>2021</stp>
        <stp>FUND_PER</stp>
        <stp>Q4</stp>
        <tr r="H11" s="1"/>
      </tp>
      <tp>
        <v>681.7</v>
        <stp/>
        <stp>##V3_BDPV12</stp>
        <stp>TAP US EQUITY</stp>
        <stp>IS_SGA_EXPENSE</stp>
        <stp>[Molson Coors.xlsx]IS!R11C6</stp>
        <stp>EQY_FUND_YEAR</stp>
        <stp>2021</stp>
        <stp>FUND_PER</stp>
        <stp>Q2</stp>
        <tr r="F11" s="1"/>
      </tp>
      <tp>
        <v>664.8</v>
        <stp/>
        <stp>##V3_BDPV12</stp>
        <stp>TAP US EQUITY</stp>
        <stp>IS_SGA_EXPENSE</stp>
        <stp>[Molson Coors.xlsx]IS!R11C7</stp>
        <stp>EQY_FUND_YEAR</stp>
        <stp>2021</stp>
        <stp>FUND_PER</stp>
        <stp>Q3</stp>
        <tr r="G11" s="1"/>
      </tp>
      <tp>
        <v>542.9</v>
        <stp/>
        <stp>##V3_BDPV12</stp>
        <stp>TAP US EQUITY</stp>
        <stp>IS_SGA_EXPENSE</stp>
        <stp>[Molson Coors.xlsx]IS!R11C5</stp>
        <stp>EQY_FUND_YEAR</stp>
        <stp>2021</stp>
        <stp>FUND_PER</stp>
        <stp>Q1</stp>
        <tr r="E11" s="1"/>
      </tp>
      <tp>
        <v>-5.0999999999999996</v>
        <stp/>
        <stp>##V3_BDPV12</stp>
        <stp>TAP US EQUITY</stp>
        <stp>IS_OTHER_NON_OPERATING_INC_LOSS</stp>
        <stp>[Molson Coors.xlsx]IS!R22C13</stp>
        <stp>EQY_FUND_YEAR</stp>
        <stp>2022</stp>
        <stp>FUND_PER</stp>
        <stp>Q4</stp>
        <tr r="M22" s="1"/>
      </tp>
      <tp>
        <v>-12.6</v>
        <stp/>
        <stp>##V3_BDPV12</stp>
        <stp>TAP US EQUITY</stp>
        <stp>IS_OTHER_NON_OPERATING_INC_LOSS</stp>
        <stp>[Molson Coors.xlsx]IS!R22C10</stp>
        <stp>EQY_FUND_YEAR</stp>
        <stp>2022</stp>
        <stp>FUND_PER</stp>
        <stp>Q1</stp>
        <tr r="J22" s="1"/>
      </tp>
      <tp>
        <v>-1.6</v>
        <stp/>
        <stp>##V3_BDPV12</stp>
        <stp>TAP US EQUITY</stp>
        <stp>IS_OTHER_NON_OPERATING_INC_LOSS</stp>
        <stp>[Molson Coors.xlsx]IS!R22C12</stp>
        <stp>EQY_FUND_YEAR</stp>
        <stp>2022</stp>
        <stp>FUND_PER</stp>
        <stp>Q3</stp>
        <tr r="L22" s="1"/>
      </tp>
      <tp>
        <v>-7</v>
        <stp/>
        <stp>##V3_BDPV12</stp>
        <stp>TAP US EQUITY</stp>
        <stp>IS_OTHER_NON_OPERATING_INC_LOSS</stp>
        <stp>[Molson Coors.xlsx]IS!R22C11</stp>
        <stp>EQY_FUND_YEAR</stp>
        <stp>2022</stp>
        <stp>FUND_PER</stp>
        <stp>Q2</stp>
        <tr r="K22" s="1"/>
      </tp>
      <tp>
        <v>233.5</v>
        <stp/>
        <stp>##V3_BDPV12</stp>
        <stp>TAP US EQUITY</stp>
        <stp>OTHER_NONCURRENT_ASSETS_DETAILED</stp>
        <stp>[Molson Coors.xlsx]BS!R16C13</stp>
        <stp>EQY_FUND_YEAR</stp>
        <stp>2022</stp>
        <stp>FUND_PER</stp>
        <stp>Q4</stp>
        <tr r="M16" s="2"/>
      </tp>
      <tp>
        <v>1032.5</v>
        <stp/>
        <stp>##V3_BDPV12</stp>
        <stp>TAP US EQUITY</stp>
        <stp>OTHER_NONCURRENT_ASSETS_DETAILED</stp>
        <stp>[Molson Coors.xlsx]BS!R16C11</stp>
        <stp>EQY_FUND_YEAR</stp>
        <stp>2022</stp>
        <stp>FUND_PER</stp>
        <stp>Q2</stp>
        <tr r="K16" s="2"/>
      </tp>
      <tp>
        <v>929.9</v>
        <stp/>
        <stp>##V3_BDPV12</stp>
        <stp>TAP US EQUITY</stp>
        <stp>OTHER_NONCURRENT_ASSETS_DETAILED</stp>
        <stp>[Molson Coors.xlsx]BS!R16C12</stp>
        <stp>EQY_FUND_YEAR</stp>
        <stp>2022</stp>
        <stp>FUND_PER</stp>
        <stp>Q3</stp>
        <tr r="L16" s="2"/>
      </tp>
      <tp>
        <v>757.2</v>
        <stp/>
        <stp>##V3_BDPV12</stp>
        <stp>TAP US EQUITY</stp>
        <stp>OTHER_NONCURRENT_ASSETS_DETAILED</stp>
        <stp>[Molson Coors.xlsx]BS!R16C15</stp>
        <stp>EQY_FUND_YEAR</stp>
        <stp>2023</stp>
        <stp>FUND_PER</stp>
        <stp>Q1</stp>
        <tr r="O16" s="2"/>
      </tp>
      <tp>
        <v>1034.7</v>
        <stp/>
        <stp>##V3_BDPV12</stp>
        <stp>TAP US EQUITY</stp>
        <stp>OTHER_NONCURRENT_ASSETS_DETAILED</stp>
        <stp>[Molson Coors.xlsx]BS!R16C10</stp>
        <stp>EQY_FUND_YEAR</stp>
        <stp>2022</stp>
        <stp>FUND_PER</stp>
        <stp>Q1</stp>
        <tr r="J16" s="2"/>
      </tp>
      <tp>
        <v>76.605284227381915</v>
        <stp/>
        <stp>##V3_BDPV12</stp>
        <stp>TAP US EQUITY</stp>
        <stp>OPEX_PER_HECTOLITER</stp>
        <stp>[Molson Coors.xlsx]Rev!R20C14</stp>
        <stp>EQY_FUND_YEAR</stp>
        <stp>2022</stp>
        <stp>FUND_PER</stp>
        <stp>Q4</stp>
        <tr r="N20" s="18"/>
      </tp>
      <tp>
        <v>32.451701931922727</v>
        <stp/>
        <stp>##V3_BDPV12</stp>
        <stp>TAP US EQUITY</stp>
        <stp>OPEX_PER_HECTOLITER</stp>
        <stp>[Molson Coors.xlsx]Rev!R20C12</stp>
        <stp>EQY_FUND_YEAR</stp>
        <stp>2022</stp>
        <stp>FUND_PER</stp>
        <stp>Q2</stp>
        <tr r="L20" s="18"/>
      </tp>
      <tp>
        <v>29.588048890900861</v>
        <stp/>
        <stp>##V3_BDPV12</stp>
        <stp>TAP US EQUITY</stp>
        <stp>OPEX_PER_HECTOLITER</stp>
        <stp>[Molson Coors.xlsx]Rev!R20C13</stp>
        <stp>EQY_FUND_YEAR</stp>
        <stp>2022</stp>
        <stp>FUND_PER</stp>
        <stp>Q3</stp>
        <tr r="M20" s="18"/>
      </tp>
      <tp>
        <v>42.550359929828808</v>
        <stp/>
        <stp>##V3_BDPV12</stp>
        <stp>TAP US EQUITY</stp>
        <stp>OPEX_PER_HECTOLITER</stp>
        <stp>[Molson Coors.xlsx]Rev!R20C11</stp>
        <stp>EQY_FUND_YEAR</stp>
        <stp>2022</stp>
        <stp>FUND_PER</stp>
        <stp>Q1</stp>
        <tr r="K20" s="18"/>
      </tp>
      <tp>
        <v>5885.7</v>
        <stp/>
        <stp>##V3_BDPV12</stp>
        <stp>TAP US EQUITY</stp>
        <stp>IS_COGS_TO_FE_AND_PP_AND_G</stp>
        <stp>[Molson Coors.xlsx]IS!R8C4</stp>
        <stp>EQY_FUND_RELATIVE_PERIOD</stp>
        <stp>2020</stp>
        <tr r="D8" s="1"/>
      </tp>
      <tp>
        <v>806.5</v>
        <stp/>
        <stp>##V3_BDPV12</stp>
        <stp>TAP US EQUITY</stp>
        <stp>BS_INVENTORIES</stp>
        <stp>[Molson Coors.xlsx]BS!R8C7</stp>
        <stp>EQY_FUND_YEAR</stp>
        <stp>2021</stp>
        <stp>FUND_PER</stp>
        <stp>Q3</stp>
        <tr r="G8" s="2"/>
      </tp>
      <tp>
        <v>749.5</v>
        <stp/>
        <stp>##V3_BDPV12</stp>
        <stp>TAP US EQUITY</stp>
        <stp>BS_INVENTORIES</stp>
        <stp>[Molson Coors.xlsx]BS!R8C6</stp>
        <stp>EQY_FUND_YEAR</stp>
        <stp>2021</stp>
        <stp>FUND_PER</stp>
        <stp>Q2</stp>
        <tr r="F8" s="2"/>
      </tp>
      <tp>
        <v>746.4</v>
        <stp/>
        <stp>##V3_BDPV12</stp>
        <stp>TAP US EQUITY</stp>
        <stp>BS_INVENTORIES</stp>
        <stp>[Molson Coors.xlsx]BS!R8C5</stp>
        <stp>EQY_FUND_YEAR</stp>
        <stp>2021</stp>
        <stp>FUND_PER</stp>
        <stp>Q1</stp>
        <tr r="E8" s="2"/>
      </tp>
      <tp>
        <v>804.69999999999993</v>
        <stp/>
        <stp>##V3_BDPV12</stp>
        <stp>TAP US EQUITY</stp>
        <stp>BS_INVENTORIES</stp>
        <stp>[Molson Coors.xlsx]BS!R8C8</stp>
        <stp>EQY_FUND_YEAR</stp>
        <stp>2021</stp>
        <stp>FUND_PER</stp>
        <stp>Q4</stp>
        <tr r="H8" s="2"/>
      </tp>
      <tp>
        <v>160.69999999999999</v>
        <stp/>
        <stp>##V3_BDPV12</stp>
        <stp>TAP US EQUITY</stp>
        <stp>OTHER_NONCURRENT_LIABS_DETAILED</stp>
        <stp>[Molson Coors.xlsx]BS!R30C4</stp>
        <stp>EQY_FUND_RELATIVE_PERIOD</stp>
        <stp>2020</stp>
        <tr r="D30" s="2"/>
      </tp>
      <tp>
        <v>1646.6000000000001</v>
        <stp/>
        <stp>##V3_BDPV12</stp>
        <stp>TAP US EQUITY</stp>
        <stp>NON_CASH_ITEMS_DETAILED</stp>
        <stp>[Molson Coors.xlsx]CF_F!R13C4</stp>
        <stp>EQY_FUND_RELATIVE_PERIOD</stp>
        <stp>2020</stp>
        <tr r="D13" s="28"/>
      </tp>
      <tp>
        <v>74.8</v>
        <stp/>
        <stp>##V3_BDPV12</stp>
        <stp>TAP US EQUITY</stp>
        <stp>CF_NET_CHNG_CASH</stp>
        <stp>[Molson Coors.xlsx]CF_F!R31C13</stp>
        <stp>EQY_FUND_YEAR</stp>
        <stp>2022</stp>
        <stp>FUND_PER</stp>
        <stp>Q4</stp>
        <tr r="M31" s="28"/>
      </tp>
      <tp>
        <v>83.1</v>
        <stp/>
        <stp>##V3_BDPV12</stp>
        <stp>TAP US EQUITY</stp>
        <stp>CF_NET_CHNG_CASH</stp>
        <stp>[Molson Coors.xlsx]CF_F!R31C12</stp>
        <stp>EQY_FUND_YEAR</stp>
        <stp>2022</stp>
        <stp>FUND_PER</stp>
        <stp>Q3</stp>
        <tr r="L31" s="28"/>
      </tp>
      <tp>
        <v>83.399999999999991</v>
        <stp/>
        <stp>##V3_BDPV12</stp>
        <stp>TAP US EQUITY</stp>
        <stp>CF_NET_CHNG_CASH</stp>
        <stp>[Molson Coors.xlsx]CF_F!R31C11</stp>
        <stp>EQY_FUND_YEAR</stp>
        <stp>2022</stp>
        <stp>FUND_PER</stp>
        <stp>Q2</stp>
        <tr r="K31" s="28"/>
      </tp>
      <tp>
        <v>-278.7</v>
        <stp/>
        <stp>##V3_BDPV12</stp>
        <stp>TAP US EQUITY</stp>
        <stp>CF_NET_CHNG_CASH</stp>
        <stp>[Molson Coors.xlsx]CF_F!R31C10</stp>
        <stp>EQY_FUND_YEAR</stp>
        <stp>2022</stp>
        <stp>FUND_PER</stp>
        <stp>Q1</stp>
        <tr r="J31" s="28"/>
      </tp>
      <tp>
        <v>-42.9</v>
        <stp/>
        <stp>##V3_BDPV12</stp>
        <stp>TAP US EQUITY</stp>
        <stp>IS_OTHER_NON_OPERATING_INC_LOSS</stp>
        <stp>[Molson Coors.xlsx]IS!R22C9</stp>
        <stp>EQY_FUND_RELATIVE_PERIOD</stp>
        <stp>2021</stp>
        <tr r="I22" s="1"/>
      </tp>
      <tp>
        <v>3.3</v>
        <stp/>
        <stp>##V3_BDPV12</stp>
        <stp>TAP US EQUITY</stp>
        <stp>MIN_NONCONTROL_INTEREST_CREDITS</stp>
        <stp>[Molson Coors.xlsx]IS!R26C4</stp>
        <stp>EQY_FUND_RELATIVE_PERIOD</stp>
        <stp>2020</stp>
        <tr r="D26" s="1"/>
      </tp>
      <tp>
        <v>-477.9</v>
        <stp/>
        <stp>##V3_BDPV12</stp>
        <stp>TAP US EQUITY</stp>
        <stp>FIXED_INTANG_ASST_CHANGE</stp>
        <stp>[Molson Coors.xlsx]CF_F!R18C3</stp>
        <stp>EQY_FUND_RELATIVE_PERIOD</stp>
        <stp>2019</stp>
        <tr r="C18" s="28"/>
      </tp>
      <tp>
        <v>8.4</v>
        <stp/>
        <stp>##V3_BDPV12</stp>
        <stp>TAP US EQUITY</stp>
        <stp>CF_STOCK_BASED_COMPENSATION</stp>
        <stp>[Molson Coors.xlsx]CF_F!R38C11</stp>
        <stp>EQY_FUND_YEAR</stp>
        <stp>2022</stp>
        <stp>FUND_PER</stp>
        <stp>Q2</stp>
        <tr r="K38" s="28"/>
      </tp>
      <tp>
        <v>8.7999999999999989</v>
        <stp/>
        <stp>##V3_BDPV12</stp>
        <stp>TAP US EQUITY</stp>
        <stp>CF_STOCK_BASED_COMPENSATION</stp>
        <stp>[Molson Coors.xlsx]CF_F!R38C12</stp>
        <stp>EQY_FUND_YEAR</stp>
        <stp>2022</stp>
        <stp>FUND_PER</stp>
        <stp>Q3</stp>
        <tr r="L38" s="28"/>
      </tp>
      <tp>
        <v>8.5</v>
        <stp/>
        <stp>##V3_BDPV12</stp>
        <stp>TAP US EQUITY</stp>
        <stp>CF_STOCK_BASED_COMPENSATION</stp>
        <stp>[Molson Coors.xlsx]CF_F!R38C10</stp>
        <stp>EQY_FUND_YEAR</stp>
        <stp>2022</stp>
        <stp>FUND_PER</stp>
        <stp>Q1</stp>
        <tr r="J38" s="28"/>
      </tp>
      <tp>
        <v>7.8999999999999995</v>
        <stp/>
        <stp>##V3_BDPV12</stp>
        <stp>TAP US EQUITY</stp>
        <stp>CF_STOCK_BASED_COMPENSATION</stp>
        <stp>[Molson Coors.xlsx]CF_F!R38C13</stp>
        <stp>EQY_FUND_YEAR</stp>
        <stp>2022</stp>
        <stp>FUND_PER</stp>
        <stp>Q4</stp>
        <tr r="M38" s="28"/>
      </tp>
      <tp>
        <v>-415.99999999999994</v>
        <stp/>
        <stp>##V3_BDPV12</stp>
        <stp>TAP US EQUITY</stp>
        <stp>FIXED_INTANG_ASST_CHANGE</stp>
        <stp>[Molson Coors.xlsx]CF_F!R18C4</stp>
        <stp>EQY_FUND_RELATIVE_PERIOD</stp>
        <stp>2020</stp>
        <tr r="D18" s="28"/>
      </tp>
      <tp>
        <v>4.5</v>
        <stp/>
        <stp>##V3_BDPV12</stp>
        <stp>TAP US EQUITY</stp>
        <stp>MIN_NONCONTROL_INTEREST_CREDITS</stp>
        <stp>[Molson Coors.xlsx]IS!R26C3</stp>
        <stp>EQY_FUND_RELATIVE_PERIOD</stp>
        <stp>2019</stp>
        <tr r="C26" s="1"/>
      </tp>
      <tp>
        <v>525.20000000000005</v>
        <stp/>
        <stp>##V3_BDPV12</stp>
        <stp>TAP US EQUITY</stp>
        <stp>CASH_CASH_EQTY_STI_DETAILED</stp>
        <stp>[Molson Coors.xlsx]BS!R6C12</stp>
        <stp>EQY_FUND_YEAR</stp>
        <stp>2022</stp>
        <stp>FUND_PER</stp>
        <stp>Q3</stp>
        <tr r="L6" s="2"/>
      </tp>
      <tp>
        <v>442.1</v>
        <stp/>
        <stp>##V3_BDPV12</stp>
        <stp>TAP US EQUITY</stp>
        <stp>CASH_CASH_EQTY_STI_DETAILED</stp>
        <stp>[Molson Coors.xlsx]BS!R6C11</stp>
        <stp>EQY_FUND_YEAR</stp>
        <stp>2022</stp>
        <stp>FUND_PER</stp>
        <stp>Q2</stp>
        <tr r="K6" s="2"/>
      </tp>
      <tp>
        <v>358.7</v>
        <stp/>
        <stp>##V3_BDPV12</stp>
        <stp>TAP US EQUITY</stp>
        <stp>CASH_CASH_EQTY_STI_DETAILED</stp>
        <stp>[Molson Coors.xlsx]BS!R6C10</stp>
        <stp>EQY_FUND_YEAR</stp>
        <stp>2022</stp>
        <stp>FUND_PER</stp>
        <stp>Q1</stp>
        <tr r="J6" s="2"/>
      </tp>
      <tp>
        <v>328.2</v>
        <stp/>
        <stp>##V3_BDPV12</stp>
        <stp>TAP US EQUITY</stp>
        <stp>CASH_CASH_EQTY_STI_DETAILED</stp>
        <stp>[Molson Coors.xlsx]BS!R6C15</stp>
        <stp>EQY_FUND_YEAR</stp>
        <stp>2023</stp>
        <stp>FUND_PER</stp>
        <stp>Q1</stp>
        <tr r="O6" s="2"/>
      </tp>
      <tp>
        <v>600</v>
        <stp/>
        <stp>##V3_BDPV12</stp>
        <stp>TAP US EQUITY</stp>
        <stp>CASH_CASH_EQTY_STI_DETAILED</stp>
        <stp>[Molson Coors.xlsx]BS!R6C13</stp>
        <stp>EQY_FUND_YEAR</stp>
        <stp>2022</stp>
        <stp>FUND_PER</stp>
        <stp>Q4</stp>
        <tr r="M6" s="2"/>
      </tp>
      <tp>
        <v>27.099999999999998</v>
        <stp/>
        <stp>##V3_BDPV12</stp>
        <stp>TAP US EQUITY</stp>
        <stp>IS_INC_TAX_EXP</stp>
        <stp>[Molson Coors.xlsx]IS!R25C8</stp>
        <stp>EQY_FUND_YEAR</stp>
        <stp>2021</stp>
        <stp>FUND_PER</stp>
        <stp>Q4</stp>
        <tr r="H25" s="1"/>
      </tp>
      <tp>
        <v>44.3</v>
        <stp/>
        <stp>##V3_BDPV12</stp>
        <stp>TAP US EQUITY</stp>
        <stp>IS_INC_TAX_EXP</stp>
        <stp>[Molson Coors.xlsx]IS!R25C5</stp>
        <stp>EQY_FUND_YEAR</stp>
        <stp>2021</stp>
        <stp>FUND_PER</stp>
        <stp>Q1</stp>
        <tr r="E25" s="1"/>
      </tp>
      <tp>
        <v>26.799999999999997</v>
        <stp/>
        <stp>##V3_BDPV12</stp>
        <stp>TAP US EQUITY</stp>
        <stp>IS_INC_TAX_EXP</stp>
        <stp>[Molson Coors.xlsx]IS!R25C7</stp>
        <stp>EQY_FUND_YEAR</stp>
        <stp>2021</stp>
        <stp>FUND_PER</stp>
        <stp>Q3</stp>
        <tr r="G25" s="1"/>
      </tp>
      <tp>
        <v>132.30000000000001</v>
        <stp/>
        <stp>##V3_BDPV12</stp>
        <stp>TAP US EQUITY</stp>
        <stp>IS_INC_TAX_EXP</stp>
        <stp>[Molson Coors.xlsx]IS!R25C6</stp>
        <stp>EQY_FUND_YEAR</stp>
        <stp>2021</stp>
        <stp>FUND_PER</stp>
        <stp>Q2</stp>
        <tr r="F25" s="1"/>
      </tp>
      <tp>
        <v>4355.5</v>
        <stp/>
        <stp>##V3_BDPV12</stp>
        <stp>TAP US EQUITY</stp>
        <stp>BS_NET_FIX_ASSET</stp>
        <stp>[Molson Coors.xlsx]BS!R12C13</stp>
        <stp>EQY_FUND_YEAR</stp>
        <stp>2022</stp>
        <stp>FUND_PER</stp>
        <stp>Q4</stp>
        <tr r="M12" s="2"/>
      </tp>
      <tp>
        <v>4298.3</v>
        <stp/>
        <stp>##V3_BDPV12</stp>
        <stp>TAP US EQUITY</stp>
        <stp>BS_NET_FIX_ASSET</stp>
        <stp>[Molson Coors.xlsx]BS!R12C11</stp>
        <stp>EQY_FUND_YEAR</stp>
        <stp>2022</stp>
        <stp>FUND_PER</stp>
        <stp>Q2</stp>
        <tr r="K12" s="2"/>
      </tp>
      <tp>
        <v>4175.8999999999996</v>
        <stp/>
        <stp>##V3_BDPV12</stp>
        <stp>TAP US EQUITY</stp>
        <stp>BS_NET_FIX_ASSET</stp>
        <stp>[Molson Coors.xlsx]BS!R12C12</stp>
        <stp>EQY_FUND_YEAR</stp>
        <stp>2022</stp>
        <stp>FUND_PER</stp>
        <stp>Q3</stp>
        <tr r="L12" s="2"/>
      </tp>
      <tp>
        <v>4431</v>
        <stp/>
        <stp>##V3_BDPV12</stp>
        <stp>TAP US EQUITY</stp>
        <stp>BS_NET_FIX_ASSET</stp>
        <stp>[Molson Coors.xlsx]BS!R12C15</stp>
        <stp>EQY_FUND_YEAR</stp>
        <stp>2023</stp>
        <stp>FUND_PER</stp>
        <stp>Q1</stp>
        <tr r="O12" s="2"/>
      </tp>
      <tp>
        <v>4326.5</v>
        <stp/>
        <stp>##V3_BDPV12</stp>
        <stp>TAP US EQUITY</stp>
        <stp>BS_NET_FIX_ASSET</stp>
        <stp>[Molson Coors.xlsx]BS!R12C10</stp>
        <stp>EQY_FUND_YEAR</stp>
        <stp>2022</stp>
        <stp>FUND_PER</stp>
        <stp>Q1</stp>
        <tr r="J12" s="2"/>
      </tp>
      <tp>
        <v>654.4</v>
        <stp/>
        <stp>##V3_BDPV12</stp>
        <stp>TAP US EQUITY</stp>
        <stp>PENSION_LIABILITIES</stp>
        <stp>[Molson Coors.xlsx]BS!R28C8</stp>
        <stp>EQY_FUND_YEAR</stp>
        <stp>2021</stp>
        <stp>FUND_PER</stp>
        <stp>Q4</stp>
        <tr r="H28" s="2"/>
      </tp>
      <tp>
        <v>757.69999999999993</v>
        <stp/>
        <stp>##V3_BDPV12</stp>
        <stp>TAP US EQUITY</stp>
        <stp>PENSION_LIABILITIES</stp>
        <stp>[Molson Coors.xlsx]BS!R28C5</stp>
        <stp>EQY_FUND_YEAR</stp>
        <stp>2021</stp>
        <stp>FUND_PER</stp>
        <stp>Q1</stp>
        <tr r="E28" s="2"/>
      </tp>
      <tp>
        <v>751.8</v>
        <stp/>
        <stp>##V3_BDPV12</stp>
        <stp>TAP US EQUITY</stp>
        <stp>PENSION_LIABILITIES</stp>
        <stp>[Molson Coors.xlsx]BS!R28C6</stp>
        <stp>EQY_FUND_YEAR</stp>
        <stp>2021</stp>
        <stp>FUND_PER</stp>
        <stp>Q2</stp>
        <tr r="F28" s="2"/>
      </tp>
      <tp>
        <v>737.9</v>
        <stp/>
        <stp>##V3_BDPV12</stp>
        <stp>TAP US EQUITY</stp>
        <stp>PENSION_LIABILITIES</stp>
        <stp>[Molson Coors.xlsx]BS!R28C7</stp>
        <stp>EQY_FUND_YEAR</stp>
        <stp>2021</stp>
        <stp>FUND_PER</stp>
        <stp>Q3</stp>
        <tr r="G28" s="2"/>
      </tp>
      <tp>
        <v>6378.2</v>
        <stp/>
        <stp>##V3_BDPV12</stp>
        <stp>TAP US EQUITY</stp>
        <stp>IS_COGS_TO_FE_AND_PP_AND_G</stp>
        <stp>[Molson Coors.xlsx]IS!R8C3</stp>
        <stp>EQY_FUND_RELATIVE_PERIOD</stp>
        <stp>2019</stp>
        <tr r="C8" s="1"/>
      </tp>
      <tp>
        <v>163.6</v>
        <stp/>
        <stp>##V3_BDPV12</stp>
        <stp>TAP US EQUITY</stp>
        <stp>OTHER_NONCURRENT_LIABS_DETAILED</stp>
        <stp>[Molson Coors.xlsx]BS!R30C3</stp>
        <stp>EQY_FUND_RELATIVE_PERIOD</stp>
        <stp>2019</stp>
        <tr r="C30" s="2"/>
      </tp>
      <tp>
        <v>258.3</v>
        <stp/>
        <stp>##V3_BDPV12</stp>
        <stp>TAP US EQUITY</stp>
        <stp>IS_NET_INTEREST_EXPENSE</stp>
        <stp>[Molson Coors.xlsx]IS!R20C9</stp>
        <stp>EQY_FUND_RELATIVE_PERIOD</stp>
        <stp>2021</stp>
        <tr r="I20" s="1"/>
      </tp>
      <tp>
        <v>91.048839071257007</v>
        <stp/>
        <stp>##V3_BDPV12</stp>
        <stp>TAP US EQUITY</stp>
        <stp>COGS_PER_HECTOLITER</stp>
        <stp>[Molson Coors.xlsx]Rev!R17C14</stp>
        <stp>EQY_FUND_YEAR</stp>
        <stp>2022</stp>
        <stp>FUND_PER</stp>
        <stp>Q4</stp>
        <tr r="N17" s="18"/>
      </tp>
      <tp>
        <v>77.841630875325151</v>
        <stp/>
        <stp>##V3_BDPV12</stp>
        <stp>TAP US EQUITY</stp>
        <stp>COGS_PER_HECTOLITER</stp>
        <stp>[Molson Coors.xlsx]Rev!R17C11</stp>
        <stp>EQY_FUND_YEAR</stp>
        <stp>2022</stp>
        <stp>FUND_PER</stp>
        <stp>Q1</stp>
        <tr r="K17" s="18"/>
      </tp>
      <tp>
        <v>88.34314169307379</v>
        <stp/>
        <stp>##V3_BDPV12</stp>
        <stp>TAP US EQUITY</stp>
        <stp>COGS_PER_HECTOLITER</stp>
        <stp>[Molson Coors.xlsx]Rev!R17C13</stp>
        <stp>EQY_FUND_YEAR</stp>
        <stp>2022</stp>
        <stp>FUND_PER</stp>
        <stp>Q3</stp>
        <tr r="M17" s="18"/>
      </tp>
      <tp>
        <v>96.674333026678937</v>
        <stp/>
        <stp>##V3_BDPV12</stp>
        <stp>TAP US EQUITY</stp>
        <stp>COGS_PER_HECTOLITER</stp>
        <stp>[Molson Coors.xlsx]Rev!R17C12</stp>
        <stp>EQY_FUND_YEAR</stp>
        <stp>2022</stp>
        <stp>FUND_PER</stp>
        <stp>Q2</stp>
        <tr r="L17" s="18"/>
      </tp>
      <tp>
        <v>6735</v>
        <stp/>
        <stp>##V3_BDPV12</stp>
        <stp>TAP US EQUITY</stp>
        <stp>BS_LT_BORROW</stp>
        <stp>[Molson Coors.xlsx]BS!R27C9</stp>
        <stp>EQY_FUND_RELATIVE_PERIOD</stp>
        <stp>2021</stp>
        <tr r="I27" s="2"/>
      </tp>
      <tp>
        <v>824.3</v>
        <stp/>
        <stp>##V3_BDPV12</stp>
        <stp>TAP US EQUITY</stp>
        <stp>NON_CASH_ITEMS_DETAILED</stp>
        <stp>[Molson Coors.xlsx]CF_F!R13C3</stp>
        <stp>EQY_FUND_RELATIVE_PERIOD</stp>
        <stp>2019</stp>
        <tr r="C13" s="28"/>
      </tp>
      <tp>
        <v>-120.6</v>
        <stp/>
        <stp>##V3_BDPV12</stp>
        <stp>TAP US EQUITY</stp>
        <stp>FIXED_INTANG_ASST_CHANGE</stp>
        <stp>[Molson Coors.xlsx]CF_F!R18C13</stp>
        <stp>EQY_FUND_YEAR</stp>
        <stp>2022</stp>
        <stp>FUND_PER</stp>
        <stp>Q4</stp>
        <tr r="M18" s="28"/>
      </tp>
      <tp>
        <v>-230.60000000000002</v>
        <stp/>
        <stp>##V3_BDPV12</stp>
        <stp>TAP US EQUITY</stp>
        <stp>FIXED_INTANG_ASST_CHANGE</stp>
        <stp>[Molson Coors.xlsx]CF_F!R18C10</stp>
        <stp>EQY_FUND_YEAR</stp>
        <stp>2022</stp>
        <stp>FUND_PER</stp>
        <stp>Q1</stp>
        <tr r="J18" s="28"/>
      </tp>
      <tp>
        <v>-134.9</v>
        <stp/>
        <stp>##V3_BDPV12</stp>
        <stp>TAP US EQUITY</stp>
        <stp>FIXED_INTANG_ASST_CHANGE</stp>
        <stp>[Molson Coors.xlsx]CF_F!R18C12</stp>
        <stp>EQY_FUND_YEAR</stp>
        <stp>2022</stp>
        <stp>FUND_PER</stp>
        <stp>Q3</stp>
        <tr r="L18" s="28"/>
      </tp>
      <tp>
        <v>-143.1</v>
        <stp/>
        <stp>##V3_BDPV12</stp>
        <stp>TAP US EQUITY</stp>
        <stp>FIXED_INTANG_ASST_CHANGE</stp>
        <stp>[Molson Coors.xlsx]CF_F!R18C11</stp>
        <stp>EQY_FUND_YEAR</stp>
        <stp>2022</stp>
        <stp>FUND_PER</stp>
        <stp>Q2</stp>
        <tr r="K18" s="28"/>
      </tp>
      <tp>
        <v>191.4</v>
        <stp/>
        <stp>##V3_BDPV12</stp>
        <stp>TAP US EQUITY</stp>
        <stp>OTHER_NONCURRENT_LIABS_DETAILED</stp>
        <stp>[Molson Coors.xlsx]BS!R30C10</stp>
        <stp>EQY_FUND_YEAR</stp>
        <stp>2022</stp>
        <stp>FUND_PER</stp>
        <stp>Q1</stp>
        <tr r="J30" s="2"/>
      </tp>
      <tp>
        <v>183.9</v>
        <stp/>
        <stp>##V3_BDPV12</stp>
        <stp>TAP US EQUITY</stp>
        <stp>OTHER_NONCURRENT_LIABS_DETAILED</stp>
        <stp>[Molson Coors.xlsx]BS!R30C15</stp>
        <stp>EQY_FUND_YEAR</stp>
        <stp>2023</stp>
        <stp>FUND_PER</stp>
        <stp>Q1</stp>
        <tr r="O30" s="2"/>
      </tp>
      <tp>
        <v>179.2</v>
        <stp/>
        <stp>##V3_BDPV12</stp>
        <stp>TAP US EQUITY</stp>
        <stp>OTHER_NONCURRENT_LIABS_DETAILED</stp>
        <stp>[Molson Coors.xlsx]BS!R30C12</stp>
        <stp>EQY_FUND_YEAR</stp>
        <stp>2022</stp>
        <stp>FUND_PER</stp>
        <stp>Q3</stp>
        <tr r="L30" s="2"/>
      </tp>
      <tp>
        <v>183.8</v>
        <stp/>
        <stp>##V3_BDPV12</stp>
        <stp>TAP US EQUITY</stp>
        <stp>OTHER_NONCURRENT_LIABS_DETAILED</stp>
        <stp>[Molson Coors.xlsx]BS!R30C11</stp>
        <stp>EQY_FUND_YEAR</stp>
        <stp>2022</stp>
        <stp>FUND_PER</stp>
        <stp>Q2</stp>
        <tr r="K30" s="2"/>
      </tp>
      <tp>
        <v>183</v>
        <stp/>
        <stp>##V3_BDPV12</stp>
        <stp>TAP US EQUITY</stp>
        <stp>OTHER_NONCURRENT_LIABS_DETAILED</stp>
        <stp>[Molson Coors.xlsx]BS!R30C13</stp>
        <stp>EQY_FUND_YEAR</stp>
        <stp>2022</stp>
        <stp>FUND_PER</stp>
        <stp>Q4</stp>
        <tr r="M30" s="2"/>
      </tp>
      <tp>
        <v>-496.6</v>
        <stp/>
        <stp>##V3_BDPV12</stp>
        <stp>TAP US EQUITY</stp>
        <stp>FIXED_INTANG_ASST_CHANGE</stp>
        <stp>[Molson Coors.xlsx]CF_F!R18C9</stp>
        <stp>EQY_FUND_RELATIVE_PERIOD</stp>
        <stp>2021</stp>
        <tr r="I18" s="28"/>
      </tp>
      <tp>
        <v>271.3</v>
        <stp/>
        <stp>##V3_BDPV12</stp>
        <stp>TAP US EQUITY</stp>
        <stp>IS_NET_INTEREST_EXPENSE</stp>
        <stp>[Molson Coors.xlsx]IS!R20C4</stp>
        <stp>EQY_FUND_RELATIVE_PERIOD</stp>
        <stp>2020</stp>
        <tr r="D20" s="1"/>
      </tp>
      <tp>
        <v>7314.5999999999995</v>
        <stp/>
        <stp>##V3_BDPV12</stp>
        <stp>TAP US EQUITY</stp>
        <stp>BS_LT_BORROW</stp>
        <stp>[Molson Coors.xlsx]BS!R27C4</stp>
        <stp>EQY_FUND_RELATIVE_PERIOD</stp>
        <stp>2020</stp>
        <tr r="D27" s="2"/>
      </tp>
      <tp>
        <v>-505.8</v>
        <stp/>
        <stp>##V3_BDPV12</stp>
        <stp>TAP US EQUITY</stp>
        <stp>PROC_FR_REPAYMNTS_BOR_DETAILED</stp>
        <stp>[Molson Coors.xlsx]CF_F!R24C14</stp>
        <stp>EQY_FUND_RELATIVE_PERIOD</stp>
        <stp>2022</stp>
        <tr r="N24" s="28"/>
      </tp>
      <tp>
        <v>225.5</v>
        <stp/>
        <stp>##V3_BDPV12</stp>
        <stp>TAP US EQUITY</stp>
        <stp>MINORITY_NONCONTROLLING_INTEREST</stp>
        <stp>[Molson Coors.xlsx]BS!R38C13</stp>
        <stp>EQY_FUND_YEAR</stp>
        <stp>2022</stp>
        <stp>FUND_PER</stp>
        <stp>Q4</stp>
        <tr r="M38" s="2"/>
      </tp>
      <tp>
        <v>238.7</v>
        <stp/>
        <stp>##V3_BDPV12</stp>
        <stp>TAP US EQUITY</stp>
        <stp>MINORITY_NONCONTROLLING_INTEREST</stp>
        <stp>[Molson Coors.xlsx]BS!R38C10</stp>
        <stp>EQY_FUND_YEAR</stp>
        <stp>2022</stp>
        <stp>FUND_PER</stp>
        <stp>Q1</stp>
        <tr r="J38" s="2"/>
      </tp>
      <tp>
        <v>222.5</v>
        <stp/>
        <stp>##V3_BDPV12</stp>
        <stp>TAP US EQUITY</stp>
        <stp>MINORITY_NONCONTROLLING_INTEREST</stp>
        <stp>[Molson Coors.xlsx]BS!R38C15</stp>
        <stp>EQY_FUND_YEAR</stp>
        <stp>2023</stp>
        <stp>FUND_PER</stp>
        <stp>Q1</stp>
        <tr r="O38" s="2"/>
      </tp>
      <tp>
        <v>226.2</v>
        <stp/>
        <stp>##V3_BDPV12</stp>
        <stp>TAP US EQUITY</stp>
        <stp>MINORITY_NONCONTROLLING_INTEREST</stp>
        <stp>[Molson Coors.xlsx]BS!R38C12</stp>
        <stp>EQY_FUND_YEAR</stp>
        <stp>2022</stp>
        <stp>FUND_PER</stp>
        <stp>Q3</stp>
        <tr r="L38" s="2"/>
      </tp>
      <tp>
        <v>230</v>
        <stp/>
        <stp>##V3_BDPV12</stp>
        <stp>TAP US EQUITY</stp>
        <stp>MINORITY_NONCONTROLLING_INTEREST</stp>
        <stp>[Molson Coors.xlsx]BS!R38C11</stp>
        <stp>EQY_FUND_YEAR</stp>
        <stp>2022</stp>
        <stp>FUND_PER</stp>
        <stp>Q2</stp>
        <tr r="K38" s="2"/>
      </tp>
      <tp>
        <v>11.8</v>
        <stp/>
        <stp>##V3_BDPV12</stp>
        <stp>TAP US EQUITY</stp>
        <stp>IS_OTHER_NON_OPERATING_INC_LOSS</stp>
        <stp>[Molson Coors.xlsx]IS!R22C3</stp>
        <stp>EQY_FUND_RELATIVE_PERIOD</stp>
        <stp>2019</stp>
        <tr r="C22" s="1"/>
      </tp>
      <tp>
        <v>132.81821878812525</v>
        <stp/>
        <stp>##V3_BDPV12</stp>
        <stp>TAP US EQUITY</stp>
        <stp>BREWER_REVENUE_PER_HECTOLITER</stp>
        <stp>[Molson Coors.xlsx]Rev!R14C7</stp>
        <stp>EQY_FUND_YEAR</stp>
        <stp>2021</stp>
        <stp>FUND_PER</stp>
        <stp>Q2</stp>
        <tr r="G14" s="18"/>
      </tp>
      <tp>
        <v>125.22514529080341</v>
        <stp/>
        <stp>##V3_BDPV12</stp>
        <stp>TAP US EQUITY</stp>
        <stp>BREWER_REVENUE_PER_HECTOLITER</stp>
        <stp>[Molson Coors.xlsx]Rev!R14C8</stp>
        <stp>EQY_FUND_YEAR</stp>
        <stp>2021</stp>
        <stp>FUND_PER</stp>
        <stp>Q3</stp>
        <tr r="H14" s="18"/>
      </tp>
      <tp>
        <v>116.83899556868538</v>
        <stp/>
        <stp>##V3_BDPV12</stp>
        <stp>TAP US EQUITY</stp>
        <stp>BREWER_REVENUE_PER_HECTOLITER</stp>
        <stp>[Molson Coors.xlsx]Rev!R14C6</stp>
        <stp>EQY_FUND_YEAR</stp>
        <stp>2021</stp>
        <stp>FUND_PER</stp>
        <stp>Q1</stp>
        <tr r="F14" s="18"/>
      </tp>
      <tp>
        <v>132.59758011441298</v>
        <stp/>
        <stp>##V3_BDPV12</stp>
        <stp>TAP US EQUITY</stp>
        <stp>BREWER_REVENUE_PER_HECTOLITER</stp>
        <stp>[Molson Coors.xlsx]Rev!R14C9</stp>
        <stp>EQY_FUND_YEAR</stp>
        <stp>2021</stp>
        <stp>FUND_PER</stp>
        <stp>Q4</stp>
        <tr r="I14" s="18"/>
      </tp>
      <tp>
        <v>1175.6999999999998</v>
        <stp/>
        <stp>##V3_BDPV12</stp>
        <stp>TAP US EQUITY</stp>
        <stp>NON_CASH_ITEMS_DETAILED</stp>
        <stp>[Molson Coors.xlsx]CF_F!R13C14</stp>
        <stp>EQY_FUND_RELATIVE_PERIOD</stp>
        <stp>2022</stp>
        <tr r="N13" s="28"/>
      </tp>
      <tp>
        <v>-36.299999999999997</v>
        <stp/>
        <stp>##V3_BDPV12</stp>
        <stp>TAP US EQUITY</stp>
        <stp>IS_OTHER_NON_OPERATING_INC_LOSS</stp>
        <stp>[Molson Coors.xlsx]IS!R22C4</stp>
        <stp>EQY_FUND_RELATIVE_PERIOD</stp>
        <stp>2020</stp>
        <tr r="D22" s="1"/>
      </tp>
      <tp>
        <v>6226.2999999999993</v>
        <stp/>
        <stp>##V3_BDPV12</stp>
        <stp>TAP US EQUITY</stp>
        <stp>IS_COGS_TO_FE_AND_PP_AND_G</stp>
        <stp>[Molson Coors.xlsx]IS!R8C9</stp>
        <stp>EQY_FUND_RELATIVE_PERIOD</stp>
        <stp>2021</stp>
        <tr r="I8" s="1"/>
      </tp>
      <tp>
        <v>135.1</v>
        <stp/>
        <stp>##V3_BDPV12</stp>
        <stp>TAP US EQUITY</stp>
        <stp>OTHER_NONCURRENT_LIABS_DETAILED</stp>
        <stp>[Molson Coors.xlsx]BS!R30C9</stp>
        <stp>EQY_FUND_RELATIVE_PERIOD</stp>
        <stp>2021</stp>
        <tr r="I30" s="2"/>
      </tp>
      <tp>
        <v>272.7</v>
        <stp/>
        <stp>##V3_BDPV12</stp>
        <stp>TAP US EQUITY</stp>
        <stp>IS_NET_INTEREST_EXPENSE</stp>
        <stp>[Molson Coors.xlsx]IS!R20C3</stp>
        <stp>EQY_FUND_RELATIVE_PERIOD</stp>
        <stp>2019</stp>
        <tr r="C20" s="1"/>
      </tp>
      <tp>
        <v>8229</v>
        <stp/>
        <stp>##V3_BDPV12</stp>
        <stp>TAP US EQUITY</stp>
        <stp>BS_LT_BORROW</stp>
        <stp>[Molson Coors.xlsx]BS!R27C3</stp>
        <stp>EQY_FUND_RELATIVE_PERIOD</stp>
        <stp>2019</stp>
        <tr r="C27" s="2"/>
      </tp>
      <tp>
        <v>-182.20000000000002</v>
        <stp/>
        <stp>##V3_BDPV12</stp>
        <stp>TAP US EQUITY</stp>
        <stp>NON_CASH_ITEMS_DETAILED</stp>
        <stp>[Molson Coors.xlsx]CF_F!R13C9</stp>
        <stp>EQY_FUND_RELATIVE_PERIOD</stp>
        <stp>2021</stp>
        <tr r="I13" s="28"/>
      </tp>
      <tp>
        <v>2585.8000000000002</v>
        <stp/>
        <stp>##V3_BDPV12</stp>
        <stp>TAP US EQUITY</stp>
        <stp>BS_DEFERRED_TAX_LIABILITIES_LT</stp>
        <stp>[Molson Coors.xlsx]BS!R29C6</stp>
        <stp>EQY_FUND_YEAR</stp>
        <stp>2021</stp>
        <stp>FUND_PER</stp>
        <stp>Q2</stp>
        <tr r="F29" s="2"/>
      </tp>
      <tp>
        <v>2607.6999999999998</v>
        <stp/>
        <stp>##V3_BDPV12</stp>
        <stp>TAP US EQUITY</stp>
        <stp>BS_DEFERRED_TAX_LIABILITIES_LT</stp>
        <stp>[Molson Coors.xlsx]BS!R29C7</stp>
        <stp>EQY_FUND_YEAR</stp>
        <stp>2021</stp>
        <stp>FUND_PER</stp>
        <stp>Q3</stp>
        <tr r="G29" s="2"/>
      </tp>
      <tp>
        <v>2476.8000000000002</v>
        <stp/>
        <stp>##V3_BDPV12</stp>
        <stp>TAP US EQUITY</stp>
        <stp>BS_DEFERRED_TAX_LIABILITIES_LT</stp>
        <stp>[Molson Coors.xlsx]BS!R29C5</stp>
        <stp>EQY_FUND_YEAR</stp>
        <stp>2021</stp>
        <stp>FUND_PER</stp>
        <stp>Q1</stp>
        <tr r="E29" s="2"/>
      </tp>
      <tp>
        <v>2704.6</v>
        <stp/>
        <stp>##V3_BDPV12</stp>
        <stp>TAP US EQUITY</stp>
        <stp>BS_DEFERRED_TAX_LIABILITIES_LT</stp>
        <stp>[Molson Coors.xlsx]BS!R29C8</stp>
        <stp>EQY_FUND_YEAR</stp>
        <stp>2021</stp>
        <stp>FUND_PER</stp>
        <stp>Q4</stp>
        <tr r="H29" s="2"/>
      </tp>
      <tp>
        <v>27.2</v>
        <stp/>
        <stp>##V3_BDPV12</stp>
        <stp>TAP US EQUITY</stp>
        <stp>OTHER_OPERATING_EXPENSES_RATIO</stp>
        <stp>[Molson Coors.xlsx]IS!R13C8</stp>
        <stp>EQY_FUND_YEAR</stp>
        <stp>2021</stp>
        <stp>FUND_PER</stp>
        <stp>Q4</stp>
        <tr r="H13" s="1"/>
      </tp>
      <tp>
        <v>-2.6</v>
        <stp/>
        <stp>##V3_BDPV12</stp>
        <stp>TAP US EQUITY</stp>
        <stp>OTHER_OPERATING_EXPENSES_RATIO</stp>
        <stp>[Molson Coors.xlsx]IS!R13C7</stp>
        <stp>EQY_FUND_YEAR</stp>
        <stp>2021</stp>
        <stp>FUND_PER</stp>
        <stp>Q3</stp>
        <tr r="G13" s="1"/>
      </tp>
      <tp>
        <v>9</v>
        <stp/>
        <stp>##V3_BDPV12</stp>
        <stp>TAP US EQUITY</stp>
        <stp>OTHER_OPERATING_EXPENSES_RATIO</stp>
        <stp>[Molson Coors.xlsx]IS!R13C6</stp>
        <stp>EQY_FUND_YEAR</stp>
        <stp>2021</stp>
        <stp>FUND_PER</stp>
        <stp>Q2</stp>
        <tr r="F13" s="1"/>
      </tp>
      <tp>
        <v>10.9</v>
        <stp/>
        <stp>##V3_BDPV12</stp>
        <stp>TAP US EQUITY</stp>
        <stp>OTHER_OPERATING_EXPENSES_RATIO</stp>
        <stp>[Molson Coors.xlsx]IS!R13C5</stp>
        <stp>EQY_FUND_YEAR</stp>
        <stp>2021</stp>
        <stp>FUND_PER</stp>
        <stp>Q1</stp>
        <tr r="E13" s="1"/>
      </tp>
      <tp>
        <v>2.8</v>
        <stp/>
        <stp>##V3_BDPV12</stp>
        <stp>TAP US EQUITY</stp>
        <stp>MIN_NONCONTROL_INTEREST_CREDITS</stp>
        <stp>[Molson Coors.xlsx]IS!R26C9</stp>
        <stp>EQY_FUND_RELATIVE_PERIOD</stp>
        <stp>2021</stp>
        <tr r="I26" s="1"/>
      </tp>
      <tp>
        <v>640.9</v>
        <stp/>
        <stp>##V3_BDPV12</stp>
        <stp>TAP US EQUITY</stp>
        <stp>BS_DEFERRED_TAX_ASSETS_LT</stp>
        <stp>[Molson Coors.xlsx]BS!R15C4</stp>
        <stp>EQY_FUND_RELATIVE_PERIOD</stp>
        <stp>2020</stp>
        <tr r="D15" s="2"/>
      </tp>
      <tp>
        <v>33.6</v>
        <stp/>
        <stp>##V3_BDPV12</stp>
        <stp>TAP US EQUITY</stp>
        <stp>CF_STOCK_BASED_COMPENSATION</stp>
        <stp>[Molson Coors.xlsx]CF_F!R38C6</stp>
        <stp>EQY_FUND_RELATIVE_PERIOD</stp>
        <stp>2Q21</stp>
        <tr r="F38" s="28"/>
      </tp>
      <tp>
        <v>-1205.5</v>
        <stp/>
        <stp>##V3_BDPV12</stp>
        <stp>TAP US EQUITY</stp>
        <stp>OTHER_EQUITY_RATIO</stp>
        <stp>[Molson Coors.xlsx]BS!R35C14</stp>
        <stp>EQY_FUND_RELATIVE_PERIOD</stp>
        <stp>2022</stp>
        <tr r="N35" s="2"/>
      </tp>
      <tp>
        <v>26.90119370793202</v>
        <stp/>
        <stp>##V3_BDPV12</stp>
        <stp>TAP US EQUITY</stp>
        <stp>EXCISE_TAX_PER_HECTOLITER</stp>
        <stp>[Molson Coors.xlsx]Rev!R11C10</stp>
        <stp>EQY_FUND_RELATIVE_PERIOD</stp>
        <stp>2021</stp>
        <tr r="J11" s="18"/>
      </tp>
      <tp>
        <v>33.6</v>
        <stp/>
        <stp>##V3_BDPV12</stp>
        <stp>TAP US EQUITY</stp>
        <stp>CF_STOCK_BASED_COMPENSATION</stp>
        <stp>[Molson Coors.xlsx]CF_F!R38C7</stp>
        <stp>EQY_FUND_RELATIVE_PERIOD</stp>
        <stp>3Q21</stp>
        <tr r="G38" s="28"/>
      </tp>
      <tp>
        <v>549.6</v>
        <stp/>
        <stp>##V3_BDPV12</stp>
        <stp>TAP US EQUITY</stp>
        <stp>BS_ACCT_NOTE_RCV</stp>
        <stp>[Molson Coors.xlsx]BS!R7C4</stp>
        <stp>EQY_FUND_RELATIVE_PERIOD</stp>
        <stp>2020</stp>
        <tr r="D7" s="2"/>
      </tp>
      <tp>
        <v>-1402.5</v>
        <stp/>
        <stp>##V3_BDPV12</stp>
        <stp>TAP US EQUITY</stp>
        <stp>OTHER_EQUITY_RATIO</stp>
        <stp>[Molson Coors.xlsx]BS!R35C12</stp>
        <stp>EQY_FUND_YEAR</stp>
        <stp>2022</stp>
        <stp>FUND_PER</stp>
        <stp>Q3</stp>
        <tr r="L35" s="2"/>
      </tp>
      <tp>
        <v>-1069</v>
        <stp/>
        <stp>##V3_BDPV12</stp>
        <stp>TAP US EQUITY</stp>
        <stp>OTHER_EQUITY_RATIO</stp>
        <stp>[Molson Coors.xlsx]BS!R35C11</stp>
        <stp>EQY_FUND_YEAR</stp>
        <stp>2022</stp>
        <stp>FUND_PER</stp>
        <stp>Q2</stp>
        <tr r="K35" s="2"/>
      </tp>
      <tp>
        <v>-949.6</v>
        <stp/>
        <stp>##V3_BDPV12</stp>
        <stp>TAP US EQUITY</stp>
        <stp>OTHER_EQUITY_RATIO</stp>
        <stp>[Molson Coors.xlsx]BS!R35C10</stp>
        <stp>EQY_FUND_YEAR</stp>
        <stp>2022</stp>
        <stp>FUND_PER</stp>
        <stp>Q1</stp>
        <tr r="J35" s="2"/>
      </tp>
      <tp>
        <v>-1170.5999999999999</v>
        <stp/>
        <stp>##V3_BDPV12</stp>
        <stp>TAP US EQUITY</stp>
        <stp>OTHER_EQUITY_RATIO</stp>
        <stp>[Molson Coors.xlsx]BS!R35C15</stp>
        <stp>EQY_FUND_YEAR</stp>
        <stp>2023</stp>
        <stp>FUND_PER</stp>
        <stp>Q1</stp>
        <tr r="O35" s="2"/>
      </tp>
      <tp>
        <v>-1205.5</v>
        <stp/>
        <stp>##V3_BDPV12</stp>
        <stp>TAP US EQUITY</stp>
        <stp>OTHER_EQUITY_RATIO</stp>
        <stp>[Molson Coors.xlsx]BS!R35C13</stp>
        <stp>EQY_FUND_YEAR</stp>
        <stp>2022</stp>
        <stp>FUND_PER</stp>
        <stp>Q4</stp>
        <tr r="M35" s="2"/>
      </tp>
      <tp>
        <v>4311.5</v>
        <stp/>
        <stp>##V3_BDPV12</stp>
        <stp>TAP US EQUITY</stp>
        <stp>BS_NET_FIX_ASSET</stp>
        <stp>[Molson Coors.xlsx]BS!R12C8</stp>
        <stp>EQY_FUND_YEAR</stp>
        <stp>2021</stp>
        <stp>FUND_PER</stp>
        <stp>Q4</stp>
        <tr r="H12" s="2"/>
      </tp>
      <tp>
        <v>4238.6000000000004</v>
        <stp/>
        <stp>##V3_BDPV12</stp>
        <stp>TAP US EQUITY</stp>
        <stp>BS_NET_FIX_ASSET</stp>
        <stp>[Molson Coors.xlsx]BS!R12C7</stp>
        <stp>EQY_FUND_YEAR</stp>
        <stp>2021</stp>
        <stp>FUND_PER</stp>
        <stp>Q3</stp>
        <tr r="G12" s="2"/>
      </tp>
      <tp>
        <v>4307.7</v>
        <stp/>
        <stp>##V3_BDPV12</stp>
        <stp>TAP US EQUITY</stp>
        <stp>BS_NET_FIX_ASSET</stp>
        <stp>[Molson Coors.xlsx]BS!R12C6</stp>
        <stp>EQY_FUND_YEAR</stp>
        <stp>2021</stp>
        <stp>FUND_PER</stp>
        <stp>Q2</stp>
        <tr r="F12" s="2"/>
      </tp>
      <tp>
        <v>4275.2</v>
        <stp/>
        <stp>##V3_BDPV12</stp>
        <stp>TAP US EQUITY</stp>
        <stp>BS_NET_FIX_ASSET</stp>
        <stp>[Molson Coors.xlsx]BS!R12C5</stp>
        <stp>EQY_FUND_YEAR</stp>
        <stp>2021</stp>
        <stp>FUND_PER</stp>
        <stp>Q1</stp>
        <tr r="E12" s="2"/>
      </tp>
      <tp>
        <v>4.0999999999999996</v>
        <stp/>
        <stp>##V3_BDPV12</stp>
        <stp>TAP US EQUITY</stp>
        <stp>OTHER_INVESTING_ACT_DETAILED</stp>
        <stp>[Molson Coors.xlsx]CF_F!R19C14</stp>
        <stp>EQY_FUND_RELATIVE_PERIOD</stp>
        <stp>2022</stp>
        <tr r="N19" s="28"/>
      </tp>
      <tp>
        <v>33.6</v>
        <stp/>
        <stp>##V3_BDPV12</stp>
        <stp>TAP US EQUITY</stp>
        <stp>CF_STOCK_BASED_COMPENSATION</stp>
        <stp>[Molson Coors.xlsx]CF_F!R38C5</stp>
        <stp>EQY_FUND_RELATIVE_PERIOD</stp>
        <stp>1Q21</stp>
        <tr r="E38" s="28"/>
      </tp>
      <tp>
        <v>7401.5</v>
        <stp/>
        <stp>##V3_BDPV12</stp>
        <stp>TAP US EQUITY</stp>
        <stp>BS_PURE_RETAINED_EARNINGS</stp>
        <stp>[Molson Coors.xlsx]BS!R37C9</stp>
        <stp>EQY_FUND_RELATIVE_PERIOD</stp>
        <stp>2021</stp>
        <tr r="I37" s="2"/>
      </tp>
      <tp>
        <v>46.066656668393648</v>
        <stp/>
        <stp>##V3_BDPV12</stp>
        <stp>TAP US EQUITY</stp>
        <stp>INVENT_DAYS</stp>
        <stp>[Molson Coors.xlsx]IS!R45C15</stp>
        <stp>EQY_FUND_YEAR</stp>
        <stp/>
        <stp>FUND_PER</stp>
        <stp/>
        <tr r="O45" s="1"/>
      </tp>
      <tp>
        <v>557.9</v>
        <stp/>
        <stp>##V3_BDPV12</stp>
        <stp>TAP US EQUITY</stp>
        <stp>BS_ACCT_NOTE_RCV</stp>
        <stp>[Molson Coors.xlsx]BS!R7C5</stp>
        <stp>EQY_FUND_YEAR</stp>
        <stp>2021</stp>
        <stp>FUND_PER</stp>
        <stp>Q1</stp>
        <tr r="E7" s="2"/>
      </tp>
      <tp>
        <v>808.3</v>
        <stp/>
        <stp>##V3_BDPV12</stp>
        <stp>TAP US EQUITY</stp>
        <stp>BS_ACCT_NOTE_RCV</stp>
        <stp>[Molson Coors.xlsx]BS!R7C7</stp>
        <stp>EQY_FUND_YEAR</stp>
        <stp>2021</stp>
        <stp>FUND_PER</stp>
        <stp>Q3</stp>
        <tr r="G7" s="2"/>
      </tp>
      <tp>
        <v>932.3</v>
        <stp/>
        <stp>##V3_BDPV12</stp>
        <stp>TAP US EQUITY</stp>
        <stp>BS_ACCT_NOTE_RCV</stp>
        <stp>[Molson Coors.xlsx]BS!R7C6</stp>
        <stp>EQY_FUND_YEAR</stp>
        <stp>2021</stp>
        <stp>FUND_PER</stp>
        <stp>Q2</stp>
        <tr r="F7" s="2"/>
      </tp>
      <tp>
        <v>662.69999999999993</v>
        <stp/>
        <stp>##V3_BDPV12</stp>
        <stp>TAP US EQUITY</stp>
        <stp>BS_ACCT_NOTE_RCV</stp>
        <stp>[Molson Coors.xlsx]BS!R7C8</stp>
        <stp>EQY_FUND_YEAR</stp>
        <stp>2021</stp>
        <stp>FUND_PER</stp>
        <stp>Q4</stp>
        <tr r="H7" s="2"/>
      </tp>
      <tp>
        <v>41.380964546254503</v>
        <stp/>
        <stp>##V3_BDPV12</stp>
        <stp>TAP US EQUITY</stp>
        <stp>INVENT_DAYS</stp>
        <stp>[Molson Coors.xlsx]IS!R45C5</stp>
        <stp>EQY_FUND_RELATIVE_PERIOD</stp>
        <stp>1Q21</stp>
        <tr r="E45" s="1"/>
      </tp>
      <tp>
        <v>7524</v>
        <stp/>
        <stp>##V3_BDPV12</stp>
        <stp>TAP US EQUITY</stp>
        <stp>BS_SH_CAP_AND_APIC</stp>
        <stp>[Molson Coors.xlsx]BS!R34C14</stp>
        <stp>EQY_FUND_RELATIVE_PERIOD</stp>
        <stp>2022</stp>
        <tr r="N34" s="2"/>
      </tp>
      <tp>
        <v>26.632193789825021</v>
        <stp/>
        <stp>##V3_BDPV12</stp>
        <stp>TAP US EQUITY</stp>
        <stp>EXCISE_TAX_PER_HECTOLITER</stp>
        <stp>[Molson Coors.xlsx]Rev!R11C15</stp>
        <stp>EQY_FUND_RELATIVE_PERIOD</stp>
        <stp>2022</stp>
        <tr r="O11" s="18"/>
      </tp>
      <tp>
        <v>41.380964546254503</v>
        <stp/>
        <stp>##V3_BDPV12</stp>
        <stp>TAP US EQUITY</stp>
        <stp>INVENT_DAYS</stp>
        <stp>[Molson Coors.xlsx]IS!R45C7</stp>
        <stp>EQY_FUND_RELATIVE_PERIOD</stp>
        <stp>3Q21</stp>
        <tr r="G45" s="1"/>
      </tp>
      <tp>
        <v>705.9</v>
        <stp/>
        <stp>##V3_BDPV12</stp>
        <stp>TAP US EQUITY</stp>
        <stp>BS_ACCT_NOTE_RCV</stp>
        <stp>[Molson Coors.xlsx]BS!R7C3</stp>
        <stp>EQY_FUND_RELATIVE_PERIOD</stp>
        <stp>2019</stp>
        <tr r="C7" s="2"/>
      </tp>
      <tp>
        <v>41.380964546254503</v>
        <stp/>
        <stp>##V3_BDPV12</stp>
        <stp>TAP US EQUITY</stp>
        <stp>INVENT_DAYS</stp>
        <stp>[Molson Coors.xlsx]IS!R45C6</stp>
        <stp>EQY_FUND_RELATIVE_PERIOD</stp>
        <stp>2Q21</stp>
        <tr r="F45" s="1"/>
      </tp>
      <tp>
        <v>497</v>
        <stp/>
        <stp>##V3_BDPV12</stp>
        <stp>TAP US EQUITY</stp>
        <stp>BS_DEFERRED_TAX_ASSETS_LT</stp>
        <stp>[Molson Coors.xlsx]BS!R15C3</stp>
        <stp>EQY_FUND_RELATIVE_PERIOD</stp>
        <stp>2019</stp>
        <tr r="C15" s="2"/>
      </tp>
      <tp>
        <v>-1006</v>
        <stp/>
        <stp>##V3_BDPV12</stp>
        <stp>TAP US EQUITY</stp>
        <stp>OTHER_EQUITY_RATIO</stp>
        <stp>[Molson Coors.xlsx]BS!R35C9</stp>
        <stp>EQY_FUND_RELATIVE_PERIOD</stp>
        <stp>2021</stp>
        <tr r="I35" s="2"/>
      </tp>
      <tp>
        <v>7045.7999999999993</v>
        <stp/>
        <stp>##V3_BDPV12</stp>
        <stp>TAP US EQUITY</stp>
        <stp>IS_COGS_TO_FE_AND_PP_AND_G</stp>
        <stp>[Molson Coors.xlsx]IS!R8C14</stp>
        <stp>EQY_FUND_RELATIVE_PERIOD</stp>
        <stp>2022</stp>
        <tr r="N8" s="1"/>
      </tp>
      <tp>
        <v>13286.8</v>
        <stp/>
        <stp>##V3_BDPV12</stp>
        <stp>TAP US EQUITY</stp>
        <stp>OTHER_INTANGIBLE_ASSETS_DETAILED</stp>
        <stp>[Molson Coors.xlsx]BS!R14C8</stp>
        <stp>EQY_FUND_YEAR</stp>
        <stp>2021</stp>
        <stp>FUND_PER</stp>
        <stp>Q4</stp>
        <tr r="H14" s="2"/>
      </tp>
      <tp>
        <v>13345.6</v>
        <stp/>
        <stp>##V3_BDPV12</stp>
        <stp>TAP US EQUITY</stp>
        <stp>OTHER_INTANGIBLE_ASSETS_DETAILED</stp>
        <stp>[Molson Coors.xlsx]BS!R14C7</stp>
        <stp>EQY_FUND_YEAR</stp>
        <stp>2021</stp>
        <stp>FUND_PER</stp>
        <stp>Q3</stp>
        <tr r="G14" s="2"/>
      </tp>
      <tp>
        <v>13498.3</v>
        <stp/>
        <stp>##V3_BDPV12</stp>
        <stp>TAP US EQUITY</stp>
        <stp>OTHER_INTANGIBLE_ASSETS_DETAILED</stp>
        <stp>[Molson Coors.xlsx]BS!R14C6</stp>
        <stp>EQY_FUND_YEAR</stp>
        <stp>2021</stp>
        <stp>FUND_PER</stp>
        <stp>Q2</stp>
        <tr r="F14" s="2"/>
      </tp>
      <tp>
        <v>13482.2</v>
        <stp/>
        <stp>##V3_BDPV12</stp>
        <stp>TAP US EQUITY</stp>
        <stp>OTHER_INTANGIBLE_ASSETS_DETAILED</stp>
        <stp>[Molson Coors.xlsx]BS!R14C5</stp>
        <stp>EQY_FUND_YEAR</stp>
        <stp>2021</stp>
        <stp>FUND_PER</stp>
        <stp>Q1</stp>
        <tr r="E14" s="2"/>
      </tp>
      <tp>
        <v>-11.5</v>
        <stp/>
        <stp>##V3_BDPV12</stp>
        <stp>TAP US EQUITY</stp>
        <stp>NET_CAP_STOCK</stp>
        <stp>[Molson Coors.xlsx]CF_F!R25C11</stp>
        <stp>EQY_FUND_YEAR</stp>
        <stp>2022</stp>
        <stp>FUND_PER</stp>
        <stp>Q2</stp>
        <tr r="K25" s="28"/>
      </tp>
      <tp>
        <v>-11.6</v>
        <stp/>
        <stp>##V3_BDPV12</stp>
        <stp>TAP US EQUITY</stp>
        <stp>NET_CAP_STOCK</stp>
        <stp>[Molson Coors.xlsx]CF_F!R25C12</stp>
        <stp>EQY_FUND_YEAR</stp>
        <stp>2022</stp>
        <stp>FUND_PER</stp>
        <stp>Q3</stp>
        <tr r="L25" s="28"/>
      </tp>
      <tp>
        <v>-13.2</v>
        <stp/>
        <stp>##V3_BDPV12</stp>
        <stp>TAP US EQUITY</stp>
        <stp>NET_CAP_STOCK</stp>
        <stp>[Molson Coors.xlsx]CF_F!R25C10</stp>
        <stp>EQY_FUND_YEAR</stp>
        <stp>2022</stp>
        <stp>FUND_PER</stp>
        <stp>Q1</stp>
        <tr r="J25" s="28"/>
      </tp>
      <tp>
        <v>-12.1</v>
        <stp/>
        <stp>##V3_BDPV12</stp>
        <stp>TAP US EQUITY</stp>
        <stp>NET_CAP_STOCK</stp>
        <stp>[Molson Coors.xlsx]CF_F!R25C13</stp>
        <stp>EQY_FUND_YEAR</stp>
        <stp>2022</stp>
        <stp>FUND_PER</stp>
        <stp>Q4</stp>
        <tr r="M25" s="28"/>
      </tp>
      <tp>
        <v>41.380964546254503</v>
        <stp/>
        <stp>##V3_BDPV12</stp>
        <stp>TAP US EQUITY</stp>
        <stp>INVENT_DAYS</stp>
        <stp>[Molson Coors.xlsx]IS!R45C8</stp>
        <stp>EQY_FUND_RELATIVE_PERIOD</stp>
        <stp>4Q21</stp>
        <tr r="H45" s="1"/>
      </tp>
      <tp>
        <v>803.8</v>
        <stp/>
        <stp>##V3_BDPV12</stp>
        <stp>TAP US EQUITY</stp>
        <stp>BS_ACCT_NOTE_RCV</stp>
        <stp>[Molson Coors.xlsx]BS!R7C15</stp>
        <stp>EQY_FUND_YEAR</stp>
        <stp>2023</stp>
        <stp>FUND_PER</stp>
        <stp>Q1</stp>
        <tr r="O7" s="2"/>
      </tp>
      <tp>
        <v>761.19999999999993</v>
        <stp/>
        <stp>##V3_BDPV12</stp>
        <stp>TAP US EQUITY</stp>
        <stp>BS_ACCT_NOTE_RCV</stp>
        <stp>[Molson Coors.xlsx]BS!R7C10</stp>
        <stp>EQY_FUND_YEAR</stp>
        <stp>2022</stp>
        <stp>FUND_PER</stp>
        <stp>Q1</stp>
        <tr r="J7" s="2"/>
      </tp>
      <tp>
        <v>885.19999999999993</v>
        <stp/>
        <stp>##V3_BDPV12</stp>
        <stp>TAP US EQUITY</stp>
        <stp>BS_ACCT_NOTE_RCV</stp>
        <stp>[Molson Coors.xlsx]BS!R7C11</stp>
        <stp>EQY_FUND_YEAR</stp>
        <stp>2022</stp>
        <stp>FUND_PER</stp>
        <stp>Q2</stp>
        <tr r="K7" s="2"/>
      </tp>
      <tp>
        <v>809.8</v>
        <stp/>
        <stp>##V3_BDPV12</stp>
        <stp>TAP US EQUITY</stp>
        <stp>BS_ACCT_NOTE_RCV</stp>
        <stp>[Molson Coors.xlsx]BS!R7C12</stp>
        <stp>EQY_FUND_YEAR</stp>
        <stp>2022</stp>
        <stp>FUND_PER</stp>
        <stp>Q3</stp>
        <tr r="L7" s="2"/>
      </tp>
      <tp>
        <v>739.8</v>
        <stp/>
        <stp>##V3_BDPV12</stp>
        <stp>TAP US EQUITY</stp>
        <stp>BS_ACCT_NOTE_RCV</stp>
        <stp>[Molson Coors.xlsx]BS!R7C13</stp>
        <stp>EQY_FUND_YEAR</stp>
        <stp>2022</stp>
        <stp>FUND_PER</stp>
        <stp>Q4</stp>
        <tr r="M7" s="2"/>
      </tp>
      <tp>
        <v>7617</v>
        <stp/>
        <stp>##V3_BDPV12</stp>
        <stp>TAP US EQUITY</stp>
        <stp>BS_PURE_RETAINED_EARNINGS</stp>
        <stp>[Molson Coors.xlsx]BS!R37C3</stp>
        <stp>EQY_FUND_RELATIVE_PERIOD</stp>
        <stp>2019</stp>
        <tr r="C37" s="2"/>
      </tp>
      <tp>
        <v>803</v>
        <stp/>
        <stp>##V3_BDPV12</stp>
        <stp>TAP US EQUITY</stp>
        <stp>OTHER_NONCURRENT_ASSETS_DETAILED</stp>
        <stp>[Molson Coors.xlsx]BS!R16C5</stp>
        <stp>EQY_FUND_YEAR</stp>
        <stp>2021</stp>
        <stp>FUND_PER</stp>
        <stp>Q1</stp>
        <tr r="E16" s="2"/>
      </tp>
      <tp>
        <v>875.1</v>
        <stp/>
        <stp>##V3_BDPV12</stp>
        <stp>TAP US EQUITY</stp>
        <stp>OTHER_NONCURRENT_ASSETS_DETAILED</stp>
        <stp>[Molson Coors.xlsx]BS!R16C7</stp>
        <stp>EQY_FUND_YEAR</stp>
        <stp>2021</stp>
        <stp>FUND_PER</stp>
        <stp>Q3</stp>
        <tr r="G16" s="2"/>
      </tp>
      <tp>
        <v>852.2</v>
        <stp/>
        <stp>##V3_BDPV12</stp>
        <stp>TAP US EQUITY</stp>
        <stp>OTHER_NONCURRENT_ASSETS_DETAILED</stp>
        <stp>[Molson Coors.xlsx]BS!R16C6</stp>
        <stp>EQY_FUND_YEAR</stp>
        <stp>2021</stp>
        <stp>FUND_PER</stp>
        <stp>Q2</stp>
        <tr r="F16" s="2"/>
      </tp>
      <tp>
        <v>498.1</v>
        <stp/>
        <stp>##V3_BDPV12</stp>
        <stp>TAP US EQUITY</stp>
        <stp>OTHER_NONCURRENT_ASSETS_DETAILED</stp>
        <stp>[Molson Coors.xlsx]BS!R16C8</stp>
        <stp>EQY_FUND_YEAR</stp>
        <stp>2021</stp>
        <stp>FUND_PER</stp>
        <stp>Q4</stp>
        <tr r="H16" s="2"/>
      </tp>
      <tp>
        <v>-1167.8</v>
        <stp/>
        <stp>##V3_BDPV12</stp>
        <stp>TAP US EQUITY</stp>
        <stp>OTHER_EQUITY_RATIO</stp>
        <stp>[Molson Coors.xlsx]BS!R35C4</stp>
        <stp>EQY_FUND_RELATIVE_PERIOD</stp>
        <stp>2020</stp>
        <tr r="D35" s="2"/>
      </tp>
      <tp>
        <v>24.082027705522961</v>
        <stp/>
        <stp>##V3_BDPV12</stp>
        <stp>TAP US EQUITY</stp>
        <stp>EBITDA_PER_HECTOLITER</stp>
        <stp>[Molson Coors.xlsx]Rev!R23C11</stp>
        <stp>EQY_FUND_YEAR</stp>
        <stp>2022</stp>
        <stp>FUND_PER</stp>
        <stp>Q1</stp>
        <tr r="K23" s="18"/>
      </tp>
      <tp>
        <v>22.648257129923042</v>
        <stp/>
        <stp>##V3_BDPV12</stp>
        <stp>TAP US EQUITY</stp>
        <stp>EBITDA_PER_HECTOLITER</stp>
        <stp>[Molson Coors.xlsx]Rev!R23C13</stp>
        <stp>EQY_FUND_YEAR</stp>
        <stp>2022</stp>
        <stp>FUND_PER</stp>
        <stp>Q3</stp>
        <tr r="M23" s="18"/>
      </tp>
      <tp>
        <v>13.164673413063477</v>
        <stp/>
        <stp>##V3_BDPV12</stp>
        <stp>TAP US EQUITY</stp>
        <stp>EBITDA_PER_HECTOLITER</stp>
        <stp>[Molson Coors.xlsx]Rev!R23C12</stp>
        <stp>EQY_FUND_YEAR</stp>
        <stp>2022</stp>
        <stp>FUND_PER</stp>
        <stp>Q2</stp>
        <tr r="L23" s="18"/>
      </tp>
      <tp>
        <v>-18.270616493194556</v>
        <stp/>
        <stp>##V3_BDPV12</stp>
        <stp>TAP US EQUITY</stp>
        <stp>EBITDA_PER_HECTOLITER</stp>
        <stp>[Molson Coors.xlsx]Rev!R23C14</stp>
        <stp>EQY_FUND_YEAR</stp>
        <stp>2022</stp>
        <stp>FUND_PER</stp>
        <stp>Q4</stp>
        <tr r="N23" s="18"/>
      </tp>
      <tp>
        <v>-26.3</v>
        <stp/>
        <stp>##V3_BDPV12</stp>
        <stp>TAP US EQUITY</stp>
        <stp>IS_OTHER_NON_OPERATING_INC_LOSS</stp>
        <stp>[Molson Coors.xlsx]IS!R22C14</stp>
        <stp>EQY_FUND_RELATIVE_PERIOD</stp>
        <stp>2022</stp>
        <tr r="N22" s="1"/>
      </tp>
      <tp>
        <v>662.69999999999993</v>
        <stp/>
        <stp>##V3_BDPV12</stp>
        <stp>TAP US EQUITY</stp>
        <stp>BS_ACCT_NOTE_RCV</stp>
        <stp>[Molson Coors.xlsx]BS!R7C9</stp>
        <stp>EQY_FUND_RELATIVE_PERIOD</stp>
        <stp>2021</stp>
        <tr r="I7" s="2"/>
      </tp>
      <tp>
        <v>513.6</v>
        <stp/>
        <stp>##V3_BDPV12</stp>
        <stp>TAP US EQUITY</stp>
        <stp>BS_DEFERRED_TAX_ASSETS_LT</stp>
        <stp>[Molson Coors.xlsx]BS!R15C9</stp>
        <stp>EQY_FUND_RELATIVE_PERIOD</stp>
        <stp>2021</stp>
        <tr r="I15" s="2"/>
      </tp>
      <tp>
        <v>-1162.2</v>
        <stp/>
        <stp>##V3_BDPV12</stp>
        <stp>TAP US EQUITY</stp>
        <stp>OTHER_EQUITY_RATIO</stp>
        <stp>[Molson Coors.xlsx]BS!R35C3</stp>
        <stp>EQY_FUND_RELATIVE_PERIOD</stp>
        <stp>2019</stp>
        <tr r="C35" s="2"/>
      </tp>
      <tp>
        <v>7401.5</v>
        <stp/>
        <stp>##V3_BDPV12</stp>
        <stp>TAP US EQUITY</stp>
        <stp>BS_PURE_RETAINED_EARNINGS</stp>
        <stp>[Molson Coors.xlsx]BS!R37C8</stp>
        <stp>EQY_FUND_YEAR</stp>
        <stp>2021</stp>
        <stp>FUND_PER</stp>
        <stp>Q4</stp>
        <tr r="H37" s="2"/>
      </tp>
      <tp>
        <v>7395.7999999999993</v>
        <stp/>
        <stp>##V3_BDPV12</stp>
        <stp>TAP US EQUITY</stp>
        <stp>BS_PURE_RETAINED_EARNINGS</stp>
        <stp>[Molson Coors.xlsx]BS!R37C7</stp>
        <stp>EQY_FUND_YEAR</stp>
        <stp>2021</stp>
        <stp>FUND_PER</stp>
        <stp>Q3</stp>
        <tr r="G37" s="2"/>
      </tp>
      <tp>
        <v>7016.9</v>
        <stp/>
        <stp>##V3_BDPV12</stp>
        <stp>TAP US EQUITY</stp>
        <stp>BS_PURE_RETAINED_EARNINGS</stp>
        <stp>[Molson Coors.xlsx]BS!R37C6</stp>
        <stp>EQY_FUND_YEAR</stp>
        <stp>2021</stp>
        <stp>FUND_PER</stp>
        <stp>Q2</stp>
        <tr r="F37" s="2"/>
      </tp>
      <tp>
        <v>6628.2999999999993</v>
        <stp/>
        <stp>##V3_BDPV12</stp>
        <stp>TAP US EQUITY</stp>
        <stp>BS_PURE_RETAINED_EARNINGS</stp>
        <stp>[Molson Coors.xlsx]BS!R37C5</stp>
        <stp>EQY_FUND_YEAR</stp>
        <stp>2021</stp>
        <stp>FUND_PER</stp>
        <stp>Q1</stp>
        <tr r="E37" s="2"/>
      </tp>
      <tp>
        <v>33.6</v>
        <stp/>
        <stp>##V3_BDPV12</stp>
        <stp>TAP US EQUITY</stp>
        <stp>CF_STOCK_BASED_COMPENSATION</stp>
        <stp>[Molson Coors.xlsx]CF_F!R38C8</stp>
        <stp>EQY_FUND_RELATIVE_PERIOD</stp>
        <stp>4Q21</stp>
        <tr r="H38" s="28"/>
      </tp>
      <tp>
        <v>6544.2</v>
        <stp/>
        <stp>##V3_BDPV12</stp>
        <stp>TAP US EQUITY</stp>
        <stp>BS_PURE_RETAINED_EARNINGS</stp>
        <stp>[Molson Coors.xlsx]BS!R37C4</stp>
        <stp>EQY_FUND_RELATIVE_PERIOD</stp>
        <stp>2020</stp>
        <tr r="D37" s="2"/>
      </tp>
      <tp>
        <v>-183.2</v>
        <stp/>
        <stp>##V3_BDPV12</stp>
        <stp>TAP US EQUITY</stp>
        <stp>CF_CHNG_NON_CASH_WORK_CAP</stp>
        <stp>[Molson Coors.xlsx]CF_F!R14C14</stp>
        <stp>EQY_FUND_RELATIVE_PERIOD</stp>
        <stp>2022</stp>
        <tr r="N14" s="28"/>
      </tp>
      <tp>
        <v>-126.6</v>
        <stp/>
        <stp>##V3_BDPV12</stp>
        <stp>TAP US EQUITY</stp>
        <stp>PROC_FR_REPAYMNTS_BOR_DETAILED</stp>
        <stp>[Molson Coors.xlsx]CF_F!R24C13</stp>
        <stp>EQY_FUND_YEAR</stp>
        <stp>2022</stp>
        <stp>FUND_PER</stp>
        <stp>Q4</stp>
        <tr r="M24" s="28"/>
      </tp>
      <tp>
        <v>160.20000000000002</v>
        <stp/>
        <stp>##V3_BDPV12</stp>
        <stp>TAP US EQUITY</stp>
        <stp>PROC_FR_REPAYMNTS_BOR_DETAILED</stp>
        <stp>[Molson Coors.xlsx]CF_F!R24C10</stp>
        <stp>EQY_FUND_YEAR</stp>
        <stp>2022</stp>
        <stp>FUND_PER</stp>
        <stp>Q1</stp>
        <tr r="J24" s="28"/>
      </tp>
      <tp>
        <v>-431.70000000000005</v>
        <stp/>
        <stp>##V3_BDPV12</stp>
        <stp>TAP US EQUITY</stp>
        <stp>PROC_FR_REPAYMNTS_BOR_DETAILED</stp>
        <stp>[Molson Coors.xlsx]CF_F!R24C11</stp>
        <stp>EQY_FUND_YEAR</stp>
        <stp>2022</stp>
        <stp>FUND_PER</stp>
        <stp>Q2</stp>
        <tr r="K24" s="28"/>
      </tp>
      <tp>
        <v>-107.7</v>
        <stp/>
        <stp>##V3_BDPV12</stp>
        <stp>TAP US EQUITY</stp>
        <stp>PROC_FR_REPAYMNTS_BOR_DETAILED</stp>
        <stp>[Molson Coors.xlsx]CF_F!R24C12</stp>
        <stp>EQY_FUND_YEAR</stp>
        <stp>2022</stp>
        <stp>FUND_PER</stp>
        <stp>Q3</stp>
        <tr r="L24" s="28"/>
      </tp>
      <tp>
        <v>-31.8</v>
        <stp/>
        <stp>##V3_BDPV12</stp>
        <stp>TAP US EQUITY</stp>
        <stp>OTHER_FIN_AND_DEC_CAP</stp>
        <stp>[Molson Coors.xlsx]CF_F!R27C4</stp>
        <stp>EQY_FUND_RELATIVE_PERIOD</stp>
        <stp>2020</stp>
        <tr r="D27" s="28"/>
      </tp>
      <tp>
        <v>637.4</v>
        <stp/>
        <stp>##V3_BDPV12</stp>
        <stp>TAP US EQUITY</stp>
        <stp>CASH_CASH_EQTY_STI_DETAILED</stp>
        <stp>[Molson Coors.xlsx]BS!R6C8</stp>
        <stp>EQY_FUND_YEAR</stp>
        <stp>2021</stp>
        <stp>FUND_PER</stp>
        <stp>Q4</stp>
        <tr r="H6" s="2"/>
      </tp>
      <tp>
        <v>532.70000000000005</v>
        <stp/>
        <stp>##V3_BDPV12</stp>
        <stp>TAP US EQUITY</stp>
        <stp>CASH_CASH_EQTY_STI_DETAILED</stp>
        <stp>[Molson Coors.xlsx]BS!R6C5</stp>
        <stp>EQY_FUND_YEAR</stp>
        <stp>2021</stp>
        <stp>FUND_PER</stp>
        <stp>Q1</stp>
        <tr r="E6" s="2"/>
      </tp>
      <tp>
        <v>1308.9000000000001</v>
        <stp/>
        <stp>##V3_BDPV12</stp>
        <stp>TAP US EQUITY</stp>
        <stp>CASH_CASH_EQTY_STI_DETAILED</stp>
        <stp>[Molson Coors.xlsx]BS!R6C6</stp>
        <stp>EQY_FUND_YEAR</stp>
        <stp>2021</stp>
        <stp>FUND_PER</stp>
        <stp>Q2</stp>
        <tr r="F6" s="2"/>
      </tp>
      <tp>
        <v>616.29999999999995</v>
        <stp/>
        <stp>##V3_BDPV12</stp>
        <stp>TAP US EQUITY</stp>
        <stp>CASH_CASH_EQTY_STI_DETAILED</stp>
        <stp>[Molson Coors.xlsx]BS!R6C7</stp>
        <stp>EQY_FUND_YEAR</stp>
        <stp>2021</stp>
        <stp>FUND_PER</stp>
        <stp>Q3</stp>
        <tr r="G6" s="2"/>
      </tp>
      <tp>
        <v>3.3</v>
        <stp/>
        <stp>##V3_BDPV12</stp>
        <stp>TAP US EQUITY</stp>
        <stp>IS_INT_INC</stp>
        <stp>[Molson Coors.xlsx]IS!R21C4</stp>
        <stp>EQY_FUND_RELATIVE_PERIOD</stp>
        <stp>2020</stp>
        <tr r="D21" s="1"/>
      </tp>
      <tp>
        <v>-1.4663849881943665</v>
        <stp/>
        <stp>##V3_BDPV12</stp>
        <stp>TAP US EQUITY</stp>
        <stp>INVENTORY_GROWTH</stp>
        <stp>[Molson Coors.xlsx]IS!R43C8</stp>
        <stp>EQY_FUND_RELATIVE_PERIOD</stp>
        <stp>4Q21</stp>
        <tr r="H43" s="1"/>
      </tp>
      <tp>
        <v>4.0999999999999996</v>
        <stp/>
        <stp>##V3_BDPV12</stp>
        <stp>TAP US EQUITY</stp>
        <stp>NET_CAP_STOCK</stp>
        <stp>[Molson Coors.xlsx]CF_F!R25C4</stp>
        <stp>EQY_FUND_RELATIVE_PERIOD</stp>
        <stp>2020</stp>
        <tr r="D25" s="28"/>
      </tp>
      <tp>
        <v>434.8</v>
        <stp/>
        <stp>##V3_BDPV12</stp>
        <stp>TAP US EQUITY</stp>
        <stp>OTHER_CURRENT_ASSETS_DETAILED</stp>
        <stp>[Molson Coors.xlsx]BS!R9C4</stp>
        <stp>EQY_FUND_RELATIVE_PERIOD</stp>
        <stp>2020</stp>
        <tr r="D9" s="2"/>
      </tp>
      <tp>
        <v>171.7</v>
        <stp/>
        <stp>##V3_BDPV12</stp>
        <stp>TAP US EQUITY</stp>
        <stp>CF_DEPR_AMORT</stp>
        <stp>[Molson Coors.xlsx]IS!R12C11</stp>
        <stp>EQY_FUND_YEAR</stp>
        <stp>2022</stp>
        <stp>FUND_PER</stp>
        <stp>Q2</stp>
        <tr r="K12" s="1"/>
      </tp>
      <tp>
        <v>170.2</v>
        <stp/>
        <stp>##V3_BDPV12</stp>
        <stp>TAP US EQUITY</stp>
        <stp>CF_DEPR_AMORT</stp>
        <stp>[Molson Coors.xlsx]IS!R12C12</stp>
        <stp>EQY_FUND_YEAR</stp>
        <stp>2022</stp>
        <stp>FUND_PER</stp>
        <stp>Q3</stp>
        <tr r="L12" s="1"/>
      </tp>
      <tp>
        <v>173.7</v>
        <stp/>
        <stp>##V3_BDPV12</stp>
        <stp>TAP US EQUITY</stp>
        <stp>CF_DEPR_AMORT</stp>
        <stp>[Molson Coors.xlsx]IS!R12C10</stp>
        <stp>EQY_FUND_YEAR</stp>
        <stp>2022</stp>
        <stp>FUND_PER</stp>
        <stp>Q1</stp>
        <tr r="J12" s="1"/>
      </tp>
      <tp>
        <v>169.2</v>
        <stp/>
        <stp>##V3_BDPV12</stp>
        <stp>TAP US EQUITY</stp>
        <stp>CF_DEPR_AMORT</stp>
        <stp>[Molson Coors.xlsx]IS!R12C13</stp>
        <stp>EQY_FUND_YEAR</stp>
        <stp>2022</stp>
        <stp>FUND_PER</stp>
        <stp>Q4</stp>
        <tr r="M12" s="1"/>
      </tp>
      <tp>
        <v>1.6</v>
        <stp/>
        <stp>##V3_BDPV12</stp>
        <stp>TAP US EQUITY</stp>
        <stp>NET_CAP_STOCK</stp>
        <stp>[Molson Coors.xlsx]CF_F!R25C3</stp>
        <stp>EQY_FUND_RELATIVE_PERIOD</stp>
        <stp>2019</stp>
        <tr r="C25" s="28"/>
      </tp>
      <tp>
        <v>339.2</v>
        <stp/>
        <stp>##V3_BDPV12</stp>
        <stp>TAP US EQUITY</stp>
        <stp>OTHER_CURRENT_ASSETS_DETAILED</stp>
        <stp>[Molson Coors.xlsx]BS!R9C3</stp>
        <stp>EQY_FUND_RELATIVE_PERIOD</stp>
        <stp>2019</stp>
        <tr r="C9" s="2"/>
      </tp>
      <tp>
        <v>8.8204807210816227</v>
        <stp/>
        <stp>##V3_BDPV12</stp>
        <stp>TAP US EQUITY</stp>
        <stp>INVENT_TURN</stp>
        <stp>[Molson Coors.xlsx]IS!R44C8</stp>
        <stp>EQY_FUND_RELATIVE_PERIOD</stp>
        <stp>4Q21</stp>
        <tr r="H44" s="1"/>
      </tp>
      <tp>
        <v>7515.5999999999995</v>
        <stp/>
        <stp>##V3_BDPV12</stp>
        <stp>TAP US EQUITY</stp>
        <stp>BS_SH_CAP_AND_APIC</stp>
        <stp>[Molson Coors.xlsx]BS!R34C12</stp>
        <stp>EQY_FUND_YEAR</stp>
        <stp>2022</stp>
        <stp>FUND_PER</stp>
        <stp>Q3</stp>
        <tr r="L34" s="2"/>
      </tp>
      <tp>
        <v>7505.5999999999995</v>
        <stp/>
        <stp>##V3_BDPV12</stp>
        <stp>TAP US EQUITY</stp>
        <stp>BS_SH_CAP_AND_APIC</stp>
        <stp>[Molson Coors.xlsx]BS!R34C11</stp>
        <stp>EQY_FUND_YEAR</stp>
        <stp>2022</stp>
        <stp>FUND_PER</stp>
        <stp>Q2</stp>
        <tr r="K34" s="2"/>
      </tp>
      <tp>
        <v>7497.0999999999995</v>
        <stp/>
        <stp>##V3_BDPV12</stp>
        <stp>TAP US EQUITY</stp>
        <stp>BS_SH_CAP_AND_APIC</stp>
        <stp>[Molson Coors.xlsx]BS!R34C10</stp>
        <stp>EQY_FUND_YEAR</stp>
        <stp>2022</stp>
        <stp>FUND_PER</stp>
        <stp>Q1</stp>
        <tr r="J34" s="2"/>
      </tp>
      <tp>
        <v>7527.5999999999995</v>
        <stp/>
        <stp>##V3_BDPV12</stp>
        <stp>TAP US EQUITY</stp>
        <stp>BS_SH_CAP_AND_APIC</stp>
        <stp>[Molson Coors.xlsx]BS!R34C15</stp>
        <stp>EQY_FUND_YEAR</stp>
        <stp>2023</stp>
        <stp>FUND_PER</stp>
        <stp>Q1</stp>
        <tr r="O34" s="2"/>
      </tp>
      <tp>
        <v>7524</v>
        <stp/>
        <stp>##V3_BDPV12</stp>
        <stp>TAP US EQUITY</stp>
        <stp>BS_SH_CAP_AND_APIC</stp>
        <stp>[Molson Coors.xlsx]BS!R34C13</stp>
        <stp>EQY_FUND_YEAR</stp>
        <stp>2022</stp>
        <stp>FUND_PER</stp>
        <stp>Q4</stp>
        <tr r="M34" s="2"/>
      </tp>
      <tp>
        <v>246.29999999999998</v>
        <stp/>
        <stp>##V3_BDPV12</stp>
        <stp>TAP US EQUITY</stp>
        <stp>IS_NET_INTEREST_EXPENSE</stp>
        <stp>[Molson Coors.xlsx]IS!R20C14</stp>
        <stp>EQY_FUND_RELATIVE_PERIOD</stp>
        <stp>2022</stp>
        <tr r="N20" s="1"/>
      </tp>
      <tp>
        <v>8.1999999999999993</v>
        <stp/>
        <stp>##V3_BDPV12</stp>
        <stp>TAP US EQUITY</stp>
        <stp>IS_INT_INC</stp>
        <stp>[Molson Coors.xlsx]IS!R21C3</stp>
        <stp>EQY_FUND_RELATIVE_PERIOD</stp>
        <stp>2019</stp>
        <tr r="C21" s="1"/>
      </tp>
      <tp>
        <v>3.7</v>
        <stp/>
        <stp>##V3_BDPV12</stp>
        <stp>TAP US EQUITY</stp>
        <stp>OTHER_FIN_AND_DEC_CAP</stp>
        <stp>[Molson Coors.xlsx]CF_F!R27C3</stp>
        <stp>EQY_FUND_RELATIVE_PERIOD</stp>
        <stp>2019</stp>
        <tr r="C27" s="28"/>
      </tp>
      <tp>
        <v>7493</v>
        <stp/>
        <stp>##V3_BDPV12</stp>
        <stp>TAP US EQUITY</stp>
        <stp>BS_SH_CAP_AND_APIC</stp>
        <stp>[Molson Coors.xlsx]BS!R34C9</stp>
        <stp>EQY_FUND_RELATIVE_PERIOD</stp>
        <stp>2021</stp>
        <tr r="I34" s="2"/>
      </tp>
      <tp>
        <v>27.874670342192942</v>
        <stp/>
        <stp>##V3_BDPV12</stp>
        <stp>TAP US EQUITY</stp>
        <stp>EXCISE_TAX_PER_HECTOLITER</stp>
        <stp>[Molson Coors.xlsx]Rev!R11C3</stp>
        <stp>EQY_FUND_RELATIVE_PERIOD</stp>
        <stp>2018</stp>
        <tr r="C11" s="18"/>
      </tp>
      <tp>
        <v>435</v>
        <stp/>
        <stp>##V3_BDPV12</stp>
        <stp>TAP US EQUITY</stp>
        <stp>OTHER_CURRENT_LIABS_SUB_DETAILED</stp>
        <stp>[Molson Coors.xlsx]BS!R24C8</stp>
        <stp>EQY_FUND_YEAR</stp>
        <stp>2021</stp>
        <stp>FUND_PER</stp>
        <stp>Q4</stp>
        <tr r="H24" s="2"/>
      </tp>
      <tp>
        <v>71.2</v>
        <stp/>
        <stp>##V3_BDPV12</stp>
        <stp>TAP US EQUITY</stp>
        <stp>OTHER_CURRENT_LIABS_SUB_DETAILED</stp>
        <stp>[Molson Coors.xlsx]BS!R24C7</stp>
        <stp>EQY_FUND_YEAR</stp>
        <stp>2021</stp>
        <stp>FUND_PER</stp>
        <stp>Q3</stp>
        <tr r="G24" s="2"/>
      </tp>
      <tp>
        <v>92.5</v>
        <stp/>
        <stp>##V3_BDPV12</stp>
        <stp>TAP US EQUITY</stp>
        <stp>OTHER_CURRENT_LIABS_SUB_DETAILED</stp>
        <stp>[Molson Coors.xlsx]BS!R24C6</stp>
        <stp>EQY_FUND_YEAR</stp>
        <stp>2021</stp>
        <stp>FUND_PER</stp>
        <stp>Q2</stp>
        <tr r="F24" s="2"/>
      </tp>
      <tp>
        <v>43</v>
        <stp/>
        <stp>##V3_BDPV12</stp>
        <stp>TAP US EQUITY</stp>
        <stp>OTHER_CURRENT_LIABS_SUB_DETAILED</stp>
        <stp>[Molson Coors.xlsx]BS!R24C5</stp>
        <stp>EQY_FUND_YEAR</stp>
        <stp>2021</stp>
        <stp>FUND_PER</stp>
        <stp>Q1</stp>
        <tr r="E24" s="2"/>
      </tp>
      <tp>
        <v>-2.1585808933532733</v>
        <stp/>
        <stp>##V3_BDPV12</stp>
        <stp>TAP US EQUITY</stp>
        <stp>INVENTORY_GROWTH</stp>
        <stp>[Molson Coors.xlsx]IS!R43C15</stp>
        <stp>EQY_FUND_YEAR</stp>
        <stp/>
        <stp>FUND_PER</stp>
        <stp/>
        <tr r="O43" s="1"/>
      </tp>
      <tp>
        <v>-11.2</v>
        <stp/>
        <stp>##V3_BDPV12</stp>
        <stp>TAP US EQUITY</stp>
        <stp>MIN_NONCONTROL_INTEREST_CREDITS</stp>
        <stp>[Molson Coors.xlsx]IS!R43C14</stp>
        <stp>EQY_FUND_RELATIVE_PERIOD</stp>
        <stp>2022</stp>
        <tr r="N43" s="1"/>
      </tp>
      <tp>
        <v>8.8204807210816227</v>
        <stp/>
        <stp>##V3_BDPV12</stp>
        <stp>TAP US EQUITY</stp>
        <stp>INVENT_TURN</stp>
        <stp>[Molson Coors.xlsx]IS!R44C5</stp>
        <stp>EQY_FUND_RELATIVE_PERIOD</stp>
        <stp>1Q21</stp>
        <tr r="E44" s="1"/>
      </tp>
      <tp>
        <v>8.8204807210816227</v>
        <stp/>
        <stp>##V3_BDPV12</stp>
        <stp>TAP US EQUITY</stp>
        <stp>INVENT_TURN</stp>
        <stp>[Molson Coors.xlsx]IS!R44C6</stp>
        <stp>EQY_FUND_RELATIVE_PERIOD</stp>
        <stp>2Q21</stp>
        <tr r="F44" s="1"/>
      </tp>
      <tp>
        <v>7460</v>
        <stp/>
        <stp>##V3_BDPV12</stp>
        <stp>TAP US EQUITY</stp>
        <stp>BS_SH_CAP_AND_APIC</stp>
        <stp>[Molson Coors.xlsx]BS!R34C4</stp>
        <stp>EQY_FUND_RELATIVE_PERIOD</stp>
        <stp>2020</stp>
        <tr r="D34" s="2"/>
      </tp>
      <tp>
        <v>133.96648720585566</v>
        <stp/>
        <stp>##V3_BDPV12</stp>
        <stp>TAP US EQUITY</stp>
        <stp>BREWER_REVENUE_PER_HECTOLITER</stp>
        <stp>[Molson Coors.xlsx]Rev!R14C11</stp>
        <stp>EQY_FUND_YEAR</stp>
        <stp>2022</stp>
        <stp>FUND_PER</stp>
        <stp>Q1</stp>
        <tr r="K14" s="18"/>
      </tp>
      <tp>
        <v>132.87460389316433</v>
        <stp/>
        <stp>##V3_BDPV12</stp>
        <stp>TAP US EQUITY</stp>
        <stp>BREWER_REVENUE_PER_HECTOLITER</stp>
        <stp>[Molson Coors.xlsx]Rev!R14C13</stp>
        <stp>EQY_FUND_YEAR</stp>
        <stp>2022</stp>
        <stp>FUND_PER</stp>
        <stp>Q3</stp>
        <tr r="M14" s="18"/>
      </tp>
      <tp>
        <v>134.39282428702853</v>
        <stp/>
        <stp>##V3_BDPV12</stp>
        <stp>TAP US EQUITY</stp>
        <stp>BREWER_REVENUE_PER_HECTOLITER</stp>
        <stp>[Molson Coors.xlsx]Rev!R14C12</stp>
        <stp>EQY_FUND_YEAR</stp>
        <stp>2022</stp>
        <stp>FUND_PER</stp>
        <stp>Q2</stp>
        <tr r="L14" s="18"/>
      </tp>
      <tp>
        <v>140.35228182546038</v>
        <stp/>
        <stp>##V3_BDPV12</stp>
        <stp>TAP US EQUITY</stp>
        <stp>BREWER_REVENUE_PER_HECTOLITER</stp>
        <stp>[Molson Coors.xlsx]Rev!R14C14</stp>
        <stp>EQY_FUND_YEAR</stp>
        <stp>2022</stp>
        <stp>FUND_PER</stp>
        <stp>Q4</stp>
        <tr r="N14" s="18"/>
      </tp>
      <tp>
        <v>183</v>
        <stp/>
        <stp>##V3_BDPV12</stp>
        <stp>TAP US EQUITY</stp>
        <stp>OTHER_NONCURRENT_LIABS_DETAILED</stp>
        <stp>[Molson Coors.xlsx]BS!R30C14</stp>
        <stp>EQY_FUND_RELATIVE_PERIOD</stp>
        <stp>2022</stp>
        <tr r="N30" s="2"/>
      </tp>
      <tp>
        <v>8.8204807210816227</v>
        <stp/>
        <stp>##V3_BDPV12</stp>
        <stp>TAP US EQUITY</stp>
        <stp>INVENT_TURN</stp>
        <stp>[Molson Coors.xlsx]IS!R44C7</stp>
        <stp>EQY_FUND_RELATIVE_PERIOD</stp>
        <stp>3Q21</stp>
        <tr r="G44" s="1"/>
      </tp>
      <tp>
        <v>513.6</v>
        <stp/>
        <stp>##V3_BDPV12</stp>
        <stp>TAP US EQUITY</stp>
        <stp>BS_DEFERRED_TAX_ASSETS_LT</stp>
        <stp>[Molson Coors.xlsx]BS!R15C8</stp>
        <stp>EQY_FUND_YEAR</stp>
        <stp>2021</stp>
        <stp>FUND_PER</stp>
        <stp>Q4</stp>
        <tr r="H15" s="2"/>
      </tp>
      <tp t="s">
        <v>#N/A N/A</v>
        <stp/>
        <stp>##V3_BDPV12</stp>
        <stp>TAP US EQUITY</stp>
        <stp>BS_DEFERRED_TAX_ASSETS_LT</stp>
        <stp>[Molson Coors.xlsx]BS!R15C7</stp>
        <stp>EQY_FUND_YEAR</stp>
        <stp>2021</stp>
        <stp>FUND_PER</stp>
        <stp>Q3</stp>
        <tr r="G15" s="2"/>
      </tp>
      <tp t="s">
        <v>#N/A N/A</v>
        <stp/>
        <stp>##V3_BDPV12</stp>
        <stp>TAP US EQUITY</stp>
        <stp>BS_DEFERRED_TAX_ASSETS_LT</stp>
        <stp>[Molson Coors.xlsx]BS!R15C6</stp>
        <stp>EQY_FUND_YEAR</stp>
        <stp>2021</stp>
        <stp>FUND_PER</stp>
        <stp>Q2</stp>
        <tr r="F15" s="2"/>
      </tp>
      <tp t="s">
        <v>#N/A N/A</v>
        <stp/>
        <stp>##V3_BDPV12</stp>
        <stp>TAP US EQUITY</stp>
        <stp>BS_DEFERRED_TAX_ASSETS_LT</stp>
        <stp>[Molson Coors.xlsx]BS!R15C5</stp>
        <stp>EQY_FUND_YEAR</stp>
        <stp>2021</stp>
        <stp>FUND_PER</stp>
        <stp>Q1</stp>
        <tr r="E15" s="2"/>
      </tp>
      <tp>
        <v>7.9</v>
        <stp/>
        <stp>##V3_BDPV12</stp>
        <stp>TAP US EQUITY</stp>
        <stp>OTHER_FIN_AND_DEC_CAP</stp>
        <stp>[Molson Coors.xlsx]CF_F!R27C10</stp>
        <stp>EQY_FUND_YEAR</stp>
        <stp>2022</stp>
        <stp>FUND_PER</stp>
        <stp>Q1</stp>
        <tr r="J27" s="28"/>
      </tp>
      <tp>
        <v>-1.5</v>
        <stp/>
        <stp>##V3_BDPV12</stp>
        <stp>TAP US EQUITY</stp>
        <stp>OTHER_FIN_AND_DEC_CAP</stp>
        <stp>[Molson Coors.xlsx]CF_F!R27C12</stp>
        <stp>EQY_FUND_YEAR</stp>
        <stp>2022</stp>
        <stp>FUND_PER</stp>
        <stp>Q3</stp>
        <tr r="L27" s="28"/>
      </tp>
      <tp>
        <v>-16.600000000000001</v>
        <stp/>
        <stp>##V3_BDPV12</stp>
        <stp>TAP US EQUITY</stp>
        <stp>OTHER_FIN_AND_DEC_CAP</stp>
        <stp>[Molson Coors.xlsx]CF_F!R27C11</stp>
        <stp>EQY_FUND_YEAR</stp>
        <stp>2022</stp>
        <stp>FUND_PER</stp>
        <stp>Q2</stp>
        <tr r="K27" s="28"/>
      </tp>
      <tp>
        <v>4.2</v>
        <stp/>
        <stp>##V3_BDPV12</stp>
        <stp>TAP US EQUITY</stp>
        <stp>OTHER_FIN_AND_DEC_CAP</stp>
        <stp>[Molson Coors.xlsx]CF_F!R27C13</stp>
        <stp>EQY_FUND_YEAR</stp>
        <stp>2022</stp>
        <stp>FUND_PER</stp>
        <stp>Q4</stp>
        <tr r="M27" s="28"/>
      </tp>
      <tp>
        <v>-1.4663849881943665</v>
        <stp/>
        <stp>##V3_BDPV12</stp>
        <stp>TAP US EQUITY</stp>
        <stp>INVENTORY_GROWTH</stp>
        <stp>[Molson Coors.xlsx]IS!R43C6</stp>
        <stp>EQY_FUND_RELATIVE_PERIOD</stp>
        <stp>2Q21</stp>
        <tr r="F43" s="1"/>
      </tp>
      <tp>
        <v>2</v>
        <stp/>
        <stp>##V3_BDPV12</stp>
        <stp>TAP US EQUITY</stp>
        <stp>IS_INT_INC</stp>
        <stp>[Molson Coors.xlsx]IS!R21C9</stp>
        <stp>EQY_FUND_RELATIVE_PERIOD</stp>
        <stp>2021</stp>
        <tr r="I21" s="1"/>
      </tp>
      <tp>
        <v>-23.8</v>
        <stp/>
        <stp>##V3_BDPV12</stp>
        <stp>TAP US EQUITY</stp>
        <stp>OTHER_FIN_AND_DEC_CAP</stp>
        <stp>[Molson Coors.xlsx]CF_F!R27C9</stp>
        <stp>EQY_FUND_RELATIVE_PERIOD</stp>
        <stp>2021</stp>
        <tr r="I27" s="28"/>
      </tp>
      <tp>
        <v>-1.4663849881943665</v>
        <stp/>
        <stp>##V3_BDPV12</stp>
        <stp>TAP US EQUITY</stp>
        <stp>INVENTORY_GROWTH</stp>
        <stp>[Molson Coors.xlsx]IS!R43C7</stp>
        <stp>EQY_FUND_RELATIVE_PERIOD</stp>
        <stp>3Q21</stp>
        <tr r="G43" s="1"/>
      </tp>
      <tp>
        <v>7436</v>
        <stp/>
        <stp>##V3_BDPV12</stp>
        <stp>TAP US EQUITY</stp>
        <stp>BS_SH_CAP_AND_APIC</stp>
        <stp>[Molson Coors.xlsx]BS!R34C3</stp>
        <stp>EQY_FUND_RELATIVE_PERIOD</stp>
        <stp>2019</stp>
        <tr r="C34" s="2"/>
      </tp>
      <tp>
        <v>-31.51854817187083</v>
        <stp/>
        <stp>##V3_BDPV12</stp>
        <stp>TAP US EQUITY</stp>
        <stp>PROFIT_PER_HECTOLITER</stp>
        <stp>[Molson Coors.xlsx]Rev!R26C14</stp>
        <stp>EQY_FUND_YEAR</stp>
        <stp>2022</stp>
        <stp>FUND_PER</stp>
        <stp>Q4</stp>
        <tr r="N26" s="18"/>
      </tp>
      <tp>
        <v>9.1645998427197402</v>
        <stp/>
        <stp>##V3_BDPV12</stp>
        <stp>TAP US EQUITY</stp>
        <stp>PROFIT_PER_HECTOLITER</stp>
        <stp>[Molson Coors.xlsx]Rev!R26C11</stp>
        <stp>EQY_FUND_YEAR</stp>
        <stp>2022</stp>
        <stp>FUND_PER</stp>
        <stp>Q1</stp>
        <tr r="K26" s="18"/>
      </tp>
      <tp>
        <v>2.1757129714811407</v>
        <stp/>
        <stp>##V3_BDPV12</stp>
        <stp>TAP US EQUITY</stp>
        <stp>PROFIT_PER_HECTOLITER</stp>
        <stp>[Molson Coors.xlsx]Rev!R26C12</stp>
        <stp>EQY_FUND_YEAR</stp>
        <stp>2022</stp>
        <stp>FUND_PER</stp>
        <stp>Q2</stp>
        <tr r="L26" s="18"/>
      </tp>
      <tp>
        <v>9.7962879130828426</v>
        <stp/>
        <stp>##V3_BDPV12</stp>
        <stp>TAP US EQUITY</stp>
        <stp>PROFIT_PER_HECTOLITER</stp>
        <stp>[Molson Coors.xlsx]Rev!R26C13</stp>
        <stp>EQY_FUND_YEAR</stp>
        <stp>2022</stp>
        <stp>FUND_PER</stp>
        <stp>Q3</stp>
        <tr r="M26" s="18"/>
      </tp>
      <tp>
        <v>4.5999999999999996</v>
        <stp/>
        <stp>##V3_BDPV12</stp>
        <stp>TAP US EQUITY</stp>
        <stp>NET_CAP_STOCK</stp>
        <stp>[Molson Coors.xlsx]CF_F!R25C9</stp>
        <stp>EQY_FUND_RELATIVE_PERIOD</stp>
        <stp>2021</stp>
        <tr r="I25" s="28"/>
      </tp>
      <tp>
        <v>673.9</v>
        <stp/>
        <stp>##V3_BDPV12</stp>
        <stp>TAP US EQUITY</stp>
        <stp>OTHER_CURRENT_ASSETS_DETAILED</stp>
        <stp>[Molson Coors.xlsx]BS!R9C9</stp>
        <stp>EQY_FUND_RELATIVE_PERIOD</stp>
        <stp>2021</stp>
        <tr r="I9" s="2"/>
      </tp>
      <tp>
        <v>7.9233012855136646</v>
        <stp/>
        <stp>##V3_BDPV12</stp>
        <stp>TAP US EQUITY</stp>
        <stp>INVENT_TURN</stp>
        <stp>[Molson Coors.xlsx]IS!R44C15</stp>
        <stp>EQY_FUND_YEAR</stp>
        <stp/>
        <stp>FUND_PER</stp>
        <stp/>
        <tr r="O44" s="1"/>
      </tp>
      <tp>
        <v>25.231309351114795</v>
        <stp/>
        <stp>##V3_BDPV12</stp>
        <stp>TAP US EQUITY</stp>
        <stp>EXCISE_TAX_PER_HECTOLITER</stp>
        <stp>[Molson Coors.xlsx]Rev!R11C5</stp>
        <stp>EQY_FUND_RELATIVE_PERIOD</stp>
        <stp>2020</stp>
        <tr r="E11" s="18"/>
      </tp>
      <tp>
        <v>251.6</v>
        <stp/>
        <stp>##V3_BDPV12</stp>
        <stp>TAP US EQUITY</stp>
        <stp>MINORITY_NONCONTROLLING_INTEREST</stp>
        <stp>[Molson Coors.xlsx]BS!R38C6</stp>
        <stp>EQY_FUND_YEAR</stp>
        <stp>2021</stp>
        <stp>FUND_PER</stp>
        <stp>Q2</stp>
        <tr r="F38" s="2"/>
      </tp>
      <tp>
        <v>247</v>
        <stp/>
        <stp>##V3_BDPV12</stp>
        <stp>TAP US EQUITY</stp>
        <stp>MINORITY_NONCONTROLLING_INTEREST</stp>
        <stp>[Molson Coors.xlsx]BS!R38C7</stp>
        <stp>EQY_FUND_YEAR</stp>
        <stp>2021</stp>
        <stp>FUND_PER</stp>
        <stp>Q3</stp>
        <tr r="G38" s="2"/>
      </tp>
      <tp>
        <v>253.2</v>
        <stp/>
        <stp>##V3_BDPV12</stp>
        <stp>TAP US EQUITY</stp>
        <stp>MINORITY_NONCONTROLLING_INTEREST</stp>
        <stp>[Molson Coors.xlsx]BS!R38C5</stp>
        <stp>EQY_FUND_YEAR</stp>
        <stp>2021</stp>
        <stp>FUND_PER</stp>
        <stp>Q1</stp>
        <tr r="E38" s="2"/>
      </tp>
      <tp>
        <v>247</v>
        <stp/>
        <stp>##V3_BDPV12</stp>
        <stp>TAP US EQUITY</stp>
        <stp>MINORITY_NONCONTROLLING_INTEREST</stp>
        <stp>[Molson Coors.xlsx]BS!R38C8</stp>
        <stp>EQY_FUND_YEAR</stp>
        <stp>2021</stp>
        <stp>FUND_PER</stp>
        <stp>Q4</stp>
        <tr r="H38" s="2"/>
      </tp>
      <tp>
        <v>-11.2</v>
        <stp/>
        <stp>##V3_BDPV12</stp>
        <stp>TAP US EQUITY</stp>
        <stp>MIN_NONCONTROL_INTEREST_CREDITS</stp>
        <stp>[Molson Coors.xlsx]IS!R26C14</stp>
        <stp>EQY_FUND_RELATIVE_PERIOD</stp>
        <stp>2022</stp>
        <tr r="N26" s="1"/>
      </tp>
      <tp>
        <v>-1.4663849881943665</v>
        <stp/>
        <stp>##V3_BDPV12</stp>
        <stp>TAP US EQUITY</stp>
        <stp>INVENTORY_GROWTH</stp>
        <stp>[Molson Coors.xlsx]IS!R43C5</stp>
        <stp>EQY_FUND_RELATIVE_PERIOD</stp>
        <stp>1Q21</stp>
        <tr r="E43" s="1"/>
      </tp>
      <tp>
        <v>27.316574101140016</v>
        <stp/>
        <stp>##V3_BDPV12</stp>
        <stp>TAP US EQUITY</stp>
        <stp>EXCISE_TAX_PER_HECTOLITER</stp>
        <stp>[Molson Coors.xlsx]Rev!R11C4</stp>
        <stp>EQY_FUND_RELATIVE_PERIOD</stp>
        <stp>2019</stp>
        <tr r="D11" s="1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Long</a:t>
            </a:r>
            <a:r>
              <a:rPr lang="en-US" baseline="0"/>
              <a:t> Bond YTW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'Bond Yield time series'!$P$2</c:f>
              <c:strCache>
                <c:ptCount val="1"/>
                <c:pt idx="0">
                  <c:v>ABIBB 2046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'Bond Yield time series'!$O$3:$O$250</c:f>
              <c:numCache>
                <c:formatCode>m/d/yyyy</c:formatCode>
                <c:ptCount val="248"/>
                <c:pt idx="0">
                  <c:v>45093</c:v>
                </c:pt>
                <c:pt idx="1">
                  <c:v>45092</c:v>
                </c:pt>
                <c:pt idx="2">
                  <c:v>45091</c:v>
                </c:pt>
                <c:pt idx="3">
                  <c:v>45090</c:v>
                </c:pt>
                <c:pt idx="4">
                  <c:v>45089</c:v>
                </c:pt>
                <c:pt idx="5">
                  <c:v>45086</c:v>
                </c:pt>
                <c:pt idx="6">
                  <c:v>45085</c:v>
                </c:pt>
                <c:pt idx="7">
                  <c:v>45084</c:v>
                </c:pt>
                <c:pt idx="8">
                  <c:v>45083</c:v>
                </c:pt>
                <c:pt idx="9">
                  <c:v>45082</c:v>
                </c:pt>
                <c:pt idx="10">
                  <c:v>45079</c:v>
                </c:pt>
                <c:pt idx="11">
                  <c:v>45078</c:v>
                </c:pt>
                <c:pt idx="12">
                  <c:v>45077</c:v>
                </c:pt>
                <c:pt idx="13">
                  <c:v>45076</c:v>
                </c:pt>
                <c:pt idx="14">
                  <c:v>45072</c:v>
                </c:pt>
                <c:pt idx="15">
                  <c:v>45071</c:v>
                </c:pt>
                <c:pt idx="16">
                  <c:v>45070</c:v>
                </c:pt>
                <c:pt idx="17">
                  <c:v>45069</c:v>
                </c:pt>
                <c:pt idx="18">
                  <c:v>45068</c:v>
                </c:pt>
                <c:pt idx="19">
                  <c:v>45065</c:v>
                </c:pt>
                <c:pt idx="20">
                  <c:v>45064</c:v>
                </c:pt>
                <c:pt idx="21">
                  <c:v>45063</c:v>
                </c:pt>
                <c:pt idx="22">
                  <c:v>45062</c:v>
                </c:pt>
                <c:pt idx="23">
                  <c:v>45061</c:v>
                </c:pt>
                <c:pt idx="24">
                  <c:v>45058</c:v>
                </c:pt>
                <c:pt idx="25">
                  <c:v>45057</c:v>
                </c:pt>
                <c:pt idx="26">
                  <c:v>45056</c:v>
                </c:pt>
                <c:pt idx="27">
                  <c:v>45055</c:v>
                </c:pt>
                <c:pt idx="28">
                  <c:v>45054</c:v>
                </c:pt>
                <c:pt idx="29">
                  <c:v>45051</c:v>
                </c:pt>
                <c:pt idx="30">
                  <c:v>45050</c:v>
                </c:pt>
                <c:pt idx="31">
                  <c:v>45049</c:v>
                </c:pt>
                <c:pt idx="32">
                  <c:v>45048</c:v>
                </c:pt>
                <c:pt idx="33">
                  <c:v>45047</c:v>
                </c:pt>
                <c:pt idx="34">
                  <c:v>45044</c:v>
                </c:pt>
                <c:pt idx="35">
                  <c:v>45043</c:v>
                </c:pt>
                <c:pt idx="36">
                  <c:v>45042</c:v>
                </c:pt>
                <c:pt idx="37">
                  <c:v>45041</c:v>
                </c:pt>
                <c:pt idx="38">
                  <c:v>45040</c:v>
                </c:pt>
                <c:pt idx="39">
                  <c:v>45037</c:v>
                </c:pt>
                <c:pt idx="40">
                  <c:v>45036</c:v>
                </c:pt>
                <c:pt idx="41">
                  <c:v>45035</c:v>
                </c:pt>
                <c:pt idx="42">
                  <c:v>45034</c:v>
                </c:pt>
                <c:pt idx="43">
                  <c:v>45033</c:v>
                </c:pt>
                <c:pt idx="44">
                  <c:v>45030</c:v>
                </c:pt>
                <c:pt idx="45">
                  <c:v>45029</c:v>
                </c:pt>
                <c:pt idx="46">
                  <c:v>45028</c:v>
                </c:pt>
                <c:pt idx="47">
                  <c:v>45027</c:v>
                </c:pt>
                <c:pt idx="48">
                  <c:v>45026</c:v>
                </c:pt>
                <c:pt idx="49">
                  <c:v>45022</c:v>
                </c:pt>
                <c:pt idx="50">
                  <c:v>45021</c:v>
                </c:pt>
                <c:pt idx="51">
                  <c:v>45020</c:v>
                </c:pt>
                <c:pt idx="52">
                  <c:v>45019</c:v>
                </c:pt>
                <c:pt idx="53">
                  <c:v>45016</c:v>
                </c:pt>
                <c:pt idx="54">
                  <c:v>45015</c:v>
                </c:pt>
                <c:pt idx="55">
                  <c:v>45014</c:v>
                </c:pt>
                <c:pt idx="56">
                  <c:v>45013</c:v>
                </c:pt>
                <c:pt idx="57">
                  <c:v>45012</c:v>
                </c:pt>
                <c:pt idx="58">
                  <c:v>45009</c:v>
                </c:pt>
                <c:pt idx="59">
                  <c:v>45008</c:v>
                </c:pt>
                <c:pt idx="60">
                  <c:v>45007</c:v>
                </c:pt>
                <c:pt idx="61">
                  <c:v>45006</c:v>
                </c:pt>
                <c:pt idx="62">
                  <c:v>45005</c:v>
                </c:pt>
                <c:pt idx="63">
                  <c:v>45002</c:v>
                </c:pt>
                <c:pt idx="64">
                  <c:v>45001</c:v>
                </c:pt>
                <c:pt idx="65">
                  <c:v>45000</c:v>
                </c:pt>
                <c:pt idx="66">
                  <c:v>44999</c:v>
                </c:pt>
                <c:pt idx="67">
                  <c:v>44998</c:v>
                </c:pt>
                <c:pt idx="68">
                  <c:v>44995</c:v>
                </c:pt>
                <c:pt idx="69">
                  <c:v>44994</c:v>
                </c:pt>
                <c:pt idx="70">
                  <c:v>44993</c:v>
                </c:pt>
                <c:pt idx="71">
                  <c:v>44992</c:v>
                </c:pt>
                <c:pt idx="72">
                  <c:v>44991</c:v>
                </c:pt>
                <c:pt idx="73">
                  <c:v>44988</c:v>
                </c:pt>
                <c:pt idx="74">
                  <c:v>44987</c:v>
                </c:pt>
                <c:pt idx="75">
                  <c:v>44986</c:v>
                </c:pt>
                <c:pt idx="76">
                  <c:v>44985</c:v>
                </c:pt>
                <c:pt idx="77">
                  <c:v>44984</c:v>
                </c:pt>
                <c:pt idx="78">
                  <c:v>44981</c:v>
                </c:pt>
                <c:pt idx="79">
                  <c:v>44980</c:v>
                </c:pt>
                <c:pt idx="80">
                  <c:v>44979</c:v>
                </c:pt>
                <c:pt idx="81">
                  <c:v>44978</c:v>
                </c:pt>
                <c:pt idx="82">
                  <c:v>44974</c:v>
                </c:pt>
                <c:pt idx="83">
                  <c:v>44973</c:v>
                </c:pt>
                <c:pt idx="84">
                  <c:v>44972</c:v>
                </c:pt>
                <c:pt idx="85">
                  <c:v>44971</c:v>
                </c:pt>
                <c:pt idx="86">
                  <c:v>44970</c:v>
                </c:pt>
                <c:pt idx="87">
                  <c:v>44967</c:v>
                </c:pt>
                <c:pt idx="88">
                  <c:v>44966</c:v>
                </c:pt>
                <c:pt idx="89">
                  <c:v>44965</c:v>
                </c:pt>
                <c:pt idx="90">
                  <c:v>44964</c:v>
                </c:pt>
                <c:pt idx="91">
                  <c:v>44963</c:v>
                </c:pt>
                <c:pt idx="92">
                  <c:v>44960</c:v>
                </c:pt>
                <c:pt idx="93">
                  <c:v>44959</c:v>
                </c:pt>
                <c:pt idx="94">
                  <c:v>44958</c:v>
                </c:pt>
                <c:pt idx="95">
                  <c:v>44957</c:v>
                </c:pt>
                <c:pt idx="96">
                  <c:v>44956</c:v>
                </c:pt>
                <c:pt idx="97">
                  <c:v>44953</c:v>
                </c:pt>
                <c:pt idx="98">
                  <c:v>44952</c:v>
                </c:pt>
                <c:pt idx="99">
                  <c:v>44951</c:v>
                </c:pt>
                <c:pt idx="100">
                  <c:v>44950</c:v>
                </c:pt>
                <c:pt idx="101">
                  <c:v>44949</c:v>
                </c:pt>
                <c:pt idx="102">
                  <c:v>44946</c:v>
                </c:pt>
                <c:pt idx="103">
                  <c:v>44945</c:v>
                </c:pt>
                <c:pt idx="104">
                  <c:v>44944</c:v>
                </c:pt>
                <c:pt idx="105">
                  <c:v>44943</c:v>
                </c:pt>
                <c:pt idx="106">
                  <c:v>44939</c:v>
                </c:pt>
                <c:pt idx="107">
                  <c:v>44938</c:v>
                </c:pt>
                <c:pt idx="108">
                  <c:v>44937</c:v>
                </c:pt>
                <c:pt idx="109">
                  <c:v>44936</c:v>
                </c:pt>
                <c:pt idx="110">
                  <c:v>44935</c:v>
                </c:pt>
                <c:pt idx="111">
                  <c:v>44932</c:v>
                </c:pt>
                <c:pt idx="112">
                  <c:v>44931</c:v>
                </c:pt>
                <c:pt idx="113">
                  <c:v>44930</c:v>
                </c:pt>
                <c:pt idx="114">
                  <c:v>44929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44918</c:v>
                </c:pt>
                <c:pt idx="120">
                  <c:v>44917</c:v>
                </c:pt>
                <c:pt idx="121">
                  <c:v>44916</c:v>
                </c:pt>
                <c:pt idx="122">
                  <c:v>44915</c:v>
                </c:pt>
                <c:pt idx="123">
                  <c:v>44914</c:v>
                </c:pt>
                <c:pt idx="124">
                  <c:v>44911</c:v>
                </c:pt>
                <c:pt idx="125">
                  <c:v>44910</c:v>
                </c:pt>
                <c:pt idx="126">
                  <c:v>44909</c:v>
                </c:pt>
                <c:pt idx="127">
                  <c:v>44908</c:v>
                </c:pt>
                <c:pt idx="128">
                  <c:v>44907</c:v>
                </c:pt>
                <c:pt idx="129">
                  <c:v>44904</c:v>
                </c:pt>
                <c:pt idx="130">
                  <c:v>44903</c:v>
                </c:pt>
                <c:pt idx="131">
                  <c:v>44902</c:v>
                </c:pt>
                <c:pt idx="132">
                  <c:v>44901</c:v>
                </c:pt>
                <c:pt idx="133">
                  <c:v>44900</c:v>
                </c:pt>
                <c:pt idx="134">
                  <c:v>44897</c:v>
                </c:pt>
                <c:pt idx="135">
                  <c:v>44896</c:v>
                </c:pt>
                <c:pt idx="136">
                  <c:v>44895</c:v>
                </c:pt>
                <c:pt idx="137">
                  <c:v>44894</c:v>
                </c:pt>
                <c:pt idx="138">
                  <c:v>44893</c:v>
                </c:pt>
                <c:pt idx="139">
                  <c:v>44890</c:v>
                </c:pt>
                <c:pt idx="140">
                  <c:v>44888</c:v>
                </c:pt>
                <c:pt idx="141">
                  <c:v>44887</c:v>
                </c:pt>
                <c:pt idx="142">
                  <c:v>44886</c:v>
                </c:pt>
                <c:pt idx="143">
                  <c:v>44883</c:v>
                </c:pt>
                <c:pt idx="144">
                  <c:v>44882</c:v>
                </c:pt>
                <c:pt idx="145">
                  <c:v>44881</c:v>
                </c:pt>
                <c:pt idx="146">
                  <c:v>44880</c:v>
                </c:pt>
                <c:pt idx="147">
                  <c:v>44879</c:v>
                </c:pt>
                <c:pt idx="148">
                  <c:v>44875</c:v>
                </c:pt>
                <c:pt idx="149">
                  <c:v>44874</c:v>
                </c:pt>
                <c:pt idx="150">
                  <c:v>44873</c:v>
                </c:pt>
                <c:pt idx="151">
                  <c:v>44872</c:v>
                </c:pt>
                <c:pt idx="152">
                  <c:v>44869</c:v>
                </c:pt>
                <c:pt idx="153">
                  <c:v>44868</c:v>
                </c:pt>
                <c:pt idx="154">
                  <c:v>44867</c:v>
                </c:pt>
                <c:pt idx="155">
                  <c:v>44866</c:v>
                </c:pt>
                <c:pt idx="156">
                  <c:v>44865</c:v>
                </c:pt>
                <c:pt idx="157">
                  <c:v>44862</c:v>
                </c:pt>
                <c:pt idx="158">
                  <c:v>44861</c:v>
                </c:pt>
                <c:pt idx="159">
                  <c:v>44860</c:v>
                </c:pt>
                <c:pt idx="160">
                  <c:v>44859</c:v>
                </c:pt>
                <c:pt idx="161">
                  <c:v>44858</c:v>
                </c:pt>
                <c:pt idx="162">
                  <c:v>44855</c:v>
                </c:pt>
                <c:pt idx="163">
                  <c:v>44854</c:v>
                </c:pt>
                <c:pt idx="164">
                  <c:v>44853</c:v>
                </c:pt>
                <c:pt idx="165">
                  <c:v>44852</c:v>
                </c:pt>
                <c:pt idx="166">
                  <c:v>44851</c:v>
                </c:pt>
                <c:pt idx="167">
                  <c:v>44848</c:v>
                </c:pt>
                <c:pt idx="168">
                  <c:v>44847</c:v>
                </c:pt>
                <c:pt idx="169">
                  <c:v>44846</c:v>
                </c:pt>
                <c:pt idx="170">
                  <c:v>44845</c:v>
                </c:pt>
                <c:pt idx="171">
                  <c:v>44841</c:v>
                </c:pt>
                <c:pt idx="172">
                  <c:v>44840</c:v>
                </c:pt>
                <c:pt idx="173">
                  <c:v>44839</c:v>
                </c:pt>
                <c:pt idx="174">
                  <c:v>44838</c:v>
                </c:pt>
                <c:pt idx="175">
                  <c:v>44837</c:v>
                </c:pt>
                <c:pt idx="176">
                  <c:v>44834</c:v>
                </c:pt>
                <c:pt idx="177">
                  <c:v>44833</c:v>
                </c:pt>
                <c:pt idx="178">
                  <c:v>44832</c:v>
                </c:pt>
                <c:pt idx="179">
                  <c:v>44831</c:v>
                </c:pt>
                <c:pt idx="180">
                  <c:v>44830</c:v>
                </c:pt>
                <c:pt idx="181">
                  <c:v>44827</c:v>
                </c:pt>
                <c:pt idx="182">
                  <c:v>44826</c:v>
                </c:pt>
                <c:pt idx="183">
                  <c:v>44825</c:v>
                </c:pt>
                <c:pt idx="184">
                  <c:v>44824</c:v>
                </c:pt>
                <c:pt idx="185">
                  <c:v>44823</c:v>
                </c:pt>
                <c:pt idx="186">
                  <c:v>44820</c:v>
                </c:pt>
                <c:pt idx="187">
                  <c:v>44819</c:v>
                </c:pt>
                <c:pt idx="188">
                  <c:v>44818</c:v>
                </c:pt>
                <c:pt idx="189">
                  <c:v>44817</c:v>
                </c:pt>
                <c:pt idx="190">
                  <c:v>44816</c:v>
                </c:pt>
                <c:pt idx="191">
                  <c:v>44813</c:v>
                </c:pt>
                <c:pt idx="192">
                  <c:v>44812</c:v>
                </c:pt>
                <c:pt idx="193">
                  <c:v>44811</c:v>
                </c:pt>
                <c:pt idx="194">
                  <c:v>44810</c:v>
                </c:pt>
                <c:pt idx="195">
                  <c:v>44806</c:v>
                </c:pt>
                <c:pt idx="196">
                  <c:v>44805</c:v>
                </c:pt>
                <c:pt idx="197">
                  <c:v>44804</c:v>
                </c:pt>
                <c:pt idx="198">
                  <c:v>44803</c:v>
                </c:pt>
                <c:pt idx="199">
                  <c:v>44802</c:v>
                </c:pt>
                <c:pt idx="200">
                  <c:v>44799</c:v>
                </c:pt>
                <c:pt idx="201">
                  <c:v>44798</c:v>
                </c:pt>
                <c:pt idx="202">
                  <c:v>44797</c:v>
                </c:pt>
                <c:pt idx="203">
                  <c:v>44796</c:v>
                </c:pt>
                <c:pt idx="204">
                  <c:v>44795</c:v>
                </c:pt>
                <c:pt idx="205">
                  <c:v>44792</c:v>
                </c:pt>
                <c:pt idx="206">
                  <c:v>44791</c:v>
                </c:pt>
                <c:pt idx="207">
                  <c:v>44790</c:v>
                </c:pt>
                <c:pt idx="208">
                  <c:v>44789</c:v>
                </c:pt>
                <c:pt idx="209">
                  <c:v>44788</c:v>
                </c:pt>
                <c:pt idx="210">
                  <c:v>44785</c:v>
                </c:pt>
                <c:pt idx="211">
                  <c:v>44784</c:v>
                </c:pt>
                <c:pt idx="212">
                  <c:v>44783</c:v>
                </c:pt>
                <c:pt idx="213">
                  <c:v>44782</c:v>
                </c:pt>
                <c:pt idx="214">
                  <c:v>44781</c:v>
                </c:pt>
                <c:pt idx="215">
                  <c:v>44778</c:v>
                </c:pt>
                <c:pt idx="216">
                  <c:v>44777</c:v>
                </c:pt>
                <c:pt idx="217">
                  <c:v>44776</c:v>
                </c:pt>
                <c:pt idx="218">
                  <c:v>44775</c:v>
                </c:pt>
                <c:pt idx="219">
                  <c:v>44774</c:v>
                </c:pt>
                <c:pt idx="220">
                  <c:v>44771</c:v>
                </c:pt>
                <c:pt idx="221">
                  <c:v>44770</c:v>
                </c:pt>
                <c:pt idx="222">
                  <c:v>44769</c:v>
                </c:pt>
                <c:pt idx="223">
                  <c:v>44768</c:v>
                </c:pt>
                <c:pt idx="224">
                  <c:v>44767</c:v>
                </c:pt>
                <c:pt idx="225">
                  <c:v>44764</c:v>
                </c:pt>
                <c:pt idx="226">
                  <c:v>44763</c:v>
                </c:pt>
                <c:pt idx="227">
                  <c:v>44762</c:v>
                </c:pt>
                <c:pt idx="228">
                  <c:v>44761</c:v>
                </c:pt>
                <c:pt idx="229">
                  <c:v>44760</c:v>
                </c:pt>
                <c:pt idx="230">
                  <c:v>44757</c:v>
                </c:pt>
                <c:pt idx="231">
                  <c:v>44756</c:v>
                </c:pt>
                <c:pt idx="232">
                  <c:v>44755</c:v>
                </c:pt>
                <c:pt idx="233">
                  <c:v>44754</c:v>
                </c:pt>
                <c:pt idx="234">
                  <c:v>44753</c:v>
                </c:pt>
                <c:pt idx="235">
                  <c:v>44750</c:v>
                </c:pt>
                <c:pt idx="236">
                  <c:v>44749</c:v>
                </c:pt>
                <c:pt idx="237">
                  <c:v>44748</c:v>
                </c:pt>
                <c:pt idx="238">
                  <c:v>44747</c:v>
                </c:pt>
                <c:pt idx="239">
                  <c:v>44743</c:v>
                </c:pt>
                <c:pt idx="240">
                  <c:v>44742</c:v>
                </c:pt>
                <c:pt idx="241">
                  <c:v>44741</c:v>
                </c:pt>
                <c:pt idx="242">
                  <c:v>44740</c:v>
                </c:pt>
                <c:pt idx="243">
                  <c:v>44739</c:v>
                </c:pt>
                <c:pt idx="244">
                  <c:v>44736</c:v>
                </c:pt>
                <c:pt idx="245">
                  <c:v>44735</c:v>
                </c:pt>
                <c:pt idx="246">
                  <c:v>44734</c:v>
                </c:pt>
                <c:pt idx="247">
                  <c:v>44733</c:v>
                </c:pt>
              </c:numCache>
            </c:numRef>
          </c:cat>
          <c:val>
            <c:numRef>
              <c:f>'Bond Yield time series'!$P$3:$P$250</c:f>
              <c:numCache>
                <c:formatCode>General</c:formatCode>
                <c:ptCount val="248"/>
                <c:pt idx="0">
                  <c:v>5.2560000000000002</c:v>
                </c:pt>
                <c:pt idx="1">
                  <c:v>5.2610000000000001</c:v>
                </c:pt>
                <c:pt idx="2">
                  <c:v>5.3230000000000004</c:v>
                </c:pt>
                <c:pt idx="3">
                  <c:v>5.3689999999999998</c:v>
                </c:pt>
                <c:pt idx="4">
                  <c:v>5.3170000000000002</c:v>
                </c:pt>
                <c:pt idx="5">
                  <c:v>5.33</c:v>
                </c:pt>
                <c:pt idx="6">
                  <c:v>5.32</c:v>
                </c:pt>
                <c:pt idx="7">
                  <c:v>5.3760000000000003</c:v>
                </c:pt>
                <c:pt idx="8">
                  <c:v>5.2750000000000004</c:v>
                </c:pt>
                <c:pt idx="9">
                  <c:v>5.2809999999999997</c:v>
                </c:pt>
                <c:pt idx="10">
                  <c:v>5.2859999999999996</c:v>
                </c:pt>
                <c:pt idx="11">
                  <c:v>5.2510000000000003</c:v>
                </c:pt>
                <c:pt idx="12">
                  <c:v>5.2859999999999996</c:v>
                </c:pt>
                <c:pt idx="13">
                  <c:v>5.3090000000000002</c:v>
                </c:pt>
                <c:pt idx="14">
                  <c:v>5.3730000000000002</c:v>
                </c:pt>
                <c:pt idx="15">
                  <c:v>5.3789999999999996</c:v>
                </c:pt>
                <c:pt idx="16">
                  <c:v>5.3620000000000001</c:v>
                </c:pt>
                <c:pt idx="17">
                  <c:v>5.3250000000000002</c:v>
                </c:pt>
                <c:pt idx="18">
                  <c:v>5.3170000000000002</c:v>
                </c:pt>
                <c:pt idx="19">
                  <c:v>5.2859999999999996</c:v>
                </c:pt>
                <c:pt idx="20">
                  <c:v>5.2869999999999999</c:v>
                </c:pt>
                <c:pt idx="21">
                  <c:v>5.194</c:v>
                </c:pt>
                <c:pt idx="22">
                  <c:v>5.2119999999999997</c:v>
                </c:pt>
                <c:pt idx="23">
                  <c:v>5.1580000000000004</c:v>
                </c:pt>
                <c:pt idx="24">
                  <c:v>5.0860000000000003</c:v>
                </c:pt>
                <c:pt idx="25">
                  <c:v>5.048</c:v>
                </c:pt>
                <c:pt idx="26">
                  <c:v>5.1150000000000002</c:v>
                </c:pt>
                <c:pt idx="27">
                  <c:v>5.1449999999999996</c:v>
                </c:pt>
                <c:pt idx="28">
                  <c:v>5.17</c:v>
                </c:pt>
                <c:pt idx="29">
                  <c:v>5.0620000000000003</c:v>
                </c:pt>
                <c:pt idx="30">
                  <c:v>5.0640000000000001</c:v>
                </c:pt>
                <c:pt idx="31">
                  <c:v>4.9729999999999999</c:v>
                </c:pt>
                <c:pt idx="32">
                  <c:v>5.024</c:v>
                </c:pt>
                <c:pt idx="33">
                  <c:v>5.125</c:v>
                </c:pt>
                <c:pt idx="34">
                  <c:v>4.9690000000000003</c:v>
                </c:pt>
                <c:pt idx="35">
                  <c:v>5.0599999999999996</c:v>
                </c:pt>
                <c:pt idx="36">
                  <c:v>5.0529999999999999</c:v>
                </c:pt>
                <c:pt idx="37">
                  <c:v>4.9889999999999999</c:v>
                </c:pt>
                <c:pt idx="38">
                  <c:v>5.0819999999999999</c:v>
                </c:pt>
                <c:pt idx="39">
                  <c:v>5.1379999999999999</c:v>
                </c:pt>
                <c:pt idx="40">
                  <c:v>5.173</c:v>
                </c:pt>
                <c:pt idx="41">
                  <c:v>5.194</c:v>
                </c:pt>
                <c:pt idx="42">
                  <c:v>5.1550000000000002</c:v>
                </c:pt>
                <c:pt idx="43">
                  <c:v>5.1769999999999996</c:v>
                </c:pt>
                <c:pt idx="44">
                  <c:v>5.1120000000000001</c:v>
                </c:pt>
                <c:pt idx="45">
                  <c:v>5.0720000000000001</c:v>
                </c:pt>
                <c:pt idx="46">
                  <c:v>5.03</c:v>
                </c:pt>
                <c:pt idx="47">
                  <c:v>4.9969999999999999</c:v>
                </c:pt>
                <c:pt idx="48">
                  <c:v>5.0270000000000001</c:v>
                </c:pt>
                <c:pt idx="49">
                  <c:v>4.923</c:v>
                </c:pt>
                <c:pt idx="50">
                  <c:v>4.9610000000000003</c:v>
                </c:pt>
                <c:pt idx="51">
                  <c:v>5.032</c:v>
                </c:pt>
                <c:pt idx="52">
                  <c:v>5.0540000000000003</c:v>
                </c:pt>
                <c:pt idx="53">
                  <c:v>5.07</c:v>
                </c:pt>
                <c:pt idx="54">
                  <c:v>5.2009999999999996</c:v>
                </c:pt>
                <c:pt idx="55">
                  <c:v>5.2670000000000003</c:v>
                </c:pt>
                <c:pt idx="56">
                  <c:v>5.2809999999999997</c:v>
                </c:pt>
                <c:pt idx="57">
                  <c:v>5.2729999999999997</c:v>
                </c:pt>
                <c:pt idx="58">
                  <c:v>5.2050000000000001</c:v>
                </c:pt>
                <c:pt idx="59">
                  <c:v>5.1680000000000001</c:v>
                </c:pt>
                <c:pt idx="60">
                  <c:v>5.149</c:v>
                </c:pt>
                <c:pt idx="61">
                  <c:v>5.2510000000000003</c:v>
                </c:pt>
                <c:pt idx="62">
                  <c:v>5.2720000000000002</c:v>
                </c:pt>
                <c:pt idx="63">
                  <c:v>5.2359999999999998</c:v>
                </c:pt>
                <c:pt idx="64">
                  <c:v>5.2869999999999999</c:v>
                </c:pt>
                <c:pt idx="65">
                  <c:v>5.3220000000000001</c:v>
                </c:pt>
                <c:pt idx="66">
                  <c:v>5.3680000000000003</c:v>
                </c:pt>
                <c:pt idx="67">
                  <c:v>5.399</c:v>
                </c:pt>
                <c:pt idx="68">
                  <c:v>5.351</c:v>
                </c:pt>
                <c:pt idx="69">
                  <c:v>5.5069999999999997</c:v>
                </c:pt>
                <c:pt idx="70">
                  <c:v>5.484</c:v>
                </c:pt>
                <c:pt idx="71">
                  <c:v>5.4390000000000001</c:v>
                </c:pt>
                <c:pt idx="72">
                  <c:v>5.4340000000000002</c:v>
                </c:pt>
                <c:pt idx="73">
                  <c:v>5.41</c:v>
                </c:pt>
                <c:pt idx="74">
                  <c:v>5.6219999999999999</c:v>
                </c:pt>
                <c:pt idx="75">
                  <c:v>5.59</c:v>
                </c:pt>
                <c:pt idx="76">
                  <c:v>5.5350000000000001</c:v>
                </c:pt>
                <c:pt idx="77">
                  <c:v>5.532</c:v>
                </c:pt>
                <c:pt idx="78">
                  <c:v>5.5570000000000004</c:v>
                </c:pt>
                <c:pt idx="79">
                  <c:v>5.4630000000000001</c:v>
                </c:pt>
                <c:pt idx="80">
                  <c:v>5.5119999999999996</c:v>
                </c:pt>
                <c:pt idx="81">
                  <c:v>5.5949999999999998</c:v>
                </c:pt>
                <c:pt idx="82">
                  <c:v>5.4450000000000003</c:v>
                </c:pt>
                <c:pt idx="83">
                  <c:v>5.44</c:v>
                </c:pt>
                <c:pt idx="84">
                  <c:v>5.3940000000000001</c:v>
                </c:pt>
                <c:pt idx="85">
                  <c:v>5.335</c:v>
                </c:pt>
                <c:pt idx="86">
                  <c:v>5.3559999999999999</c:v>
                </c:pt>
                <c:pt idx="87">
                  <c:v>5.3810000000000002</c:v>
                </c:pt>
                <c:pt idx="88">
                  <c:v>5.3090000000000002</c:v>
                </c:pt>
                <c:pt idx="89">
                  <c:v>5.2009999999999996</c:v>
                </c:pt>
                <c:pt idx="90">
                  <c:v>5.2279999999999998</c:v>
                </c:pt>
                <c:pt idx="91">
                  <c:v>5.1630000000000003</c:v>
                </c:pt>
                <c:pt idx="92">
                  <c:v>5.0629999999999997</c:v>
                </c:pt>
                <c:pt idx="93">
                  <c:v>4.9420000000000002</c:v>
                </c:pt>
                <c:pt idx="94">
                  <c:v>5.0110000000000001</c:v>
                </c:pt>
                <c:pt idx="95">
                  <c:v>5.0750000000000002</c:v>
                </c:pt>
                <c:pt idx="96">
                  <c:v>5.1289999999999996</c:v>
                </c:pt>
                <c:pt idx="97">
                  <c:v>5.0679999999999996</c:v>
                </c:pt>
                <c:pt idx="98">
                  <c:v>5.0549999999999997</c:v>
                </c:pt>
                <c:pt idx="99">
                  <c:v>5.0439999999999996</c:v>
                </c:pt>
                <c:pt idx="100">
                  <c:v>5.0490000000000004</c:v>
                </c:pt>
                <c:pt idx="101">
                  <c:v>5.1100000000000003</c:v>
                </c:pt>
                <c:pt idx="102">
                  <c:v>5.1059999999999999</c:v>
                </c:pt>
                <c:pt idx="103">
                  <c:v>5.0019999999999998</c:v>
                </c:pt>
                <c:pt idx="104">
                  <c:v>4.8780000000000001</c:v>
                </c:pt>
                <c:pt idx="105">
                  <c:v>5.0410000000000004</c:v>
                </c:pt>
                <c:pt idx="106">
                  <c:v>5.0389999999999997</c:v>
                </c:pt>
                <c:pt idx="107">
                  <c:v>5.0060000000000002</c:v>
                </c:pt>
                <c:pt idx="108">
                  <c:v>5.0739999999999998</c:v>
                </c:pt>
                <c:pt idx="109">
                  <c:v>5.234</c:v>
                </c:pt>
                <c:pt idx="110">
                  <c:v>5.1459999999999999</c:v>
                </c:pt>
                <c:pt idx="111">
                  <c:v>5.2039999999999997</c:v>
                </c:pt>
                <c:pt idx="112">
                  <c:v>5.35</c:v>
                </c:pt>
                <c:pt idx="113">
                  <c:v>5.3849999999999998</c:v>
                </c:pt>
                <c:pt idx="114">
                  <c:v>5.476</c:v>
                </c:pt>
                <c:pt idx="115">
                  <c:v>5.5330000000000004</c:v>
                </c:pt>
                <c:pt idx="116">
                  <c:v>5.4779999999999998</c:v>
                </c:pt>
                <c:pt idx="117">
                  <c:v>5.5439999999999996</c:v>
                </c:pt>
                <c:pt idx="118">
                  <c:v>5.508</c:v>
                </c:pt>
                <c:pt idx="119">
                  <c:v>5.42</c:v>
                </c:pt>
                <c:pt idx="120">
                  <c:v>5.3380000000000001</c:v>
                </c:pt>
                <c:pt idx="121">
                  <c:v>5.327</c:v>
                </c:pt>
                <c:pt idx="122">
                  <c:v>5.35</c:v>
                </c:pt>
                <c:pt idx="123">
                  <c:v>5.2320000000000002</c:v>
                </c:pt>
                <c:pt idx="124">
                  <c:v>5.1319999999999997</c:v>
                </c:pt>
                <c:pt idx="125">
                  <c:v>5.0599999999999996</c:v>
                </c:pt>
                <c:pt idx="126">
                  <c:v>5.0389999999999997</c:v>
                </c:pt>
                <c:pt idx="127">
                  <c:v>5.0389999999999997</c:v>
                </c:pt>
                <c:pt idx="128">
                  <c:v>5.0540000000000003</c:v>
                </c:pt>
                <c:pt idx="129">
                  <c:v>5.0860000000000003</c:v>
                </c:pt>
                <c:pt idx="130">
                  <c:v>4.944</c:v>
                </c:pt>
                <c:pt idx="131">
                  <c:v>4.9660000000000002</c:v>
                </c:pt>
                <c:pt idx="132">
                  <c:v>5.077</c:v>
                </c:pt>
                <c:pt idx="133">
                  <c:v>5.1310000000000002</c:v>
                </c:pt>
                <c:pt idx="134">
                  <c:v>5.0419999999999998</c:v>
                </c:pt>
                <c:pt idx="135">
                  <c:v>5.117</c:v>
                </c:pt>
                <c:pt idx="136">
                  <c:v>5.3789999999999996</c:v>
                </c:pt>
                <c:pt idx="137">
                  <c:v>5.4279999999999999</c:v>
                </c:pt>
                <c:pt idx="138">
                  <c:v>5.3120000000000003</c:v>
                </c:pt>
                <c:pt idx="139">
                  <c:v>5.2779999999999996</c:v>
                </c:pt>
                <c:pt idx="140">
                  <c:v>5.2809999999999997</c:v>
                </c:pt>
                <c:pt idx="141">
                  <c:v>5.3689999999999998</c:v>
                </c:pt>
                <c:pt idx="142">
                  <c:v>5.4290000000000003</c:v>
                </c:pt>
                <c:pt idx="143">
                  <c:v>5.4720000000000004</c:v>
                </c:pt>
                <c:pt idx="144">
                  <c:v>5.4669999999999996</c:v>
                </c:pt>
                <c:pt idx="145">
                  <c:v>5.3959999999999999</c:v>
                </c:pt>
                <c:pt idx="146">
                  <c:v>5.5190000000000001</c:v>
                </c:pt>
                <c:pt idx="147">
                  <c:v>5.625</c:v>
                </c:pt>
                <c:pt idx="148">
                  <c:v>5.7080000000000002</c:v>
                </c:pt>
                <c:pt idx="149">
                  <c:v>5.9820000000000002</c:v>
                </c:pt>
                <c:pt idx="150">
                  <c:v>5.93</c:v>
                </c:pt>
                <c:pt idx="151">
                  <c:v>5.9459999999999997</c:v>
                </c:pt>
                <c:pt idx="152">
                  <c:v>5.9989999999999997</c:v>
                </c:pt>
                <c:pt idx="153">
                  <c:v>5.9710000000000001</c:v>
                </c:pt>
                <c:pt idx="154">
                  <c:v>5.899</c:v>
                </c:pt>
                <c:pt idx="155">
                  <c:v>5.883</c:v>
                </c:pt>
                <c:pt idx="156">
                  <c:v>5.9589999999999996</c:v>
                </c:pt>
                <c:pt idx="157">
                  <c:v>5.9050000000000002</c:v>
                </c:pt>
                <c:pt idx="158">
                  <c:v>5.9480000000000004</c:v>
                </c:pt>
                <c:pt idx="159">
                  <c:v>6.0670000000000002</c:v>
                </c:pt>
                <c:pt idx="160">
                  <c:v>6.157</c:v>
                </c:pt>
                <c:pt idx="161">
                  <c:v>6.34</c:v>
                </c:pt>
                <c:pt idx="162">
                  <c:v>6.2969999999999997</c:v>
                </c:pt>
                <c:pt idx="163">
                  <c:v>6.2370000000000001</c:v>
                </c:pt>
                <c:pt idx="164">
                  <c:v>6.1740000000000004</c:v>
                </c:pt>
                <c:pt idx="165">
                  <c:v>6.0629999999999997</c:v>
                </c:pt>
                <c:pt idx="166">
                  <c:v>6.0650000000000004</c:v>
                </c:pt>
                <c:pt idx="167">
                  <c:v>6.0940000000000003</c:v>
                </c:pt>
                <c:pt idx="168">
                  <c:v>6.0270000000000001</c:v>
                </c:pt>
                <c:pt idx="169">
                  <c:v>6.069</c:v>
                </c:pt>
                <c:pt idx="170">
                  <c:v>6.0679999999999996</c:v>
                </c:pt>
                <c:pt idx="171">
                  <c:v>5.8730000000000002</c:v>
                </c:pt>
                <c:pt idx="172">
                  <c:v>5.7720000000000002</c:v>
                </c:pt>
                <c:pt idx="173">
                  <c:v>5.8360000000000003</c:v>
                </c:pt>
                <c:pt idx="174">
                  <c:v>5.7140000000000004</c:v>
                </c:pt>
                <c:pt idx="175">
                  <c:v>5.7590000000000003</c:v>
                </c:pt>
                <c:pt idx="176">
                  <c:v>5.9649999999999999</c:v>
                </c:pt>
                <c:pt idx="177">
                  <c:v>6.125</c:v>
                </c:pt>
                <c:pt idx="178">
                  <c:v>5.9829999999999997</c:v>
                </c:pt>
                <c:pt idx="179">
                  <c:v>6.0389999999999997</c:v>
                </c:pt>
                <c:pt idx="180">
                  <c:v>5.8479999999999999</c:v>
                </c:pt>
                <c:pt idx="181">
                  <c:v>5.6630000000000003</c:v>
                </c:pt>
                <c:pt idx="182">
                  <c:v>5.6870000000000003</c:v>
                </c:pt>
                <c:pt idx="183">
                  <c:v>5.452</c:v>
                </c:pt>
                <c:pt idx="184">
                  <c:v>5.5549999999999997</c:v>
                </c:pt>
                <c:pt idx="185">
                  <c:v>5.5019999999999998</c:v>
                </c:pt>
                <c:pt idx="186">
                  <c:v>5.5549999999999997</c:v>
                </c:pt>
                <c:pt idx="187">
                  <c:v>5.4349999999999996</c:v>
                </c:pt>
                <c:pt idx="188">
                  <c:v>5.4059999999999997</c:v>
                </c:pt>
                <c:pt idx="189">
                  <c:v>5.3890000000000002</c:v>
                </c:pt>
                <c:pt idx="190">
                  <c:v>5.3849999999999998</c:v>
                </c:pt>
                <c:pt idx="191">
                  <c:v>5.3689999999999998</c:v>
                </c:pt>
                <c:pt idx="192">
                  <c:v>5.4240000000000004</c:v>
                </c:pt>
                <c:pt idx="193">
                  <c:v>5.3940000000000001</c:v>
                </c:pt>
                <c:pt idx="194">
                  <c:v>5.5469999999999997</c:v>
                </c:pt>
                <c:pt idx="195">
                  <c:v>5.351</c:v>
                </c:pt>
                <c:pt idx="196">
                  <c:v>5.4169999999999998</c:v>
                </c:pt>
                <c:pt idx="197">
                  <c:v>5.2779999999999996</c:v>
                </c:pt>
                <c:pt idx="198">
                  <c:v>5.1710000000000003</c:v>
                </c:pt>
                <c:pt idx="199">
                  <c:v>5.1609999999999996</c:v>
                </c:pt>
                <c:pt idx="200">
                  <c:v>5.0389999999999997</c:v>
                </c:pt>
                <c:pt idx="201">
                  <c:v>5.0590000000000002</c:v>
                </c:pt>
                <c:pt idx="202">
                  <c:v>5.1470000000000002</c:v>
                </c:pt>
                <c:pt idx="203">
                  <c:v>5.157</c:v>
                </c:pt>
                <c:pt idx="204">
                  <c:v>5.133</c:v>
                </c:pt>
                <c:pt idx="205">
                  <c:v>5.0519999999999996</c:v>
                </c:pt>
                <c:pt idx="206">
                  <c:v>4.915</c:v>
                </c:pt>
                <c:pt idx="207">
                  <c:v>4.9470000000000001</c:v>
                </c:pt>
                <c:pt idx="208">
                  <c:v>4.8109999999999999</c:v>
                </c:pt>
                <c:pt idx="209">
                  <c:v>4.7770000000000001</c:v>
                </c:pt>
                <c:pt idx="210">
                  <c:v>4.7839999999999998</c:v>
                </c:pt>
                <c:pt idx="211">
                  <c:v>4.8789999999999996</c:v>
                </c:pt>
                <c:pt idx="212">
                  <c:v>4.8540000000000001</c:v>
                </c:pt>
                <c:pt idx="213">
                  <c:v>4.8819999999999997</c:v>
                </c:pt>
                <c:pt idx="214">
                  <c:v>4.8419999999999996</c:v>
                </c:pt>
                <c:pt idx="215">
                  <c:v>4.9359999999999999</c:v>
                </c:pt>
                <c:pt idx="216">
                  <c:v>4.806</c:v>
                </c:pt>
                <c:pt idx="217">
                  <c:v>4.782</c:v>
                </c:pt>
                <c:pt idx="218">
                  <c:v>4.8970000000000002</c:v>
                </c:pt>
                <c:pt idx="219">
                  <c:v>4.76</c:v>
                </c:pt>
                <c:pt idx="220">
                  <c:v>4.8559999999999999</c:v>
                </c:pt>
                <c:pt idx="221">
                  <c:v>4.891</c:v>
                </c:pt>
                <c:pt idx="222">
                  <c:v>4.9370000000000003</c:v>
                </c:pt>
                <c:pt idx="223">
                  <c:v>5.0019999999999998</c:v>
                </c:pt>
                <c:pt idx="224">
                  <c:v>4.9790000000000001</c:v>
                </c:pt>
                <c:pt idx="225">
                  <c:v>4.84</c:v>
                </c:pt>
                <c:pt idx="226">
                  <c:v>4.9459999999999997</c:v>
                </c:pt>
                <c:pt idx="227">
                  <c:v>5.0460000000000003</c:v>
                </c:pt>
                <c:pt idx="228">
                  <c:v>5.1109999999999998</c:v>
                </c:pt>
                <c:pt idx="229">
                  <c:v>5.0869999999999997</c:v>
                </c:pt>
                <c:pt idx="230">
                  <c:v>5.0679999999999996</c:v>
                </c:pt>
                <c:pt idx="231">
                  <c:v>5.1580000000000004</c:v>
                </c:pt>
                <c:pt idx="232">
                  <c:v>5.1050000000000004</c:v>
                </c:pt>
                <c:pt idx="233">
                  <c:v>5.1719999999999997</c:v>
                </c:pt>
                <c:pt idx="234">
                  <c:v>5.1310000000000002</c:v>
                </c:pt>
                <c:pt idx="235">
                  <c:v>5.2240000000000002</c:v>
                </c:pt>
                <c:pt idx="236">
                  <c:v>5.2119999999999997</c:v>
                </c:pt>
                <c:pt idx="237">
                  <c:v>5.2779999999999996</c:v>
                </c:pt>
                <c:pt idx="238">
                  <c:v>5.26</c:v>
                </c:pt>
                <c:pt idx="239">
                  <c:v>5.31</c:v>
                </c:pt>
                <c:pt idx="240">
                  <c:v>5.3259999999999996</c:v>
                </c:pt>
                <c:pt idx="241">
                  <c:v>5.3259999999999996</c:v>
                </c:pt>
                <c:pt idx="242">
                  <c:v>5.3630000000000004</c:v>
                </c:pt>
                <c:pt idx="243">
                  <c:v>5.359</c:v>
                </c:pt>
                <c:pt idx="244">
                  <c:v>5.3230000000000004</c:v>
                </c:pt>
                <c:pt idx="245">
                  <c:v>5.2779999999999996</c:v>
                </c:pt>
                <c:pt idx="246">
                  <c:v>5.306</c:v>
                </c:pt>
                <c:pt idx="247">
                  <c:v>5.3819999999999997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51-4831-8389-661DB93E5E2F}"/>
            </c:ext>
          </c:extLst>
        </c:ser>
        <c:ser>
          <c:idx val="1"/>
          <c:order val="1"/>
          <c:tx>
            <c:strRef>
              <c:f>'Bond Yield time series'!$Q$2</c:f>
              <c:strCache>
                <c:ptCount val="1"/>
                <c:pt idx="0">
                  <c:v>TAP 2046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'Bond Yield time series'!$O$3:$O$250</c:f>
              <c:numCache>
                <c:formatCode>m/d/yyyy</c:formatCode>
                <c:ptCount val="248"/>
                <c:pt idx="0">
                  <c:v>45093</c:v>
                </c:pt>
                <c:pt idx="1">
                  <c:v>45092</c:v>
                </c:pt>
                <c:pt idx="2">
                  <c:v>45091</c:v>
                </c:pt>
                <c:pt idx="3">
                  <c:v>45090</c:v>
                </c:pt>
                <c:pt idx="4">
                  <c:v>45089</c:v>
                </c:pt>
                <c:pt idx="5">
                  <c:v>45086</c:v>
                </c:pt>
                <c:pt idx="6">
                  <c:v>45085</c:v>
                </c:pt>
                <c:pt idx="7">
                  <c:v>45084</c:v>
                </c:pt>
                <c:pt idx="8">
                  <c:v>45083</c:v>
                </c:pt>
                <c:pt idx="9">
                  <c:v>45082</c:v>
                </c:pt>
                <c:pt idx="10">
                  <c:v>45079</c:v>
                </c:pt>
                <c:pt idx="11">
                  <c:v>45078</c:v>
                </c:pt>
                <c:pt idx="12">
                  <c:v>45077</c:v>
                </c:pt>
                <c:pt idx="13">
                  <c:v>45076</c:v>
                </c:pt>
                <c:pt idx="14">
                  <c:v>45072</c:v>
                </c:pt>
                <c:pt idx="15">
                  <c:v>45071</c:v>
                </c:pt>
                <c:pt idx="16">
                  <c:v>45070</c:v>
                </c:pt>
                <c:pt idx="17">
                  <c:v>45069</c:v>
                </c:pt>
                <c:pt idx="18">
                  <c:v>45068</c:v>
                </c:pt>
                <c:pt idx="19">
                  <c:v>45065</c:v>
                </c:pt>
                <c:pt idx="20">
                  <c:v>45064</c:v>
                </c:pt>
                <c:pt idx="21">
                  <c:v>45063</c:v>
                </c:pt>
                <c:pt idx="22">
                  <c:v>45062</c:v>
                </c:pt>
                <c:pt idx="23">
                  <c:v>45061</c:v>
                </c:pt>
                <c:pt idx="24">
                  <c:v>45058</c:v>
                </c:pt>
                <c:pt idx="25">
                  <c:v>45057</c:v>
                </c:pt>
                <c:pt idx="26">
                  <c:v>45056</c:v>
                </c:pt>
                <c:pt idx="27">
                  <c:v>45055</c:v>
                </c:pt>
                <c:pt idx="28">
                  <c:v>45054</c:v>
                </c:pt>
                <c:pt idx="29">
                  <c:v>45051</c:v>
                </c:pt>
                <c:pt idx="30">
                  <c:v>45050</c:v>
                </c:pt>
                <c:pt idx="31">
                  <c:v>45049</c:v>
                </c:pt>
                <c:pt idx="32">
                  <c:v>45048</c:v>
                </c:pt>
                <c:pt idx="33">
                  <c:v>45047</c:v>
                </c:pt>
                <c:pt idx="34">
                  <c:v>45044</c:v>
                </c:pt>
                <c:pt idx="35">
                  <c:v>45043</c:v>
                </c:pt>
                <c:pt idx="36">
                  <c:v>45042</c:v>
                </c:pt>
                <c:pt idx="37">
                  <c:v>45041</c:v>
                </c:pt>
                <c:pt idx="38">
                  <c:v>45040</c:v>
                </c:pt>
                <c:pt idx="39">
                  <c:v>45037</c:v>
                </c:pt>
                <c:pt idx="40">
                  <c:v>45036</c:v>
                </c:pt>
                <c:pt idx="41">
                  <c:v>45035</c:v>
                </c:pt>
                <c:pt idx="42">
                  <c:v>45034</c:v>
                </c:pt>
                <c:pt idx="43">
                  <c:v>45033</c:v>
                </c:pt>
                <c:pt idx="44">
                  <c:v>45030</c:v>
                </c:pt>
                <c:pt idx="45">
                  <c:v>45029</c:v>
                </c:pt>
                <c:pt idx="46">
                  <c:v>45028</c:v>
                </c:pt>
                <c:pt idx="47">
                  <c:v>45027</c:v>
                </c:pt>
                <c:pt idx="48">
                  <c:v>45026</c:v>
                </c:pt>
                <c:pt idx="49">
                  <c:v>45022</c:v>
                </c:pt>
                <c:pt idx="50">
                  <c:v>45021</c:v>
                </c:pt>
                <c:pt idx="51">
                  <c:v>45020</c:v>
                </c:pt>
                <c:pt idx="52">
                  <c:v>45019</c:v>
                </c:pt>
                <c:pt idx="53">
                  <c:v>45016</c:v>
                </c:pt>
                <c:pt idx="54">
                  <c:v>45015</c:v>
                </c:pt>
                <c:pt idx="55">
                  <c:v>45014</c:v>
                </c:pt>
                <c:pt idx="56">
                  <c:v>45013</c:v>
                </c:pt>
                <c:pt idx="57">
                  <c:v>45012</c:v>
                </c:pt>
                <c:pt idx="58">
                  <c:v>45009</c:v>
                </c:pt>
                <c:pt idx="59">
                  <c:v>45008</c:v>
                </c:pt>
                <c:pt idx="60">
                  <c:v>45007</c:v>
                </c:pt>
                <c:pt idx="61">
                  <c:v>45006</c:v>
                </c:pt>
                <c:pt idx="62">
                  <c:v>45005</c:v>
                </c:pt>
                <c:pt idx="63">
                  <c:v>45002</c:v>
                </c:pt>
                <c:pt idx="64">
                  <c:v>45001</c:v>
                </c:pt>
                <c:pt idx="65">
                  <c:v>45000</c:v>
                </c:pt>
                <c:pt idx="66">
                  <c:v>44999</c:v>
                </c:pt>
                <c:pt idx="67">
                  <c:v>44998</c:v>
                </c:pt>
                <c:pt idx="68">
                  <c:v>44995</c:v>
                </c:pt>
                <c:pt idx="69">
                  <c:v>44994</c:v>
                </c:pt>
                <c:pt idx="70">
                  <c:v>44993</c:v>
                </c:pt>
                <c:pt idx="71">
                  <c:v>44992</c:v>
                </c:pt>
                <c:pt idx="72">
                  <c:v>44991</c:v>
                </c:pt>
                <c:pt idx="73">
                  <c:v>44988</c:v>
                </c:pt>
                <c:pt idx="74">
                  <c:v>44987</c:v>
                </c:pt>
                <c:pt idx="75">
                  <c:v>44986</c:v>
                </c:pt>
                <c:pt idx="76">
                  <c:v>44985</c:v>
                </c:pt>
                <c:pt idx="77">
                  <c:v>44984</c:v>
                </c:pt>
                <c:pt idx="78">
                  <c:v>44981</c:v>
                </c:pt>
                <c:pt idx="79">
                  <c:v>44980</c:v>
                </c:pt>
                <c:pt idx="80">
                  <c:v>44979</c:v>
                </c:pt>
                <c:pt idx="81">
                  <c:v>44978</c:v>
                </c:pt>
                <c:pt idx="82">
                  <c:v>44974</c:v>
                </c:pt>
                <c:pt idx="83">
                  <c:v>44973</c:v>
                </c:pt>
                <c:pt idx="84">
                  <c:v>44972</c:v>
                </c:pt>
                <c:pt idx="85">
                  <c:v>44971</c:v>
                </c:pt>
                <c:pt idx="86">
                  <c:v>44970</c:v>
                </c:pt>
                <c:pt idx="87">
                  <c:v>44967</c:v>
                </c:pt>
                <c:pt idx="88">
                  <c:v>44966</c:v>
                </c:pt>
                <c:pt idx="89">
                  <c:v>44965</c:v>
                </c:pt>
                <c:pt idx="90">
                  <c:v>44964</c:v>
                </c:pt>
                <c:pt idx="91">
                  <c:v>44963</c:v>
                </c:pt>
                <c:pt idx="92">
                  <c:v>44960</c:v>
                </c:pt>
                <c:pt idx="93">
                  <c:v>44959</c:v>
                </c:pt>
                <c:pt idx="94">
                  <c:v>44958</c:v>
                </c:pt>
                <c:pt idx="95">
                  <c:v>44957</c:v>
                </c:pt>
                <c:pt idx="96">
                  <c:v>44956</c:v>
                </c:pt>
                <c:pt idx="97">
                  <c:v>44953</c:v>
                </c:pt>
                <c:pt idx="98">
                  <c:v>44952</c:v>
                </c:pt>
                <c:pt idx="99">
                  <c:v>44951</c:v>
                </c:pt>
                <c:pt idx="100">
                  <c:v>44950</c:v>
                </c:pt>
                <c:pt idx="101">
                  <c:v>44949</c:v>
                </c:pt>
                <c:pt idx="102">
                  <c:v>44946</c:v>
                </c:pt>
                <c:pt idx="103">
                  <c:v>44945</c:v>
                </c:pt>
                <c:pt idx="104">
                  <c:v>44944</c:v>
                </c:pt>
                <c:pt idx="105">
                  <c:v>44943</c:v>
                </c:pt>
                <c:pt idx="106">
                  <c:v>44939</c:v>
                </c:pt>
                <c:pt idx="107">
                  <c:v>44938</c:v>
                </c:pt>
                <c:pt idx="108">
                  <c:v>44937</c:v>
                </c:pt>
                <c:pt idx="109">
                  <c:v>44936</c:v>
                </c:pt>
                <c:pt idx="110">
                  <c:v>44935</c:v>
                </c:pt>
                <c:pt idx="111">
                  <c:v>44932</c:v>
                </c:pt>
                <c:pt idx="112">
                  <c:v>44931</c:v>
                </c:pt>
                <c:pt idx="113">
                  <c:v>44930</c:v>
                </c:pt>
                <c:pt idx="114">
                  <c:v>44929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44918</c:v>
                </c:pt>
                <c:pt idx="120">
                  <c:v>44917</c:v>
                </c:pt>
                <c:pt idx="121">
                  <c:v>44916</c:v>
                </c:pt>
                <c:pt idx="122">
                  <c:v>44915</c:v>
                </c:pt>
                <c:pt idx="123">
                  <c:v>44914</c:v>
                </c:pt>
                <c:pt idx="124">
                  <c:v>44911</c:v>
                </c:pt>
                <c:pt idx="125">
                  <c:v>44910</c:v>
                </c:pt>
                <c:pt idx="126">
                  <c:v>44909</c:v>
                </c:pt>
                <c:pt idx="127">
                  <c:v>44908</c:v>
                </c:pt>
                <c:pt idx="128">
                  <c:v>44907</c:v>
                </c:pt>
                <c:pt idx="129">
                  <c:v>44904</c:v>
                </c:pt>
                <c:pt idx="130">
                  <c:v>44903</c:v>
                </c:pt>
                <c:pt idx="131">
                  <c:v>44902</c:v>
                </c:pt>
                <c:pt idx="132">
                  <c:v>44901</c:v>
                </c:pt>
                <c:pt idx="133">
                  <c:v>44900</c:v>
                </c:pt>
                <c:pt idx="134">
                  <c:v>44897</c:v>
                </c:pt>
                <c:pt idx="135">
                  <c:v>44896</c:v>
                </c:pt>
                <c:pt idx="136">
                  <c:v>44895</c:v>
                </c:pt>
                <c:pt idx="137">
                  <c:v>44894</c:v>
                </c:pt>
                <c:pt idx="138">
                  <c:v>44893</c:v>
                </c:pt>
                <c:pt idx="139">
                  <c:v>44890</c:v>
                </c:pt>
                <c:pt idx="140">
                  <c:v>44888</c:v>
                </c:pt>
                <c:pt idx="141">
                  <c:v>44887</c:v>
                </c:pt>
                <c:pt idx="142">
                  <c:v>44886</c:v>
                </c:pt>
                <c:pt idx="143">
                  <c:v>44883</c:v>
                </c:pt>
                <c:pt idx="144">
                  <c:v>44882</c:v>
                </c:pt>
                <c:pt idx="145">
                  <c:v>44881</c:v>
                </c:pt>
                <c:pt idx="146">
                  <c:v>44880</c:v>
                </c:pt>
                <c:pt idx="147">
                  <c:v>44879</c:v>
                </c:pt>
                <c:pt idx="148">
                  <c:v>44875</c:v>
                </c:pt>
                <c:pt idx="149">
                  <c:v>44874</c:v>
                </c:pt>
                <c:pt idx="150">
                  <c:v>44873</c:v>
                </c:pt>
                <c:pt idx="151">
                  <c:v>44872</c:v>
                </c:pt>
                <c:pt idx="152">
                  <c:v>44869</c:v>
                </c:pt>
                <c:pt idx="153">
                  <c:v>44868</c:v>
                </c:pt>
                <c:pt idx="154">
                  <c:v>44867</c:v>
                </c:pt>
                <c:pt idx="155">
                  <c:v>44866</c:v>
                </c:pt>
                <c:pt idx="156">
                  <c:v>44865</c:v>
                </c:pt>
                <c:pt idx="157">
                  <c:v>44862</c:v>
                </c:pt>
                <c:pt idx="158">
                  <c:v>44861</c:v>
                </c:pt>
                <c:pt idx="159">
                  <c:v>44860</c:v>
                </c:pt>
                <c:pt idx="160">
                  <c:v>44859</c:v>
                </c:pt>
                <c:pt idx="161">
                  <c:v>44858</c:v>
                </c:pt>
                <c:pt idx="162">
                  <c:v>44855</c:v>
                </c:pt>
                <c:pt idx="163">
                  <c:v>44854</c:v>
                </c:pt>
                <c:pt idx="164">
                  <c:v>44853</c:v>
                </c:pt>
                <c:pt idx="165">
                  <c:v>44852</c:v>
                </c:pt>
                <c:pt idx="166">
                  <c:v>44851</c:v>
                </c:pt>
                <c:pt idx="167">
                  <c:v>44848</c:v>
                </c:pt>
                <c:pt idx="168">
                  <c:v>44847</c:v>
                </c:pt>
                <c:pt idx="169">
                  <c:v>44846</c:v>
                </c:pt>
                <c:pt idx="170">
                  <c:v>44845</c:v>
                </c:pt>
                <c:pt idx="171">
                  <c:v>44841</c:v>
                </c:pt>
                <c:pt idx="172">
                  <c:v>44840</c:v>
                </c:pt>
                <c:pt idx="173">
                  <c:v>44839</c:v>
                </c:pt>
                <c:pt idx="174">
                  <c:v>44838</c:v>
                </c:pt>
                <c:pt idx="175">
                  <c:v>44837</c:v>
                </c:pt>
                <c:pt idx="176">
                  <c:v>44834</c:v>
                </c:pt>
                <c:pt idx="177">
                  <c:v>44833</c:v>
                </c:pt>
                <c:pt idx="178">
                  <c:v>44832</c:v>
                </c:pt>
                <c:pt idx="179">
                  <c:v>44831</c:v>
                </c:pt>
                <c:pt idx="180">
                  <c:v>44830</c:v>
                </c:pt>
                <c:pt idx="181">
                  <c:v>44827</c:v>
                </c:pt>
                <c:pt idx="182">
                  <c:v>44826</c:v>
                </c:pt>
                <c:pt idx="183">
                  <c:v>44825</c:v>
                </c:pt>
                <c:pt idx="184">
                  <c:v>44824</c:v>
                </c:pt>
                <c:pt idx="185">
                  <c:v>44823</c:v>
                </c:pt>
                <c:pt idx="186">
                  <c:v>44820</c:v>
                </c:pt>
                <c:pt idx="187">
                  <c:v>44819</c:v>
                </c:pt>
                <c:pt idx="188">
                  <c:v>44818</c:v>
                </c:pt>
                <c:pt idx="189">
                  <c:v>44817</c:v>
                </c:pt>
                <c:pt idx="190">
                  <c:v>44816</c:v>
                </c:pt>
                <c:pt idx="191">
                  <c:v>44813</c:v>
                </c:pt>
                <c:pt idx="192">
                  <c:v>44812</c:v>
                </c:pt>
                <c:pt idx="193">
                  <c:v>44811</c:v>
                </c:pt>
                <c:pt idx="194">
                  <c:v>44810</c:v>
                </c:pt>
                <c:pt idx="195">
                  <c:v>44806</c:v>
                </c:pt>
                <c:pt idx="196">
                  <c:v>44805</c:v>
                </c:pt>
                <c:pt idx="197">
                  <c:v>44804</c:v>
                </c:pt>
                <c:pt idx="198">
                  <c:v>44803</c:v>
                </c:pt>
                <c:pt idx="199">
                  <c:v>44802</c:v>
                </c:pt>
                <c:pt idx="200">
                  <c:v>44799</c:v>
                </c:pt>
                <c:pt idx="201">
                  <c:v>44798</c:v>
                </c:pt>
                <c:pt idx="202">
                  <c:v>44797</c:v>
                </c:pt>
                <c:pt idx="203">
                  <c:v>44796</c:v>
                </c:pt>
                <c:pt idx="204">
                  <c:v>44795</c:v>
                </c:pt>
                <c:pt idx="205">
                  <c:v>44792</c:v>
                </c:pt>
                <c:pt idx="206">
                  <c:v>44791</c:v>
                </c:pt>
                <c:pt idx="207">
                  <c:v>44790</c:v>
                </c:pt>
                <c:pt idx="208">
                  <c:v>44789</c:v>
                </c:pt>
                <c:pt idx="209">
                  <c:v>44788</c:v>
                </c:pt>
                <c:pt idx="210">
                  <c:v>44785</c:v>
                </c:pt>
                <c:pt idx="211">
                  <c:v>44784</c:v>
                </c:pt>
                <c:pt idx="212">
                  <c:v>44783</c:v>
                </c:pt>
                <c:pt idx="213">
                  <c:v>44782</c:v>
                </c:pt>
                <c:pt idx="214">
                  <c:v>44781</c:v>
                </c:pt>
                <c:pt idx="215">
                  <c:v>44778</c:v>
                </c:pt>
                <c:pt idx="216">
                  <c:v>44777</c:v>
                </c:pt>
                <c:pt idx="217">
                  <c:v>44776</c:v>
                </c:pt>
                <c:pt idx="218">
                  <c:v>44775</c:v>
                </c:pt>
                <c:pt idx="219">
                  <c:v>44774</c:v>
                </c:pt>
                <c:pt idx="220">
                  <c:v>44771</c:v>
                </c:pt>
                <c:pt idx="221">
                  <c:v>44770</c:v>
                </c:pt>
                <c:pt idx="222">
                  <c:v>44769</c:v>
                </c:pt>
                <c:pt idx="223">
                  <c:v>44768</c:v>
                </c:pt>
                <c:pt idx="224">
                  <c:v>44767</c:v>
                </c:pt>
                <c:pt idx="225">
                  <c:v>44764</c:v>
                </c:pt>
                <c:pt idx="226">
                  <c:v>44763</c:v>
                </c:pt>
                <c:pt idx="227">
                  <c:v>44762</c:v>
                </c:pt>
                <c:pt idx="228">
                  <c:v>44761</c:v>
                </c:pt>
                <c:pt idx="229">
                  <c:v>44760</c:v>
                </c:pt>
                <c:pt idx="230">
                  <c:v>44757</c:v>
                </c:pt>
                <c:pt idx="231">
                  <c:v>44756</c:v>
                </c:pt>
                <c:pt idx="232">
                  <c:v>44755</c:v>
                </c:pt>
                <c:pt idx="233">
                  <c:v>44754</c:v>
                </c:pt>
                <c:pt idx="234">
                  <c:v>44753</c:v>
                </c:pt>
                <c:pt idx="235">
                  <c:v>44750</c:v>
                </c:pt>
                <c:pt idx="236">
                  <c:v>44749</c:v>
                </c:pt>
                <c:pt idx="237">
                  <c:v>44748</c:v>
                </c:pt>
                <c:pt idx="238">
                  <c:v>44747</c:v>
                </c:pt>
                <c:pt idx="239">
                  <c:v>44743</c:v>
                </c:pt>
                <c:pt idx="240">
                  <c:v>44742</c:v>
                </c:pt>
                <c:pt idx="241">
                  <c:v>44741</c:v>
                </c:pt>
                <c:pt idx="242">
                  <c:v>44740</c:v>
                </c:pt>
                <c:pt idx="243">
                  <c:v>44739</c:v>
                </c:pt>
                <c:pt idx="244">
                  <c:v>44736</c:v>
                </c:pt>
                <c:pt idx="245">
                  <c:v>44735</c:v>
                </c:pt>
                <c:pt idx="246">
                  <c:v>44734</c:v>
                </c:pt>
                <c:pt idx="247">
                  <c:v>44733</c:v>
                </c:pt>
              </c:numCache>
            </c:numRef>
          </c:cat>
          <c:val>
            <c:numRef>
              <c:f>'Bond Yield time series'!$Q$3:$Q$250</c:f>
              <c:numCache>
                <c:formatCode>General</c:formatCode>
                <c:ptCount val="248"/>
                <c:pt idx="0">
                  <c:v>5.5730000000000004</c:v>
                </c:pt>
                <c:pt idx="1">
                  <c:v>5.5540000000000003</c:v>
                </c:pt>
                <c:pt idx="2">
                  <c:v>5.6689999999999996</c:v>
                </c:pt>
                <c:pt idx="3">
                  <c:v>5.7380000000000004</c:v>
                </c:pt>
                <c:pt idx="4">
                  <c:v>5.6630000000000003</c:v>
                </c:pt>
                <c:pt idx="5">
                  <c:v>5.72</c:v>
                </c:pt>
                <c:pt idx="6">
                  <c:v>5.6989999999999998</c:v>
                </c:pt>
                <c:pt idx="7">
                  <c:v>5.7809999999999997</c:v>
                </c:pt>
                <c:pt idx="8">
                  <c:v>5.6870000000000003</c:v>
                </c:pt>
                <c:pt idx="9">
                  <c:v>5.6980000000000004</c:v>
                </c:pt>
                <c:pt idx="10">
                  <c:v>5.7009999999999996</c:v>
                </c:pt>
                <c:pt idx="11">
                  <c:v>5.657</c:v>
                </c:pt>
                <c:pt idx="12">
                  <c:v>5.72</c:v>
                </c:pt>
                <c:pt idx="13">
                  <c:v>5.7389999999999999</c:v>
                </c:pt>
                <c:pt idx="14">
                  <c:v>5.83</c:v>
                </c:pt>
                <c:pt idx="15">
                  <c:v>5.8529999999999998</c:v>
                </c:pt>
                <c:pt idx="16">
                  <c:v>5.8520000000000003</c:v>
                </c:pt>
                <c:pt idx="17">
                  <c:v>5.8479999999999999</c:v>
                </c:pt>
                <c:pt idx="18">
                  <c:v>5.8609999999999998</c:v>
                </c:pt>
                <c:pt idx="19">
                  <c:v>5.8490000000000002</c:v>
                </c:pt>
                <c:pt idx="20">
                  <c:v>5.8280000000000003</c:v>
                </c:pt>
                <c:pt idx="21">
                  <c:v>5.7469999999999999</c:v>
                </c:pt>
                <c:pt idx="22">
                  <c:v>5.7350000000000003</c:v>
                </c:pt>
                <c:pt idx="23">
                  <c:v>5.6479999999999997</c:v>
                </c:pt>
                <c:pt idx="24">
                  <c:v>5.5659999999999998</c:v>
                </c:pt>
                <c:pt idx="25">
                  <c:v>5.5149999999999997</c:v>
                </c:pt>
                <c:pt idx="26">
                  <c:v>5.5730000000000004</c:v>
                </c:pt>
                <c:pt idx="27">
                  <c:v>5.6319999999999997</c:v>
                </c:pt>
                <c:pt idx="28">
                  <c:v>5.6120000000000001</c:v>
                </c:pt>
                <c:pt idx="29">
                  <c:v>5.5449999999999999</c:v>
                </c:pt>
                <c:pt idx="30">
                  <c:v>5.5019999999999998</c:v>
                </c:pt>
                <c:pt idx="31">
                  <c:v>5.4169999999999998</c:v>
                </c:pt>
                <c:pt idx="32">
                  <c:v>5.4580000000000002</c:v>
                </c:pt>
                <c:pt idx="33">
                  <c:v>5.5819999999999999</c:v>
                </c:pt>
                <c:pt idx="34">
                  <c:v>5.415</c:v>
                </c:pt>
                <c:pt idx="35">
                  <c:v>5.5460000000000003</c:v>
                </c:pt>
                <c:pt idx="36">
                  <c:v>5.5309999999999997</c:v>
                </c:pt>
                <c:pt idx="37">
                  <c:v>5.4749999999999996</c:v>
                </c:pt>
                <c:pt idx="38">
                  <c:v>5.5469999999999997</c:v>
                </c:pt>
                <c:pt idx="39">
                  <c:v>5.58</c:v>
                </c:pt>
                <c:pt idx="40">
                  <c:v>5.5590000000000002</c:v>
                </c:pt>
                <c:pt idx="41">
                  <c:v>5.6</c:v>
                </c:pt>
                <c:pt idx="42">
                  <c:v>5.6180000000000003</c:v>
                </c:pt>
                <c:pt idx="43">
                  <c:v>5.6840000000000002</c:v>
                </c:pt>
                <c:pt idx="44">
                  <c:v>5.6239999999999997</c:v>
                </c:pt>
                <c:pt idx="45">
                  <c:v>5.5720000000000001</c:v>
                </c:pt>
                <c:pt idx="46">
                  <c:v>5.5579999999999998</c:v>
                </c:pt>
                <c:pt idx="47">
                  <c:v>5.5410000000000004</c:v>
                </c:pt>
                <c:pt idx="48">
                  <c:v>5.55</c:v>
                </c:pt>
                <c:pt idx="49">
                  <c:v>5.4589999999999996</c:v>
                </c:pt>
                <c:pt idx="50">
                  <c:v>5.4889999999999999</c:v>
                </c:pt>
                <c:pt idx="51">
                  <c:v>5.51</c:v>
                </c:pt>
                <c:pt idx="52">
                  <c:v>5.5449999999999999</c:v>
                </c:pt>
                <c:pt idx="53">
                  <c:v>5.601</c:v>
                </c:pt>
                <c:pt idx="54">
                  <c:v>5.64</c:v>
                </c:pt>
                <c:pt idx="55">
                  <c:v>5.6529999999999996</c:v>
                </c:pt>
                <c:pt idx="56">
                  <c:v>5.7160000000000002</c:v>
                </c:pt>
                <c:pt idx="57">
                  <c:v>5.694</c:v>
                </c:pt>
                <c:pt idx="58">
                  <c:v>5.633</c:v>
                </c:pt>
                <c:pt idx="59">
                  <c:v>5.5919999999999996</c:v>
                </c:pt>
                <c:pt idx="60">
                  <c:v>5.6230000000000002</c:v>
                </c:pt>
                <c:pt idx="61">
                  <c:v>5.6719999999999997</c:v>
                </c:pt>
                <c:pt idx="62">
                  <c:v>5.6539999999999999</c:v>
                </c:pt>
                <c:pt idx="63">
                  <c:v>5.6440000000000001</c:v>
                </c:pt>
                <c:pt idx="64">
                  <c:v>5.718</c:v>
                </c:pt>
                <c:pt idx="65">
                  <c:v>5.7060000000000004</c:v>
                </c:pt>
                <c:pt idx="66">
                  <c:v>5.7789999999999999</c:v>
                </c:pt>
                <c:pt idx="67">
                  <c:v>5.7779999999999996</c:v>
                </c:pt>
                <c:pt idx="68">
                  <c:v>5.7649999999999997</c:v>
                </c:pt>
                <c:pt idx="69">
                  <c:v>5.8810000000000002</c:v>
                </c:pt>
                <c:pt idx="70">
                  <c:v>5.8760000000000003</c:v>
                </c:pt>
                <c:pt idx="71">
                  <c:v>5.944</c:v>
                </c:pt>
                <c:pt idx="72">
                  <c:v>5.9130000000000003</c:v>
                </c:pt>
                <c:pt idx="73">
                  <c:v>5.9080000000000004</c:v>
                </c:pt>
                <c:pt idx="74">
                  <c:v>6.0419999999999998</c:v>
                </c:pt>
                <c:pt idx="75">
                  <c:v>6.0209999999999999</c:v>
                </c:pt>
                <c:pt idx="76">
                  <c:v>5.9509999999999996</c:v>
                </c:pt>
                <c:pt idx="77">
                  <c:v>5.9630000000000001</c:v>
                </c:pt>
                <c:pt idx="78">
                  <c:v>5.9640000000000004</c:v>
                </c:pt>
                <c:pt idx="79">
                  <c:v>5.8970000000000002</c:v>
                </c:pt>
                <c:pt idx="80">
                  <c:v>5.9619999999999997</c:v>
                </c:pt>
                <c:pt idx="81">
                  <c:v>6.0090000000000003</c:v>
                </c:pt>
                <c:pt idx="82">
                  <c:v>5.8650000000000002</c:v>
                </c:pt>
                <c:pt idx="83">
                  <c:v>5.8769999999999998</c:v>
                </c:pt>
                <c:pt idx="84">
                  <c:v>5.7910000000000004</c:v>
                </c:pt>
                <c:pt idx="85">
                  <c:v>5.7320000000000002</c:v>
                </c:pt>
                <c:pt idx="86">
                  <c:v>5.72</c:v>
                </c:pt>
                <c:pt idx="87">
                  <c:v>5.6749999999999998</c:v>
                </c:pt>
                <c:pt idx="88">
                  <c:v>5.625</c:v>
                </c:pt>
                <c:pt idx="89">
                  <c:v>5.5590000000000002</c:v>
                </c:pt>
                <c:pt idx="90">
                  <c:v>5.5469999999999997</c:v>
                </c:pt>
                <c:pt idx="91">
                  <c:v>5.468</c:v>
                </c:pt>
                <c:pt idx="92">
                  <c:v>5.4119999999999999</c:v>
                </c:pt>
                <c:pt idx="93">
                  <c:v>5.3150000000000004</c:v>
                </c:pt>
                <c:pt idx="94">
                  <c:v>5.3449999999999998</c:v>
                </c:pt>
                <c:pt idx="95">
                  <c:v>5.4359999999999999</c:v>
                </c:pt>
                <c:pt idx="96">
                  <c:v>5.4320000000000004</c:v>
                </c:pt>
                <c:pt idx="97">
                  <c:v>5.4329999999999998</c:v>
                </c:pt>
                <c:pt idx="98">
                  <c:v>5.4180000000000001</c:v>
                </c:pt>
                <c:pt idx="99">
                  <c:v>5.3970000000000002</c:v>
                </c:pt>
                <c:pt idx="100">
                  <c:v>5.4039999999999999</c:v>
                </c:pt>
                <c:pt idx="101">
                  <c:v>5.4779999999999998</c:v>
                </c:pt>
                <c:pt idx="102">
                  <c:v>5.47</c:v>
                </c:pt>
                <c:pt idx="103">
                  <c:v>5.4219999999999997</c:v>
                </c:pt>
                <c:pt idx="104">
                  <c:v>5.31</c:v>
                </c:pt>
                <c:pt idx="105">
                  <c:v>5.4589999999999996</c:v>
                </c:pt>
                <c:pt idx="106">
                  <c:v>5.423</c:v>
                </c:pt>
                <c:pt idx="107">
                  <c:v>5.3970000000000002</c:v>
                </c:pt>
                <c:pt idx="108">
                  <c:v>5.516</c:v>
                </c:pt>
                <c:pt idx="109">
                  <c:v>5.6189999999999998</c:v>
                </c:pt>
                <c:pt idx="110">
                  <c:v>5.5990000000000002</c:v>
                </c:pt>
                <c:pt idx="111">
                  <c:v>5.71</c:v>
                </c:pt>
                <c:pt idx="112">
                  <c:v>5.8179999999999996</c:v>
                </c:pt>
                <c:pt idx="113">
                  <c:v>5.8150000000000004</c:v>
                </c:pt>
                <c:pt idx="114">
                  <c:v>5.9160000000000004</c:v>
                </c:pt>
                <c:pt idx="115">
                  <c:v>5.9269999999999996</c:v>
                </c:pt>
                <c:pt idx="116">
                  <c:v>5.891</c:v>
                </c:pt>
                <c:pt idx="117">
                  <c:v>5.9080000000000004</c:v>
                </c:pt>
                <c:pt idx="118">
                  <c:v>5.8979999999999997</c:v>
                </c:pt>
                <c:pt idx="119">
                  <c:v>5.8040000000000003</c:v>
                </c:pt>
                <c:pt idx="120">
                  <c:v>5.7160000000000002</c:v>
                </c:pt>
                <c:pt idx="121">
                  <c:v>5.7069999999999999</c:v>
                </c:pt>
                <c:pt idx="122">
                  <c:v>5.74</c:v>
                </c:pt>
                <c:pt idx="123">
                  <c:v>5.6109999999999998</c:v>
                </c:pt>
                <c:pt idx="124">
                  <c:v>5.49</c:v>
                </c:pt>
                <c:pt idx="125">
                  <c:v>5.399</c:v>
                </c:pt>
                <c:pt idx="126">
                  <c:v>5.4050000000000002</c:v>
                </c:pt>
                <c:pt idx="127">
                  <c:v>5.468</c:v>
                </c:pt>
                <c:pt idx="128">
                  <c:v>5.5039999999999996</c:v>
                </c:pt>
                <c:pt idx="129">
                  <c:v>5.4989999999999997</c:v>
                </c:pt>
                <c:pt idx="130">
                  <c:v>5.3620000000000001</c:v>
                </c:pt>
                <c:pt idx="131">
                  <c:v>5.37</c:v>
                </c:pt>
                <c:pt idx="132">
                  <c:v>5.47</c:v>
                </c:pt>
                <c:pt idx="133">
                  <c:v>5.5339999999999998</c:v>
                </c:pt>
                <c:pt idx="134">
                  <c:v>5.46</c:v>
                </c:pt>
                <c:pt idx="135">
                  <c:v>5.5250000000000004</c:v>
                </c:pt>
                <c:pt idx="136">
                  <c:v>5.7240000000000002</c:v>
                </c:pt>
                <c:pt idx="137">
                  <c:v>5.7279999999999998</c:v>
                </c:pt>
                <c:pt idx="138">
                  <c:v>5.6740000000000004</c:v>
                </c:pt>
                <c:pt idx="139">
                  <c:v>5.6550000000000002</c:v>
                </c:pt>
                <c:pt idx="140">
                  <c:v>5.62</c:v>
                </c:pt>
                <c:pt idx="141">
                  <c:v>5.7640000000000002</c:v>
                </c:pt>
                <c:pt idx="142">
                  <c:v>5.85</c:v>
                </c:pt>
                <c:pt idx="143">
                  <c:v>5.835</c:v>
                </c:pt>
                <c:pt idx="144">
                  <c:v>5.8540000000000001</c:v>
                </c:pt>
                <c:pt idx="145">
                  <c:v>5.8179999999999996</c:v>
                </c:pt>
                <c:pt idx="146">
                  <c:v>5.9470000000000001</c:v>
                </c:pt>
                <c:pt idx="147">
                  <c:v>6.0659999999999998</c:v>
                </c:pt>
                <c:pt idx="148">
                  <c:v>6.1109999999999998</c:v>
                </c:pt>
                <c:pt idx="149">
                  <c:v>6.4260000000000002</c:v>
                </c:pt>
                <c:pt idx="150">
                  <c:v>6.3650000000000002</c:v>
                </c:pt>
                <c:pt idx="151">
                  <c:v>6.452</c:v>
                </c:pt>
                <c:pt idx="152">
                  <c:v>6.4</c:v>
                </c:pt>
                <c:pt idx="153">
                  <c:v>6.3470000000000004</c:v>
                </c:pt>
                <c:pt idx="154">
                  <c:v>6.2560000000000002</c:v>
                </c:pt>
                <c:pt idx="155">
                  <c:v>6.2850000000000001</c:v>
                </c:pt>
                <c:pt idx="156">
                  <c:v>6.3659999999999997</c:v>
                </c:pt>
                <c:pt idx="157">
                  <c:v>6.3230000000000004</c:v>
                </c:pt>
                <c:pt idx="158">
                  <c:v>6.2549999999999999</c:v>
                </c:pt>
                <c:pt idx="159">
                  <c:v>6.3479999999999999</c:v>
                </c:pt>
                <c:pt idx="160">
                  <c:v>6.431</c:v>
                </c:pt>
                <c:pt idx="161">
                  <c:v>6.6079999999999997</c:v>
                </c:pt>
                <c:pt idx="162">
                  <c:v>6.61</c:v>
                </c:pt>
                <c:pt idx="163">
                  <c:v>6.51</c:v>
                </c:pt>
                <c:pt idx="164">
                  <c:v>6.4089999999999998</c:v>
                </c:pt>
                <c:pt idx="165">
                  <c:v>6.2720000000000002</c:v>
                </c:pt>
                <c:pt idx="166">
                  <c:v>6.35</c:v>
                </c:pt>
                <c:pt idx="167">
                  <c:v>6.3680000000000003</c:v>
                </c:pt>
                <c:pt idx="168">
                  <c:v>6.3070000000000004</c:v>
                </c:pt>
                <c:pt idx="169">
                  <c:v>6.4249999999999998</c:v>
                </c:pt>
                <c:pt idx="170">
                  <c:v>6.2729999999999997</c:v>
                </c:pt>
                <c:pt idx="171">
                  <c:v>6.2190000000000003</c:v>
                </c:pt>
                <c:pt idx="172">
                  <c:v>6.1289999999999996</c:v>
                </c:pt>
                <c:pt idx="173">
                  <c:v>6.14</c:v>
                </c:pt>
                <c:pt idx="174">
                  <c:v>6.077</c:v>
                </c:pt>
                <c:pt idx="175">
                  <c:v>6.0960000000000001</c:v>
                </c:pt>
                <c:pt idx="176">
                  <c:v>6.2859999999999996</c:v>
                </c:pt>
                <c:pt idx="177">
                  <c:v>6.32</c:v>
                </c:pt>
                <c:pt idx="178">
                  <c:v>6.2519999999999998</c:v>
                </c:pt>
                <c:pt idx="179">
                  <c:v>6.2949999999999999</c:v>
                </c:pt>
                <c:pt idx="180">
                  <c:v>6.0970000000000004</c:v>
                </c:pt>
                <c:pt idx="181">
                  <c:v>5.931</c:v>
                </c:pt>
                <c:pt idx="182">
                  <c:v>5.8929999999999998</c:v>
                </c:pt>
                <c:pt idx="183">
                  <c:v>5.7770000000000001</c:v>
                </c:pt>
                <c:pt idx="184">
                  <c:v>5.8490000000000002</c:v>
                </c:pt>
                <c:pt idx="185">
                  <c:v>5.7990000000000004</c:v>
                </c:pt>
                <c:pt idx="186">
                  <c:v>5.8380000000000001</c:v>
                </c:pt>
                <c:pt idx="187">
                  <c:v>5.7489999999999997</c:v>
                </c:pt>
                <c:pt idx="188">
                  <c:v>5.7290000000000001</c:v>
                </c:pt>
                <c:pt idx="189">
                  <c:v>5.7709999999999999</c:v>
                </c:pt>
                <c:pt idx="190">
                  <c:v>5.7270000000000003</c:v>
                </c:pt>
                <c:pt idx="191">
                  <c:v>5.7249999999999996</c:v>
                </c:pt>
                <c:pt idx="192">
                  <c:v>5.7610000000000001</c:v>
                </c:pt>
                <c:pt idx="193">
                  <c:v>5.7050000000000001</c:v>
                </c:pt>
                <c:pt idx="194">
                  <c:v>5.8339999999999996</c:v>
                </c:pt>
                <c:pt idx="195">
                  <c:v>5.6319999999999997</c:v>
                </c:pt>
                <c:pt idx="196">
                  <c:v>5.6790000000000003</c:v>
                </c:pt>
                <c:pt idx="197">
                  <c:v>5.5709999999999997</c:v>
                </c:pt>
                <c:pt idx="198">
                  <c:v>5.476</c:v>
                </c:pt>
                <c:pt idx="199">
                  <c:v>5.4370000000000003</c:v>
                </c:pt>
                <c:pt idx="200">
                  <c:v>5.327</c:v>
                </c:pt>
                <c:pt idx="201">
                  <c:v>5.3339999999999996</c:v>
                </c:pt>
                <c:pt idx="202">
                  <c:v>5.4569999999999999</c:v>
                </c:pt>
                <c:pt idx="203">
                  <c:v>5.4089999999999998</c:v>
                </c:pt>
                <c:pt idx="204">
                  <c:v>5.3959999999999999</c:v>
                </c:pt>
                <c:pt idx="205">
                  <c:v>5.3179999999999996</c:v>
                </c:pt>
                <c:pt idx="206">
                  <c:v>5.1449999999999996</c:v>
                </c:pt>
                <c:pt idx="207">
                  <c:v>5.1319999999999997</c:v>
                </c:pt>
                <c:pt idx="208">
                  <c:v>5.04</c:v>
                </c:pt>
                <c:pt idx="209">
                  <c:v>5.0350000000000001</c:v>
                </c:pt>
                <c:pt idx="210">
                  <c:v>5.0640000000000001</c:v>
                </c:pt>
                <c:pt idx="211">
                  <c:v>5.24</c:v>
                </c:pt>
                <c:pt idx="212">
                  <c:v>5.0960000000000001</c:v>
                </c:pt>
                <c:pt idx="213">
                  <c:v>5.1319999999999997</c:v>
                </c:pt>
                <c:pt idx="214">
                  <c:v>5.0659999999999998</c:v>
                </c:pt>
                <c:pt idx="215">
                  <c:v>5.1520000000000001</c:v>
                </c:pt>
                <c:pt idx="216">
                  <c:v>5.0220000000000002</c:v>
                </c:pt>
                <c:pt idx="217">
                  <c:v>5.03</c:v>
                </c:pt>
                <c:pt idx="218">
                  <c:v>5.1369999999999996</c:v>
                </c:pt>
                <c:pt idx="219">
                  <c:v>4.9720000000000004</c:v>
                </c:pt>
                <c:pt idx="220">
                  <c:v>5.09</c:v>
                </c:pt>
                <c:pt idx="221">
                  <c:v>5.1219999999999999</c:v>
                </c:pt>
                <c:pt idx="222">
                  <c:v>5.1589999999999998</c:v>
                </c:pt>
                <c:pt idx="223">
                  <c:v>5.1779999999999999</c:v>
                </c:pt>
                <c:pt idx="224">
                  <c:v>5.2030000000000003</c:v>
                </c:pt>
                <c:pt idx="225">
                  <c:v>5.0460000000000003</c:v>
                </c:pt>
                <c:pt idx="226">
                  <c:v>5.1109999999999998</c:v>
                </c:pt>
                <c:pt idx="227">
                  <c:v>5.3220000000000001</c:v>
                </c:pt>
                <c:pt idx="228">
                  <c:v>5.33</c:v>
                </c:pt>
                <c:pt idx="229">
                  <c:v>5.2770000000000001</c:v>
                </c:pt>
                <c:pt idx="230">
                  <c:v>5.3070000000000004</c:v>
                </c:pt>
                <c:pt idx="231">
                  <c:v>5.3559999999999999</c:v>
                </c:pt>
                <c:pt idx="232">
                  <c:v>5.3239999999999998</c:v>
                </c:pt>
                <c:pt idx="233">
                  <c:v>5.3170000000000002</c:v>
                </c:pt>
                <c:pt idx="234">
                  <c:v>5.3289999999999997</c:v>
                </c:pt>
                <c:pt idx="235">
                  <c:v>5.4850000000000003</c:v>
                </c:pt>
                <c:pt idx="236">
                  <c:v>5.4710000000000001</c:v>
                </c:pt>
                <c:pt idx="237">
                  <c:v>5.452</c:v>
                </c:pt>
                <c:pt idx="238">
                  <c:v>5.4290000000000003</c:v>
                </c:pt>
                <c:pt idx="239">
                  <c:v>5.4960000000000004</c:v>
                </c:pt>
                <c:pt idx="240">
                  <c:v>5.5780000000000003</c:v>
                </c:pt>
                <c:pt idx="241">
                  <c:v>5.5430000000000001</c:v>
                </c:pt>
                <c:pt idx="242">
                  <c:v>5.5730000000000004</c:v>
                </c:pt>
                <c:pt idx="243">
                  <c:v>5.5090000000000003</c:v>
                </c:pt>
                <c:pt idx="244">
                  <c:v>5.4610000000000003</c:v>
                </c:pt>
                <c:pt idx="245">
                  <c:v>5.4189999999999996</c:v>
                </c:pt>
                <c:pt idx="246">
                  <c:v>5.5209999999999999</c:v>
                </c:pt>
                <c:pt idx="247">
                  <c:v>5.617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51-4831-8389-661DB93E5E2F}"/>
            </c:ext>
          </c:extLst>
        </c:ser>
        <c:ser>
          <c:idx val="2"/>
          <c:order val="2"/>
          <c:tx>
            <c:strRef>
              <c:f>'Bond Yield time series'!$R$2</c:f>
              <c:strCache>
                <c:ptCount val="1"/>
                <c:pt idx="0">
                  <c:v>STZ 2050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'Bond Yield time series'!$O$3:$O$250</c:f>
              <c:numCache>
                <c:formatCode>m/d/yyyy</c:formatCode>
                <c:ptCount val="248"/>
                <c:pt idx="0">
                  <c:v>45093</c:v>
                </c:pt>
                <c:pt idx="1">
                  <c:v>45092</c:v>
                </c:pt>
                <c:pt idx="2">
                  <c:v>45091</c:v>
                </c:pt>
                <c:pt idx="3">
                  <c:v>45090</c:v>
                </c:pt>
                <c:pt idx="4">
                  <c:v>45089</c:v>
                </c:pt>
                <c:pt idx="5">
                  <c:v>45086</c:v>
                </c:pt>
                <c:pt idx="6">
                  <c:v>45085</c:v>
                </c:pt>
                <c:pt idx="7">
                  <c:v>45084</c:v>
                </c:pt>
                <c:pt idx="8">
                  <c:v>45083</c:v>
                </c:pt>
                <c:pt idx="9">
                  <c:v>45082</c:v>
                </c:pt>
                <c:pt idx="10">
                  <c:v>45079</c:v>
                </c:pt>
                <c:pt idx="11">
                  <c:v>45078</c:v>
                </c:pt>
                <c:pt idx="12">
                  <c:v>45077</c:v>
                </c:pt>
                <c:pt idx="13">
                  <c:v>45076</c:v>
                </c:pt>
                <c:pt idx="14">
                  <c:v>45072</c:v>
                </c:pt>
                <c:pt idx="15">
                  <c:v>45071</c:v>
                </c:pt>
                <c:pt idx="16">
                  <c:v>45070</c:v>
                </c:pt>
                <c:pt idx="17">
                  <c:v>45069</c:v>
                </c:pt>
                <c:pt idx="18">
                  <c:v>45068</c:v>
                </c:pt>
                <c:pt idx="19">
                  <c:v>45065</c:v>
                </c:pt>
                <c:pt idx="20">
                  <c:v>45064</c:v>
                </c:pt>
                <c:pt idx="21">
                  <c:v>45063</c:v>
                </c:pt>
                <c:pt idx="22">
                  <c:v>45062</c:v>
                </c:pt>
                <c:pt idx="23">
                  <c:v>45061</c:v>
                </c:pt>
                <c:pt idx="24">
                  <c:v>45058</c:v>
                </c:pt>
                <c:pt idx="25">
                  <c:v>45057</c:v>
                </c:pt>
                <c:pt idx="26">
                  <c:v>45056</c:v>
                </c:pt>
                <c:pt idx="27">
                  <c:v>45055</c:v>
                </c:pt>
                <c:pt idx="28">
                  <c:v>45054</c:v>
                </c:pt>
                <c:pt idx="29">
                  <c:v>45051</c:v>
                </c:pt>
                <c:pt idx="30">
                  <c:v>45050</c:v>
                </c:pt>
                <c:pt idx="31">
                  <c:v>45049</c:v>
                </c:pt>
                <c:pt idx="32">
                  <c:v>45048</c:v>
                </c:pt>
                <c:pt idx="33">
                  <c:v>45047</c:v>
                </c:pt>
                <c:pt idx="34">
                  <c:v>45044</c:v>
                </c:pt>
                <c:pt idx="35">
                  <c:v>45043</c:v>
                </c:pt>
                <c:pt idx="36">
                  <c:v>45042</c:v>
                </c:pt>
                <c:pt idx="37">
                  <c:v>45041</c:v>
                </c:pt>
                <c:pt idx="38">
                  <c:v>45040</c:v>
                </c:pt>
                <c:pt idx="39">
                  <c:v>45037</c:v>
                </c:pt>
                <c:pt idx="40">
                  <c:v>45036</c:v>
                </c:pt>
                <c:pt idx="41">
                  <c:v>45035</c:v>
                </c:pt>
                <c:pt idx="42">
                  <c:v>45034</c:v>
                </c:pt>
                <c:pt idx="43">
                  <c:v>45033</c:v>
                </c:pt>
                <c:pt idx="44">
                  <c:v>45030</c:v>
                </c:pt>
                <c:pt idx="45">
                  <c:v>45029</c:v>
                </c:pt>
                <c:pt idx="46">
                  <c:v>45028</c:v>
                </c:pt>
                <c:pt idx="47">
                  <c:v>45027</c:v>
                </c:pt>
                <c:pt idx="48">
                  <c:v>45026</c:v>
                </c:pt>
                <c:pt idx="49">
                  <c:v>45022</c:v>
                </c:pt>
                <c:pt idx="50">
                  <c:v>45021</c:v>
                </c:pt>
                <c:pt idx="51">
                  <c:v>45020</c:v>
                </c:pt>
                <c:pt idx="52">
                  <c:v>45019</c:v>
                </c:pt>
                <c:pt idx="53">
                  <c:v>45016</c:v>
                </c:pt>
                <c:pt idx="54">
                  <c:v>45015</c:v>
                </c:pt>
                <c:pt idx="55">
                  <c:v>45014</c:v>
                </c:pt>
                <c:pt idx="56">
                  <c:v>45013</c:v>
                </c:pt>
                <c:pt idx="57">
                  <c:v>45012</c:v>
                </c:pt>
                <c:pt idx="58">
                  <c:v>45009</c:v>
                </c:pt>
                <c:pt idx="59">
                  <c:v>45008</c:v>
                </c:pt>
                <c:pt idx="60">
                  <c:v>45007</c:v>
                </c:pt>
                <c:pt idx="61">
                  <c:v>45006</c:v>
                </c:pt>
                <c:pt idx="62">
                  <c:v>45005</c:v>
                </c:pt>
                <c:pt idx="63">
                  <c:v>45002</c:v>
                </c:pt>
                <c:pt idx="64">
                  <c:v>45001</c:v>
                </c:pt>
                <c:pt idx="65">
                  <c:v>45000</c:v>
                </c:pt>
                <c:pt idx="66">
                  <c:v>44999</c:v>
                </c:pt>
                <c:pt idx="67">
                  <c:v>44998</c:v>
                </c:pt>
                <c:pt idx="68">
                  <c:v>44995</c:v>
                </c:pt>
                <c:pt idx="69">
                  <c:v>44994</c:v>
                </c:pt>
                <c:pt idx="70">
                  <c:v>44993</c:v>
                </c:pt>
                <c:pt idx="71">
                  <c:v>44992</c:v>
                </c:pt>
                <c:pt idx="72">
                  <c:v>44991</c:v>
                </c:pt>
                <c:pt idx="73">
                  <c:v>44988</c:v>
                </c:pt>
                <c:pt idx="74">
                  <c:v>44987</c:v>
                </c:pt>
                <c:pt idx="75">
                  <c:v>44986</c:v>
                </c:pt>
                <c:pt idx="76">
                  <c:v>44985</c:v>
                </c:pt>
                <c:pt idx="77">
                  <c:v>44984</c:v>
                </c:pt>
                <c:pt idx="78">
                  <c:v>44981</c:v>
                </c:pt>
                <c:pt idx="79">
                  <c:v>44980</c:v>
                </c:pt>
                <c:pt idx="80">
                  <c:v>44979</c:v>
                </c:pt>
                <c:pt idx="81">
                  <c:v>44978</c:v>
                </c:pt>
                <c:pt idx="82">
                  <c:v>44974</c:v>
                </c:pt>
                <c:pt idx="83">
                  <c:v>44973</c:v>
                </c:pt>
                <c:pt idx="84">
                  <c:v>44972</c:v>
                </c:pt>
                <c:pt idx="85">
                  <c:v>44971</c:v>
                </c:pt>
                <c:pt idx="86">
                  <c:v>44970</c:v>
                </c:pt>
                <c:pt idx="87">
                  <c:v>44967</c:v>
                </c:pt>
                <c:pt idx="88">
                  <c:v>44966</c:v>
                </c:pt>
                <c:pt idx="89">
                  <c:v>44965</c:v>
                </c:pt>
                <c:pt idx="90">
                  <c:v>44964</c:v>
                </c:pt>
                <c:pt idx="91">
                  <c:v>44963</c:v>
                </c:pt>
                <c:pt idx="92">
                  <c:v>44960</c:v>
                </c:pt>
                <c:pt idx="93">
                  <c:v>44959</c:v>
                </c:pt>
                <c:pt idx="94">
                  <c:v>44958</c:v>
                </c:pt>
                <c:pt idx="95">
                  <c:v>44957</c:v>
                </c:pt>
                <c:pt idx="96">
                  <c:v>44956</c:v>
                </c:pt>
                <c:pt idx="97">
                  <c:v>44953</c:v>
                </c:pt>
                <c:pt idx="98">
                  <c:v>44952</c:v>
                </c:pt>
                <c:pt idx="99">
                  <c:v>44951</c:v>
                </c:pt>
                <c:pt idx="100">
                  <c:v>44950</c:v>
                </c:pt>
                <c:pt idx="101">
                  <c:v>44949</c:v>
                </c:pt>
                <c:pt idx="102">
                  <c:v>44946</c:v>
                </c:pt>
                <c:pt idx="103">
                  <c:v>44945</c:v>
                </c:pt>
                <c:pt idx="104">
                  <c:v>44944</c:v>
                </c:pt>
                <c:pt idx="105">
                  <c:v>44943</c:v>
                </c:pt>
                <c:pt idx="106">
                  <c:v>44939</c:v>
                </c:pt>
                <c:pt idx="107">
                  <c:v>44938</c:v>
                </c:pt>
                <c:pt idx="108">
                  <c:v>44937</c:v>
                </c:pt>
                <c:pt idx="109">
                  <c:v>44936</c:v>
                </c:pt>
                <c:pt idx="110">
                  <c:v>44935</c:v>
                </c:pt>
                <c:pt idx="111">
                  <c:v>44932</c:v>
                </c:pt>
                <c:pt idx="112">
                  <c:v>44931</c:v>
                </c:pt>
                <c:pt idx="113">
                  <c:v>44930</c:v>
                </c:pt>
                <c:pt idx="114">
                  <c:v>44929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44918</c:v>
                </c:pt>
                <c:pt idx="120">
                  <c:v>44917</c:v>
                </c:pt>
                <c:pt idx="121">
                  <c:v>44916</c:v>
                </c:pt>
                <c:pt idx="122">
                  <c:v>44915</c:v>
                </c:pt>
                <c:pt idx="123">
                  <c:v>44914</c:v>
                </c:pt>
                <c:pt idx="124">
                  <c:v>44911</c:v>
                </c:pt>
                <c:pt idx="125">
                  <c:v>44910</c:v>
                </c:pt>
                <c:pt idx="126">
                  <c:v>44909</c:v>
                </c:pt>
                <c:pt idx="127">
                  <c:v>44908</c:v>
                </c:pt>
                <c:pt idx="128">
                  <c:v>44907</c:v>
                </c:pt>
                <c:pt idx="129">
                  <c:v>44904</c:v>
                </c:pt>
                <c:pt idx="130">
                  <c:v>44903</c:v>
                </c:pt>
                <c:pt idx="131">
                  <c:v>44902</c:v>
                </c:pt>
                <c:pt idx="132">
                  <c:v>44901</c:v>
                </c:pt>
                <c:pt idx="133">
                  <c:v>44900</c:v>
                </c:pt>
                <c:pt idx="134">
                  <c:v>44897</c:v>
                </c:pt>
                <c:pt idx="135">
                  <c:v>44896</c:v>
                </c:pt>
                <c:pt idx="136">
                  <c:v>44895</c:v>
                </c:pt>
                <c:pt idx="137">
                  <c:v>44894</c:v>
                </c:pt>
                <c:pt idx="138">
                  <c:v>44893</c:v>
                </c:pt>
                <c:pt idx="139">
                  <c:v>44890</c:v>
                </c:pt>
                <c:pt idx="140">
                  <c:v>44888</c:v>
                </c:pt>
                <c:pt idx="141">
                  <c:v>44887</c:v>
                </c:pt>
                <c:pt idx="142">
                  <c:v>44886</c:v>
                </c:pt>
                <c:pt idx="143">
                  <c:v>44883</c:v>
                </c:pt>
                <c:pt idx="144">
                  <c:v>44882</c:v>
                </c:pt>
                <c:pt idx="145">
                  <c:v>44881</c:v>
                </c:pt>
                <c:pt idx="146">
                  <c:v>44880</c:v>
                </c:pt>
                <c:pt idx="147">
                  <c:v>44879</c:v>
                </c:pt>
                <c:pt idx="148">
                  <c:v>44875</c:v>
                </c:pt>
                <c:pt idx="149">
                  <c:v>44874</c:v>
                </c:pt>
                <c:pt idx="150">
                  <c:v>44873</c:v>
                </c:pt>
                <c:pt idx="151">
                  <c:v>44872</c:v>
                </c:pt>
                <c:pt idx="152">
                  <c:v>44869</c:v>
                </c:pt>
                <c:pt idx="153">
                  <c:v>44868</c:v>
                </c:pt>
                <c:pt idx="154">
                  <c:v>44867</c:v>
                </c:pt>
                <c:pt idx="155">
                  <c:v>44866</c:v>
                </c:pt>
                <c:pt idx="156">
                  <c:v>44865</c:v>
                </c:pt>
                <c:pt idx="157">
                  <c:v>44862</c:v>
                </c:pt>
                <c:pt idx="158">
                  <c:v>44861</c:v>
                </c:pt>
                <c:pt idx="159">
                  <c:v>44860</c:v>
                </c:pt>
                <c:pt idx="160">
                  <c:v>44859</c:v>
                </c:pt>
                <c:pt idx="161">
                  <c:v>44858</c:v>
                </c:pt>
                <c:pt idx="162">
                  <c:v>44855</c:v>
                </c:pt>
                <c:pt idx="163">
                  <c:v>44854</c:v>
                </c:pt>
                <c:pt idx="164">
                  <c:v>44853</c:v>
                </c:pt>
                <c:pt idx="165">
                  <c:v>44852</c:v>
                </c:pt>
                <c:pt idx="166">
                  <c:v>44851</c:v>
                </c:pt>
                <c:pt idx="167">
                  <c:v>44848</c:v>
                </c:pt>
                <c:pt idx="168">
                  <c:v>44847</c:v>
                </c:pt>
                <c:pt idx="169">
                  <c:v>44846</c:v>
                </c:pt>
                <c:pt idx="170">
                  <c:v>44845</c:v>
                </c:pt>
                <c:pt idx="171">
                  <c:v>44841</c:v>
                </c:pt>
                <c:pt idx="172">
                  <c:v>44840</c:v>
                </c:pt>
                <c:pt idx="173">
                  <c:v>44839</c:v>
                </c:pt>
                <c:pt idx="174">
                  <c:v>44838</c:v>
                </c:pt>
                <c:pt idx="175">
                  <c:v>44837</c:v>
                </c:pt>
                <c:pt idx="176">
                  <c:v>44834</c:v>
                </c:pt>
                <c:pt idx="177">
                  <c:v>44833</c:v>
                </c:pt>
                <c:pt idx="178">
                  <c:v>44832</c:v>
                </c:pt>
                <c:pt idx="179">
                  <c:v>44831</c:v>
                </c:pt>
                <c:pt idx="180">
                  <c:v>44830</c:v>
                </c:pt>
                <c:pt idx="181">
                  <c:v>44827</c:v>
                </c:pt>
                <c:pt idx="182">
                  <c:v>44826</c:v>
                </c:pt>
                <c:pt idx="183">
                  <c:v>44825</c:v>
                </c:pt>
                <c:pt idx="184">
                  <c:v>44824</c:v>
                </c:pt>
                <c:pt idx="185">
                  <c:v>44823</c:v>
                </c:pt>
                <c:pt idx="186">
                  <c:v>44820</c:v>
                </c:pt>
                <c:pt idx="187">
                  <c:v>44819</c:v>
                </c:pt>
                <c:pt idx="188">
                  <c:v>44818</c:v>
                </c:pt>
                <c:pt idx="189">
                  <c:v>44817</c:v>
                </c:pt>
                <c:pt idx="190">
                  <c:v>44816</c:v>
                </c:pt>
                <c:pt idx="191">
                  <c:v>44813</c:v>
                </c:pt>
                <c:pt idx="192">
                  <c:v>44812</c:v>
                </c:pt>
                <c:pt idx="193">
                  <c:v>44811</c:v>
                </c:pt>
                <c:pt idx="194">
                  <c:v>44810</c:v>
                </c:pt>
                <c:pt idx="195">
                  <c:v>44806</c:v>
                </c:pt>
                <c:pt idx="196">
                  <c:v>44805</c:v>
                </c:pt>
                <c:pt idx="197">
                  <c:v>44804</c:v>
                </c:pt>
                <c:pt idx="198">
                  <c:v>44803</c:v>
                </c:pt>
                <c:pt idx="199">
                  <c:v>44802</c:v>
                </c:pt>
                <c:pt idx="200">
                  <c:v>44799</c:v>
                </c:pt>
                <c:pt idx="201">
                  <c:v>44798</c:v>
                </c:pt>
                <c:pt idx="202">
                  <c:v>44797</c:v>
                </c:pt>
                <c:pt idx="203">
                  <c:v>44796</c:v>
                </c:pt>
                <c:pt idx="204">
                  <c:v>44795</c:v>
                </c:pt>
                <c:pt idx="205">
                  <c:v>44792</c:v>
                </c:pt>
                <c:pt idx="206">
                  <c:v>44791</c:v>
                </c:pt>
                <c:pt idx="207">
                  <c:v>44790</c:v>
                </c:pt>
                <c:pt idx="208">
                  <c:v>44789</c:v>
                </c:pt>
                <c:pt idx="209">
                  <c:v>44788</c:v>
                </c:pt>
                <c:pt idx="210">
                  <c:v>44785</c:v>
                </c:pt>
                <c:pt idx="211">
                  <c:v>44784</c:v>
                </c:pt>
                <c:pt idx="212">
                  <c:v>44783</c:v>
                </c:pt>
                <c:pt idx="213">
                  <c:v>44782</c:v>
                </c:pt>
                <c:pt idx="214">
                  <c:v>44781</c:v>
                </c:pt>
                <c:pt idx="215">
                  <c:v>44778</c:v>
                </c:pt>
                <c:pt idx="216">
                  <c:v>44777</c:v>
                </c:pt>
                <c:pt idx="217">
                  <c:v>44776</c:v>
                </c:pt>
                <c:pt idx="218">
                  <c:v>44775</c:v>
                </c:pt>
                <c:pt idx="219">
                  <c:v>44774</c:v>
                </c:pt>
                <c:pt idx="220">
                  <c:v>44771</c:v>
                </c:pt>
                <c:pt idx="221">
                  <c:v>44770</c:v>
                </c:pt>
                <c:pt idx="222">
                  <c:v>44769</c:v>
                </c:pt>
                <c:pt idx="223">
                  <c:v>44768</c:v>
                </c:pt>
                <c:pt idx="224">
                  <c:v>44767</c:v>
                </c:pt>
                <c:pt idx="225">
                  <c:v>44764</c:v>
                </c:pt>
                <c:pt idx="226">
                  <c:v>44763</c:v>
                </c:pt>
                <c:pt idx="227">
                  <c:v>44762</c:v>
                </c:pt>
                <c:pt idx="228">
                  <c:v>44761</c:v>
                </c:pt>
                <c:pt idx="229">
                  <c:v>44760</c:v>
                </c:pt>
                <c:pt idx="230">
                  <c:v>44757</c:v>
                </c:pt>
                <c:pt idx="231">
                  <c:v>44756</c:v>
                </c:pt>
                <c:pt idx="232">
                  <c:v>44755</c:v>
                </c:pt>
                <c:pt idx="233">
                  <c:v>44754</c:v>
                </c:pt>
                <c:pt idx="234">
                  <c:v>44753</c:v>
                </c:pt>
                <c:pt idx="235">
                  <c:v>44750</c:v>
                </c:pt>
                <c:pt idx="236">
                  <c:v>44749</c:v>
                </c:pt>
                <c:pt idx="237">
                  <c:v>44748</c:v>
                </c:pt>
                <c:pt idx="238">
                  <c:v>44747</c:v>
                </c:pt>
                <c:pt idx="239">
                  <c:v>44743</c:v>
                </c:pt>
                <c:pt idx="240">
                  <c:v>44742</c:v>
                </c:pt>
                <c:pt idx="241">
                  <c:v>44741</c:v>
                </c:pt>
                <c:pt idx="242">
                  <c:v>44740</c:v>
                </c:pt>
                <c:pt idx="243">
                  <c:v>44739</c:v>
                </c:pt>
                <c:pt idx="244">
                  <c:v>44736</c:v>
                </c:pt>
                <c:pt idx="245">
                  <c:v>44735</c:v>
                </c:pt>
                <c:pt idx="246">
                  <c:v>44734</c:v>
                </c:pt>
                <c:pt idx="247">
                  <c:v>44733</c:v>
                </c:pt>
              </c:numCache>
            </c:numRef>
          </c:cat>
          <c:val>
            <c:numRef>
              <c:f>'Bond Yield time series'!$R$3:$R$250</c:f>
              <c:numCache>
                <c:formatCode>General</c:formatCode>
                <c:ptCount val="248"/>
                <c:pt idx="0">
                  <c:v>5.3659999999999997</c:v>
                </c:pt>
                <c:pt idx="1">
                  <c:v>5.3559999999999999</c:v>
                </c:pt>
                <c:pt idx="2">
                  <c:v>5.4340000000000002</c:v>
                </c:pt>
                <c:pt idx="3">
                  <c:v>5.484</c:v>
                </c:pt>
                <c:pt idx="4">
                  <c:v>5.452</c:v>
                </c:pt>
                <c:pt idx="5">
                  <c:v>5.4770000000000003</c:v>
                </c:pt>
                <c:pt idx="6">
                  <c:v>5.4480000000000004</c:v>
                </c:pt>
                <c:pt idx="7">
                  <c:v>5.52</c:v>
                </c:pt>
                <c:pt idx="8">
                  <c:v>5.4210000000000003</c:v>
                </c:pt>
                <c:pt idx="9">
                  <c:v>5.4550000000000001</c:v>
                </c:pt>
                <c:pt idx="10">
                  <c:v>5.4409999999999998</c:v>
                </c:pt>
                <c:pt idx="11">
                  <c:v>5.4009999999999998</c:v>
                </c:pt>
                <c:pt idx="12">
                  <c:v>5.407</c:v>
                </c:pt>
                <c:pt idx="13">
                  <c:v>5.4459999999999997</c:v>
                </c:pt>
                <c:pt idx="14">
                  <c:v>5.5549999999999997</c:v>
                </c:pt>
                <c:pt idx="15">
                  <c:v>5.5890000000000004</c:v>
                </c:pt>
                <c:pt idx="16">
                  <c:v>5.5659999999999998</c:v>
                </c:pt>
                <c:pt idx="17">
                  <c:v>5.56</c:v>
                </c:pt>
                <c:pt idx="18">
                  <c:v>5.5730000000000004</c:v>
                </c:pt>
                <c:pt idx="19">
                  <c:v>5.56</c:v>
                </c:pt>
                <c:pt idx="20">
                  <c:v>5.5279999999999996</c:v>
                </c:pt>
                <c:pt idx="21">
                  <c:v>5.5</c:v>
                </c:pt>
                <c:pt idx="22">
                  <c:v>5.5129999999999999</c:v>
                </c:pt>
                <c:pt idx="23">
                  <c:v>5.468</c:v>
                </c:pt>
                <c:pt idx="24">
                  <c:v>5.3849999999999998</c:v>
                </c:pt>
                <c:pt idx="25">
                  <c:v>5.3390000000000004</c:v>
                </c:pt>
                <c:pt idx="26">
                  <c:v>5.39</c:v>
                </c:pt>
                <c:pt idx="27">
                  <c:v>5.4349999999999996</c:v>
                </c:pt>
                <c:pt idx="28">
                  <c:v>5.4210000000000003</c:v>
                </c:pt>
                <c:pt idx="29">
                  <c:v>5.335</c:v>
                </c:pt>
                <c:pt idx="30">
                  <c:v>5.3129999999999997</c:v>
                </c:pt>
                <c:pt idx="31">
                  <c:v>5.2549999999999999</c:v>
                </c:pt>
                <c:pt idx="32">
                  <c:v>5.2809999999999997</c:v>
                </c:pt>
                <c:pt idx="33">
                  <c:v>5.3860000000000001</c:v>
                </c:pt>
                <c:pt idx="34">
                  <c:v>5.1929999999999996</c:v>
                </c:pt>
                <c:pt idx="35">
                  <c:v>5.258</c:v>
                </c:pt>
                <c:pt idx="36">
                  <c:v>5.2009999999999996</c:v>
                </c:pt>
                <c:pt idx="37">
                  <c:v>5.15</c:v>
                </c:pt>
                <c:pt idx="38">
                  <c:v>5.2060000000000004</c:v>
                </c:pt>
                <c:pt idx="39">
                  <c:v>5.2539999999999996</c:v>
                </c:pt>
                <c:pt idx="40">
                  <c:v>5.2869999999999999</c:v>
                </c:pt>
                <c:pt idx="41">
                  <c:v>5.3289999999999997</c:v>
                </c:pt>
                <c:pt idx="42">
                  <c:v>5.3070000000000004</c:v>
                </c:pt>
                <c:pt idx="43">
                  <c:v>5.3220000000000001</c:v>
                </c:pt>
                <c:pt idx="44">
                  <c:v>5.2880000000000003</c:v>
                </c:pt>
                <c:pt idx="45">
                  <c:v>5.2130000000000001</c:v>
                </c:pt>
                <c:pt idx="46">
                  <c:v>5.2069999999999999</c:v>
                </c:pt>
                <c:pt idx="47">
                  <c:v>5.1790000000000003</c:v>
                </c:pt>
                <c:pt idx="48">
                  <c:v>5.1779999999999999</c:v>
                </c:pt>
                <c:pt idx="49">
                  <c:v>5.1159999999999997</c:v>
                </c:pt>
                <c:pt idx="50">
                  <c:v>5.1189999999999998</c:v>
                </c:pt>
                <c:pt idx="51">
                  <c:v>5.12</c:v>
                </c:pt>
                <c:pt idx="52">
                  <c:v>5.181</c:v>
                </c:pt>
                <c:pt idx="53">
                  <c:v>5.2039999999999997</c:v>
                </c:pt>
                <c:pt idx="54">
                  <c:v>5.2789999999999999</c:v>
                </c:pt>
                <c:pt idx="55">
                  <c:v>5.343</c:v>
                </c:pt>
                <c:pt idx="56">
                  <c:v>5.3570000000000002</c:v>
                </c:pt>
                <c:pt idx="57">
                  <c:v>5.3150000000000004</c:v>
                </c:pt>
                <c:pt idx="58">
                  <c:v>5.2690000000000001</c:v>
                </c:pt>
                <c:pt idx="59">
                  <c:v>5.359</c:v>
                </c:pt>
                <c:pt idx="60">
                  <c:v>5.3310000000000004</c:v>
                </c:pt>
                <c:pt idx="61">
                  <c:v>5.3869999999999996</c:v>
                </c:pt>
                <c:pt idx="62">
                  <c:v>5.4740000000000002</c:v>
                </c:pt>
                <c:pt idx="63">
                  <c:v>5.4420000000000002</c:v>
                </c:pt>
                <c:pt idx="64">
                  <c:v>5.5060000000000002</c:v>
                </c:pt>
                <c:pt idx="65">
                  <c:v>5.52</c:v>
                </c:pt>
                <c:pt idx="66">
                  <c:v>5.601</c:v>
                </c:pt>
                <c:pt idx="67">
                  <c:v>5.601</c:v>
                </c:pt>
                <c:pt idx="68">
                  <c:v>5.4050000000000002</c:v>
                </c:pt>
                <c:pt idx="69">
                  <c:v>5.5709999999999997</c:v>
                </c:pt>
                <c:pt idx="70">
                  <c:v>5.5380000000000003</c:v>
                </c:pt>
                <c:pt idx="71">
                  <c:v>5.5350000000000001</c:v>
                </c:pt>
                <c:pt idx="72">
                  <c:v>5.55</c:v>
                </c:pt>
                <c:pt idx="73">
                  <c:v>5.4939999999999998</c:v>
                </c:pt>
                <c:pt idx="74">
                  <c:v>5.6420000000000003</c:v>
                </c:pt>
                <c:pt idx="75">
                  <c:v>5.6689999999999996</c:v>
                </c:pt>
                <c:pt idx="76">
                  <c:v>5.5880000000000001</c:v>
                </c:pt>
                <c:pt idx="77">
                  <c:v>5.6029999999999998</c:v>
                </c:pt>
                <c:pt idx="78">
                  <c:v>5.5590000000000002</c:v>
                </c:pt>
                <c:pt idx="79">
                  <c:v>5.51</c:v>
                </c:pt>
                <c:pt idx="80">
                  <c:v>5.5810000000000004</c:v>
                </c:pt>
                <c:pt idx="81">
                  <c:v>5.6340000000000003</c:v>
                </c:pt>
                <c:pt idx="82">
                  <c:v>5.48</c:v>
                </c:pt>
                <c:pt idx="83">
                  <c:v>5.4989999999999997</c:v>
                </c:pt>
                <c:pt idx="84">
                  <c:v>5.4</c:v>
                </c:pt>
                <c:pt idx="85">
                  <c:v>5.359</c:v>
                </c:pt>
                <c:pt idx="86">
                  <c:v>5.3650000000000002</c:v>
                </c:pt>
                <c:pt idx="87">
                  <c:v>5.3650000000000002</c:v>
                </c:pt>
                <c:pt idx="88">
                  <c:v>5.2670000000000003</c:v>
                </c:pt>
                <c:pt idx="89">
                  <c:v>5.1970000000000001</c:v>
                </c:pt>
                <c:pt idx="90">
                  <c:v>5.2009999999999996</c:v>
                </c:pt>
                <c:pt idx="91">
                  <c:v>5.13</c:v>
                </c:pt>
                <c:pt idx="92">
                  <c:v>5.0590000000000002</c:v>
                </c:pt>
                <c:pt idx="93">
                  <c:v>4.9829999999999997</c:v>
                </c:pt>
                <c:pt idx="94">
                  <c:v>4.9889999999999999</c:v>
                </c:pt>
                <c:pt idx="95">
                  <c:v>5.0620000000000003</c:v>
                </c:pt>
                <c:pt idx="96">
                  <c:v>5.141</c:v>
                </c:pt>
                <c:pt idx="97">
                  <c:v>5.1040000000000001</c:v>
                </c:pt>
                <c:pt idx="98">
                  <c:v>5.0650000000000004</c:v>
                </c:pt>
                <c:pt idx="99">
                  <c:v>5.0540000000000003</c:v>
                </c:pt>
                <c:pt idx="100">
                  <c:v>5.069</c:v>
                </c:pt>
                <c:pt idx="101">
                  <c:v>5.1509999999999998</c:v>
                </c:pt>
                <c:pt idx="102">
                  <c:v>5.1529999999999996</c:v>
                </c:pt>
                <c:pt idx="103">
                  <c:v>5.0469999999999997</c:v>
                </c:pt>
                <c:pt idx="104">
                  <c:v>5.0030000000000001</c:v>
                </c:pt>
                <c:pt idx="105">
                  <c:v>5.109</c:v>
                </c:pt>
                <c:pt idx="106">
                  <c:v>5.0999999999999996</c:v>
                </c:pt>
                <c:pt idx="107">
                  <c:v>5.0670000000000002</c:v>
                </c:pt>
                <c:pt idx="108">
                  <c:v>5.1379999999999999</c:v>
                </c:pt>
                <c:pt idx="109">
                  <c:v>5.2850000000000001</c:v>
                </c:pt>
                <c:pt idx="110">
                  <c:v>5.2110000000000003</c:v>
                </c:pt>
                <c:pt idx="111">
                  <c:v>5.2880000000000003</c:v>
                </c:pt>
                <c:pt idx="112">
                  <c:v>5.3470000000000004</c:v>
                </c:pt>
                <c:pt idx="113">
                  <c:v>5.3970000000000002</c:v>
                </c:pt>
                <c:pt idx="114">
                  <c:v>5.4630000000000001</c:v>
                </c:pt>
                <c:pt idx="115">
                  <c:v>5.4749999999999996</c:v>
                </c:pt>
                <c:pt idx="116">
                  <c:v>5.452</c:v>
                </c:pt>
                <c:pt idx="117">
                  <c:v>5.51</c:v>
                </c:pt>
                <c:pt idx="118">
                  <c:v>5.4710000000000001</c:v>
                </c:pt>
                <c:pt idx="119">
                  <c:v>5.3390000000000004</c:v>
                </c:pt>
                <c:pt idx="120">
                  <c:v>5.2770000000000001</c:v>
                </c:pt>
                <c:pt idx="121">
                  <c:v>5.2729999999999997</c:v>
                </c:pt>
                <c:pt idx="122">
                  <c:v>5.2949999999999999</c:v>
                </c:pt>
                <c:pt idx="123">
                  <c:v>5.1710000000000003</c:v>
                </c:pt>
                <c:pt idx="124">
                  <c:v>5.0709999999999997</c:v>
                </c:pt>
                <c:pt idx="125">
                  <c:v>4.984</c:v>
                </c:pt>
                <c:pt idx="126">
                  <c:v>4.9880000000000004</c:v>
                </c:pt>
                <c:pt idx="127">
                  <c:v>4.9939999999999998</c:v>
                </c:pt>
                <c:pt idx="128">
                  <c:v>5.0549999999999997</c:v>
                </c:pt>
                <c:pt idx="129">
                  <c:v>5.0599999999999996</c:v>
                </c:pt>
                <c:pt idx="130">
                  <c:v>5.0170000000000003</c:v>
                </c:pt>
                <c:pt idx="131">
                  <c:v>5.0190000000000001</c:v>
                </c:pt>
                <c:pt idx="132">
                  <c:v>5.157</c:v>
                </c:pt>
                <c:pt idx="133">
                  <c:v>5.2110000000000003</c:v>
                </c:pt>
                <c:pt idx="134">
                  <c:v>5.117</c:v>
                </c:pt>
                <c:pt idx="135">
                  <c:v>5.2069999999999999</c:v>
                </c:pt>
                <c:pt idx="136">
                  <c:v>5.3739999999999997</c:v>
                </c:pt>
                <c:pt idx="137">
                  <c:v>5.4470000000000001</c:v>
                </c:pt>
                <c:pt idx="138">
                  <c:v>5.3460000000000001</c:v>
                </c:pt>
                <c:pt idx="139">
                  <c:v>5.3360000000000003</c:v>
                </c:pt>
                <c:pt idx="140">
                  <c:v>5.2450000000000001</c:v>
                </c:pt>
                <c:pt idx="141">
                  <c:v>5.415</c:v>
                </c:pt>
                <c:pt idx="142">
                  <c:v>5.5439999999999996</c:v>
                </c:pt>
                <c:pt idx="143">
                  <c:v>5.5519999999999996</c:v>
                </c:pt>
                <c:pt idx="144">
                  <c:v>5.5140000000000002</c:v>
                </c:pt>
                <c:pt idx="145">
                  <c:v>5.492</c:v>
                </c:pt>
                <c:pt idx="146">
                  <c:v>5.5990000000000002</c:v>
                </c:pt>
                <c:pt idx="147">
                  <c:v>5.7350000000000003</c:v>
                </c:pt>
                <c:pt idx="148">
                  <c:v>5.76</c:v>
                </c:pt>
                <c:pt idx="149">
                  <c:v>6.0259999999999998</c:v>
                </c:pt>
                <c:pt idx="150">
                  <c:v>6.016</c:v>
                </c:pt>
                <c:pt idx="151">
                  <c:v>6.0529999999999999</c:v>
                </c:pt>
                <c:pt idx="152">
                  <c:v>6.0069999999999997</c:v>
                </c:pt>
                <c:pt idx="153">
                  <c:v>5.99</c:v>
                </c:pt>
                <c:pt idx="154">
                  <c:v>5.9080000000000004</c:v>
                </c:pt>
                <c:pt idx="155">
                  <c:v>5.8769999999999998</c:v>
                </c:pt>
                <c:pt idx="156">
                  <c:v>5.97</c:v>
                </c:pt>
                <c:pt idx="157">
                  <c:v>5.9269999999999996</c:v>
                </c:pt>
                <c:pt idx="158">
                  <c:v>5.915</c:v>
                </c:pt>
                <c:pt idx="159">
                  <c:v>5.9829999999999997</c:v>
                </c:pt>
                <c:pt idx="160">
                  <c:v>6.0910000000000002</c:v>
                </c:pt>
                <c:pt idx="161">
                  <c:v>6.2119999999999997</c:v>
                </c:pt>
                <c:pt idx="162">
                  <c:v>6.2160000000000002</c:v>
                </c:pt>
                <c:pt idx="163">
                  <c:v>6.1180000000000003</c:v>
                </c:pt>
                <c:pt idx="164">
                  <c:v>6.0209999999999999</c:v>
                </c:pt>
                <c:pt idx="165">
                  <c:v>5.88</c:v>
                </c:pt>
                <c:pt idx="166">
                  <c:v>5.9180000000000001</c:v>
                </c:pt>
                <c:pt idx="167">
                  <c:v>5.952</c:v>
                </c:pt>
                <c:pt idx="168">
                  <c:v>5.883</c:v>
                </c:pt>
                <c:pt idx="169">
                  <c:v>5.835</c:v>
                </c:pt>
                <c:pt idx="170">
                  <c:v>5.7830000000000004</c:v>
                </c:pt>
                <c:pt idx="171">
                  <c:v>5.6970000000000001</c:v>
                </c:pt>
                <c:pt idx="172">
                  <c:v>5.5940000000000003</c:v>
                </c:pt>
                <c:pt idx="173">
                  <c:v>5.6260000000000003</c:v>
                </c:pt>
                <c:pt idx="174">
                  <c:v>5.5940000000000003</c:v>
                </c:pt>
                <c:pt idx="175">
                  <c:v>5.6440000000000001</c:v>
                </c:pt>
                <c:pt idx="176">
                  <c:v>5.7569999999999997</c:v>
                </c:pt>
                <c:pt idx="177">
                  <c:v>5.7850000000000001</c:v>
                </c:pt>
                <c:pt idx="178">
                  <c:v>5.68</c:v>
                </c:pt>
                <c:pt idx="179">
                  <c:v>5.7789999999999999</c:v>
                </c:pt>
                <c:pt idx="180">
                  <c:v>5.6260000000000003</c:v>
                </c:pt>
                <c:pt idx="181">
                  <c:v>5.5389999999999997</c:v>
                </c:pt>
                <c:pt idx="182">
                  <c:v>5.5259999999999998</c:v>
                </c:pt>
                <c:pt idx="183">
                  <c:v>5.3730000000000002</c:v>
                </c:pt>
                <c:pt idx="184">
                  <c:v>5.4329999999999998</c:v>
                </c:pt>
                <c:pt idx="185">
                  <c:v>5.3650000000000002</c:v>
                </c:pt>
                <c:pt idx="186">
                  <c:v>5.3970000000000002</c:v>
                </c:pt>
                <c:pt idx="187">
                  <c:v>5.3550000000000004</c:v>
                </c:pt>
                <c:pt idx="188">
                  <c:v>5.319</c:v>
                </c:pt>
                <c:pt idx="189">
                  <c:v>5.3609999999999998</c:v>
                </c:pt>
                <c:pt idx="190">
                  <c:v>5.3179999999999996</c:v>
                </c:pt>
                <c:pt idx="191">
                  <c:v>5.306</c:v>
                </c:pt>
                <c:pt idx="192">
                  <c:v>5.3659999999999997</c:v>
                </c:pt>
                <c:pt idx="193">
                  <c:v>5.2919999999999998</c:v>
                </c:pt>
                <c:pt idx="194">
                  <c:v>5.423</c:v>
                </c:pt>
                <c:pt idx="195">
                  <c:v>5.218</c:v>
                </c:pt>
                <c:pt idx="196">
                  <c:v>5.2969999999999997</c:v>
                </c:pt>
                <c:pt idx="197">
                  <c:v>5.1390000000000002</c:v>
                </c:pt>
                <c:pt idx="198">
                  <c:v>5.0839999999999996</c:v>
                </c:pt>
                <c:pt idx="199">
                  <c:v>5.0949999999999998</c:v>
                </c:pt>
                <c:pt idx="200">
                  <c:v>5</c:v>
                </c:pt>
                <c:pt idx="201">
                  <c:v>4.9930000000000003</c:v>
                </c:pt>
                <c:pt idx="202">
                  <c:v>5.101</c:v>
                </c:pt>
                <c:pt idx="203">
                  <c:v>5.069</c:v>
                </c:pt>
                <c:pt idx="204">
                  <c:v>5.048</c:v>
                </c:pt>
                <c:pt idx="205">
                  <c:v>4.984</c:v>
                </c:pt>
                <c:pt idx="206">
                  <c:v>4.8479999999999999</c:v>
                </c:pt>
                <c:pt idx="207">
                  <c:v>4.8689999999999998</c:v>
                </c:pt>
                <c:pt idx="208">
                  <c:v>4.774</c:v>
                </c:pt>
                <c:pt idx="209">
                  <c:v>4.7709999999999999</c:v>
                </c:pt>
                <c:pt idx="210">
                  <c:v>4.7539999999999996</c:v>
                </c:pt>
                <c:pt idx="211">
                  <c:v>4.8239999999999998</c:v>
                </c:pt>
                <c:pt idx="212">
                  <c:v>4.7960000000000003</c:v>
                </c:pt>
                <c:pt idx="213">
                  <c:v>4.7910000000000004</c:v>
                </c:pt>
                <c:pt idx="214">
                  <c:v>4.782</c:v>
                </c:pt>
                <c:pt idx="215">
                  <c:v>4.851</c:v>
                </c:pt>
                <c:pt idx="216">
                  <c:v>4.7130000000000001</c:v>
                </c:pt>
                <c:pt idx="217">
                  <c:v>4.7030000000000003</c:v>
                </c:pt>
                <c:pt idx="218">
                  <c:v>4.7939999999999996</c:v>
                </c:pt>
                <c:pt idx="219">
                  <c:v>4.665</c:v>
                </c:pt>
                <c:pt idx="220">
                  <c:v>4.76</c:v>
                </c:pt>
                <c:pt idx="221">
                  <c:v>4.7640000000000002</c:v>
                </c:pt>
                <c:pt idx="222">
                  <c:v>4.7889999999999997</c:v>
                </c:pt>
                <c:pt idx="223">
                  <c:v>4.8719999999999999</c:v>
                </c:pt>
                <c:pt idx="224">
                  <c:v>4.843</c:v>
                </c:pt>
                <c:pt idx="225">
                  <c:v>4.7240000000000002</c:v>
                </c:pt>
                <c:pt idx="226">
                  <c:v>4.8220000000000001</c:v>
                </c:pt>
                <c:pt idx="227">
                  <c:v>4.92</c:v>
                </c:pt>
                <c:pt idx="228">
                  <c:v>4.9560000000000004</c:v>
                </c:pt>
                <c:pt idx="229">
                  <c:v>4.9210000000000003</c:v>
                </c:pt>
                <c:pt idx="230">
                  <c:v>4.9400000000000004</c:v>
                </c:pt>
                <c:pt idx="231">
                  <c:v>4.9930000000000003</c:v>
                </c:pt>
                <c:pt idx="232">
                  <c:v>4.9379999999999997</c:v>
                </c:pt>
                <c:pt idx="233">
                  <c:v>4.9950000000000001</c:v>
                </c:pt>
                <c:pt idx="234">
                  <c:v>5.0069999999999997</c:v>
                </c:pt>
                <c:pt idx="235">
                  <c:v>5.0810000000000004</c:v>
                </c:pt>
                <c:pt idx="236">
                  <c:v>5.101</c:v>
                </c:pt>
                <c:pt idx="237">
                  <c:v>5.0609999999999999</c:v>
                </c:pt>
                <c:pt idx="238">
                  <c:v>5.0570000000000004</c:v>
                </c:pt>
                <c:pt idx="239">
                  <c:v>5.0919999999999996</c:v>
                </c:pt>
                <c:pt idx="240">
                  <c:v>5.1180000000000003</c:v>
                </c:pt>
                <c:pt idx="241">
                  <c:v>5.1310000000000002</c:v>
                </c:pt>
                <c:pt idx="242">
                  <c:v>5.1829999999999998</c:v>
                </c:pt>
                <c:pt idx="243">
                  <c:v>5.1470000000000002</c:v>
                </c:pt>
                <c:pt idx="244">
                  <c:v>5.1520000000000001</c:v>
                </c:pt>
                <c:pt idx="245">
                  <c:v>5.1130000000000004</c:v>
                </c:pt>
                <c:pt idx="246">
                  <c:v>5.1360000000000001</c:v>
                </c:pt>
                <c:pt idx="247">
                  <c:v>5.2370000000000001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51-4831-8389-661DB93E5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129440"/>
        <c:axId val="871129768"/>
      </c:lineChart>
      <c:dateAx>
        <c:axId val="8711294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29768"/>
        <c:crosses val="autoZero"/>
        <c:auto val="1"/>
        <c:lblOffset val="100"/>
        <c:baseTimeUnit val="days"/>
      </c:dateAx>
      <c:valAx>
        <c:axId val="871129768"/>
        <c:scaling>
          <c:orientation val="minMax"/>
          <c:max val="6.5"/>
          <c:min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29440"/>
        <c:crosses val="autoZero"/>
        <c:crossBetween val="between"/>
        <c:majorUnit val="0.5"/>
      </c:valAx>
      <c:spPr>
        <a:solidFill>
          <a:schemeClr val="tx1">
            <a:lumMod val="65000"/>
            <a:lumOff val="3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Short</a:t>
            </a:r>
            <a:r>
              <a:rPr lang="en-US" baseline="0"/>
              <a:t> Bond YTW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'Bond Yield time series'!$C$3</c:f>
              <c:strCache>
                <c:ptCount val="1"/>
                <c:pt idx="0">
                  <c:v>ABIBB 2026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'Bond Yield time series'!$B$4:$B$251</c:f>
              <c:numCache>
                <c:formatCode>m/d/yyyy</c:formatCode>
                <c:ptCount val="248"/>
                <c:pt idx="0">
                  <c:v>45093</c:v>
                </c:pt>
                <c:pt idx="1">
                  <c:v>45092</c:v>
                </c:pt>
                <c:pt idx="2">
                  <c:v>45091</c:v>
                </c:pt>
                <c:pt idx="3">
                  <c:v>45090</c:v>
                </c:pt>
                <c:pt idx="4">
                  <c:v>45089</c:v>
                </c:pt>
                <c:pt idx="5">
                  <c:v>45086</c:v>
                </c:pt>
                <c:pt idx="6">
                  <c:v>45085</c:v>
                </c:pt>
                <c:pt idx="7">
                  <c:v>45084</c:v>
                </c:pt>
                <c:pt idx="8">
                  <c:v>45083</c:v>
                </c:pt>
                <c:pt idx="9">
                  <c:v>45082</c:v>
                </c:pt>
                <c:pt idx="10">
                  <c:v>45079</c:v>
                </c:pt>
                <c:pt idx="11">
                  <c:v>45078</c:v>
                </c:pt>
                <c:pt idx="12">
                  <c:v>45077</c:v>
                </c:pt>
                <c:pt idx="13">
                  <c:v>45076</c:v>
                </c:pt>
                <c:pt idx="14">
                  <c:v>45072</c:v>
                </c:pt>
                <c:pt idx="15">
                  <c:v>45071</c:v>
                </c:pt>
                <c:pt idx="16">
                  <c:v>45070</c:v>
                </c:pt>
                <c:pt idx="17">
                  <c:v>45069</c:v>
                </c:pt>
                <c:pt idx="18">
                  <c:v>45068</c:v>
                </c:pt>
                <c:pt idx="19">
                  <c:v>45065</c:v>
                </c:pt>
                <c:pt idx="20">
                  <c:v>45064</c:v>
                </c:pt>
                <c:pt idx="21">
                  <c:v>45063</c:v>
                </c:pt>
                <c:pt idx="22">
                  <c:v>45062</c:v>
                </c:pt>
                <c:pt idx="23">
                  <c:v>45061</c:v>
                </c:pt>
                <c:pt idx="24">
                  <c:v>45058</c:v>
                </c:pt>
                <c:pt idx="25">
                  <c:v>45057</c:v>
                </c:pt>
                <c:pt idx="26">
                  <c:v>45056</c:v>
                </c:pt>
                <c:pt idx="27">
                  <c:v>45055</c:v>
                </c:pt>
                <c:pt idx="28">
                  <c:v>45054</c:v>
                </c:pt>
                <c:pt idx="29">
                  <c:v>45051</c:v>
                </c:pt>
                <c:pt idx="30">
                  <c:v>45050</c:v>
                </c:pt>
                <c:pt idx="31">
                  <c:v>45049</c:v>
                </c:pt>
                <c:pt idx="32">
                  <c:v>45048</c:v>
                </c:pt>
                <c:pt idx="33">
                  <c:v>45047</c:v>
                </c:pt>
                <c:pt idx="34">
                  <c:v>45044</c:v>
                </c:pt>
                <c:pt idx="35">
                  <c:v>45043</c:v>
                </c:pt>
                <c:pt idx="36">
                  <c:v>45042</c:v>
                </c:pt>
                <c:pt idx="37">
                  <c:v>45041</c:v>
                </c:pt>
                <c:pt idx="38">
                  <c:v>45040</c:v>
                </c:pt>
                <c:pt idx="39">
                  <c:v>45037</c:v>
                </c:pt>
                <c:pt idx="40">
                  <c:v>45036</c:v>
                </c:pt>
                <c:pt idx="41">
                  <c:v>45035</c:v>
                </c:pt>
                <c:pt idx="42">
                  <c:v>45034</c:v>
                </c:pt>
                <c:pt idx="43">
                  <c:v>45033</c:v>
                </c:pt>
                <c:pt idx="44">
                  <c:v>45030</c:v>
                </c:pt>
                <c:pt idx="45">
                  <c:v>45029</c:v>
                </c:pt>
                <c:pt idx="46">
                  <c:v>45028</c:v>
                </c:pt>
                <c:pt idx="47">
                  <c:v>45027</c:v>
                </c:pt>
                <c:pt idx="48">
                  <c:v>45026</c:v>
                </c:pt>
                <c:pt idx="49">
                  <c:v>45022</c:v>
                </c:pt>
                <c:pt idx="50">
                  <c:v>45021</c:v>
                </c:pt>
                <c:pt idx="51">
                  <c:v>45020</c:v>
                </c:pt>
                <c:pt idx="52">
                  <c:v>45019</c:v>
                </c:pt>
                <c:pt idx="53">
                  <c:v>45016</c:v>
                </c:pt>
                <c:pt idx="54">
                  <c:v>45015</c:v>
                </c:pt>
                <c:pt idx="55">
                  <c:v>45014</c:v>
                </c:pt>
                <c:pt idx="56">
                  <c:v>45013</c:v>
                </c:pt>
                <c:pt idx="57">
                  <c:v>45012</c:v>
                </c:pt>
                <c:pt idx="58">
                  <c:v>45009</c:v>
                </c:pt>
                <c:pt idx="59">
                  <c:v>45008</c:v>
                </c:pt>
                <c:pt idx="60">
                  <c:v>45007</c:v>
                </c:pt>
                <c:pt idx="61">
                  <c:v>45006</c:v>
                </c:pt>
                <c:pt idx="62">
                  <c:v>45005</c:v>
                </c:pt>
                <c:pt idx="63">
                  <c:v>45002</c:v>
                </c:pt>
                <c:pt idx="64">
                  <c:v>45001</c:v>
                </c:pt>
                <c:pt idx="65">
                  <c:v>45000</c:v>
                </c:pt>
                <c:pt idx="66">
                  <c:v>44999</c:v>
                </c:pt>
                <c:pt idx="67">
                  <c:v>44998</c:v>
                </c:pt>
                <c:pt idx="68">
                  <c:v>44995</c:v>
                </c:pt>
                <c:pt idx="69">
                  <c:v>44994</c:v>
                </c:pt>
                <c:pt idx="70">
                  <c:v>44993</c:v>
                </c:pt>
                <c:pt idx="71">
                  <c:v>44992</c:v>
                </c:pt>
                <c:pt idx="72">
                  <c:v>44991</c:v>
                </c:pt>
                <c:pt idx="73">
                  <c:v>44988</c:v>
                </c:pt>
                <c:pt idx="74">
                  <c:v>44987</c:v>
                </c:pt>
                <c:pt idx="75">
                  <c:v>44986</c:v>
                </c:pt>
                <c:pt idx="76">
                  <c:v>44985</c:v>
                </c:pt>
                <c:pt idx="77">
                  <c:v>44984</c:v>
                </c:pt>
                <c:pt idx="78">
                  <c:v>44981</c:v>
                </c:pt>
                <c:pt idx="79">
                  <c:v>44980</c:v>
                </c:pt>
                <c:pt idx="80">
                  <c:v>44979</c:v>
                </c:pt>
                <c:pt idx="81">
                  <c:v>44978</c:v>
                </c:pt>
                <c:pt idx="82">
                  <c:v>44974</c:v>
                </c:pt>
                <c:pt idx="83">
                  <c:v>44973</c:v>
                </c:pt>
                <c:pt idx="84">
                  <c:v>44972</c:v>
                </c:pt>
                <c:pt idx="85">
                  <c:v>44971</c:v>
                </c:pt>
                <c:pt idx="86">
                  <c:v>44970</c:v>
                </c:pt>
                <c:pt idx="87">
                  <c:v>44967</c:v>
                </c:pt>
                <c:pt idx="88">
                  <c:v>44966</c:v>
                </c:pt>
                <c:pt idx="89">
                  <c:v>44965</c:v>
                </c:pt>
                <c:pt idx="90">
                  <c:v>44964</c:v>
                </c:pt>
                <c:pt idx="91">
                  <c:v>44963</c:v>
                </c:pt>
                <c:pt idx="92">
                  <c:v>44960</c:v>
                </c:pt>
                <c:pt idx="93">
                  <c:v>44959</c:v>
                </c:pt>
                <c:pt idx="94">
                  <c:v>44958</c:v>
                </c:pt>
                <c:pt idx="95">
                  <c:v>44957</c:v>
                </c:pt>
                <c:pt idx="96">
                  <c:v>44956</c:v>
                </c:pt>
                <c:pt idx="97">
                  <c:v>44953</c:v>
                </c:pt>
                <c:pt idx="98">
                  <c:v>44952</c:v>
                </c:pt>
                <c:pt idx="99">
                  <c:v>44951</c:v>
                </c:pt>
                <c:pt idx="100">
                  <c:v>44950</c:v>
                </c:pt>
                <c:pt idx="101">
                  <c:v>44949</c:v>
                </c:pt>
                <c:pt idx="102">
                  <c:v>44946</c:v>
                </c:pt>
                <c:pt idx="103">
                  <c:v>44945</c:v>
                </c:pt>
                <c:pt idx="104">
                  <c:v>44944</c:v>
                </c:pt>
                <c:pt idx="105">
                  <c:v>44943</c:v>
                </c:pt>
                <c:pt idx="106">
                  <c:v>44939</c:v>
                </c:pt>
                <c:pt idx="107">
                  <c:v>44938</c:v>
                </c:pt>
                <c:pt idx="108">
                  <c:v>44937</c:v>
                </c:pt>
                <c:pt idx="109">
                  <c:v>44936</c:v>
                </c:pt>
                <c:pt idx="110">
                  <c:v>44935</c:v>
                </c:pt>
                <c:pt idx="111">
                  <c:v>44932</c:v>
                </c:pt>
                <c:pt idx="112">
                  <c:v>44931</c:v>
                </c:pt>
                <c:pt idx="113">
                  <c:v>44930</c:v>
                </c:pt>
                <c:pt idx="114">
                  <c:v>44929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44918</c:v>
                </c:pt>
                <c:pt idx="120">
                  <c:v>44917</c:v>
                </c:pt>
                <c:pt idx="121">
                  <c:v>44916</c:v>
                </c:pt>
                <c:pt idx="122">
                  <c:v>44915</c:v>
                </c:pt>
                <c:pt idx="123">
                  <c:v>44914</c:v>
                </c:pt>
                <c:pt idx="124">
                  <c:v>44911</c:v>
                </c:pt>
                <c:pt idx="125">
                  <c:v>44910</c:v>
                </c:pt>
                <c:pt idx="126">
                  <c:v>44909</c:v>
                </c:pt>
                <c:pt idx="127">
                  <c:v>44908</c:v>
                </c:pt>
                <c:pt idx="128">
                  <c:v>44907</c:v>
                </c:pt>
                <c:pt idx="129">
                  <c:v>44904</c:v>
                </c:pt>
                <c:pt idx="130">
                  <c:v>44903</c:v>
                </c:pt>
                <c:pt idx="131">
                  <c:v>44902</c:v>
                </c:pt>
                <c:pt idx="132">
                  <c:v>44901</c:v>
                </c:pt>
                <c:pt idx="133">
                  <c:v>44900</c:v>
                </c:pt>
                <c:pt idx="134">
                  <c:v>44897</c:v>
                </c:pt>
                <c:pt idx="135">
                  <c:v>44896</c:v>
                </c:pt>
                <c:pt idx="136">
                  <c:v>44895</c:v>
                </c:pt>
                <c:pt idx="137">
                  <c:v>44894</c:v>
                </c:pt>
                <c:pt idx="138">
                  <c:v>44893</c:v>
                </c:pt>
                <c:pt idx="139">
                  <c:v>44890</c:v>
                </c:pt>
                <c:pt idx="140">
                  <c:v>44888</c:v>
                </c:pt>
                <c:pt idx="141">
                  <c:v>44887</c:v>
                </c:pt>
                <c:pt idx="142">
                  <c:v>44886</c:v>
                </c:pt>
                <c:pt idx="143">
                  <c:v>44883</c:v>
                </c:pt>
                <c:pt idx="144">
                  <c:v>44882</c:v>
                </c:pt>
                <c:pt idx="145">
                  <c:v>44881</c:v>
                </c:pt>
                <c:pt idx="146">
                  <c:v>44880</c:v>
                </c:pt>
                <c:pt idx="147">
                  <c:v>44879</c:v>
                </c:pt>
                <c:pt idx="148">
                  <c:v>44875</c:v>
                </c:pt>
                <c:pt idx="149">
                  <c:v>44874</c:v>
                </c:pt>
                <c:pt idx="150">
                  <c:v>44873</c:v>
                </c:pt>
                <c:pt idx="151">
                  <c:v>44872</c:v>
                </c:pt>
                <c:pt idx="152">
                  <c:v>44869</c:v>
                </c:pt>
                <c:pt idx="153">
                  <c:v>44868</c:v>
                </c:pt>
                <c:pt idx="154">
                  <c:v>44867</c:v>
                </c:pt>
                <c:pt idx="155">
                  <c:v>44866</c:v>
                </c:pt>
                <c:pt idx="156">
                  <c:v>44865</c:v>
                </c:pt>
                <c:pt idx="157">
                  <c:v>44862</c:v>
                </c:pt>
                <c:pt idx="158">
                  <c:v>44861</c:v>
                </c:pt>
                <c:pt idx="159">
                  <c:v>44860</c:v>
                </c:pt>
                <c:pt idx="160">
                  <c:v>44859</c:v>
                </c:pt>
                <c:pt idx="161">
                  <c:v>44858</c:v>
                </c:pt>
                <c:pt idx="162">
                  <c:v>44855</c:v>
                </c:pt>
                <c:pt idx="163">
                  <c:v>44854</c:v>
                </c:pt>
                <c:pt idx="164">
                  <c:v>44853</c:v>
                </c:pt>
                <c:pt idx="165">
                  <c:v>44852</c:v>
                </c:pt>
                <c:pt idx="166">
                  <c:v>44851</c:v>
                </c:pt>
                <c:pt idx="167">
                  <c:v>44848</c:v>
                </c:pt>
                <c:pt idx="168">
                  <c:v>44847</c:v>
                </c:pt>
                <c:pt idx="169">
                  <c:v>44846</c:v>
                </c:pt>
                <c:pt idx="170">
                  <c:v>44845</c:v>
                </c:pt>
                <c:pt idx="171">
                  <c:v>44841</c:v>
                </c:pt>
                <c:pt idx="172">
                  <c:v>44840</c:v>
                </c:pt>
                <c:pt idx="173">
                  <c:v>44839</c:v>
                </c:pt>
                <c:pt idx="174">
                  <c:v>44838</c:v>
                </c:pt>
                <c:pt idx="175">
                  <c:v>44837</c:v>
                </c:pt>
                <c:pt idx="176">
                  <c:v>44834</c:v>
                </c:pt>
                <c:pt idx="177">
                  <c:v>44833</c:v>
                </c:pt>
                <c:pt idx="178">
                  <c:v>44832</c:v>
                </c:pt>
                <c:pt idx="179">
                  <c:v>44831</c:v>
                </c:pt>
                <c:pt idx="180">
                  <c:v>44830</c:v>
                </c:pt>
                <c:pt idx="181">
                  <c:v>44827</c:v>
                </c:pt>
                <c:pt idx="182">
                  <c:v>44826</c:v>
                </c:pt>
                <c:pt idx="183">
                  <c:v>44825</c:v>
                </c:pt>
                <c:pt idx="184">
                  <c:v>44824</c:v>
                </c:pt>
                <c:pt idx="185">
                  <c:v>44823</c:v>
                </c:pt>
                <c:pt idx="186">
                  <c:v>44820</c:v>
                </c:pt>
                <c:pt idx="187">
                  <c:v>44819</c:v>
                </c:pt>
                <c:pt idx="188">
                  <c:v>44818</c:v>
                </c:pt>
                <c:pt idx="189">
                  <c:v>44817</c:v>
                </c:pt>
                <c:pt idx="190">
                  <c:v>44816</c:v>
                </c:pt>
                <c:pt idx="191">
                  <c:v>44813</c:v>
                </c:pt>
                <c:pt idx="192">
                  <c:v>44812</c:v>
                </c:pt>
                <c:pt idx="193">
                  <c:v>44811</c:v>
                </c:pt>
                <c:pt idx="194">
                  <c:v>44810</c:v>
                </c:pt>
                <c:pt idx="195">
                  <c:v>44806</c:v>
                </c:pt>
                <c:pt idx="196">
                  <c:v>44805</c:v>
                </c:pt>
                <c:pt idx="197">
                  <c:v>44804</c:v>
                </c:pt>
                <c:pt idx="198">
                  <c:v>44803</c:v>
                </c:pt>
                <c:pt idx="199">
                  <c:v>44802</c:v>
                </c:pt>
                <c:pt idx="200">
                  <c:v>44799</c:v>
                </c:pt>
                <c:pt idx="201">
                  <c:v>44798</c:v>
                </c:pt>
                <c:pt idx="202">
                  <c:v>44797</c:v>
                </c:pt>
                <c:pt idx="203">
                  <c:v>44796</c:v>
                </c:pt>
                <c:pt idx="204">
                  <c:v>44795</c:v>
                </c:pt>
                <c:pt idx="205">
                  <c:v>44792</c:v>
                </c:pt>
                <c:pt idx="206">
                  <c:v>44791</c:v>
                </c:pt>
                <c:pt idx="207">
                  <c:v>44790</c:v>
                </c:pt>
                <c:pt idx="208">
                  <c:v>44789</c:v>
                </c:pt>
                <c:pt idx="209">
                  <c:v>44788</c:v>
                </c:pt>
                <c:pt idx="210">
                  <c:v>44785</c:v>
                </c:pt>
                <c:pt idx="211">
                  <c:v>44784</c:v>
                </c:pt>
                <c:pt idx="212">
                  <c:v>44783</c:v>
                </c:pt>
                <c:pt idx="213">
                  <c:v>44782</c:v>
                </c:pt>
                <c:pt idx="214">
                  <c:v>44781</c:v>
                </c:pt>
                <c:pt idx="215">
                  <c:v>44778</c:v>
                </c:pt>
                <c:pt idx="216">
                  <c:v>44777</c:v>
                </c:pt>
                <c:pt idx="217">
                  <c:v>44776</c:v>
                </c:pt>
                <c:pt idx="218">
                  <c:v>44775</c:v>
                </c:pt>
                <c:pt idx="219">
                  <c:v>44774</c:v>
                </c:pt>
                <c:pt idx="220">
                  <c:v>44771</c:v>
                </c:pt>
                <c:pt idx="221">
                  <c:v>44770</c:v>
                </c:pt>
                <c:pt idx="222">
                  <c:v>44769</c:v>
                </c:pt>
                <c:pt idx="223">
                  <c:v>44768</c:v>
                </c:pt>
                <c:pt idx="224">
                  <c:v>44767</c:v>
                </c:pt>
                <c:pt idx="225">
                  <c:v>44764</c:v>
                </c:pt>
                <c:pt idx="226">
                  <c:v>44763</c:v>
                </c:pt>
                <c:pt idx="227">
                  <c:v>44762</c:v>
                </c:pt>
                <c:pt idx="228">
                  <c:v>44761</c:v>
                </c:pt>
                <c:pt idx="229">
                  <c:v>44760</c:v>
                </c:pt>
                <c:pt idx="230">
                  <c:v>44757</c:v>
                </c:pt>
                <c:pt idx="231">
                  <c:v>44756</c:v>
                </c:pt>
                <c:pt idx="232">
                  <c:v>44755</c:v>
                </c:pt>
                <c:pt idx="233">
                  <c:v>44754</c:v>
                </c:pt>
                <c:pt idx="234">
                  <c:v>44753</c:v>
                </c:pt>
                <c:pt idx="235">
                  <c:v>44750</c:v>
                </c:pt>
                <c:pt idx="236">
                  <c:v>44749</c:v>
                </c:pt>
                <c:pt idx="237">
                  <c:v>44748</c:v>
                </c:pt>
                <c:pt idx="238">
                  <c:v>44747</c:v>
                </c:pt>
                <c:pt idx="239">
                  <c:v>44743</c:v>
                </c:pt>
                <c:pt idx="240">
                  <c:v>44742</c:v>
                </c:pt>
                <c:pt idx="241">
                  <c:v>44741</c:v>
                </c:pt>
                <c:pt idx="242">
                  <c:v>44740</c:v>
                </c:pt>
                <c:pt idx="243">
                  <c:v>44739</c:v>
                </c:pt>
                <c:pt idx="244">
                  <c:v>44736</c:v>
                </c:pt>
                <c:pt idx="245">
                  <c:v>44735</c:v>
                </c:pt>
                <c:pt idx="246">
                  <c:v>44734</c:v>
                </c:pt>
                <c:pt idx="247">
                  <c:v>44733</c:v>
                </c:pt>
              </c:numCache>
            </c:numRef>
          </c:cat>
          <c:val>
            <c:numRef>
              <c:f>'Bond Yield time series'!$C$4:$C$251</c:f>
              <c:numCache>
                <c:formatCode>General</c:formatCode>
                <c:ptCount val="248"/>
                <c:pt idx="0">
                  <c:v>4.8810000000000002</c:v>
                </c:pt>
                <c:pt idx="1">
                  <c:v>4.8369999999999997</c:v>
                </c:pt>
                <c:pt idx="2">
                  <c:v>4.9489999999999998</c:v>
                </c:pt>
                <c:pt idx="3">
                  <c:v>4.9379999999999997</c:v>
                </c:pt>
                <c:pt idx="4">
                  <c:v>4.8460000000000001</c:v>
                </c:pt>
                <c:pt idx="5">
                  <c:v>4.8659999999999997</c:v>
                </c:pt>
                <c:pt idx="6">
                  <c:v>4.7779999999999996</c:v>
                </c:pt>
                <c:pt idx="7">
                  <c:v>4.827</c:v>
                </c:pt>
                <c:pt idx="8">
                  <c:v>4.7750000000000004</c:v>
                </c:pt>
                <c:pt idx="9">
                  <c:v>4.7329999999999997</c:v>
                </c:pt>
                <c:pt idx="10">
                  <c:v>4.7389999999999999</c:v>
                </c:pt>
                <c:pt idx="11">
                  <c:v>4.6319999999999997</c:v>
                </c:pt>
                <c:pt idx="12">
                  <c:v>4.7009999999999996</c:v>
                </c:pt>
                <c:pt idx="13">
                  <c:v>4.7530000000000001</c:v>
                </c:pt>
                <c:pt idx="14">
                  <c:v>4.9080000000000004</c:v>
                </c:pt>
                <c:pt idx="15">
                  <c:v>4.883</c:v>
                </c:pt>
                <c:pt idx="16">
                  <c:v>4.7450000000000001</c:v>
                </c:pt>
                <c:pt idx="17">
                  <c:v>4.6859999999999999</c:v>
                </c:pt>
                <c:pt idx="18">
                  <c:v>4.6749999999999998</c:v>
                </c:pt>
                <c:pt idx="19">
                  <c:v>4.6689999999999996</c:v>
                </c:pt>
                <c:pt idx="20">
                  <c:v>4.62</c:v>
                </c:pt>
                <c:pt idx="21">
                  <c:v>4.5019999999999998</c:v>
                </c:pt>
                <c:pt idx="22">
                  <c:v>4.43</c:v>
                </c:pt>
                <c:pt idx="23">
                  <c:v>4.3049999999999997</c:v>
                </c:pt>
                <c:pt idx="24">
                  <c:v>4.3380000000000001</c:v>
                </c:pt>
                <c:pt idx="25">
                  <c:v>4.226</c:v>
                </c:pt>
                <c:pt idx="26">
                  <c:v>4.2229999999999999</c:v>
                </c:pt>
                <c:pt idx="27">
                  <c:v>4.3529999999999998</c:v>
                </c:pt>
                <c:pt idx="28">
                  <c:v>4.34</c:v>
                </c:pt>
                <c:pt idx="29">
                  <c:v>4.266</c:v>
                </c:pt>
                <c:pt idx="30">
                  <c:v>4.1870000000000003</c:v>
                </c:pt>
                <c:pt idx="31">
                  <c:v>4.173</c:v>
                </c:pt>
                <c:pt idx="32">
                  <c:v>4.2690000000000001</c:v>
                </c:pt>
                <c:pt idx="33">
                  <c:v>4.3949999999999996</c:v>
                </c:pt>
                <c:pt idx="34">
                  <c:v>4.3230000000000004</c:v>
                </c:pt>
                <c:pt idx="35">
                  <c:v>4.4029999999999996</c:v>
                </c:pt>
                <c:pt idx="36">
                  <c:v>4.2480000000000002</c:v>
                </c:pt>
                <c:pt idx="37">
                  <c:v>4.2069999999999999</c:v>
                </c:pt>
                <c:pt idx="38">
                  <c:v>4.4050000000000002</c:v>
                </c:pt>
                <c:pt idx="39">
                  <c:v>4.5389999999999997</c:v>
                </c:pt>
                <c:pt idx="40">
                  <c:v>4.5110000000000001</c:v>
                </c:pt>
                <c:pt idx="41">
                  <c:v>4.6139999999999999</c:v>
                </c:pt>
                <c:pt idx="42">
                  <c:v>4.524</c:v>
                </c:pt>
                <c:pt idx="43">
                  <c:v>4.5129999999999999</c:v>
                </c:pt>
                <c:pt idx="44">
                  <c:v>4.4370000000000003</c:v>
                </c:pt>
                <c:pt idx="45">
                  <c:v>4.3639999999999999</c:v>
                </c:pt>
                <c:pt idx="46">
                  <c:v>4.3659999999999997</c:v>
                </c:pt>
                <c:pt idx="47">
                  <c:v>4.452</c:v>
                </c:pt>
                <c:pt idx="48">
                  <c:v>4.46</c:v>
                </c:pt>
                <c:pt idx="49">
                  <c:v>4.2619999999999996</c:v>
                </c:pt>
                <c:pt idx="50">
                  <c:v>4.218</c:v>
                </c:pt>
                <c:pt idx="51">
                  <c:v>4.1959999999999997</c:v>
                </c:pt>
                <c:pt idx="52">
                  <c:v>4.3</c:v>
                </c:pt>
                <c:pt idx="53">
                  <c:v>4.3540000000000001</c:v>
                </c:pt>
                <c:pt idx="54">
                  <c:v>4.53</c:v>
                </c:pt>
                <c:pt idx="55">
                  <c:v>4.5890000000000004</c:v>
                </c:pt>
                <c:pt idx="56">
                  <c:v>4.59</c:v>
                </c:pt>
                <c:pt idx="57">
                  <c:v>4.49</c:v>
                </c:pt>
                <c:pt idx="58">
                  <c:v>4.3620000000000001</c:v>
                </c:pt>
                <c:pt idx="59">
                  <c:v>4.3390000000000004</c:v>
                </c:pt>
                <c:pt idx="60">
                  <c:v>4.43</c:v>
                </c:pt>
                <c:pt idx="61">
                  <c:v>4.7190000000000003</c:v>
                </c:pt>
                <c:pt idx="62">
                  <c:v>4.7149999999999999</c:v>
                </c:pt>
                <c:pt idx="63">
                  <c:v>4.665</c:v>
                </c:pt>
                <c:pt idx="64">
                  <c:v>4.9260000000000002</c:v>
                </c:pt>
                <c:pt idx="65">
                  <c:v>5.09</c:v>
                </c:pt>
                <c:pt idx="66">
                  <c:v>4.976</c:v>
                </c:pt>
                <c:pt idx="67">
                  <c:v>4.9189999999999996</c:v>
                </c:pt>
                <c:pt idx="68">
                  <c:v>5.0869999999999997</c:v>
                </c:pt>
                <c:pt idx="69">
                  <c:v>5.2789999999999999</c:v>
                </c:pt>
                <c:pt idx="70">
                  <c:v>5.46</c:v>
                </c:pt>
                <c:pt idx="71">
                  <c:v>5.3159999999999998</c:v>
                </c:pt>
                <c:pt idx="72">
                  <c:v>5.1950000000000003</c:v>
                </c:pt>
                <c:pt idx="73">
                  <c:v>5.2060000000000004</c:v>
                </c:pt>
                <c:pt idx="74">
                  <c:v>5.2830000000000004</c:v>
                </c:pt>
                <c:pt idx="75">
                  <c:v>5.2709999999999999</c:v>
                </c:pt>
                <c:pt idx="76">
                  <c:v>5.2050000000000001</c:v>
                </c:pt>
                <c:pt idx="77">
                  <c:v>5.1989999999999998</c:v>
                </c:pt>
                <c:pt idx="78">
                  <c:v>5.2229999999999999</c:v>
                </c:pt>
                <c:pt idx="79">
                  <c:v>5.0709999999999997</c:v>
                </c:pt>
                <c:pt idx="80">
                  <c:v>5.1219999999999999</c:v>
                </c:pt>
                <c:pt idx="81">
                  <c:v>5.13</c:v>
                </c:pt>
                <c:pt idx="82">
                  <c:v>4.97</c:v>
                </c:pt>
                <c:pt idx="83">
                  <c:v>5</c:v>
                </c:pt>
                <c:pt idx="84">
                  <c:v>4.9729999999999999</c:v>
                </c:pt>
                <c:pt idx="85">
                  <c:v>4.9580000000000002</c:v>
                </c:pt>
                <c:pt idx="86">
                  <c:v>4.851</c:v>
                </c:pt>
                <c:pt idx="87">
                  <c:v>4.8540000000000001</c:v>
                </c:pt>
                <c:pt idx="88">
                  <c:v>4.7930000000000001</c:v>
                </c:pt>
                <c:pt idx="89">
                  <c:v>4.68</c:v>
                </c:pt>
                <c:pt idx="90">
                  <c:v>4.734</c:v>
                </c:pt>
                <c:pt idx="91">
                  <c:v>4.6980000000000004</c:v>
                </c:pt>
                <c:pt idx="92">
                  <c:v>4.5620000000000003</c:v>
                </c:pt>
                <c:pt idx="93">
                  <c:v>4.3680000000000003</c:v>
                </c:pt>
                <c:pt idx="94">
                  <c:v>4.375</c:v>
                </c:pt>
                <c:pt idx="95">
                  <c:v>4.4690000000000003</c:v>
                </c:pt>
                <c:pt idx="96">
                  <c:v>4.5620000000000003</c:v>
                </c:pt>
                <c:pt idx="97">
                  <c:v>4.5190000000000001</c:v>
                </c:pt>
                <c:pt idx="98">
                  <c:v>4.5030000000000001</c:v>
                </c:pt>
                <c:pt idx="99">
                  <c:v>4.4729999999999999</c:v>
                </c:pt>
                <c:pt idx="100">
                  <c:v>4.5229999999999997</c:v>
                </c:pt>
                <c:pt idx="101">
                  <c:v>4.5599999999999996</c:v>
                </c:pt>
                <c:pt idx="102">
                  <c:v>4.5250000000000004</c:v>
                </c:pt>
                <c:pt idx="103">
                  <c:v>4.4790000000000001</c:v>
                </c:pt>
                <c:pt idx="104">
                  <c:v>4.4829999999999997</c:v>
                </c:pt>
                <c:pt idx="105">
                  <c:v>4.5949999999999998</c:v>
                </c:pt>
                <c:pt idx="106">
                  <c:v>4.6580000000000004</c:v>
                </c:pt>
                <c:pt idx="107">
                  <c:v>4.58</c:v>
                </c:pt>
                <c:pt idx="108">
                  <c:v>4.6820000000000004</c:v>
                </c:pt>
                <c:pt idx="109">
                  <c:v>4.7320000000000002</c:v>
                </c:pt>
                <c:pt idx="110">
                  <c:v>4.7569999999999997</c:v>
                </c:pt>
                <c:pt idx="111">
                  <c:v>4.7709999999999999</c:v>
                </c:pt>
                <c:pt idx="112">
                  <c:v>4.9939999999999998</c:v>
                </c:pt>
                <c:pt idx="113">
                  <c:v>4.9690000000000003</c:v>
                </c:pt>
                <c:pt idx="114">
                  <c:v>5.0609999999999999</c:v>
                </c:pt>
                <c:pt idx="115">
                  <c:v>4.9130000000000003</c:v>
                </c:pt>
                <c:pt idx="116">
                  <c:v>4.9039999999999999</c:v>
                </c:pt>
                <c:pt idx="117">
                  <c:v>4.9550000000000001</c:v>
                </c:pt>
                <c:pt idx="118">
                  <c:v>4.9470000000000001</c:v>
                </c:pt>
                <c:pt idx="119">
                  <c:v>4.8360000000000003</c:v>
                </c:pt>
                <c:pt idx="120">
                  <c:v>4.7850000000000001</c:v>
                </c:pt>
                <c:pt idx="121">
                  <c:v>4.7629999999999999</c:v>
                </c:pt>
                <c:pt idx="122">
                  <c:v>4.79</c:v>
                </c:pt>
                <c:pt idx="123">
                  <c:v>4.742</c:v>
                </c:pt>
                <c:pt idx="124">
                  <c:v>4.6360000000000001</c:v>
                </c:pt>
                <c:pt idx="125">
                  <c:v>4.6470000000000002</c:v>
                </c:pt>
                <c:pt idx="126">
                  <c:v>4.6459999999999999</c:v>
                </c:pt>
                <c:pt idx="127">
                  <c:v>4.6769999999999996</c:v>
                </c:pt>
                <c:pt idx="128">
                  <c:v>4.78</c:v>
                </c:pt>
                <c:pt idx="129">
                  <c:v>4.7539999999999996</c:v>
                </c:pt>
                <c:pt idx="130">
                  <c:v>4.6859999999999999</c:v>
                </c:pt>
                <c:pt idx="131">
                  <c:v>4.58</c:v>
                </c:pt>
                <c:pt idx="132">
                  <c:v>4.67</c:v>
                </c:pt>
                <c:pt idx="133">
                  <c:v>4.7229999999999999</c:v>
                </c:pt>
                <c:pt idx="134">
                  <c:v>4.5549999999999997</c:v>
                </c:pt>
                <c:pt idx="135">
                  <c:v>4.5049999999999999</c:v>
                </c:pt>
                <c:pt idx="136">
                  <c:v>4.6420000000000003</c:v>
                </c:pt>
                <c:pt idx="137">
                  <c:v>4.7850000000000001</c:v>
                </c:pt>
                <c:pt idx="138">
                  <c:v>4.6740000000000004</c:v>
                </c:pt>
                <c:pt idx="139">
                  <c:v>4.6630000000000003</c:v>
                </c:pt>
                <c:pt idx="140">
                  <c:v>4.6740000000000004</c:v>
                </c:pt>
                <c:pt idx="141">
                  <c:v>4.72</c:v>
                </c:pt>
                <c:pt idx="142">
                  <c:v>4.766</c:v>
                </c:pt>
                <c:pt idx="143">
                  <c:v>4.726</c:v>
                </c:pt>
                <c:pt idx="144">
                  <c:v>4.6849999999999996</c:v>
                </c:pt>
                <c:pt idx="145">
                  <c:v>4.5970000000000004</c:v>
                </c:pt>
                <c:pt idx="146">
                  <c:v>4.6100000000000003</c:v>
                </c:pt>
                <c:pt idx="147">
                  <c:v>4.6909999999999998</c:v>
                </c:pt>
                <c:pt idx="148">
                  <c:v>4.6909999999999998</c:v>
                </c:pt>
                <c:pt idx="149">
                  <c:v>5.0039999999999996</c:v>
                </c:pt>
                <c:pt idx="150">
                  <c:v>5.0810000000000004</c:v>
                </c:pt>
                <c:pt idx="151">
                  <c:v>5.157</c:v>
                </c:pt>
                <c:pt idx="152">
                  <c:v>5.1180000000000003</c:v>
                </c:pt>
                <c:pt idx="153">
                  <c:v>5.1180000000000003</c:v>
                </c:pt>
                <c:pt idx="154">
                  <c:v>5.0819999999999999</c:v>
                </c:pt>
                <c:pt idx="155">
                  <c:v>5.0620000000000003</c:v>
                </c:pt>
                <c:pt idx="156">
                  <c:v>5.0439999999999996</c:v>
                </c:pt>
                <c:pt idx="157">
                  <c:v>4.9850000000000003</c:v>
                </c:pt>
                <c:pt idx="158">
                  <c:v>4.8970000000000002</c:v>
                </c:pt>
                <c:pt idx="159">
                  <c:v>5.0419999999999998</c:v>
                </c:pt>
                <c:pt idx="160">
                  <c:v>5.1130000000000004</c:v>
                </c:pt>
                <c:pt idx="161">
                  <c:v>5.2119999999999997</c:v>
                </c:pt>
                <c:pt idx="162">
                  <c:v>5.2409999999999997</c:v>
                </c:pt>
                <c:pt idx="163">
                  <c:v>5.343</c:v>
                </c:pt>
                <c:pt idx="164">
                  <c:v>5.2720000000000002</c:v>
                </c:pt>
                <c:pt idx="165">
                  <c:v>5.1189999999999998</c:v>
                </c:pt>
                <c:pt idx="166">
                  <c:v>5.157</c:v>
                </c:pt>
                <c:pt idx="167">
                  <c:v>5.2190000000000003</c:v>
                </c:pt>
                <c:pt idx="168">
                  <c:v>5.157</c:v>
                </c:pt>
                <c:pt idx="169">
                  <c:v>5.0510000000000002</c:v>
                </c:pt>
                <c:pt idx="170">
                  <c:v>5.0430000000000001</c:v>
                </c:pt>
                <c:pt idx="171">
                  <c:v>4.9320000000000004</c:v>
                </c:pt>
                <c:pt idx="172">
                  <c:v>4.8499999999999996</c:v>
                </c:pt>
                <c:pt idx="173">
                  <c:v>4.7960000000000003</c:v>
                </c:pt>
                <c:pt idx="174">
                  <c:v>4.6449999999999996</c:v>
                </c:pt>
                <c:pt idx="175">
                  <c:v>4.7590000000000003</c:v>
                </c:pt>
                <c:pt idx="176">
                  <c:v>4.915</c:v>
                </c:pt>
                <c:pt idx="177">
                  <c:v>4.9400000000000004</c:v>
                </c:pt>
                <c:pt idx="178">
                  <c:v>4.8920000000000003</c:v>
                </c:pt>
                <c:pt idx="179">
                  <c:v>5.056</c:v>
                </c:pt>
                <c:pt idx="180">
                  <c:v>4.9790000000000001</c:v>
                </c:pt>
                <c:pt idx="181">
                  <c:v>4.7859999999999996</c:v>
                </c:pt>
                <c:pt idx="182">
                  <c:v>4.71</c:v>
                </c:pt>
                <c:pt idx="183">
                  <c:v>4.5140000000000002</c:v>
                </c:pt>
                <c:pt idx="184">
                  <c:v>4.5339999999999998</c:v>
                </c:pt>
                <c:pt idx="185">
                  <c:v>4.4880000000000004</c:v>
                </c:pt>
                <c:pt idx="186">
                  <c:v>4.407</c:v>
                </c:pt>
                <c:pt idx="187">
                  <c:v>4.4560000000000004</c:v>
                </c:pt>
                <c:pt idx="188">
                  <c:v>4.407</c:v>
                </c:pt>
                <c:pt idx="189">
                  <c:v>4.367</c:v>
                </c:pt>
                <c:pt idx="190">
                  <c:v>4.2389999999999999</c:v>
                </c:pt>
                <c:pt idx="191">
                  <c:v>4.2229999999999999</c:v>
                </c:pt>
                <c:pt idx="192">
                  <c:v>4.258</c:v>
                </c:pt>
                <c:pt idx="193">
                  <c:v>4.2149999999999999</c:v>
                </c:pt>
                <c:pt idx="194">
                  <c:v>4.3079999999999998</c:v>
                </c:pt>
                <c:pt idx="195">
                  <c:v>4.1950000000000003</c:v>
                </c:pt>
                <c:pt idx="196">
                  <c:v>4.28</c:v>
                </c:pt>
                <c:pt idx="197">
                  <c:v>4.1719999999999997</c:v>
                </c:pt>
                <c:pt idx="198">
                  <c:v>4.1139999999999999</c:v>
                </c:pt>
                <c:pt idx="199">
                  <c:v>4.0910000000000002</c:v>
                </c:pt>
                <c:pt idx="200">
                  <c:v>3.9849999999999999</c:v>
                </c:pt>
                <c:pt idx="201">
                  <c:v>3.9769999999999999</c:v>
                </c:pt>
                <c:pt idx="202">
                  <c:v>4.07</c:v>
                </c:pt>
                <c:pt idx="203">
                  <c:v>4.0149999999999997</c:v>
                </c:pt>
                <c:pt idx="204">
                  <c:v>3.992</c:v>
                </c:pt>
                <c:pt idx="205">
                  <c:v>3.8719999999999999</c:v>
                </c:pt>
                <c:pt idx="206">
                  <c:v>3.786</c:v>
                </c:pt>
                <c:pt idx="207">
                  <c:v>3.8</c:v>
                </c:pt>
                <c:pt idx="208">
                  <c:v>3.6549999999999998</c:v>
                </c:pt>
                <c:pt idx="209">
                  <c:v>3.6040000000000001</c:v>
                </c:pt>
                <c:pt idx="210">
                  <c:v>3.677</c:v>
                </c:pt>
                <c:pt idx="211">
                  <c:v>3.6829999999999998</c:v>
                </c:pt>
                <c:pt idx="212">
                  <c:v>3.65</c:v>
                </c:pt>
                <c:pt idx="213">
                  <c:v>3.706</c:v>
                </c:pt>
                <c:pt idx="214">
                  <c:v>3.6339999999999999</c:v>
                </c:pt>
                <c:pt idx="215">
                  <c:v>3.7050000000000001</c:v>
                </c:pt>
                <c:pt idx="216">
                  <c:v>3.504</c:v>
                </c:pt>
                <c:pt idx="217">
                  <c:v>3.5779999999999998</c:v>
                </c:pt>
                <c:pt idx="218">
                  <c:v>3.621</c:v>
                </c:pt>
                <c:pt idx="219">
                  <c:v>3.363</c:v>
                </c:pt>
                <c:pt idx="220">
                  <c:v>3.42</c:v>
                </c:pt>
                <c:pt idx="221">
                  <c:v>3.4279999999999999</c:v>
                </c:pt>
                <c:pt idx="222">
                  <c:v>3.536</c:v>
                </c:pt>
                <c:pt idx="223">
                  <c:v>3.7050000000000001</c:v>
                </c:pt>
                <c:pt idx="224">
                  <c:v>3.669</c:v>
                </c:pt>
                <c:pt idx="225">
                  <c:v>3.5950000000000002</c:v>
                </c:pt>
                <c:pt idx="226">
                  <c:v>3.78</c:v>
                </c:pt>
                <c:pt idx="227">
                  <c:v>3.9350000000000001</c:v>
                </c:pt>
                <c:pt idx="228">
                  <c:v>3.92</c:v>
                </c:pt>
                <c:pt idx="229">
                  <c:v>3.8740000000000001</c:v>
                </c:pt>
                <c:pt idx="230">
                  <c:v>3.8740000000000001</c:v>
                </c:pt>
                <c:pt idx="231">
                  <c:v>3.96</c:v>
                </c:pt>
                <c:pt idx="232">
                  <c:v>3.859</c:v>
                </c:pt>
                <c:pt idx="233">
                  <c:v>3.8879999999999999</c:v>
                </c:pt>
                <c:pt idx="234">
                  <c:v>3.9340000000000002</c:v>
                </c:pt>
                <c:pt idx="235">
                  <c:v>4.0090000000000003</c:v>
                </c:pt>
                <c:pt idx="236">
                  <c:v>4.0170000000000003</c:v>
                </c:pt>
                <c:pt idx="237">
                  <c:v>3.9620000000000002</c:v>
                </c:pt>
                <c:pt idx="238">
                  <c:v>3.9220000000000002</c:v>
                </c:pt>
                <c:pt idx="239">
                  <c:v>3.984</c:v>
                </c:pt>
                <c:pt idx="240">
                  <c:v>4.109</c:v>
                </c:pt>
                <c:pt idx="241">
                  <c:v>4.2110000000000003</c:v>
                </c:pt>
                <c:pt idx="242">
                  <c:v>4.266</c:v>
                </c:pt>
                <c:pt idx="243">
                  <c:v>4.298</c:v>
                </c:pt>
                <c:pt idx="244">
                  <c:v>4.2389999999999999</c:v>
                </c:pt>
                <c:pt idx="245">
                  <c:v>4.2050000000000001</c:v>
                </c:pt>
                <c:pt idx="246">
                  <c:v>4.2809999999999997</c:v>
                </c:pt>
                <c:pt idx="247">
                  <c:v>4.3620000000000001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4E-45D4-A01D-85EEB0823B88}"/>
            </c:ext>
          </c:extLst>
        </c:ser>
        <c:ser>
          <c:idx val="1"/>
          <c:order val="1"/>
          <c:tx>
            <c:strRef>
              <c:f>'Bond Yield time series'!$D$3</c:f>
              <c:strCache>
                <c:ptCount val="1"/>
                <c:pt idx="0">
                  <c:v>TAP 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'Bond Yield time series'!$B$4:$B$251</c:f>
              <c:numCache>
                <c:formatCode>m/d/yyyy</c:formatCode>
                <c:ptCount val="248"/>
                <c:pt idx="0">
                  <c:v>45093</c:v>
                </c:pt>
                <c:pt idx="1">
                  <c:v>45092</c:v>
                </c:pt>
                <c:pt idx="2">
                  <c:v>45091</c:v>
                </c:pt>
                <c:pt idx="3">
                  <c:v>45090</c:v>
                </c:pt>
                <c:pt idx="4">
                  <c:v>45089</c:v>
                </c:pt>
                <c:pt idx="5">
                  <c:v>45086</c:v>
                </c:pt>
                <c:pt idx="6">
                  <c:v>45085</c:v>
                </c:pt>
                <c:pt idx="7">
                  <c:v>45084</c:v>
                </c:pt>
                <c:pt idx="8">
                  <c:v>45083</c:v>
                </c:pt>
                <c:pt idx="9">
                  <c:v>45082</c:v>
                </c:pt>
                <c:pt idx="10">
                  <c:v>45079</c:v>
                </c:pt>
                <c:pt idx="11">
                  <c:v>45078</c:v>
                </c:pt>
                <c:pt idx="12">
                  <c:v>45077</c:v>
                </c:pt>
                <c:pt idx="13">
                  <c:v>45076</c:v>
                </c:pt>
                <c:pt idx="14">
                  <c:v>45072</c:v>
                </c:pt>
                <c:pt idx="15">
                  <c:v>45071</c:v>
                </c:pt>
                <c:pt idx="16">
                  <c:v>45070</c:v>
                </c:pt>
                <c:pt idx="17">
                  <c:v>45069</c:v>
                </c:pt>
                <c:pt idx="18">
                  <c:v>45068</c:v>
                </c:pt>
                <c:pt idx="19">
                  <c:v>45065</c:v>
                </c:pt>
                <c:pt idx="20">
                  <c:v>45064</c:v>
                </c:pt>
                <c:pt idx="21">
                  <c:v>45063</c:v>
                </c:pt>
                <c:pt idx="22">
                  <c:v>45062</c:v>
                </c:pt>
                <c:pt idx="23">
                  <c:v>45061</c:v>
                </c:pt>
                <c:pt idx="24">
                  <c:v>45058</c:v>
                </c:pt>
                <c:pt idx="25">
                  <c:v>45057</c:v>
                </c:pt>
                <c:pt idx="26">
                  <c:v>45056</c:v>
                </c:pt>
                <c:pt idx="27">
                  <c:v>45055</c:v>
                </c:pt>
                <c:pt idx="28">
                  <c:v>45054</c:v>
                </c:pt>
                <c:pt idx="29">
                  <c:v>45051</c:v>
                </c:pt>
                <c:pt idx="30">
                  <c:v>45050</c:v>
                </c:pt>
                <c:pt idx="31">
                  <c:v>45049</c:v>
                </c:pt>
                <c:pt idx="32">
                  <c:v>45048</c:v>
                </c:pt>
                <c:pt idx="33">
                  <c:v>45047</c:v>
                </c:pt>
                <c:pt idx="34">
                  <c:v>45044</c:v>
                </c:pt>
                <c:pt idx="35">
                  <c:v>45043</c:v>
                </c:pt>
                <c:pt idx="36">
                  <c:v>45042</c:v>
                </c:pt>
                <c:pt idx="37">
                  <c:v>45041</c:v>
                </c:pt>
                <c:pt idx="38">
                  <c:v>45040</c:v>
                </c:pt>
                <c:pt idx="39">
                  <c:v>45037</c:v>
                </c:pt>
                <c:pt idx="40">
                  <c:v>45036</c:v>
                </c:pt>
                <c:pt idx="41">
                  <c:v>45035</c:v>
                </c:pt>
                <c:pt idx="42">
                  <c:v>45034</c:v>
                </c:pt>
                <c:pt idx="43">
                  <c:v>45033</c:v>
                </c:pt>
                <c:pt idx="44">
                  <c:v>45030</c:v>
                </c:pt>
                <c:pt idx="45">
                  <c:v>45029</c:v>
                </c:pt>
                <c:pt idx="46">
                  <c:v>45028</c:v>
                </c:pt>
                <c:pt idx="47">
                  <c:v>45027</c:v>
                </c:pt>
                <c:pt idx="48">
                  <c:v>45026</c:v>
                </c:pt>
                <c:pt idx="49">
                  <c:v>45022</c:v>
                </c:pt>
                <c:pt idx="50">
                  <c:v>45021</c:v>
                </c:pt>
                <c:pt idx="51">
                  <c:v>45020</c:v>
                </c:pt>
                <c:pt idx="52">
                  <c:v>45019</c:v>
                </c:pt>
                <c:pt idx="53">
                  <c:v>45016</c:v>
                </c:pt>
                <c:pt idx="54">
                  <c:v>45015</c:v>
                </c:pt>
                <c:pt idx="55">
                  <c:v>45014</c:v>
                </c:pt>
                <c:pt idx="56">
                  <c:v>45013</c:v>
                </c:pt>
                <c:pt idx="57">
                  <c:v>45012</c:v>
                </c:pt>
                <c:pt idx="58">
                  <c:v>45009</c:v>
                </c:pt>
                <c:pt idx="59">
                  <c:v>45008</c:v>
                </c:pt>
                <c:pt idx="60">
                  <c:v>45007</c:v>
                </c:pt>
                <c:pt idx="61">
                  <c:v>45006</c:v>
                </c:pt>
                <c:pt idx="62">
                  <c:v>45005</c:v>
                </c:pt>
                <c:pt idx="63">
                  <c:v>45002</c:v>
                </c:pt>
                <c:pt idx="64">
                  <c:v>45001</c:v>
                </c:pt>
                <c:pt idx="65">
                  <c:v>45000</c:v>
                </c:pt>
                <c:pt idx="66">
                  <c:v>44999</c:v>
                </c:pt>
                <c:pt idx="67">
                  <c:v>44998</c:v>
                </c:pt>
                <c:pt idx="68">
                  <c:v>44995</c:v>
                </c:pt>
                <c:pt idx="69">
                  <c:v>44994</c:v>
                </c:pt>
                <c:pt idx="70">
                  <c:v>44993</c:v>
                </c:pt>
                <c:pt idx="71">
                  <c:v>44992</c:v>
                </c:pt>
                <c:pt idx="72">
                  <c:v>44991</c:v>
                </c:pt>
                <c:pt idx="73">
                  <c:v>44988</c:v>
                </c:pt>
                <c:pt idx="74">
                  <c:v>44987</c:v>
                </c:pt>
                <c:pt idx="75">
                  <c:v>44986</c:v>
                </c:pt>
                <c:pt idx="76">
                  <c:v>44985</c:v>
                </c:pt>
                <c:pt idx="77">
                  <c:v>44984</c:v>
                </c:pt>
                <c:pt idx="78">
                  <c:v>44981</c:v>
                </c:pt>
                <c:pt idx="79">
                  <c:v>44980</c:v>
                </c:pt>
                <c:pt idx="80">
                  <c:v>44979</c:v>
                </c:pt>
                <c:pt idx="81">
                  <c:v>44978</c:v>
                </c:pt>
                <c:pt idx="82">
                  <c:v>44974</c:v>
                </c:pt>
                <c:pt idx="83">
                  <c:v>44973</c:v>
                </c:pt>
                <c:pt idx="84">
                  <c:v>44972</c:v>
                </c:pt>
                <c:pt idx="85">
                  <c:v>44971</c:v>
                </c:pt>
                <c:pt idx="86">
                  <c:v>44970</c:v>
                </c:pt>
                <c:pt idx="87">
                  <c:v>44967</c:v>
                </c:pt>
                <c:pt idx="88">
                  <c:v>44966</c:v>
                </c:pt>
                <c:pt idx="89">
                  <c:v>44965</c:v>
                </c:pt>
                <c:pt idx="90">
                  <c:v>44964</c:v>
                </c:pt>
                <c:pt idx="91">
                  <c:v>44963</c:v>
                </c:pt>
                <c:pt idx="92">
                  <c:v>44960</c:v>
                </c:pt>
                <c:pt idx="93">
                  <c:v>44959</c:v>
                </c:pt>
                <c:pt idx="94">
                  <c:v>44958</c:v>
                </c:pt>
                <c:pt idx="95">
                  <c:v>44957</c:v>
                </c:pt>
                <c:pt idx="96">
                  <c:v>44956</c:v>
                </c:pt>
                <c:pt idx="97">
                  <c:v>44953</c:v>
                </c:pt>
                <c:pt idx="98">
                  <c:v>44952</c:v>
                </c:pt>
                <c:pt idx="99">
                  <c:v>44951</c:v>
                </c:pt>
                <c:pt idx="100">
                  <c:v>44950</c:v>
                </c:pt>
                <c:pt idx="101">
                  <c:v>44949</c:v>
                </c:pt>
                <c:pt idx="102">
                  <c:v>44946</c:v>
                </c:pt>
                <c:pt idx="103">
                  <c:v>44945</c:v>
                </c:pt>
                <c:pt idx="104">
                  <c:v>44944</c:v>
                </c:pt>
                <c:pt idx="105">
                  <c:v>44943</c:v>
                </c:pt>
                <c:pt idx="106">
                  <c:v>44939</c:v>
                </c:pt>
                <c:pt idx="107">
                  <c:v>44938</c:v>
                </c:pt>
                <c:pt idx="108">
                  <c:v>44937</c:v>
                </c:pt>
                <c:pt idx="109">
                  <c:v>44936</c:v>
                </c:pt>
                <c:pt idx="110">
                  <c:v>44935</c:v>
                </c:pt>
                <c:pt idx="111">
                  <c:v>44932</c:v>
                </c:pt>
                <c:pt idx="112">
                  <c:v>44931</c:v>
                </c:pt>
                <c:pt idx="113">
                  <c:v>44930</c:v>
                </c:pt>
                <c:pt idx="114">
                  <c:v>44929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44918</c:v>
                </c:pt>
                <c:pt idx="120">
                  <c:v>44917</c:v>
                </c:pt>
                <c:pt idx="121">
                  <c:v>44916</c:v>
                </c:pt>
                <c:pt idx="122">
                  <c:v>44915</c:v>
                </c:pt>
                <c:pt idx="123">
                  <c:v>44914</c:v>
                </c:pt>
                <c:pt idx="124">
                  <c:v>44911</c:v>
                </c:pt>
                <c:pt idx="125">
                  <c:v>44910</c:v>
                </c:pt>
                <c:pt idx="126">
                  <c:v>44909</c:v>
                </c:pt>
                <c:pt idx="127">
                  <c:v>44908</c:v>
                </c:pt>
                <c:pt idx="128">
                  <c:v>44907</c:v>
                </c:pt>
                <c:pt idx="129">
                  <c:v>44904</c:v>
                </c:pt>
                <c:pt idx="130">
                  <c:v>44903</c:v>
                </c:pt>
                <c:pt idx="131">
                  <c:v>44902</c:v>
                </c:pt>
                <c:pt idx="132">
                  <c:v>44901</c:v>
                </c:pt>
                <c:pt idx="133">
                  <c:v>44900</c:v>
                </c:pt>
                <c:pt idx="134">
                  <c:v>44897</c:v>
                </c:pt>
                <c:pt idx="135">
                  <c:v>44896</c:v>
                </c:pt>
                <c:pt idx="136">
                  <c:v>44895</c:v>
                </c:pt>
                <c:pt idx="137">
                  <c:v>44894</c:v>
                </c:pt>
                <c:pt idx="138">
                  <c:v>44893</c:v>
                </c:pt>
                <c:pt idx="139">
                  <c:v>44890</c:v>
                </c:pt>
                <c:pt idx="140">
                  <c:v>44888</c:v>
                </c:pt>
                <c:pt idx="141">
                  <c:v>44887</c:v>
                </c:pt>
                <c:pt idx="142">
                  <c:v>44886</c:v>
                </c:pt>
                <c:pt idx="143">
                  <c:v>44883</c:v>
                </c:pt>
                <c:pt idx="144">
                  <c:v>44882</c:v>
                </c:pt>
                <c:pt idx="145">
                  <c:v>44881</c:v>
                </c:pt>
                <c:pt idx="146">
                  <c:v>44880</c:v>
                </c:pt>
                <c:pt idx="147">
                  <c:v>44879</c:v>
                </c:pt>
                <c:pt idx="148">
                  <c:v>44875</c:v>
                </c:pt>
                <c:pt idx="149">
                  <c:v>44874</c:v>
                </c:pt>
                <c:pt idx="150">
                  <c:v>44873</c:v>
                </c:pt>
                <c:pt idx="151">
                  <c:v>44872</c:v>
                </c:pt>
                <c:pt idx="152">
                  <c:v>44869</c:v>
                </c:pt>
                <c:pt idx="153">
                  <c:v>44868</c:v>
                </c:pt>
                <c:pt idx="154">
                  <c:v>44867</c:v>
                </c:pt>
                <c:pt idx="155">
                  <c:v>44866</c:v>
                </c:pt>
                <c:pt idx="156">
                  <c:v>44865</c:v>
                </c:pt>
                <c:pt idx="157">
                  <c:v>44862</c:v>
                </c:pt>
                <c:pt idx="158">
                  <c:v>44861</c:v>
                </c:pt>
                <c:pt idx="159">
                  <c:v>44860</c:v>
                </c:pt>
                <c:pt idx="160">
                  <c:v>44859</c:v>
                </c:pt>
                <c:pt idx="161">
                  <c:v>44858</c:v>
                </c:pt>
                <c:pt idx="162">
                  <c:v>44855</c:v>
                </c:pt>
                <c:pt idx="163">
                  <c:v>44854</c:v>
                </c:pt>
                <c:pt idx="164">
                  <c:v>44853</c:v>
                </c:pt>
                <c:pt idx="165">
                  <c:v>44852</c:v>
                </c:pt>
                <c:pt idx="166">
                  <c:v>44851</c:v>
                </c:pt>
                <c:pt idx="167">
                  <c:v>44848</c:v>
                </c:pt>
                <c:pt idx="168">
                  <c:v>44847</c:v>
                </c:pt>
                <c:pt idx="169">
                  <c:v>44846</c:v>
                </c:pt>
                <c:pt idx="170">
                  <c:v>44845</c:v>
                </c:pt>
                <c:pt idx="171">
                  <c:v>44841</c:v>
                </c:pt>
                <c:pt idx="172">
                  <c:v>44840</c:v>
                </c:pt>
                <c:pt idx="173">
                  <c:v>44839</c:v>
                </c:pt>
                <c:pt idx="174">
                  <c:v>44838</c:v>
                </c:pt>
                <c:pt idx="175">
                  <c:v>44837</c:v>
                </c:pt>
                <c:pt idx="176">
                  <c:v>44834</c:v>
                </c:pt>
                <c:pt idx="177">
                  <c:v>44833</c:v>
                </c:pt>
                <c:pt idx="178">
                  <c:v>44832</c:v>
                </c:pt>
                <c:pt idx="179">
                  <c:v>44831</c:v>
                </c:pt>
                <c:pt idx="180">
                  <c:v>44830</c:v>
                </c:pt>
                <c:pt idx="181">
                  <c:v>44827</c:v>
                </c:pt>
                <c:pt idx="182">
                  <c:v>44826</c:v>
                </c:pt>
                <c:pt idx="183">
                  <c:v>44825</c:v>
                </c:pt>
                <c:pt idx="184">
                  <c:v>44824</c:v>
                </c:pt>
                <c:pt idx="185">
                  <c:v>44823</c:v>
                </c:pt>
                <c:pt idx="186">
                  <c:v>44820</c:v>
                </c:pt>
                <c:pt idx="187">
                  <c:v>44819</c:v>
                </c:pt>
                <c:pt idx="188">
                  <c:v>44818</c:v>
                </c:pt>
                <c:pt idx="189">
                  <c:v>44817</c:v>
                </c:pt>
                <c:pt idx="190">
                  <c:v>44816</c:v>
                </c:pt>
                <c:pt idx="191">
                  <c:v>44813</c:v>
                </c:pt>
                <c:pt idx="192">
                  <c:v>44812</c:v>
                </c:pt>
                <c:pt idx="193">
                  <c:v>44811</c:v>
                </c:pt>
                <c:pt idx="194">
                  <c:v>44810</c:v>
                </c:pt>
                <c:pt idx="195">
                  <c:v>44806</c:v>
                </c:pt>
                <c:pt idx="196">
                  <c:v>44805</c:v>
                </c:pt>
                <c:pt idx="197">
                  <c:v>44804</c:v>
                </c:pt>
                <c:pt idx="198">
                  <c:v>44803</c:v>
                </c:pt>
                <c:pt idx="199">
                  <c:v>44802</c:v>
                </c:pt>
                <c:pt idx="200">
                  <c:v>44799</c:v>
                </c:pt>
                <c:pt idx="201">
                  <c:v>44798</c:v>
                </c:pt>
                <c:pt idx="202">
                  <c:v>44797</c:v>
                </c:pt>
                <c:pt idx="203">
                  <c:v>44796</c:v>
                </c:pt>
                <c:pt idx="204">
                  <c:v>44795</c:v>
                </c:pt>
                <c:pt idx="205">
                  <c:v>44792</c:v>
                </c:pt>
                <c:pt idx="206">
                  <c:v>44791</c:v>
                </c:pt>
                <c:pt idx="207">
                  <c:v>44790</c:v>
                </c:pt>
                <c:pt idx="208">
                  <c:v>44789</c:v>
                </c:pt>
                <c:pt idx="209">
                  <c:v>44788</c:v>
                </c:pt>
                <c:pt idx="210">
                  <c:v>44785</c:v>
                </c:pt>
                <c:pt idx="211">
                  <c:v>44784</c:v>
                </c:pt>
                <c:pt idx="212">
                  <c:v>44783</c:v>
                </c:pt>
                <c:pt idx="213">
                  <c:v>44782</c:v>
                </c:pt>
                <c:pt idx="214">
                  <c:v>44781</c:v>
                </c:pt>
                <c:pt idx="215">
                  <c:v>44778</c:v>
                </c:pt>
                <c:pt idx="216">
                  <c:v>44777</c:v>
                </c:pt>
                <c:pt idx="217">
                  <c:v>44776</c:v>
                </c:pt>
                <c:pt idx="218">
                  <c:v>44775</c:v>
                </c:pt>
                <c:pt idx="219">
                  <c:v>44774</c:v>
                </c:pt>
                <c:pt idx="220">
                  <c:v>44771</c:v>
                </c:pt>
                <c:pt idx="221">
                  <c:v>44770</c:v>
                </c:pt>
                <c:pt idx="222">
                  <c:v>44769</c:v>
                </c:pt>
                <c:pt idx="223">
                  <c:v>44768</c:v>
                </c:pt>
                <c:pt idx="224">
                  <c:v>44767</c:v>
                </c:pt>
                <c:pt idx="225">
                  <c:v>44764</c:v>
                </c:pt>
                <c:pt idx="226">
                  <c:v>44763</c:v>
                </c:pt>
                <c:pt idx="227">
                  <c:v>44762</c:v>
                </c:pt>
                <c:pt idx="228">
                  <c:v>44761</c:v>
                </c:pt>
                <c:pt idx="229">
                  <c:v>44760</c:v>
                </c:pt>
                <c:pt idx="230">
                  <c:v>44757</c:v>
                </c:pt>
                <c:pt idx="231">
                  <c:v>44756</c:v>
                </c:pt>
                <c:pt idx="232">
                  <c:v>44755</c:v>
                </c:pt>
                <c:pt idx="233">
                  <c:v>44754</c:v>
                </c:pt>
                <c:pt idx="234">
                  <c:v>44753</c:v>
                </c:pt>
                <c:pt idx="235">
                  <c:v>44750</c:v>
                </c:pt>
                <c:pt idx="236">
                  <c:v>44749</c:v>
                </c:pt>
                <c:pt idx="237">
                  <c:v>44748</c:v>
                </c:pt>
                <c:pt idx="238">
                  <c:v>44747</c:v>
                </c:pt>
                <c:pt idx="239">
                  <c:v>44743</c:v>
                </c:pt>
                <c:pt idx="240">
                  <c:v>44742</c:v>
                </c:pt>
                <c:pt idx="241">
                  <c:v>44741</c:v>
                </c:pt>
                <c:pt idx="242">
                  <c:v>44740</c:v>
                </c:pt>
                <c:pt idx="243">
                  <c:v>44739</c:v>
                </c:pt>
                <c:pt idx="244">
                  <c:v>44736</c:v>
                </c:pt>
                <c:pt idx="245">
                  <c:v>44735</c:v>
                </c:pt>
                <c:pt idx="246">
                  <c:v>44734</c:v>
                </c:pt>
                <c:pt idx="247">
                  <c:v>44733</c:v>
                </c:pt>
              </c:numCache>
            </c:numRef>
          </c:cat>
          <c:val>
            <c:numRef>
              <c:f>'Bond Yield time series'!$D$4:$D$251</c:f>
              <c:numCache>
                <c:formatCode>General</c:formatCode>
                <c:ptCount val="248"/>
                <c:pt idx="0">
                  <c:v>5.2670000000000003</c:v>
                </c:pt>
                <c:pt idx="1">
                  <c:v>5.2140000000000004</c:v>
                </c:pt>
                <c:pt idx="2">
                  <c:v>5.3170000000000002</c:v>
                </c:pt>
                <c:pt idx="3">
                  <c:v>5.3209999999999997</c:v>
                </c:pt>
                <c:pt idx="4">
                  <c:v>5.1980000000000004</c:v>
                </c:pt>
                <c:pt idx="5">
                  <c:v>5.2249999999999996</c:v>
                </c:pt>
                <c:pt idx="6">
                  <c:v>5.1379999999999999</c:v>
                </c:pt>
                <c:pt idx="7">
                  <c:v>5.1980000000000004</c:v>
                </c:pt>
                <c:pt idx="8">
                  <c:v>5.1189999999999998</c:v>
                </c:pt>
                <c:pt idx="9">
                  <c:v>5.08</c:v>
                </c:pt>
                <c:pt idx="10">
                  <c:v>5.0579999999999998</c:v>
                </c:pt>
                <c:pt idx="11">
                  <c:v>4.9800000000000004</c:v>
                </c:pt>
                <c:pt idx="12">
                  <c:v>5.0229999999999997</c:v>
                </c:pt>
                <c:pt idx="13">
                  <c:v>5.0819999999999999</c:v>
                </c:pt>
                <c:pt idx="14">
                  <c:v>5.226</c:v>
                </c:pt>
                <c:pt idx="15">
                  <c:v>5.22</c:v>
                </c:pt>
                <c:pt idx="16">
                  <c:v>5.08</c:v>
                </c:pt>
                <c:pt idx="17">
                  <c:v>4.9969999999999999</c:v>
                </c:pt>
                <c:pt idx="18">
                  <c:v>5.0209999999999999</c:v>
                </c:pt>
                <c:pt idx="19">
                  <c:v>5.03</c:v>
                </c:pt>
                <c:pt idx="20">
                  <c:v>4.9610000000000003</c:v>
                </c:pt>
                <c:pt idx="21">
                  <c:v>4.8920000000000003</c:v>
                </c:pt>
                <c:pt idx="22">
                  <c:v>4.7750000000000004</c:v>
                </c:pt>
                <c:pt idx="23">
                  <c:v>4.7279999999999998</c:v>
                </c:pt>
                <c:pt idx="24">
                  <c:v>4.7210000000000001</c:v>
                </c:pt>
                <c:pt idx="25">
                  <c:v>4.6139999999999999</c:v>
                </c:pt>
                <c:pt idx="26">
                  <c:v>4.6289999999999996</c:v>
                </c:pt>
                <c:pt idx="27">
                  <c:v>4.7519999999999998</c:v>
                </c:pt>
                <c:pt idx="28">
                  <c:v>4.7720000000000002</c:v>
                </c:pt>
                <c:pt idx="29">
                  <c:v>4.6210000000000004</c:v>
                </c:pt>
                <c:pt idx="30">
                  <c:v>4.5810000000000004</c:v>
                </c:pt>
                <c:pt idx="31">
                  <c:v>4.524</c:v>
                </c:pt>
                <c:pt idx="32">
                  <c:v>4.6669999999999998</c:v>
                </c:pt>
                <c:pt idx="33">
                  <c:v>4.8579999999999997</c:v>
                </c:pt>
                <c:pt idx="34">
                  <c:v>4.6980000000000004</c:v>
                </c:pt>
                <c:pt idx="35">
                  <c:v>4.7649999999999997</c:v>
                </c:pt>
                <c:pt idx="36">
                  <c:v>4.6920000000000002</c:v>
                </c:pt>
                <c:pt idx="37">
                  <c:v>4.6340000000000003</c:v>
                </c:pt>
                <c:pt idx="38">
                  <c:v>4.8470000000000004</c:v>
                </c:pt>
                <c:pt idx="39">
                  <c:v>4.8689999999999998</c:v>
                </c:pt>
                <c:pt idx="40">
                  <c:v>4.8250000000000002</c:v>
                </c:pt>
                <c:pt idx="41">
                  <c:v>4.9180000000000001</c:v>
                </c:pt>
                <c:pt idx="42">
                  <c:v>4.8520000000000003</c:v>
                </c:pt>
                <c:pt idx="43">
                  <c:v>4.8120000000000003</c:v>
                </c:pt>
                <c:pt idx="44">
                  <c:v>4.7510000000000003</c:v>
                </c:pt>
                <c:pt idx="45">
                  <c:v>4.6479999999999997</c:v>
                </c:pt>
                <c:pt idx="46">
                  <c:v>4.6859999999999999</c:v>
                </c:pt>
                <c:pt idx="47">
                  <c:v>4.734</c:v>
                </c:pt>
                <c:pt idx="48">
                  <c:v>4.7699999999999996</c:v>
                </c:pt>
                <c:pt idx="49">
                  <c:v>4.6440000000000001</c:v>
                </c:pt>
                <c:pt idx="50">
                  <c:v>4.6920000000000002</c:v>
                </c:pt>
                <c:pt idx="51">
                  <c:v>4.6669999999999998</c:v>
                </c:pt>
                <c:pt idx="52">
                  <c:v>4.76</c:v>
                </c:pt>
                <c:pt idx="53">
                  <c:v>4.8529999999999998</c:v>
                </c:pt>
                <c:pt idx="54">
                  <c:v>4.984</c:v>
                </c:pt>
                <c:pt idx="55">
                  <c:v>5.0380000000000003</c:v>
                </c:pt>
                <c:pt idx="56">
                  <c:v>5.0380000000000003</c:v>
                </c:pt>
                <c:pt idx="57">
                  <c:v>5.0229999999999997</c:v>
                </c:pt>
                <c:pt idx="58">
                  <c:v>4.8520000000000003</c:v>
                </c:pt>
                <c:pt idx="59">
                  <c:v>4.7830000000000004</c:v>
                </c:pt>
                <c:pt idx="60">
                  <c:v>5.01</c:v>
                </c:pt>
                <c:pt idx="61">
                  <c:v>5.1890000000000001</c:v>
                </c:pt>
                <c:pt idx="62">
                  <c:v>5.1529999999999996</c:v>
                </c:pt>
                <c:pt idx="63">
                  <c:v>5.1349999999999998</c:v>
                </c:pt>
                <c:pt idx="64">
                  <c:v>5.3949999999999996</c:v>
                </c:pt>
                <c:pt idx="65">
                  <c:v>5.2640000000000002</c:v>
                </c:pt>
                <c:pt idx="66">
                  <c:v>5.2380000000000004</c:v>
                </c:pt>
                <c:pt idx="67">
                  <c:v>5.0519999999999996</c:v>
                </c:pt>
                <c:pt idx="68">
                  <c:v>5.3710000000000004</c:v>
                </c:pt>
                <c:pt idx="69">
                  <c:v>5.5460000000000003</c:v>
                </c:pt>
                <c:pt idx="70">
                  <c:v>5.6509999999999998</c:v>
                </c:pt>
                <c:pt idx="71">
                  <c:v>5.5730000000000004</c:v>
                </c:pt>
                <c:pt idx="72">
                  <c:v>5.5140000000000002</c:v>
                </c:pt>
                <c:pt idx="73">
                  <c:v>5.5049999999999999</c:v>
                </c:pt>
                <c:pt idx="74">
                  <c:v>5.5780000000000003</c:v>
                </c:pt>
                <c:pt idx="75">
                  <c:v>5.6040000000000001</c:v>
                </c:pt>
                <c:pt idx="76">
                  <c:v>5.48</c:v>
                </c:pt>
                <c:pt idx="77">
                  <c:v>5.468</c:v>
                </c:pt>
                <c:pt idx="78">
                  <c:v>5.484</c:v>
                </c:pt>
                <c:pt idx="79">
                  <c:v>5.3369999999999997</c:v>
                </c:pt>
                <c:pt idx="80">
                  <c:v>5.3780000000000001</c:v>
                </c:pt>
                <c:pt idx="81">
                  <c:v>5.43</c:v>
                </c:pt>
                <c:pt idx="82">
                  <c:v>5.2439999999999998</c:v>
                </c:pt>
                <c:pt idx="83">
                  <c:v>5.3029999999999999</c:v>
                </c:pt>
                <c:pt idx="84">
                  <c:v>5.2709999999999999</c:v>
                </c:pt>
                <c:pt idx="85">
                  <c:v>5.2510000000000003</c:v>
                </c:pt>
                <c:pt idx="86">
                  <c:v>5.0910000000000002</c:v>
                </c:pt>
                <c:pt idx="87">
                  <c:v>5.1230000000000002</c:v>
                </c:pt>
                <c:pt idx="88">
                  <c:v>5.0679999999999996</c:v>
                </c:pt>
                <c:pt idx="89">
                  <c:v>4.9480000000000004</c:v>
                </c:pt>
                <c:pt idx="90">
                  <c:v>4.931</c:v>
                </c:pt>
                <c:pt idx="91">
                  <c:v>5.0339999999999998</c:v>
                </c:pt>
                <c:pt idx="92">
                  <c:v>4.8550000000000004</c:v>
                </c:pt>
                <c:pt idx="93">
                  <c:v>4.625</c:v>
                </c:pt>
                <c:pt idx="94">
                  <c:v>4.6660000000000004</c:v>
                </c:pt>
                <c:pt idx="95">
                  <c:v>4.7619999999999996</c:v>
                </c:pt>
                <c:pt idx="96">
                  <c:v>4.8540000000000001</c:v>
                </c:pt>
                <c:pt idx="97">
                  <c:v>4.766</c:v>
                </c:pt>
                <c:pt idx="98">
                  <c:v>4.7480000000000002</c:v>
                </c:pt>
                <c:pt idx="99">
                  <c:v>4.7640000000000002</c:v>
                </c:pt>
                <c:pt idx="100">
                  <c:v>4.7359999999999998</c:v>
                </c:pt>
                <c:pt idx="101">
                  <c:v>4.7750000000000004</c:v>
                </c:pt>
                <c:pt idx="102">
                  <c:v>4.6950000000000003</c:v>
                </c:pt>
                <c:pt idx="103">
                  <c:v>4.6769999999999996</c:v>
                </c:pt>
                <c:pt idx="104">
                  <c:v>4.6219999999999999</c:v>
                </c:pt>
                <c:pt idx="105">
                  <c:v>4.6950000000000003</c:v>
                </c:pt>
                <c:pt idx="106">
                  <c:v>4.7329999999999997</c:v>
                </c:pt>
                <c:pt idx="107">
                  <c:v>4.6669999999999998</c:v>
                </c:pt>
                <c:pt idx="108">
                  <c:v>4.8150000000000004</c:v>
                </c:pt>
                <c:pt idx="109">
                  <c:v>4.9139999999999997</c:v>
                </c:pt>
                <c:pt idx="110">
                  <c:v>4.88</c:v>
                </c:pt>
                <c:pt idx="111">
                  <c:v>4.944</c:v>
                </c:pt>
                <c:pt idx="112">
                  <c:v>5.1840000000000002</c:v>
                </c:pt>
                <c:pt idx="113">
                  <c:v>5.1189999999999998</c:v>
                </c:pt>
                <c:pt idx="114">
                  <c:v>5.1710000000000003</c:v>
                </c:pt>
                <c:pt idx="115">
                  <c:v>5.1980000000000004</c:v>
                </c:pt>
                <c:pt idx="116">
                  <c:v>5.1840000000000002</c:v>
                </c:pt>
                <c:pt idx="117">
                  <c:v>5.23</c:v>
                </c:pt>
                <c:pt idx="118">
                  <c:v>5.1950000000000003</c:v>
                </c:pt>
                <c:pt idx="119">
                  <c:v>5.125</c:v>
                </c:pt>
                <c:pt idx="120">
                  <c:v>5.0570000000000004</c:v>
                </c:pt>
                <c:pt idx="121">
                  <c:v>5.05</c:v>
                </c:pt>
                <c:pt idx="122">
                  <c:v>5.0629999999999997</c:v>
                </c:pt>
                <c:pt idx="123">
                  <c:v>4.9180000000000001</c:v>
                </c:pt>
                <c:pt idx="124">
                  <c:v>4.8019999999999996</c:v>
                </c:pt>
                <c:pt idx="125">
                  <c:v>4.7530000000000001</c:v>
                </c:pt>
                <c:pt idx="126">
                  <c:v>4.7549999999999999</c:v>
                </c:pt>
                <c:pt idx="127">
                  <c:v>4.7770000000000001</c:v>
                </c:pt>
                <c:pt idx="128">
                  <c:v>4.9279999999999999</c:v>
                </c:pt>
                <c:pt idx="129">
                  <c:v>4.8849999999999998</c:v>
                </c:pt>
                <c:pt idx="130">
                  <c:v>4.782</c:v>
                </c:pt>
                <c:pt idx="131">
                  <c:v>4.7270000000000003</c:v>
                </c:pt>
                <c:pt idx="132">
                  <c:v>4.8440000000000003</c:v>
                </c:pt>
                <c:pt idx="133">
                  <c:v>4.8479999999999999</c:v>
                </c:pt>
                <c:pt idx="134">
                  <c:v>4.726</c:v>
                </c:pt>
                <c:pt idx="135">
                  <c:v>4.76</c:v>
                </c:pt>
                <c:pt idx="136">
                  <c:v>4.8609999999999998</c:v>
                </c:pt>
                <c:pt idx="137">
                  <c:v>5.0380000000000003</c:v>
                </c:pt>
                <c:pt idx="138">
                  <c:v>4.9669999999999996</c:v>
                </c:pt>
                <c:pt idx="139">
                  <c:v>5.01</c:v>
                </c:pt>
                <c:pt idx="140">
                  <c:v>5.0170000000000003</c:v>
                </c:pt>
                <c:pt idx="141">
                  <c:v>5.069</c:v>
                </c:pt>
                <c:pt idx="142">
                  <c:v>5.1269999999999998</c:v>
                </c:pt>
                <c:pt idx="143">
                  <c:v>5.1139999999999999</c:v>
                </c:pt>
                <c:pt idx="144">
                  <c:v>5.1280000000000001</c:v>
                </c:pt>
                <c:pt idx="145">
                  <c:v>5.0309999999999997</c:v>
                </c:pt>
                <c:pt idx="146">
                  <c:v>5.0890000000000004</c:v>
                </c:pt>
                <c:pt idx="147">
                  <c:v>5.24</c:v>
                </c:pt>
                <c:pt idx="148">
                  <c:v>5.2640000000000002</c:v>
                </c:pt>
                <c:pt idx="149">
                  <c:v>5.6210000000000004</c:v>
                </c:pt>
                <c:pt idx="150">
                  <c:v>5.6349999999999998</c:v>
                </c:pt>
                <c:pt idx="151">
                  <c:v>5.7549999999999999</c:v>
                </c:pt>
                <c:pt idx="152">
                  <c:v>5.7510000000000003</c:v>
                </c:pt>
                <c:pt idx="153">
                  <c:v>5.7809999999999997</c:v>
                </c:pt>
                <c:pt idx="154">
                  <c:v>5.7480000000000002</c:v>
                </c:pt>
                <c:pt idx="155">
                  <c:v>5.7160000000000002</c:v>
                </c:pt>
                <c:pt idx="156">
                  <c:v>5.6669999999999998</c:v>
                </c:pt>
                <c:pt idx="157">
                  <c:v>5.6769999999999996</c:v>
                </c:pt>
                <c:pt idx="158">
                  <c:v>5.58</c:v>
                </c:pt>
                <c:pt idx="159">
                  <c:v>5.71</c:v>
                </c:pt>
                <c:pt idx="160">
                  <c:v>5.7469999999999999</c:v>
                </c:pt>
                <c:pt idx="161">
                  <c:v>5.9029999999999996</c:v>
                </c:pt>
                <c:pt idx="162">
                  <c:v>5.8860000000000001</c:v>
                </c:pt>
                <c:pt idx="163">
                  <c:v>5.9809999999999999</c:v>
                </c:pt>
                <c:pt idx="164">
                  <c:v>5.8819999999999997</c:v>
                </c:pt>
                <c:pt idx="165">
                  <c:v>5.7480000000000002</c:v>
                </c:pt>
                <c:pt idx="166">
                  <c:v>5.7830000000000004</c:v>
                </c:pt>
                <c:pt idx="167">
                  <c:v>5.8410000000000002</c:v>
                </c:pt>
                <c:pt idx="168">
                  <c:v>5.8010000000000002</c:v>
                </c:pt>
                <c:pt idx="169">
                  <c:v>5.6120000000000001</c:v>
                </c:pt>
                <c:pt idx="170">
                  <c:v>5.55</c:v>
                </c:pt>
                <c:pt idx="171">
                  <c:v>5.5780000000000003</c:v>
                </c:pt>
                <c:pt idx="172">
                  <c:v>5.4569999999999999</c:v>
                </c:pt>
                <c:pt idx="173">
                  <c:v>5.3630000000000004</c:v>
                </c:pt>
                <c:pt idx="174">
                  <c:v>5.3019999999999996</c:v>
                </c:pt>
                <c:pt idx="175">
                  <c:v>5.3620000000000001</c:v>
                </c:pt>
                <c:pt idx="176">
                  <c:v>5.5590000000000002</c:v>
                </c:pt>
                <c:pt idx="177">
                  <c:v>5.5259999999999998</c:v>
                </c:pt>
                <c:pt idx="178">
                  <c:v>5.3949999999999996</c:v>
                </c:pt>
                <c:pt idx="179">
                  <c:v>5.7549999999999999</c:v>
                </c:pt>
                <c:pt idx="180">
                  <c:v>5.62</c:v>
                </c:pt>
                <c:pt idx="181">
                  <c:v>5.399</c:v>
                </c:pt>
                <c:pt idx="182">
                  <c:v>5.3159999999999998</c:v>
                </c:pt>
                <c:pt idx="183">
                  <c:v>5.0670000000000002</c:v>
                </c:pt>
                <c:pt idx="184">
                  <c:v>5.1870000000000003</c:v>
                </c:pt>
                <c:pt idx="185">
                  <c:v>5.0430000000000001</c:v>
                </c:pt>
                <c:pt idx="186">
                  <c:v>5.0049999999999999</c:v>
                </c:pt>
                <c:pt idx="187">
                  <c:v>5.0110000000000001</c:v>
                </c:pt>
                <c:pt idx="188">
                  <c:v>4.9790000000000001</c:v>
                </c:pt>
                <c:pt idx="189">
                  <c:v>4.9770000000000003</c:v>
                </c:pt>
                <c:pt idx="190">
                  <c:v>4.8319999999999999</c:v>
                </c:pt>
                <c:pt idx="191">
                  <c:v>4.8620000000000001</c:v>
                </c:pt>
                <c:pt idx="192">
                  <c:v>4.88</c:v>
                </c:pt>
                <c:pt idx="193">
                  <c:v>4.8460000000000001</c:v>
                </c:pt>
                <c:pt idx="194">
                  <c:v>4.9249999999999998</c:v>
                </c:pt>
                <c:pt idx="195">
                  <c:v>4.8339999999999996</c:v>
                </c:pt>
                <c:pt idx="196">
                  <c:v>4.9039999999999999</c:v>
                </c:pt>
                <c:pt idx="197">
                  <c:v>4.7839999999999998</c:v>
                </c:pt>
                <c:pt idx="198">
                  <c:v>4.7190000000000003</c:v>
                </c:pt>
                <c:pt idx="199">
                  <c:v>4.6260000000000003</c:v>
                </c:pt>
                <c:pt idx="200">
                  <c:v>4.5750000000000002</c:v>
                </c:pt>
                <c:pt idx="201">
                  <c:v>4.5090000000000003</c:v>
                </c:pt>
                <c:pt idx="202">
                  <c:v>4.6130000000000004</c:v>
                </c:pt>
                <c:pt idx="203">
                  <c:v>4.5940000000000003</c:v>
                </c:pt>
                <c:pt idx="204">
                  <c:v>4.58</c:v>
                </c:pt>
                <c:pt idx="205">
                  <c:v>4.38</c:v>
                </c:pt>
                <c:pt idx="206">
                  <c:v>4.2649999999999997</c:v>
                </c:pt>
                <c:pt idx="207">
                  <c:v>4.2679999999999998</c:v>
                </c:pt>
                <c:pt idx="208">
                  <c:v>4.1550000000000002</c:v>
                </c:pt>
                <c:pt idx="209">
                  <c:v>4.1399999999999997</c:v>
                </c:pt>
                <c:pt idx="210">
                  <c:v>4.2149999999999999</c:v>
                </c:pt>
                <c:pt idx="211">
                  <c:v>4.3019999999999996</c:v>
                </c:pt>
                <c:pt idx="212">
                  <c:v>4.2409999999999997</c:v>
                </c:pt>
                <c:pt idx="213">
                  <c:v>4.3840000000000003</c:v>
                </c:pt>
                <c:pt idx="214">
                  <c:v>4.327</c:v>
                </c:pt>
                <c:pt idx="215">
                  <c:v>4.4089999999999998</c:v>
                </c:pt>
                <c:pt idx="216">
                  <c:v>4.2080000000000002</c:v>
                </c:pt>
                <c:pt idx="217">
                  <c:v>4.3129999999999997</c:v>
                </c:pt>
                <c:pt idx="218">
                  <c:v>4.3739999999999997</c:v>
                </c:pt>
                <c:pt idx="219">
                  <c:v>4.1630000000000003</c:v>
                </c:pt>
                <c:pt idx="220">
                  <c:v>4.2169999999999996</c:v>
                </c:pt>
                <c:pt idx="221">
                  <c:v>4.2089999999999996</c:v>
                </c:pt>
                <c:pt idx="222">
                  <c:v>4.3730000000000002</c:v>
                </c:pt>
                <c:pt idx="223">
                  <c:v>4.4560000000000004</c:v>
                </c:pt>
                <c:pt idx="224">
                  <c:v>4.4249999999999998</c:v>
                </c:pt>
                <c:pt idx="225">
                  <c:v>4.4130000000000003</c:v>
                </c:pt>
                <c:pt idx="226">
                  <c:v>4.5830000000000002</c:v>
                </c:pt>
                <c:pt idx="227">
                  <c:v>4.7329999999999997</c:v>
                </c:pt>
                <c:pt idx="228">
                  <c:v>4.8109999999999999</c:v>
                </c:pt>
                <c:pt idx="229">
                  <c:v>4.6749999999999998</c:v>
                </c:pt>
                <c:pt idx="230">
                  <c:v>4.665</c:v>
                </c:pt>
                <c:pt idx="231">
                  <c:v>4.7169999999999996</c:v>
                </c:pt>
                <c:pt idx="232">
                  <c:v>4.6479999999999997</c:v>
                </c:pt>
                <c:pt idx="233">
                  <c:v>4.617</c:v>
                </c:pt>
                <c:pt idx="234">
                  <c:v>4.5890000000000004</c:v>
                </c:pt>
                <c:pt idx="235">
                  <c:v>4.6900000000000004</c:v>
                </c:pt>
                <c:pt idx="236">
                  <c:v>4.5789999999999997</c:v>
                </c:pt>
                <c:pt idx="237">
                  <c:v>4.5460000000000003</c:v>
                </c:pt>
                <c:pt idx="238">
                  <c:v>4.41</c:v>
                </c:pt>
                <c:pt idx="239">
                  <c:v>4.4909999999999997</c:v>
                </c:pt>
                <c:pt idx="240">
                  <c:v>4.6379999999999999</c:v>
                </c:pt>
                <c:pt idx="241">
                  <c:v>4.6689999999999996</c:v>
                </c:pt>
                <c:pt idx="242">
                  <c:v>4.8209999999999997</c:v>
                </c:pt>
                <c:pt idx="243">
                  <c:v>4.7789999999999999</c:v>
                </c:pt>
                <c:pt idx="244">
                  <c:v>4.7050000000000001</c:v>
                </c:pt>
                <c:pt idx="245">
                  <c:v>4.7279999999999998</c:v>
                </c:pt>
                <c:pt idx="246">
                  <c:v>4.7119999999999997</c:v>
                </c:pt>
                <c:pt idx="247">
                  <c:v>4.7430000000000003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4E-45D4-A01D-85EEB0823B88}"/>
            </c:ext>
          </c:extLst>
        </c:ser>
        <c:ser>
          <c:idx val="2"/>
          <c:order val="2"/>
          <c:tx>
            <c:strRef>
              <c:f>'Bond Yield time series'!$E$3</c:f>
              <c:strCache>
                <c:ptCount val="1"/>
                <c:pt idx="0">
                  <c:v>STZ 2026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'Bond Yield time series'!$B$4:$B$251</c:f>
              <c:numCache>
                <c:formatCode>m/d/yyyy</c:formatCode>
                <c:ptCount val="248"/>
                <c:pt idx="0">
                  <c:v>45093</c:v>
                </c:pt>
                <c:pt idx="1">
                  <c:v>45092</c:v>
                </c:pt>
                <c:pt idx="2">
                  <c:v>45091</c:v>
                </c:pt>
                <c:pt idx="3">
                  <c:v>45090</c:v>
                </c:pt>
                <c:pt idx="4">
                  <c:v>45089</c:v>
                </c:pt>
                <c:pt idx="5">
                  <c:v>45086</c:v>
                </c:pt>
                <c:pt idx="6">
                  <c:v>45085</c:v>
                </c:pt>
                <c:pt idx="7">
                  <c:v>45084</c:v>
                </c:pt>
                <c:pt idx="8">
                  <c:v>45083</c:v>
                </c:pt>
                <c:pt idx="9">
                  <c:v>45082</c:v>
                </c:pt>
                <c:pt idx="10">
                  <c:v>45079</c:v>
                </c:pt>
                <c:pt idx="11">
                  <c:v>45078</c:v>
                </c:pt>
                <c:pt idx="12">
                  <c:v>45077</c:v>
                </c:pt>
                <c:pt idx="13">
                  <c:v>45076</c:v>
                </c:pt>
                <c:pt idx="14">
                  <c:v>45072</c:v>
                </c:pt>
                <c:pt idx="15">
                  <c:v>45071</c:v>
                </c:pt>
                <c:pt idx="16">
                  <c:v>45070</c:v>
                </c:pt>
                <c:pt idx="17">
                  <c:v>45069</c:v>
                </c:pt>
                <c:pt idx="18">
                  <c:v>45068</c:v>
                </c:pt>
                <c:pt idx="19">
                  <c:v>45065</c:v>
                </c:pt>
                <c:pt idx="20">
                  <c:v>45064</c:v>
                </c:pt>
                <c:pt idx="21">
                  <c:v>45063</c:v>
                </c:pt>
                <c:pt idx="22">
                  <c:v>45062</c:v>
                </c:pt>
                <c:pt idx="23">
                  <c:v>45061</c:v>
                </c:pt>
                <c:pt idx="24">
                  <c:v>45058</c:v>
                </c:pt>
                <c:pt idx="25">
                  <c:v>45057</c:v>
                </c:pt>
                <c:pt idx="26">
                  <c:v>45056</c:v>
                </c:pt>
                <c:pt idx="27">
                  <c:v>45055</c:v>
                </c:pt>
                <c:pt idx="28">
                  <c:v>45054</c:v>
                </c:pt>
                <c:pt idx="29">
                  <c:v>45051</c:v>
                </c:pt>
                <c:pt idx="30">
                  <c:v>45050</c:v>
                </c:pt>
                <c:pt idx="31">
                  <c:v>45049</c:v>
                </c:pt>
                <c:pt idx="32">
                  <c:v>45048</c:v>
                </c:pt>
                <c:pt idx="33">
                  <c:v>45047</c:v>
                </c:pt>
                <c:pt idx="34">
                  <c:v>45044</c:v>
                </c:pt>
                <c:pt idx="35">
                  <c:v>45043</c:v>
                </c:pt>
                <c:pt idx="36">
                  <c:v>45042</c:v>
                </c:pt>
                <c:pt idx="37">
                  <c:v>45041</c:v>
                </c:pt>
                <c:pt idx="38">
                  <c:v>45040</c:v>
                </c:pt>
                <c:pt idx="39">
                  <c:v>45037</c:v>
                </c:pt>
                <c:pt idx="40">
                  <c:v>45036</c:v>
                </c:pt>
                <c:pt idx="41">
                  <c:v>45035</c:v>
                </c:pt>
                <c:pt idx="42">
                  <c:v>45034</c:v>
                </c:pt>
                <c:pt idx="43">
                  <c:v>45033</c:v>
                </c:pt>
                <c:pt idx="44">
                  <c:v>45030</c:v>
                </c:pt>
                <c:pt idx="45">
                  <c:v>45029</c:v>
                </c:pt>
                <c:pt idx="46">
                  <c:v>45028</c:v>
                </c:pt>
                <c:pt idx="47">
                  <c:v>45027</c:v>
                </c:pt>
                <c:pt idx="48">
                  <c:v>45026</c:v>
                </c:pt>
                <c:pt idx="49">
                  <c:v>45022</c:v>
                </c:pt>
                <c:pt idx="50">
                  <c:v>45021</c:v>
                </c:pt>
                <c:pt idx="51">
                  <c:v>45020</c:v>
                </c:pt>
                <c:pt idx="52">
                  <c:v>45019</c:v>
                </c:pt>
                <c:pt idx="53">
                  <c:v>45016</c:v>
                </c:pt>
                <c:pt idx="54">
                  <c:v>45015</c:v>
                </c:pt>
                <c:pt idx="55">
                  <c:v>45014</c:v>
                </c:pt>
                <c:pt idx="56">
                  <c:v>45013</c:v>
                </c:pt>
                <c:pt idx="57">
                  <c:v>45012</c:v>
                </c:pt>
                <c:pt idx="58">
                  <c:v>45009</c:v>
                </c:pt>
                <c:pt idx="59">
                  <c:v>45008</c:v>
                </c:pt>
                <c:pt idx="60">
                  <c:v>45007</c:v>
                </c:pt>
                <c:pt idx="61">
                  <c:v>45006</c:v>
                </c:pt>
                <c:pt idx="62">
                  <c:v>45005</c:v>
                </c:pt>
                <c:pt idx="63">
                  <c:v>45002</c:v>
                </c:pt>
                <c:pt idx="64">
                  <c:v>45001</c:v>
                </c:pt>
                <c:pt idx="65">
                  <c:v>45000</c:v>
                </c:pt>
                <c:pt idx="66">
                  <c:v>44999</c:v>
                </c:pt>
                <c:pt idx="67">
                  <c:v>44998</c:v>
                </c:pt>
                <c:pt idx="68">
                  <c:v>44995</c:v>
                </c:pt>
                <c:pt idx="69">
                  <c:v>44994</c:v>
                </c:pt>
                <c:pt idx="70">
                  <c:v>44993</c:v>
                </c:pt>
                <c:pt idx="71">
                  <c:v>44992</c:v>
                </c:pt>
                <c:pt idx="72">
                  <c:v>44991</c:v>
                </c:pt>
                <c:pt idx="73">
                  <c:v>44988</c:v>
                </c:pt>
                <c:pt idx="74">
                  <c:v>44987</c:v>
                </c:pt>
                <c:pt idx="75">
                  <c:v>44986</c:v>
                </c:pt>
                <c:pt idx="76">
                  <c:v>44985</c:v>
                </c:pt>
                <c:pt idx="77">
                  <c:v>44984</c:v>
                </c:pt>
                <c:pt idx="78">
                  <c:v>44981</c:v>
                </c:pt>
                <c:pt idx="79">
                  <c:v>44980</c:v>
                </c:pt>
                <c:pt idx="80">
                  <c:v>44979</c:v>
                </c:pt>
                <c:pt idx="81">
                  <c:v>44978</c:v>
                </c:pt>
                <c:pt idx="82">
                  <c:v>44974</c:v>
                </c:pt>
                <c:pt idx="83">
                  <c:v>44973</c:v>
                </c:pt>
                <c:pt idx="84">
                  <c:v>44972</c:v>
                </c:pt>
                <c:pt idx="85">
                  <c:v>44971</c:v>
                </c:pt>
                <c:pt idx="86">
                  <c:v>44970</c:v>
                </c:pt>
                <c:pt idx="87">
                  <c:v>44967</c:v>
                </c:pt>
                <c:pt idx="88">
                  <c:v>44966</c:v>
                </c:pt>
                <c:pt idx="89">
                  <c:v>44965</c:v>
                </c:pt>
                <c:pt idx="90">
                  <c:v>44964</c:v>
                </c:pt>
                <c:pt idx="91">
                  <c:v>44963</c:v>
                </c:pt>
                <c:pt idx="92">
                  <c:v>44960</c:v>
                </c:pt>
                <c:pt idx="93">
                  <c:v>44959</c:v>
                </c:pt>
                <c:pt idx="94">
                  <c:v>44958</c:v>
                </c:pt>
                <c:pt idx="95">
                  <c:v>44957</c:v>
                </c:pt>
                <c:pt idx="96">
                  <c:v>44956</c:v>
                </c:pt>
                <c:pt idx="97">
                  <c:v>44953</c:v>
                </c:pt>
                <c:pt idx="98">
                  <c:v>44952</c:v>
                </c:pt>
                <c:pt idx="99">
                  <c:v>44951</c:v>
                </c:pt>
                <c:pt idx="100">
                  <c:v>44950</c:v>
                </c:pt>
                <c:pt idx="101">
                  <c:v>44949</c:v>
                </c:pt>
                <c:pt idx="102">
                  <c:v>44946</c:v>
                </c:pt>
                <c:pt idx="103">
                  <c:v>44945</c:v>
                </c:pt>
                <c:pt idx="104">
                  <c:v>44944</c:v>
                </c:pt>
                <c:pt idx="105">
                  <c:v>44943</c:v>
                </c:pt>
                <c:pt idx="106">
                  <c:v>44939</c:v>
                </c:pt>
                <c:pt idx="107">
                  <c:v>44938</c:v>
                </c:pt>
                <c:pt idx="108">
                  <c:v>44937</c:v>
                </c:pt>
                <c:pt idx="109">
                  <c:v>44936</c:v>
                </c:pt>
                <c:pt idx="110">
                  <c:v>44935</c:v>
                </c:pt>
                <c:pt idx="111">
                  <c:v>44932</c:v>
                </c:pt>
                <c:pt idx="112">
                  <c:v>44931</c:v>
                </c:pt>
                <c:pt idx="113">
                  <c:v>44930</c:v>
                </c:pt>
                <c:pt idx="114">
                  <c:v>44929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44918</c:v>
                </c:pt>
                <c:pt idx="120">
                  <c:v>44917</c:v>
                </c:pt>
                <c:pt idx="121">
                  <c:v>44916</c:v>
                </c:pt>
                <c:pt idx="122">
                  <c:v>44915</c:v>
                </c:pt>
                <c:pt idx="123">
                  <c:v>44914</c:v>
                </c:pt>
                <c:pt idx="124">
                  <c:v>44911</c:v>
                </c:pt>
                <c:pt idx="125">
                  <c:v>44910</c:v>
                </c:pt>
                <c:pt idx="126">
                  <c:v>44909</c:v>
                </c:pt>
                <c:pt idx="127">
                  <c:v>44908</c:v>
                </c:pt>
                <c:pt idx="128">
                  <c:v>44907</c:v>
                </c:pt>
                <c:pt idx="129">
                  <c:v>44904</c:v>
                </c:pt>
                <c:pt idx="130">
                  <c:v>44903</c:v>
                </c:pt>
                <c:pt idx="131">
                  <c:v>44902</c:v>
                </c:pt>
                <c:pt idx="132">
                  <c:v>44901</c:v>
                </c:pt>
                <c:pt idx="133">
                  <c:v>44900</c:v>
                </c:pt>
                <c:pt idx="134">
                  <c:v>44897</c:v>
                </c:pt>
                <c:pt idx="135">
                  <c:v>44896</c:v>
                </c:pt>
                <c:pt idx="136">
                  <c:v>44895</c:v>
                </c:pt>
                <c:pt idx="137">
                  <c:v>44894</c:v>
                </c:pt>
                <c:pt idx="138">
                  <c:v>44893</c:v>
                </c:pt>
                <c:pt idx="139">
                  <c:v>44890</c:v>
                </c:pt>
                <c:pt idx="140">
                  <c:v>44888</c:v>
                </c:pt>
                <c:pt idx="141">
                  <c:v>44887</c:v>
                </c:pt>
                <c:pt idx="142">
                  <c:v>44886</c:v>
                </c:pt>
                <c:pt idx="143">
                  <c:v>44883</c:v>
                </c:pt>
                <c:pt idx="144">
                  <c:v>44882</c:v>
                </c:pt>
                <c:pt idx="145">
                  <c:v>44881</c:v>
                </c:pt>
                <c:pt idx="146">
                  <c:v>44880</c:v>
                </c:pt>
                <c:pt idx="147">
                  <c:v>44879</c:v>
                </c:pt>
                <c:pt idx="148">
                  <c:v>44875</c:v>
                </c:pt>
                <c:pt idx="149">
                  <c:v>44874</c:v>
                </c:pt>
                <c:pt idx="150">
                  <c:v>44873</c:v>
                </c:pt>
                <c:pt idx="151">
                  <c:v>44872</c:v>
                </c:pt>
                <c:pt idx="152">
                  <c:v>44869</c:v>
                </c:pt>
                <c:pt idx="153">
                  <c:v>44868</c:v>
                </c:pt>
                <c:pt idx="154">
                  <c:v>44867</c:v>
                </c:pt>
                <c:pt idx="155">
                  <c:v>44866</c:v>
                </c:pt>
                <c:pt idx="156">
                  <c:v>44865</c:v>
                </c:pt>
                <c:pt idx="157">
                  <c:v>44862</c:v>
                </c:pt>
                <c:pt idx="158">
                  <c:v>44861</c:v>
                </c:pt>
                <c:pt idx="159">
                  <c:v>44860</c:v>
                </c:pt>
                <c:pt idx="160">
                  <c:v>44859</c:v>
                </c:pt>
                <c:pt idx="161">
                  <c:v>44858</c:v>
                </c:pt>
                <c:pt idx="162">
                  <c:v>44855</c:v>
                </c:pt>
                <c:pt idx="163">
                  <c:v>44854</c:v>
                </c:pt>
                <c:pt idx="164">
                  <c:v>44853</c:v>
                </c:pt>
                <c:pt idx="165">
                  <c:v>44852</c:v>
                </c:pt>
                <c:pt idx="166">
                  <c:v>44851</c:v>
                </c:pt>
                <c:pt idx="167">
                  <c:v>44848</c:v>
                </c:pt>
                <c:pt idx="168">
                  <c:v>44847</c:v>
                </c:pt>
                <c:pt idx="169">
                  <c:v>44846</c:v>
                </c:pt>
                <c:pt idx="170">
                  <c:v>44845</c:v>
                </c:pt>
                <c:pt idx="171">
                  <c:v>44841</c:v>
                </c:pt>
                <c:pt idx="172">
                  <c:v>44840</c:v>
                </c:pt>
                <c:pt idx="173">
                  <c:v>44839</c:v>
                </c:pt>
                <c:pt idx="174">
                  <c:v>44838</c:v>
                </c:pt>
                <c:pt idx="175">
                  <c:v>44837</c:v>
                </c:pt>
                <c:pt idx="176">
                  <c:v>44834</c:v>
                </c:pt>
                <c:pt idx="177">
                  <c:v>44833</c:v>
                </c:pt>
                <c:pt idx="178">
                  <c:v>44832</c:v>
                </c:pt>
                <c:pt idx="179">
                  <c:v>44831</c:v>
                </c:pt>
                <c:pt idx="180">
                  <c:v>44830</c:v>
                </c:pt>
                <c:pt idx="181">
                  <c:v>44827</c:v>
                </c:pt>
                <c:pt idx="182">
                  <c:v>44826</c:v>
                </c:pt>
                <c:pt idx="183">
                  <c:v>44825</c:v>
                </c:pt>
                <c:pt idx="184">
                  <c:v>44824</c:v>
                </c:pt>
                <c:pt idx="185">
                  <c:v>44823</c:v>
                </c:pt>
                <c:pt idx="186">
                  <c:v>44820</c:v>
                </c:pt>
                <c:pt idx="187">
                  <c:v>44819</c:v>
                </c:pt>
                <c:pt idx="188">
                  <c:v>44818</c:v>
                </c:pt>
                <c:pt idx="189">
                  <c:v>44817</c:v>
                </c:pt>
                <c:pt idx="190">
                  <c:v>44816</c:v>
                </c:pt>
                <c:pt idx="191">
                  <c:v>44813</c:v>
                </c:pt>
                <c:pt idx="192">
                  <c:v>44812</c:v>
                </c:pt>
                <c:pt idx="193">
                  <c:v>44811</c:v>
                </c:pt>
                <c:pt idx="194">
                  <c:v>44810</c:v>
                </c:pt>
                <c:pt idx="195">
                  <c:v>44806</c:v>
                </c:pt>
                <c:pt idx="196">
                  <c:v>44805</c:v>
                </c:pt>
                <c:pt idx="197">
                  <c:v>44804</c:v>
                </c:pt>
                <c:pt idx="198">
                  <c:v>44803</c:v>
                </c:pt>
                <c:pt idx="199">
                  <c:v>44802</c:v>
                </c:pt>
                <c:pt idx="200">
                  <c:v>44799</c:v>
                </c:pt>
                <c:pt idx="201">
                  <c:v>44798</c:v>
                </c:pt>
                <c:pt idx="202">
                  <c:v>44797</c:v>
                </c:pt>
                <c:pt idx="203">
                  <c:v>44796</c:v>
                </c:pt>
                <c:pt idx="204">
                  <c:v>44795</c:v>
                </c:pt>
                <c:pt idx="205">
                  <c:v>44792</c:v>
                </c:pt>
                <c:pt idx="206">
                  <c:v>44791</c:v>
                </c:pt>
                <c:pt idx="207">
                  <c:v>44790</c:v>
                </c:pt>
                <c:pt idx="208">
                  <c:v>44789</c:v>
                </c:pt>
                <c:pt idx="209">
                  <c:v>44788</c:v>
                </c:pt>
                <c:pt idx="210">
                  <c:v>44785</c:v>
                </c:pt>
                <c:pt idx="211">
                  <c:v>44784</c:v>
                </c:pt>
                <c:pt idx="212">
                  <c:v>44783</c:v>
                </c:pt>
                <c:pt idx="213">
                  <c:v>44782</c:v>
                </c:pt>
                <c:pt idx="214">
                  <c:v>44781</c:v>
                </c:pt>
                <c:pt idx="215">
                  <c:v>44778</c:v>
                </c:pt>
                <c:pt idx="216">
                  <c:v>44777</c:v>
                </c:pt>
                <c:pt idx="217">
                  <c:v>44776</c:v>
                </c:pt>
                <c:pt idx="218">
                  <c:v>44775</c:v>
                </c:pt>
                <c:pt idx="219">
                  <c:v>44774</c:v>
                </c:pt>
                <c:pt idx="220">
                  <c:v>44771</c:v>
                </c:pt>
                <c:pt idx="221">
                  <c:v>44770</c:v>
                </c:pt>
                <c:pt idx="222">
                  <c:v>44769</c:v>
                </c:pt>
                <c:pt idx="223">
                  <c:v>44768</c:v>
                </c:pt>
                <c:pt idx="224">
                  <c:v>44767</c:v>
                </c:pt>
                <c:pt idx="225">
                  <c:v>44764</c:v>
                </c:pt>
                <c:pt idx="226">
                  <c:v>44763</c:v>
                </c:pt>
                <c:pt idx="227">
                  <c:v>44762</c:v>
                </c:pt>
                <c:pt idx="228">
                  <c:v>44761</c:v>
                </c:pt>
                <c:pt idx="229">
                  <c:v>44760</c:v>
                </c:pt>
                <c:pt idx="230">
                  <c:v>44757</c:v>
                </c:pt>
                <c:pt idx="231">
                  <c:v>44756</c:v>
                </c:pt>
                <c:pt idx="232">
                  <c:v>44755</c:v>
                </c:pt>
                <c:pt idx="233">
                  <c:v>44754</c:v>
                </c:pt>
                <c:pt idx="234">
                  <c:v>44753</c:v>
                </c:pt>
                <c:pt idx="235">
                  <c:v>44750</c:v>
                </c:pt>
                <c:pt idx="236">
                  <c:v>44749</c:v>
                </c:pt>
                <c:pt idx="237">
                  <c:v>44748</c:v>
                </c:pt>
                <c:pt idx="238">
                  <c:v>44747</c:v>
                </c:pt>
                <c:pt idx="239">
                  <c:v>44743</c:v>
                </c:pt>
                <c:pt idx="240">
                  <c:v>44742</c:v>
                </c:pt>
                <c:pt idx="241">
                  <c:v>44741</c:v>
                </c:pt>
                <c:pt idx="242">
                  <c:v>44740</c:v>
                </c:pt>
                <c:pt idx="243">
                  <c:v>44739</c:v>
                </c:pt>
                <c:pt idx="244">
                  <c:v>44736</c:v>
                </c:pt>
                <c:pt idx="245">
                  <c:v>44735</c:v>
                </c:pt>
                <c:pt idx="246">
                  <c:v>44734</c:v>
                </c:pt>
                <c:pt idx="247">
                  <c:v>44733</c:v>
                </c:pt>
              </c:numCache>
            </c:numRef>
          </c:cat>
          <c:val>
            <c:numRef>
              <c:f>'Bond Yield time series'!$E$4:$E$251</c:f>
              <c:numCache>
                <c:formatCode>General</c:formatCode>
                <c:ptCount val="248"/>
                <c:pt idx="0">
                  <c:v>5.1989999999999998</c:v>
                </c:pt>
                <c:pt idx="1">
                  <c:v>5.1379999999999999</c:v>
                </c:pt>
                <c:pt idx="2">
                  <c:v>5.165</c:v>
                </c:pt>
                <c:pt idx="3">
                  <c:v>5.0679999999999996</c:v>
                </c:pt>
                <c:pt idx="4">
                  <c:v>5.0199999999999996</c:v>
                </c:pt>
                <c:pt idx="5">
                  <c:v>5.0739999999999998</c:v>
                </c:pt>
                <c:pt idx="6">
                  <c:v>5.0179999999999998</c:v>
                </c:pt>
                <c:pt idx="7">
                  <c:v>5.0410000000000004</c:v>
                </c:pt>
                <c:pt idx="8">
                  <c:v>4.8890000000000002</c:v>
                </c:pt>
                <c:pt idx="9">
                  <c:v>4.8499999999999996</c:v>
                </c:pt>
                <c:pt idx="10">
                  <c:v>4.7889999999999997</c:v>
                </c:pt>
                <c:pt idx="11">
                  <c:v>4.6269999999999998</c:v>
                </c:pt>
                <c:pt idx="12">
                  <c:v>4.96</c:v>
                </c:pt>
                <c:pt idx="13">
                  <c:v>4.7629999999999999</c:v>
                </c:pt>
                <c:pt idx="14">
                  <c:v>5.0590000000000002</c:v>
                </c:pt>
                <c:pt idx="15">
                  <c:v>5.0270000000000001</c:v>
                </c:pt>
                <c:pt idx="16">
                  <c:v>4.97</c:v>
                </c:pt>
                <c:pt idx="17">
                  <c:v>5.0199999999999996</c:v>
                </c:pt>
                <c:pt idx="18">
                  <c:v>5.0010000000000003</c:v>
                </c:pt>
                <c:pt idx="19">
                  <c:v>5.0670000000000002</c:v>
                </c:pt>
                <c:pt idx="20">
                  <c:v>5.1849999999999996</c:v>
                </c:pt>
                <c:pt idx="21">
                  <c:v>5.1079999999999997</c:v>
                </c:pt>
                <c:pt idx="22">
                  <c:v>5.0449999999999999</c:v>
                </c:pt>
                <c:pt idx="23">
                  <c:v>5.0049999999999999</c:v>
                </c:pt>
                <c:pt idx="24">
                  <c:v>5.0270000000000001</c:v>
                </c:pt>
                <c:pt idx="25">
                  <c:v>4.83</c:v>
                </c:pt>
                <c:pt idx="26">
                  <c:v>4.8959999999999999</c:v>
                </c:pt>
                <c:pt idx="27">
                  <c:v>5.0490000000000004</c:v>
                </c:pt>
                <c:pt idx="28">
                  <c:v>5.0410000000000004</c:v>
                </c:pt>
                <c:pt idx="29">
                  <c:v>4.9770000000000003</c:v>
                </c:pt>
                <c:pt idx="30">
                  <c:v>4.859</c:v>
                </c:pt>
                <c:pt idx="31">
                  <c:v>4.9020000000000001</c:v>
                </c:pt>
                <c:pt idx="32">
                  <c:v>4.9880000000000004</c:v>
                </c:pt>
                <c:pt idx="33">
                  <c:v>5.1390000000000002</c:v>
                </c:pt>
                <c:pt idx="34">
                  <c:v>5.1420000000000003</c:v>
                </c:pt>
                <c:pt idx="35">
                  <c:v>5.2539999999999996</c:v>
                </c:pt>
                <c:pt idx="36">
                  <c:v>5.14</c:v>
                </c:pt>
                <c:pt idx="37">
                  <c:v>4.9740000000000002</c:v>
                </c:pt>
                <c:pt idx="38">
                  <c:v>5.1079999999999997</c:v>
                </c:pt>
                <c:pt idx="39">
                  <c:v>5.149</c:v>
                </c:pt>
                <c:pt idx="40">
                  <c:v>5.0709999999999997</c:v>
                </c:pt>
                <c:pt idx="41">
                  <c:v>5.1180000000000003</c:v>
                </c:pt>
                <c:pt idx="42">
                  <c:v>5.0449999999999999</c:v>
                </c:pt>
                <c:pt idx="43">
                  <c:v>5.0750000000000002</c:v>
                </c:pt>
                <c:pt idx="44">
                  <c:v>5</c:v>
                </c:pt>
                <c:pt idx="45">
                  <c:v>5.1120000000000001</c:v>
                </c:pt>
                <c:pt idx="46">
                  <c:v>5.1230000000000002</c:v>
                </c:pt>
                <c:pt idx="47">
                  <c:v>5.0990000000000002</c:v>
                </c:pt>
                <c:pt idx="48">
                  <c:v>5.109</c:v>
                </c:pt>
                <c:pt idx="49">
                  <c:v>5.016</c:v>
                </c:pt>
                <c:pt idx="50">
                  <c:v>4.8920000000000003</c:v>
                </c:pt>
                <c:pt idx="51">
                  <c:v>4.9059999999999997</c:v>
                </c:pt>
                <c:pt idx="52">
                  <c:v>4.7759999999999998</c:v>
                </c:pt>
                <c:pt idx="53">
                  <c:v>4.891</c:v>
                </c:pt>
                <c:pt idx="54">
                  <c:v>5.0060000000000002</c:v>
                </c:pt>
                <c:pt idx="55">
                  <c:v>4.9790000000000001</c:v>
                </c:pt>
                <c:pt idx="56">
                  <c:v>4.9720000000000004</c:v>
                </c:pt>
                <c:pt idx="57">
                  <c:v>4.8929999999999998</c:v>
                </c:pt>
                <c:pt idx="58">
                  <c:v>4.851</c:v>
                </c:pt>
                <c:pt idx="59">
                  <c:v>4.8719999999999999</c:v>
                </c:pt>
                <c:pt idx="60">
                  <c:v>5.0449999999999999</c:v>
                </c:pt>
                <c:pt idx="61">
                  <c:v>5.1219999999999999</c:v>
                </c:pt>
                <c:pt idx="62">
                  <c:v>5.2119999999999997</c:v>
                </c:pt>
                <c:pt idx="63">
                  <c:v>5.101</c:v>
                </c:pt>
                <c:pt idx="64">
                  <c:v>5.2110000000000003</c:v>
                </c:pt>
                <c:pt idx="65">
                  <c:v>5.0999999999999996</c:v>
                </c:pt>
                <c:pt idx="66">
                  <c:v>5.3079999999999998</c:v>
                </c:pt>
                <c:pt idx="67">
                  <c:v>5.375</c:v>
                </c:pt>
                <c:pt idx="68">
                  <c:v>5.3419999999999996</c:v>
                </c:pt>
                <c:pt idx="69">
                  <c:v>5.5279999999999996</c:v>
                </c:pt>
                <c:pt idx="70">
                  <c:v>5.6740000000000004</c:v>
                </c:pt>
                <c:pt idx="71">
                  <c:v>5.5949999999999998</c:v>
                </c:pt>
                <c:pt idx="72">
                  <c:v>5.41</c:v>
                </c:pt>
                <c:pt idx="73">
                  <c:v>5.4180000000000001</c:v>
                </c:pt>
                <c:pt idx="74">
                  <c:v>5.4640000000000004</c:v>
                </c:pt>
                <c:pt idx="75">
                  <c:v>5.4550000000000001</c:v>
                </c:pt>
                <c:pt idx="76">
                  <c:v>5.3419999999999996</c:v>
                </c:pt>
                <c:pt idx="77">
                  <c:v>5.3339999999999996</c:v>
                </c:pt>
                <c:pt idx="78">
                  <c:v>5.4089999999999998</c:v>
                </c:pt>
                <c:pt idx="79">
                  <c:v>5.3179999999999996</c:v>
                </c:pt>
                <c:pt idx="80">
                  <c:v>5.3819999999999997</c:v>
                </c:pt>
                <c:pt idx="81">
                  <c:v>5.4450000000000003</c:v>
                </c:pt>
                <c:pt idx="82">
                  <c:v>5.319</c:v>
                </c:pt>
                <c:pt idx="83">
                  <c:v>5.31</c:v>
                </c:pt>
                <c:pt idx="84">
                  <c:v>5.2510000000000003</c:v>
                </c:pt>
                <c:pt idx="85">
                  <c:v>5.2469999999999999</c:v>
                </c:pt>
                <c:pt idx="86">
                  <c:v>5.1449999999999996</c:v>
                </c:pt>
                <c:pt idx="87">
                  <c:v>5.1689999999999996</c:v>
                </c:pt>
                <c:pt idx="88">
                  <c:v>5.1079999999999997</c:v>
                </c:pt>
                <c:pt idx="89">
                  <c:v>5.0599999999999996</c:v>
                </c:pt>
                <c:pt idx="90">
                  <c:v>5.1349999999999998</c:v>
                </c:pt>
                <c:pt idx="91">
                  <c:v>5.1230000000000002</c:v>
                </c:pt>
                <c:pt idx="92">
                  <c:v>5.0110000000000001</c:v>
                </c:pt>
                <c:pt idx="93">
                  <c:v>4.7930000000000001</c:v>
                </c:pt>
                <c:pt idx="94">
                  <c:v>4.9089999999999998</c:v>
                </c:pt>
                <c:pt idx="95">
                  <c:v>4.9210000000000003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4E-45D4-A01D-85EEB0823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9384"/>
        <c:axId val="999758752"/>
      </c:lineChart>
      <c:dateAx>
        <c:axId val="10116893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58752"/>
        <c:crosses val="autoZero"/>
        <c:auto val="1"/>
        <c:lblOffset val="100"/>
        <c:baseTimeUnit val="days"/>
      </c:dateAx>
      <c:valAx>
        <c:axId val="999758752"/>
        <c:scaling>
          <c:orientation val="minMax"/>
          <c:max val="6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9384"/>
        <c:crosses val="autoZero"/>
        <c:crossBetween val="between"/>
        <c:majorUnit val="0.5"/>
      </c:valAx>
      <c:spPr>
        <a:solidFill>
          <a:schemeClr val="tx1">
            <a:lumMod val="65000"/>
            <a:lumOff val="3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Short</a:t>
            </a:r>
            <a:r>
              <a:rPr lang="en-US" baseline="0"/>
              <a:t> Bond YTW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'Bond Yield time series'!$C$3</c:f>
              <c:strCache>
                <c:ptCount val="1"/>
                <c:pt idx="0">
                  <c:v>ABIBB 2026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'Bond Yield time series'!$B$4:$B$251</c:f>
              <c:numCache>
                <c:formatCode>m/d/yyyy</c:formatCode>
                <c:ptCount val="248"/>
                <c:pt idx="0">
                  <c:v>45093</c:v>
                </c:pt>
                <c:pt idx="1">
                  <c:v>45092</c:v>
                </c:pt>
                <c:pt idx="2">
                  <c:v>45091</c:v>
                </c:pt>
                <c:pt idx="3">
                  <c:v>45090</c:v>
                </c:pt>
                <c:pt idx="4">
                  <c:v>45089</c:v>
                </c:pt>
                <c:pt idx="5">
                  <c:v>45086</c:v>
                </c:pt>
                <c:pt idx="6">
                  <c:v>45085</c:v>
                </c:pt>
                <c:pt idx="7">
                  <c:v>45084</c:v>
                </c:pt>
                <c:pt idx="8">
                  <c:v>45083</c:v>
                </c:pt>
                <c:pt idx="9">
                  <c:v>45082</c:v>
                </c:pt>
                <c:pt idx="10">
                  <c:v>45079</c:v>
                </c:pt>
                <c:pt idx="11">
                  <c:v>45078</c:v>
                </c:pt>
                <c:pt idx="12">
                  <c:v>45077</c:v>
                </c:pt>
                <c:pt idx="13">
                  <c:v>45076</c:v>
                </c:pt>
                <c:pt idx="14">
                  <c:v>45072</c:v>
                </c:pt>
                <c:pt idx="15">
                  <c:v>45071</c:v>
                </c:pt>
                <c:pt idx="16">
                  <c:v>45070</c:v>
                </c:pt>
                <c:pt idx="17">
                  <c:v>45069</c:v>
                </c:pt>
                <c:pt idx="18">
                  <c:v>45068</c:v>
                </c:pt>
                <c:pt idx="19">
                  <c:v>45065</c:v>
                </c:pt>
                <c:pt idx="20">
                  <c:v>45064</c:v>
                </c:pt>
                <c:pt idx="21">
                  <c:v>45063</c:v>
                </c:pt>
                <c:pt idx="22">
                  <c:v>45062</c:v>
                </c:pt>
                <c:pt idx="23">
                  <c:v>45061</c:v>
                </c:pt>
                <c:pt idx="24">
                  <c:v>45058</c:v>
                </c:pt>
                <c:pt idx="25">
                  <c:v>45057</c:v>
                </c:pt>
                <c:pt idx="26">
                  <c:v>45056</c:v>
                </c:pt>
                <c:pt idx="27">
                  <c:v>45055</c:v>
                </c:pt>
                <c:pt idx="28">
                  <c:v>45054</c:v>
                </c:pt>
                <c:pt idx="29">
                  <c:v>45051</c:v>
                </c:pt>
                <c:pt idx="30">
                  <c:v>45050</c:v>
                </c:pt>
                <c:pt idx="31">
                  <c:v>45049</c:v>
                </c:pt>
                <c:pt idx="32">
                  <c:v>45048</c:v>
                </c:pt>
                <c:pt idx="33">
                  <c:v>45047</c:v>
                </c:pt>
                <c:pt idx="34">
                  <c:v>45044</c:v>
                </c:pt>
                <c:pt idx="35">
                  <c:v>45043</c:v>
                </c:pt>
                <c:pt idx="36">
                  <c:v>45042</c:v>
                </c:pt>
                <c:pt idx="37">
                  <c:v>45041</c:v>
                </c:pt>
                <c:pt idx="38">
                  <c:v>45040</c:v>
                </c:pt>
                <c:pt idx="39">
                  <c:v>45037</c:v>
                </c:pt>
                <c:pt idx="40">
                  <c:v>45036</c:v>
                </c:pt>
                <c:pt idx="41">
                  <c:v>45035</c:v>
                </c:pt>
                <c:pt idx="42">
                  <c:v>45034</c:v>
                </c:pt>
                <c:pt idx="43">
                  <c:v>45033</c:v>
                </c:pt>
                <c:pt idx="44">
                  <c:v>45030</c:v>
                </c:pt>
                <c:pt idx="45">
                  <c:v>45029</c:v>
                </c:pt>
                <c:pt idx="46">
                  <c:v>45028</c:v>
                </c:pt>
                <c:pt idx="47">
                  <c:v>45027</c:v>
                </c:pt>
                <c:pt idx="48">
                  <c:v>45026</c:v>
                </c:pt>
                <c:pt idx="49">
                  <c:v>45022</c:v>
                </c:pt>
                <c:pt idx="50">
                  <c:v>45021</c:v>
                </c:pt>
                <c:pt idx="51">
                  <c:v>45020</c:v>
                </c:pt>
                <c:pt idx="52">
                  <c:v>45019</c:v>
                </c:pt>
                <c:pt idx="53">
                  <c:v>45016</c:v>
                </c:pt>
                <c:pt idx="54">
                  <c:v>45015</c:v>
                </c:pt>
                <c:pt idx="55">
                  <c:v>45014</c:v>
                </c:pt>
                <c:pt idx="56">
                  <c:v>45013</c:v>
                </c:pt>
                <c:pt idx="57">
                  <c:v>45012</c:v>
                </c:pt>
                <c:pt idx="58">
                  <c:v>45009</c:v>
                </c:pt>
                <c:pt idx="59">
                  <c:v>45008</c:v>
                </c:pt>
                <c:pt idx="60">
                  <c:v>45007</c:v>
                </c:pt>
                <c:pt idx="61">
                  <c:v>45006</c:v>
                </c:pt>
                <c:pt idx="62">
                  <c:v>45005</c:v>
                </c:pt>
                <c:pt idx="63">
                  <c:v>45002</c:v>
                </c:pt>
                <c:pt idx="64">
                  <c:v>45001</c:v>
                </c:pt>
                <c:pt idx="65">
                  <c:v>45000</c:v>
                </c:pt>
                <c:pt idx="66">
                  <c:v>44999</c:v>
                </c:pt>
                <c:pt idx="67">
                  <c:v>44998</c:v>
                </c:pt>
                <c:pt idx="68">
                  <c:v>44995</c:v>
                </c:pt>
                <c:pt idx="69">
                  <c:v>44994</c:v>
                </c:pt>
                <c:pt idx="70">
                  <c:v>44993</c:v>
                </c:pt>
                <c:pt idx="71">
                  <c:v>44992</c:v>
                </c:pt>
                <c:pt idx="72">
                  <c:v>44991</c:v>
                </c:pt>
                <c:pt idx="73">
                  <c:v>44988</c:v>
                </c:pt>
                <c:pt idx="74">
                  <c:v>44987</c:v>
                </c:pt>
                <c:pt idx="75">
                  <c:v>44986</c:v>
                </c:pt>
                <c:pt idx="76">
                  <c:v>44985</c:v>
                </c:pt>
                <c:pt idx="77">
                  <c:v>44984</c:v>
                </c:pt>
                <c:pt idx="78">
                  <c:v>44981</c:v>
                </c:pt>
                <c:pt idx="79">
                  <c:v>44980</c:v>
                </c:pt>
                <c:pt idx="80">
                  <c:v>44979</c:v>
                </c:pt>
                <c:pt idx="81">
                  <c:v>44978</c:v>
                </c:pt>
                <c:pt idx="82">
                  <c:v>44974</c:v>
                </c:pt>
                <c:pt idx="83">
                  <c:v>44973</c:v>
                </c:pt>
                <c:pt idx="84">
                  <c:v>44972</c:v>
                </c:pt>
                <c:pt idx="85">
                  <c:v>44971</c:v>
                </c:pt>
                <c:pt idx="86">
                  <c:v>44970</c:v>
                </c:pt>
                <c:pt idx="87">
                  <c:v>44967</c:v>
                </c:pt>
                <c:pt idx="88">
                  <c:v>44966</c:v>
                </c:pt>
                <c:pt idx="89">
                  <c:v>44965</c:v>
                </c:pt>
                <c:pt idx="90">
                  <c:v>44964</c:v>
                </c:pt>
                <c:pt idx="91">
                  <c:v>44963</c:v>
                </c:pt>
                <c:pt idx="92">
                  <c:v>44960</c:v>
                </c:pt>
                <c:pt idx="93">
                  <c:v>44959</c:v>
                </c:pt>
                <c:pt idx="94">
                  <c:v>44958</c:v>
                </c:pt>
                <c:pt idx="95">
                  <c:v>44957</c:v>
                </c:pt>
                <c:pt idx="96">
                  <c:v>44956</c:v>
                </c:pt>
                <c:pt idx="97">
                  <c:v>44953</c:v>
                </c:pt>
                <c:pt idx="98">
                  <c:v>44952</c:v>
                </c:pt>
                <c:pt idx="99">
                  <c:v>44951</c:v>
                </c:pt>
                <c:pt idx="100">
                  <c:v>44950</c:v>
                </c:pt>
                <c:pt idx="101">
                  <c:v>44949</c:v>
                </c:pt>
                <c:pt idx="102">
                  <c:v>44946</c:v>
                </c:pt>
                <c:pt idx="103">
                  <c:v>44945</c:v>
                </c:pt>
                <c:pt idx="104">
                  <c:v>44944</c:v>
                </c:pt>
                <c:pt idx="105">
                  <c:v>44943</c:v>
                </c:pt>
                <c:pt idx="106">
                  <c:v>44939</c:v>
                </c:pt>
                <c:pt idx="107">
                  <c:v>44938</c:v>
                </c:pt>
                <c:pt idx="108">
                  <c:v>44937</c:v>
                </c:pt>
                <c:pt idx="109">
                  <c:v>44936</c:v>
                </c:pt>
                <c:pt idx="110">
                  <c:v>44935</c:v>
                </c:pt>
                <c:pt idx="111">
                  <c:v>44932</c:v>
                </c:pt>
                <c:pt idx="112">
                  <c:v>44931</c:v>
                </c:pt>
                <c:pt idx="113">
                  <c:v>44930</c:v>
                </c:pt>
                <c:pt idx="114">
                  <c:v>44929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44918</c:v>
                </c:pt>
                <c:pt idx="120">
                  <c:v>44917</c:v>
                </c:pt>
                <c:pt idx="121">
                  <c:v>44916</c:v>
                </c:pt>
                <c:pt idx="122">
                  <c:v>44915</c:v>
                </c:pt>
                <c:pt idx="123">
                  <c:v>44914</c:v>
                </c:pt>
                <c:pt idx="124">
                  <c:v>44911</c:v>
                </c:pt>
                <c:pt idx="125">
                  <c:v>44910</c:v>
                </c:pt>
                <c:pt idx="126">
                  <c:v>44909</c:v>
                </c:pt>
                <c:pt idx="127">
                  <c:v>44908</c:v>
                </c:pt>
                <c:pt idx="128">
                  <c:v>44907</c:v>
                </c:pt>
                <c:pt idx="129">
                  <c:v>44904</c:v>
                </c:pt>
                <c:pt idx="130">
                  <c:v>44903</c:v>
                </c:pt>
                <c:pt idx="131">
                  <c:v>44902</c:v>
                </c:pt>
                <c:pt idx="132">
                  <c:v>44901</c:v>
                </c:pt>
                <c:pt idx="133">
                  <c:v>44900</c:v>
                </c:pt>
                <c:pt idx="134">
                  <c:v>44897</c:v>
                </c:pt>
                <c:pt idx="135">
                  <c:v>44896</c:v>
                </c:pt>
                <c:pt idx="136">
                  <c:v>44895</c:v>
                </c:pt>
                <c:pt idx="137">
                  <c:v>44894</c:v>
                </c:pt>
                <c:pt idx="138">
                  <c:v>44893</c:v>
                </c:pt>
                <c:pt idx="139">
                  <c:v>44890</c:v>
                </c:pt>
                <c:pt idx="140">
                  <c:v>44888</c:v>
                </c:pt>
                <c:pt idx="141">
                  <c:v>44887</c:v>
                </c:pt>
                <c:pt idx="142">
                  <c:v>44886</c:v>
                </c:pt>
                <c:pt idx="143">
                  <c:v>44883</c:v>
                </c:pt>
                <c:pt idx="144">
                  <c:v>44882</c:v>
                </c:pt>
                <c:pt idx="145">
                  <c:v>44881</c:v>
                </c:pt>
                <c:pt idx="146">
                  <c:v>44880</c:v>
                </c:pt>
                <c:pt idx="147">
                  <c:v>44879</c:v>
                </c:pt>
                <c:pt idx="148">
                  <c:v>44875</c:v>
                </c:pt>
                <c:pt idx="149">
                  <c:v>44874</c:v>
                </c:pt>
                <c:pt idx="150">
                  <c:v>44873</c:v>
                </c:pt>
                <c:pt idx="151">
                  <c:v>44872</c:v>
                </c:pt>
                <c:pt idx="152">
                  <c:v>44869</c:v>
                </c:pt>
                <c:pt idx="153">
                  <c:v>44868</c:v>
                </c:pt>
                <c:pt idx="154">
                  <c:v>44867</c:v>
                </c:pt>
                <c:pt idx="155">
                  <c:v>44866</c:v>
                </c:pt>
                <c:pt idx="156">
                  <c:v>44865</c:v>
                </c:pt>
                <c:pt idx="157">
                  <c:v>44862</c:v>
                </c:pt>
                <c:pt idx="158">
                  <c:v>44861</c:v>
                </c:pt>
                <c:pt idx="159">
                  <c:v>44860</c:v>
                </c:pt>
                <c:pt idx="160">
                  <c:v>44859</c:v>
                </c:pt>
                <c:pt idx="161">
                  <c:v>44858</c:v>
                </c:pt>
                <c:pt idx="162">
                  <c:v>44855</c:v>
                </c:pt>
                <c:pt idx="163">
                  <c:v>44854</c:v>
                </c:pt>
                <c:pt idx="164">
                  <c:v>44853</c:v>
                </c:pt>
                <c:pt idx="165">
                  <c:v>44852</c:v>
                </c:pt>
                <c:pt idx="166">
                  <c:v>44851</c:v>
                </c:pt>
                <c:pt idx="167">
                  <c:v>44848</c:v>
                </c:pt>
                <c:pt idx="168">
                  <c:v>44847</c:v>
                </c:pt>
                <c:pt idx="169">
                  <c:v>44846</c:v>
                </c:pt>
                <c:pt idx="170">
                  <c:v>44845</c:v>
                </c:pt>
                <c:pt idx="171">
                  <c:v>44841</c:v>
                </c:pt>
                <c:pt idx="172">
                  <c:v>44840</c:v>
                </c:pt>
                <c:pt idx="173">
                  <c:v>44839</c:v>
                </c:pt>
                <c:pt idx="174">
                  <c:v>44838</c:v>
                </c:pt>
                <c:pt idx="175">
                  <c:v>44837</c:v>
                </c:pt>
                <c:pt idx="176">
                  <c:v>44834</c:v>
                </c:pt>
                <c:pt idx="177">
                  <c:v>44833</c:v>
                </c:pt>
                <c:pt idx="178">
                  <c:v>44832</c:v>
                </c:pt>
                <c:pt idx="179">
                  <c:v>44831</c:v>
                </c:pt>
                <c:pt idx="180">
                  <c:v>44830</c:v>
                </c:pt>
                <c:pt idx="181">
                  <c:v>44827</c:v>
                </c:pt>
                <c:pt idx="182">
                  <c:v>44826</c:v>
                </c:pt>
                <c:pt idx="183">
                  <c:v>44825</c:v>
                </c:pt>
                <c:pt idx="184">
                  <c:v>44824</c:v>
                </c:pt>
                <c:pt idx="185">
                  <c:v>44823</c:v>
                </c:pt>
                <c:pt idx="186">
                  <c:v>44820</c:v>
                </c:pt>
                <c:pt idx="187">
                  <c:v>44819</c:v>
                </c:pt>
                <c:pt idx="188">
                  <c:v>44818</c:v>
                </c:pt>
                <c:pt idx="189">
                  <c:v>44817</c:v>
                </c:pt>
                <c:pt idx="190">
                  <c:v>44816</c:v>
                </c:pt>
                <c:pt idx="191">
                  <c:v>44813</c:v>
                </c:pt>
                <c:pt idx="192">
                  <c:v>44812</c:v>
                </c:pt>
                <c:pt idx="193">
                  <c:v>44811</c:v>
                </c:pt>
                <c:pt idx="194">
                  <c:v>44810</c:v>
                </c:pt>
                <c:pt idx="195">
                  <c:v>44806</c:v>
                </c:pt>
                <c:pt idx="196">
                  <c:v>44805</c:v>
                </c:pt>
                <c:pt idx="197">
                  <c:v>44804</c:v>
                </c:pt>
                <c:pt idx="198">
                  <c:v>44803</c:v>
                </c:pt>
                <c:pt idx="199">
                  <c:v>44802</c:v>
                </c:pt>
                <c:pt idx="200">
                  <c:v>44799</c:v>
                </c:pt>
                <c:pt idx="201">
                  <c:v>44798</c:v>
                </c:pt>
                <c:pt idx="202">
                  <c:v>44797</c:v>
                </c:pt>
                <c:pt idx="203">
                  <c:v>44796</c:v>
                </c:pt>
                <c:pt idx="204">
                  <c:v>44795</c:v>
                </c:pt>
                <c:pt idx="205">
                  <c:v>44792</c:v>
                </c:pt>
                <c:pt idx="206">
                  <c:v>44791</c:v>
                </c:pt>
                <c:pt idx="207">
                  <c:v>44790</c:v>
                </c:pt>
                <c:pt idx="208">
                  <c:v>44789</c:v>
                </c:pt>
                <c:pt idx="209">
                  <c:v>44788</c:v>
                </c:pt>
                <c:pt idx="210">
                  <c:v>44785</c:v>
                </c:pt>
                <c:pt idx="211">
                  <c:v>44784</c:v>
                </c:pt>
                <c:pt idx="212">
                  <c:v>44783</c:v>
                </c:pt>
                <c:pt idx="213">
                  <c:v>44782</c:v>
                </c:pt>
                <c:pt idx="214">
                  <c:v>44781</c:v>
                </c:pt>
                <c:pt idx="215">
                  <c:v>44778</c:v>
                </c:pt>
                <c:pt idx="216">
                  <c:v>44777</c:v>
                </c:pt>
                <c:pt idx="217">
                  <c:v>44776</c:v>
                </c:pt>
                <c:pt idx="218">
                  <c:v>44775</c:v>
                </c:pt>
                <c:pt idx="219">
                  <c:v>44774</c:v>
                </c:pt>
                <c:pt idx="220">
                  <c:v>44771</c:v>
                </c:pt>
                <c:pt idx="221">
                  <c:v>44770</c:v>
                </c:pt>
                <c:pt idx="222">
                  <c:v>44769</c:v>
                </c:pt>
                <c:pt idx="223">
                  <c:v>44768</c:v>
                </c:pt>
                <c:pt idx="224">
                  <c:v>44767</c:v>
                </c:pt>
                <c:pt idx="225">
                  <c:v>44764</c:v>
                </c:pt>
                <c:pt idx="226">
                  <c:v>44763</c:v>
                </c:pt>
                <c:pt idx="227">
                  <c:v>44762</c:v>
                </c:pt>
                <c:pt idx="228">
                  <c:v>44761</c:v>
                </c:pt>
                <c:pt idx="229">
                  <c:v>44760</c:v>
                </c:pt>
                <c:pt idx="230">
                  <c:v>44757</c:v>
                </c:pt>
                <c:pt idx="231">
                  <c:v>44756</c:v>
                </c:pt>
                <c:pt idx="232">
                  <c:v>44755</c:v>
                </c:pt>
                <c:pt idx="233">
                  <c:v>44754</c:v>
                </c:pt>
                <c:pt idx="234">
                  <c:v>44753</c:v>
                </c:pt>
                <c:pt idx="235">
                  <c:v>44750</c:v>
                </c:pt>
                <c:pt idx="236">
                  <c:v>44749</c:v>
                </c:pt>
                <c:pt idx="237">
                  <c:v>44748</c:v>
                </c:pt>
                <c:pt idx="238">
                  <c:v>44747</c:v>
                </c:pt>
                <c:pt idx="239">
                  <c:v>44743</c:v>
                </c:pt>
                <c:pt idx="240">
                  <c:v>44742</c:v>
                </c:pt>
                <c:pt idx="241">
                  <c:v>44741</c:v>
                </c:pt>
                <c:pt idx="242">
                  <c:v>44740</c:v>
                </c:pt>
                <c:pt idx="243">
                  <c:v>44739</c:v>
                </c:pt>
                <c:pt idx="244">
                  <c:v>44736</c:v>
                </c:pt>
                <c:pt idx="245">
                  <c:v>44735</c:v>
                </c:pt>
                <c:pt idx="246">
                  <c:v>44734</c:v>
                </c:pt>
                <c:pt idx="247">
                  <c:v>44733</c:v>
                </c:pt>
              </c:numCache>
            </c:numRef>
          </c:cat>
          <c:val>
            <c:numRef>
              <c:f>'Bond Yield time series'!$C$4:$C$251</c:f>
              <c:numCache>
                <c:formatCode>General</c:formatCode>
                <c:ptCount val="248"/>
                <c:pt idx="0">
                  <c:v>4.8810000000000002</c:v>
                </c:pt>
                <c:pt idx="1">
                  <c:v>4.8369999999999997</c:v>
                </c:pt>
                <c:pt idx="2">
                  <c:v>4.9489999999999998</c:v>
                </c:pt>
                <c:pt idx="3">
                  <c:v>4.9379999999999997</c:v>
                </c:pt>
                <c:pt idx="4">
                  <c:v>4.8460000000000001</c:v>
                </c:pt>
                <c:pt idx="5">
                  <c:v>4.8659999999999997</c:v>
                </c:pt>
                <c:pt idx="6">
                  <c:v>4.7779999999999996</c:v>
                </c:pt>
                <c:pt idx="7">
                  <c:v>4.827</c:v>
                </c:pt>
                <c:pt idx="8">
                  <c:v>4.7750000000000004</c:v>
                </c:pt>
                <c:pt idx="9">
                  <c:v>4.7329999999999997</c:v>
                </c:pt>
                <c:pt idx="10">
                  <c:v>4.7389999999999999</c:v>
                </c:pt>
                <c:pt idx="11">
                  <c:v>4.6319999999999997</c:v>
                </c:pt>
                <c:pt idx="12">
                  <c:v>4.7009999999999996</c:v>
                </c:pt>
                <c:pt idx="13">
                  <c:v>4.7530000000000001</c:v>
                </c:pt>
                <c:pt idx="14">
                  <c:v>4.9080000000000004</c:v>
                </c:pt>
                <c:pt idx="15">
                  <c:v>4.883</c:v>
                </c:pt>
                <c:pt idx="16">
                  <c:v>4.7450000000000001</c:v>
                </c:pt>
                <c:pt idx="17">
                  <c:v>4.6859999999999999</c:v>
                </c:pt>
                <c:pt idx="18">
                  <c:v>4.6749999999999998</c:v>
                </c:pt>
                <c:pt idx="19">
                  <c:v>4.6689999999999996</c:v>
                </c:pt>
                <c:pt idx="20">
                  <c:v>4.62</c:v>
                </c:pt>
                <c:pt idx="21">
                  <c:v>4.5019999999999998</c:v>
                </c:pt>
                <c:pt idx="22">
                  <c:v>4.43</c:v>
                </c:pt>
                <c:pt idx="23">
                  <c:v>4.3049999999999997</c:v>
                </c:pt>
                <c:pt idx="24">
                  <c:v>4.3380000000000001</c:v>
                </c:pt>
                <c:pt idx="25">
                  <c:v>4.226</c:v>
                </c:pt>
                <c:pt idx="26">
                  <c:v>4.2229999999999999</c:v>
                </c:pt>
                <c:pt idx="27">
                  <c:v>4.3529999999999998</c:v>
                </c:pt>
                <c:pt idx="28">
                  <c:v>4.34</c:v>
                </c:pt>
                <c:pt idx="29">
                  <c:v>4.266</c:v>
                </c:pt>
                <c:pt idx="30">
                  <c:v>4.1870000000000003</c:v>
                </c:pt>
                <c:pt idx="31">
                  <c:v>4.173</c:v>
                </c:pt>
                <c:pt idx="32">
                  <c:v>4.2690000000000001</c:v>
                </c:pt>
                <c:pt idx="33">
                  <c:v>4.3949999999999996</c:v>
                </c:pt>
                <c:pt idx="34">
                  <c:v>4.3230000000000004</c:v>
                </c:pt>
                <c:pt idx="35">
                  <c:v>4.4029999999999996</c:v>
                </c:pt>
                <c:pt idx="36">
                  <c:v>4.2480000000000002</c:v>
                </c:pt>
                <c:pt idx="37">
                  <c:v>4.2069999999999999</c:v>
                </c:pt>
                <c:pt idx="38">
                  <c:v>4.4050000000000002</c:v>
                </c:pt>
                <c:pt idx="39">
                  <c:v>4.5389999999999997</c:v>
                </c:pt>
                <c:pt idx="40">
                  <c:v>4.5110000000000001</c:v>
                </c:pt>
                <c:pt idx="41">
                  <c:v>4.6139999999999999</c:v>
                </c:pt>
                <c:pt idx="42">
                  <c:v>4.524</c:v>
                </c:pt>
                <c:pt idx="43">
                  <c:v>4.5129999999999999</c:v>
                </c:pt>
                <c:pt idx="44">
                  <c:v>4.4370000000000003</c:v>
                </c:pt>
                <c:pt idx="45">
                  <c:v>4.3639999999999999</c:v>
                </c:pt>
                <c:pt idx="46">
                  <c:v>4.3659999999999997</c:v>
                </c:pt>
                <c:pt idx="47">
                  <c:v>4.452</c:v>
                </c:pt>
                <c:pt idx="48">
                  <c:v>4.46</c:v>
                </c:pt>
                <c:pt idx="49">
                  <c:v>4.2619999999999996</c:v>
                </c:pt>
                <c:pt idx="50">
                  <c:v>4.218</c:v>
                </c:pt>
                <c:pt idx="51">
                  <c:v>4.1959999999999997</c:v>
                </c:pt>
                <c:pt idx="52">
                  <c:v>4.3</c:v>
                </c:pt>
                <c:pt idx="53">
                  <c:v>4.3540000000000001</c:v>
                </c:pt>
                <c:pt idx="54">
                  <c:v>4.53</c:v>
                </c:pt>
                <c:pt idx="55">
                  <c:v>4.5890000000000004</c:v>
                </c:pt>
                <c:pt idx="56">
                  <c:v>4.59</c:v>
                </c:pt>
                <c:pt idx="57">
                  <c:v>4.49</c:v>
                </c:pt>
                <c:pt idx="58">
                  <c:v>4.3620000000000001</c:v>
                </c:pt>
                <c:pt idx="59">
                  <c:v>4.3390000000000004</c:v>
                </c:pt>
                <c:pt idx="60">
                  <c:v>4.43</c:v>
                </c:pt>
                <c:pt idx="61">
                  <c:v>4.7190000000000003</c:v>
                </c:pt>
                <c:pt idx="62">
                  <c:v>4.7149999999999999</c:v>
                </c:pt>
                <c:pt idx="63">
                  <c:v>4.665</c:v>
                </c:pt>
                <c:pt idx="64">
                  <c:v>4.9260000000000002</c:v>
                </c:pt>
                <c:pt idx="65">
                  <c:v>5.09</c:v>
                </c:pt>
                <c:pt idx="66">
                  <c:v>4.976</c:v>
                </c:pt>
                <c:pt idx="67">
                  <c:v>4.9189999999999996</c:v>
                </c:pt>
                <c:pt idx="68">
                  <c:v>5.0869999999999997</c:v>
                </c:pt>
                <c:pt idx="69">
                  <c:v>5.2789999999999999</c:v>
                </c:pt>
                <c:pt idx="70">
                  <c:v>5.46</c:v>
                </c:pt>
                <c:pt idx="71">
                  <c:v>5.3159999999999998</c:v>
                </c:pt>
                <c:pt idx="72">
                  <c:v>5.1950000000000003</c:v>
                </c:pt>
                <c:pt idx="73">
                  <c:v>5.2060000000000004</c:v>
                </c:pt>
                <c:pt idx="74">
                  <c:v>5.2830000000000004</c:v>
                </c:pt>
                <c:pt idx="75">
                  <c:v>5.2709999999999999</c:v>
                </c:pt>
                <c:pt idx="76">
                  <c:v>5.2050000000000001</c:v>
                </c:pt>
                <c:pt idx="77">
                  <c:v>5.1989999999999998</c:v>
                </c:pt>
                <c:pt idx="78">
                  <c:v>5.2229999999999999</c:v>
                </c:pt>
                <c:pt idx="79">
                  <c:v>5.0709999999999997</c:v>
                </c:pt>
                <c:pt idx="80">
                  <c:v>5.1219999999999999</c:v>
                </c:pt>
                <c:pt idx="81">
                  <c:v>5.13</c:v>
                </c:pt>
                <c:pt idx="82">
                  <c:v>4.97</c:v>
                </c:pt>
                <c:pt idx="83">
                  <c:v>5</c:v>
                </c:pt>
                <c:pt idx="84">
                  <c:v>4.9729999999999999</c:v>
                </c:pt>
                <c:pt idx="85">
                  <c:v>4.9580000000000002</c:v>
                </c:pt>
                <c:pt idx="86">
                  <c:v>4.851</c:v>
                </c:pt>
                <c:pt idx="87">
                  <c:v>4.8540000000000001</c:v>
                </c:pt>
                <c:pt idx="88">
                  <c:v>4.7930000000000001</c:v>
                </c:pt>
                <c:pt idx="89">
                  <c:v>4.68</c:v>
                </c:pt>
                <c:pt idx="90">
                  <c:v>4.734</c:v>
                </c:pt>
                <c:pt idx="91">
                  <c:v>4.6980000000000004</c:v>
                </c:pt>
                <c:pt idx="92">
                  <c:v>4.5620000000000003</c:v>
                </c:pt>
                <c:pt idx="93">
                  <c:v>4.3680000000000003</c:v>
                </c:pt>
                <c:pt idx="94">
                  <c:v>4.375</c:v>
                </c:pt>
                <c:pt idx="95">
                  <c:v>4.4690000000000003</c:v>
                </c:pt>
                <c:pt idx="96">
                  <c:v>4.5620000000000003</c:v>
                </c:pt>
                <c:pt idx="97">
                  <c:v>4.5190000000000001</c:v>
                </c:pt>
                <c:pt idx="98">
                  <c:v>4.5030000000000001</c:v>
                </c:pt>
                <c:pt idx="99">
                  <c:v>4.4729999999999999</c:v>
                </c:pt>
                <c:pt idx="100">
                  <c:v>4.5229999999999997</c:v>
                </c:pt>
                <c:pt idx="101">
                  <c:v>4.5599999999999996</c:v>
                </c:pt>
                <c:pt idx="102">
                  <c:v>4.5250000000000004</c:v>
                </c:pt>
                <c:pt idx="103">
                  <c:v>4.4790000000000001</c:v>
                </c:pt>
                <c:pt idx="104">
                  <c:v>4.4829999999999997</c:v>
                </c:pt>
                <c:pt idx="105">
                  <c:v>4.5949999999999998</c:v>
                </c:pt>
                <c:pt idx="106">
                  <c:v>4.6580000000000004</c:v>
                </c:pt>
                <c:pt idx="107">
                  <c:v>4.58</c:v>
                </c:pt>
                <c:pt idx="108">
                  <c:v>4.6820000000000004</c:v>
                </c:pt>
                <c:pt idx="109">
                  <c:v>4.7320000000000002</c:v>
                </c:pt>
                <c:pt idx="110">
                  <c:v>4.7569999999999997</c:v>
                </c:pt>
                <c:pt idx="111">
                  <c:v>4.7709999999999999</c:v>
                </c:pt>
                <c:pt idx="112">
                  <c:v>4.9939999999999998</c:v>
                </c:pt>
                <c:pt idx="113">
                  <c:v>4.9690000000000003</c:v>
                </c:pt>
                <c:pt idx="114">
                  <c:v>5.0609999999999999</c:v>
                </c:pt>
                <c:pt idx="115">
                  <c:v>4.9130000000000003</c:v>
                </c:pt>
                <c:pt idx="116">
                  <c:v>4.9039999999999999</c:v>
                </c:pt>
                <c:pt idx="117">
                  <c:v>4.9550000000000001</c:v>
                </c:pt>
                <c:pt idx="118">
                  <c:v>4.9470000000000001</c:v>
                </c:pt>
                <c:pt idx="119">
                  <c:v>4.8360000000000003</c:v>
                </c:pt>
                <c:pt idx="120">
                  <c:v>4.7850000000000001</c:v>
                </c:pt>
                <c:pt idx="121">
                  <c:v>4.7629999999999999</c:v>
                </c:pt>
                <c:pt idx="122">
                  <c:v>4.79</c:v>
                </c:pt>
                <c:pt idx="123">
                  <c:v>4.742</c:v>
                </c:pt>
                <c:pt idx="124">
                  <c:v>4.6360000000000001</c:v>
                </c:pt>
                <c:pt idx="125">
                  <c:v>4.6470000000000002</c:v>
                </c:pt>
                <c:pt idx="126">
                  <c:v>4.6459999999999999</c:v>
                </c:pt>
                <c:pt idx="127">
                  <c:v>4.6769999999999996</c:v>
                </c:pt>
                <c:pt idx="128">
                  <c:v>4.78</c:v>
                </c:pt>
                <c:pt idx="129">
                  <c:v>4.7539999999999996</c:v>
                </c:pt>
                <c:pt idx="130">
                  <c:v>4.6859999999999999</c:v>
                </c:pt>
                <c:pt idx="131">
                  <c:v>4.58</c:v>
                </c:pt>
                <c:pt idx="132">
                  <c:v>4.67</c:v>
                </c:pt>
                <c:pt idx="133">
                  <c:v>4.7229999999999999</c:v>
                </c:pt>
                <c:pt idx="134">
                  <c:v>4.5549999999999997</c:v>
                </c:pt>
                <c:pt idx="135">
                  <c:v>4.5049999999999999</c:v>
                </c:pt>
                <c:pt idx="136">
                  <c:v>4.6420000000000003</c:v>
                </c:pt>
                <c:pt idx="137">
                  <c:v>4.7850000000000001</c:v>
                </c:pt>
                <c:pt idx="138">
                  <c:v>4.6740000000000004</c:v>
                </c:pt>
                <c:pt idx="139">
                  <c:v>4.6630000000000003</c:v>
                </c:pt>
                <c:pt idx="140">
                  <c:v>4.6740000000000004</c:v>
                </c:pt>
                <c:pt idx="141">
                  <c:v>4.72</c:v>
                </c:pt>
                <c:pt idx="142">
                  <c:v>4.766</c:v>
                </c:pt>
                <c:pt idx="143">
                  <c:v>4.726</c:v>
                </c:pt>
                <c:pt idx="144">
                  <c:v>4.6849999999999996</c:v>
                </c:pt>
                <c:pt idx="145">
                  <c:v>4.5970000000000004</c:v>
                </c:pt>
                <c:pt idx="146">
                  <c:v>4.6100000000000003</c:v>
                </c:pt>
                <c:pt idx="147">
                  <c:v>4.6909999999999998</c:v>
                </c:pt>
                <c:pt idx="148">
                  <c:v>4.6909999999999998</c:v>
                </c:pt>
                <c:pt idx="149">
                  <c:v>5.0039999999999996</c:v>
                </c:pt>
                <c:pt idx="150">
                  <c:v>5.0810000000000004</c:v>
                </c:pt>
                <c:pt idx="151">
                  <c:v>5.157</c:v>
                </c:pt>
                <c:pt idx="152">
                  <c:v>5.1180000000000003</c:v>
                </c:pt>
                <c:pt idx="153">
                  <c:v>5.1180000000000003</c:v>
                </c:pt>
                <c:pt idx="154">
                  <c:v>5.0819999999999999</c:v>
                </c:pt>
                <c:pt idx="155">
                  <c:v>5.0620000000000003</c:v>
                </c:pt>
                <c:pt idx="156">
                  <c:v>5.0439999999999996</c:v>
                </c:pt>
                <c:pt idx="157">
                  <c:v>4.9850000000000003</c:v>
                </c:pt>
                <c:pt idx="158">
                  <c:v>4.8970000000000002</c:v>
                </c:pt>
                <c:pt idx="159">
                  <c:v>5.0419999999999998</c:v>
                </c:pt>
                <c:pt idx="160">
                  <c:v>5.1130000000000004</c:v>
                </c:pt>
                <c:pt idx="161">
                  <c:v>5.2119999999999997</c:v>
                </c:pt>
                <c:pt idx="162">
                  <c:v>5.2409999999999997</c:v>
                </c:pt>
                <c:pt idx="163">
                  <c:v>5.343</c:v>
                </c:pt>
                <c:pt idx="164">
                  <c:v>5.2720000000000002</c:v>
                </c:pt>
                <c:pt idx="165">
                  <c:v>5.1189999999999998</c:v>
                </c:pt>
                <c:pt idx="166">
                  <c:v>5.157</c:v>
                </c:pt>
                <c:pt idx="167">
                  <c:v>5.2190000000000003</c:v>
                </c:pt>
                <c:pt idx="168">
                  <c:v>5.157</c:v>
                </c:pt>
                <c:pt idx="169">
                  <c:v>5.0510000000000002</c:v>
                </c:pt>
                <c:pt idx="170">
                  <c:v>5.0430000000000001</c:v>
                </c:pt>
                <c:pt idx="171">
                  <c:v>4.9320000000000004</c:v>
                </c:pt>
                <c:pt idx="172">
                  <c:v>4.8499999999999996</c:v>
                </c:pt>
                <c:pt idx="173">
                  <c:v>4.7960000000000003</c:v>
                </c:pt>
                <c:pt idx="174">
                  <c:v>4.6449999999999996</c:v>
                </c:pt>
                <c:pt idx="175">
                  <c:v>4.7590000000000003</c:v>
                </c:pt>
                <c:pt idx="176">
                  <c:v>4.915</c:v>
                </c:pt>
                <c:pt idx="177">
                  <c:v>4.9400000000000004</c:v>
                </c:pt>
                <c:pt idx="178">
                  <c:v>4.8920000000000003</c:v>
                </c:pt>
                <c:pt idx="179">
                  <c:v>5.056</c:v>
                </c:pt>
                <c:pt idx="180">
                  <c:v>4.9790000000000001</c:v>
                </c:pt>
                <c:pt idx="181">
                  <c:v>4.7859999999999996</c:v>
                </c:pt>
                <c:pt idx="182">
                  <c:v>4.71</c:v>
                </c:pt>
                <c:pt idx="183">
                  <c:v>4.5140000000000002</c:v>
                </c:pt>
                <c:pt idx="184">
                  <c:v>4.5339999999999998</c:v>
                </c:pt>
                <c:pt idx="185">
                  <c:v>4.4880000000000004</c:v>
                </c:pt>
                <c:pt idx="186">
                  <c:v>4.407</c:v>
                </c:pt>
                <c:pt idx="187">
                  <c:v>4.4560000000000004</c:v>
                </c:pt>
                <c:pt idx="188">
                  <c:v>4.407</c:v>
                </c:pt>
                <c:pt idx="189">
                  <c:v>4.367</c:v>
                </c:pt>
                <c:pt idx="190">
                  <c:v>4.2389999999999999</c:v>
                </c:pt>
                <c:pt idx="191">
                  <c:v>4.2229999999999999</c:v>
                </c:pt>
                <c:pt idx="192">
                  <c:v>4.258</c:v>
                </c:pt>
                <c:pt idx="193">
                  <c:v>4.2149999999999999</c:v>
                </c:pt>
                <c:pt idx="194">
                  <c:v>4.3079999999999998</c:v>
                </c:pt>
                <c:pt idx="195">
                  <c:v>4.1950000000000003</c:v>
                </c:pt>
                <c:pt idx="196">
                  <c:v>4.28</c:v>
                </c:pt>
                <c:pt idx="197">
                  <c:v>4.1719999999999997</c:v>
                </c:pt>
                <c:pt idx="198">
                  <c:v>4.1139999999999999</c:v>
                </c:pt>
                <c:pt idx="199">
                  <c:v>4.0910000000000002</c:v>
                </c:pt>
                <c:pt idx="200">
                  <c:v>3.9849999999999999</c:v>
                </c:pt>
                <c:pt idx="201">
                  <c:v>3.9769999999999999</c:v>
                </c:pt>
                <c:pt idx="202">
                  <c:v>4.07</c:v>
                </c:pt>
                <c:pt idx="203">
                  <c:v>4.0149999999999997</c:v>
                </c:pt>
                <c:pt idx="204">
                  <c:v>3.992</c:v>
                </c:pt>
                <c:pt idx="205">
                  <c:v>3.8719999999999999</c:v>
                </c:pt>
                <c:pt idx="206">
                  <c:v>3.786</c:v>
                </c:pt>
                <c:pt idx="207">
                  <c:v>3.8</c:v>
                </c:pt>
                <c:pt idx="208">
                  <c:v>3.6549999999999998</c:v>
                </c:pt>
                <c:pt idx="209">
                  <c:v>3.6040000000000001</c:v>
                </c:pt>
                <c:pt idx="210">
                  <c:v>3.677</c:v>
                </c:pt>
                <c:pt idx="211">
                  <c:v>3.6829999999999998</c:v>
                </c:pt>
                <c:pt idx="212">
                  <c:v>3.65</c:v>
                </c:pt>
                <c:pt idx="213">
                  <c:v>3.706</c:v>
                </c:pt>
                <c:pt idx="214">
                  <c:v>3.6339999999999999</c:v>
                </c:pt>
                <c:pt idx="215">
                  <c:v>3.7050000000000001</c:v>
                </c:pt>
                <c:pt idx="216">
                  <c:v>3.504</c:v>
                </c:pt>
                <c:pt idx="217">
                  <c:v>3.5779999999999998</c:v>
                </c:pt>
                <c:pt idx="218">
                  <c:v>3.621</c:v>
                </c:pt>
                <c:pt idx="219">
                  <c:v>3.363</c:v>
                </c:pt>
                <c:pt idx="220">
                  <c:v>3.42</c:v>
                </c:pt>
                <c:pt idx="221">
                  <c:v>3.4279999999999999</c:v>
                </c:pt>
                <c:pt idx="222">
                  <c:v>3.536</c:v>
                </c:pt>
                <c:pt idx="223">
                  <c:v>3.7050000000000001</c:v>
                </c:pt>
                <c:pt idx="224">
                  <c:v>3.669</c:v>
                </c:pt>
                <c:pt idx="225">
                  <c:v>3.5950000000000002</c:v>
                </c:pt>
                <c:pt idx="226">
                  <c:v>3.78</c:v>
                </c:pt>
                <c:pt idx="227">
                  <c:v>3.9350000000000001</c:v>
                </c:pt>
                <c:pt idx="228">
                  <c:v>3.92</c:v>
                </c:pt>
                <c:pt idx="229">
                  <c:v>3.8740000000000001</c:v>
                </c:pt>
                <c:pt idx="230">
                  <c:v>3.8740000000000001</c:v>
                </c:pt>
                <c:pt idx="231">
                  <c:v>3.96</c:v>
                </c:pt>
                <c:pt idx="232">
                  <c:v>3.859</c:v>
                </c:pt>
                <c:pt idx="233">
                  <c:v>3.8879999999999999</c:v>
                </c:pt>
                <c:pt idx="234">
                  <c:v>3.9340000000000002</c:v>
                </c:pt>
                <c:pt idx="235">
                  <c:v>4.0090000000000003</c:v>
                </c:pt>
                <c:pt idx="236">
                  <c:v>4.0170000000000003</c:v>
                </c:pt>
                <c:pt idx="237">
                  <c:v>3.9620000000000002</c:v>
                </c:pt>
                <c:pt idx="238">
                  <c:v>3.9220000000000002</c:v>
                </c:pt>
                <c:pt idx="239">
                  <c:v>3.984</c:v>
                </c:pt>
                <c:pt idx="240">
                  <c:v>4.109</c:v>
                </c:pt>
                <c:pt idx="241">
                  <c:v>4.2110000000000003</c:v>
                </c:pt>
                <c:pt idx="242">
                  <c:v>4.266</c:v>
                </c:pt>
                <c:pt idx="243">
                  <c:v>4.298</c:v>
                </c:pt>
                <c:pt idx="244">
                  <c:v>4.2389999999999999</c:v>
                </c:pt>
                <c:pt idx="245">
                  <c:v>4.2050000000000001</c:v>
                </c:pt>
                <c:pt idx="246">
                  <c:v>4.2809999999999997</c:v>
                </c:pt>
                <c:pt idx="247">
                  <c:v>4.3620000000000001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1-4B0C-951A-5EFE0DD2712B}"/>
            </c:ext>
          </c:extLst>
        </c:ser>
        <c:ser>
          <c:idx val="1"/>
          <c:order val="1"/>
          <c:tx>
            <c:strRef>
              <c:f>'Bond Yield time series'!$D$3</c:f>
              <c:strCache>
                <c:ptCount val="1"/>
                <c:pt idx="0">
                  <c:v>TAP 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'Bond Yield time series'!$B$4:$B$251</c:f>
              <c:numCache>
                <c:formatCode>m/d/yyyy</c:formatCode>
                <c:ptCount val="248"/>
                <c:pt idx="0">
                  <c:v>45093</c:v>
                </c:pt>
                <c:pt idx="1">
                  <c:v>45092</c:v>
                </c:pt>
                <c:pt idx="2">
                  <c:v>45091</c:v>
                </c:pt>
                <c:pt idx="3">
                  <c:v>45090</c:v>
                </c:pt>
                <c:pt idx="4">
                  <c:v>45089</c:v>
                </c:pt>
                <c:pt idx="5">
                  <c:v>45086</c:v>
                </c:pt>
                <c:pt idx="6">
                  <c:v>45085</c:v>
                </c:pt>
                <c:pt idx="7">
                  <c:v>45084</c:v>
                </c:pt>
                <c:pt idx="8">
                  <c:v>45083</c:v>
                </c:pt>
                <c:pt idx="9">
                  <c:v>45082</c:v>
                </c:pt>
                <c:pt idx="10">
                  <c:v>45079</c:v>
                </c:pt>
                <c:pt idx="11">
                  <c:v>45078</c:v>
                </c:pt>
                <c:pt idx="12">
                  <c:v>45077</c:v>
                </c:pt>
                <c:pt idx="13">
                  <c:v>45076</c:v>
                </c:pt>
                <c:pt idx="14">
                  <c:v>45072</c:v>
                </c:pt>
                <c:pt idx="15">
                  <c:v>45071</c:v>
                </c:pt>
                <c:pt idx="16">
                  <c:v>45070</c:v>
                </c:pt>
                <c:pt idx="17">
                  <c:v>45069</c:v>
                </c:pt>
                <c:pt idx="18">
                  <c:v>45068</c:v>
                </c:pt>
                <c:pt idx="19">
                  <c:v>45065</c:v>
                </c:pt>
                <c:pt idx="20">
                  <c:v>45064</c:v>
                </c:pt>
                <c:pt idx="21">
                  <c:v>45063</c:v>
                </c:pt>
                <c:pt idx="22">
                  <c:v>45062</c:v>
                </c:pt>
                <c:pt idx="23">
                  <c:v>45061</c:v>
                </c:pt>
                <c:pt idx="24">
                  <c:v>45058</c:v>
                </c:pt>
                <c:pt idx="25">
                  <c:v>45057</c:v>
                </c:pt>
                <c:pt idx="26">
                  <c:v>45056</c:v>
                </c:pt>
                <c:pt idx="27">
                  <c:v>45055</c:v>
                </c:pt>
                <c:pt idx="28">
                  <c:v>45054</c:v>
                </c:pt>
                <c:pt idx="29">
                  <c:v>45051</c:v>
                </c:pt>
                <c:pt idx="30">
                  <c:v>45050</c:v>
                </c:pt>
                <c:pt idx="31">
                  <c:v>45049</c:v>
                </c:pt>
                <c:pt idx="32">
                  <c:v>45048</c:v>
                </c:pt>
                <c:pt idx="33">
                  <c:v>45047</c:v>
                </c:pt>
                <c:pt idx="34">
                  <c:v>45044</c:v>
                </c:pt>
                <c:pt idx="35">
                  <c:v>45043</c:v>
                </c:pt>
                <c:pt idx="36">
                  <c:v>45042</c:v>
                </c:pt>
                <c:pt idx="37">
                  <c:v>45041</c:v>
                </c:pt>
                <c:pt idx="38">
                  <c:v>45040</c:v>
                </c:pt>
                <c:pt idx="39">
                  <c:v>45037</c:v>
                </c:pt>
                <c:pt idx="40">
                  <c:v>45036</c:v>
                </c:pt>
                <c:pt idx="41">
                  <c:v>45035</c:v>
                </c:pt>
                <c:pt idx="42">
                  <c:v>45034</c:v>
                </c:pt>
                <c:pt idx="43">
                  <c:v>45033</c:v>
                </c:pt>
                <c:pt idx="44">
                  <c:v>45030</c:v>
                </c:pt>
                <c:pt idx="45">
                  <c:v>45029</c:v>
                </c:pt>
                <c:pt idx="46">
                  <c:v>45028</c:v>
                </c:pt>
                <c:pt idx="47">
                  <c:v>45027</c:v>
                </c:pt>
                <c:pt idx="48">
                  <c:v>45026</c:v>
                </c:pt>
                <c:pt idx="49">
                  <c:v>45022</c:v>
                </c:pt>
                <c:pt idx="50">
                  <c:v>45021</c:v>
                </c:pt>
                <c:pt idx="51">
                  <c:v>45020</c:v>
                </c:pt>
                <c:pt idx="52">
                  <c:v>45019</c:v>
                </c:pt>
                <c:pt idx="53">
                  <c:v>45016</c:v>
                </c:pt>
                <c:pt idx="54">
                  <c:v>45015</c:v>
                </c:pt>
                <c:pt idx="55">
                  <c:v>45014</c:v>
                </c:pt>
                <c:pt idx="56">
                  <c:v>45013</c:v>
                </c:pt>
                <c:pt idx="57">
                  <c:v>45012</c:v>
                </c:pt>
                <c:pt idx="58">
                  <c:v>45009</c:v>
                </c:pt>
                <c:pt idx="59">
                  <c:v>45008</c:v>
                </c:pt>
                <c:pt idx="60">
                  <c:v>45007</c:v>
                </c:pt>
                <c:pt idx="61">
                  <c:v>45006</c:v>
                </c:pt>
                <c:pt idx="62">
                  <c:v>45005</c:v>
                </c:pt>
                <c:pt idx="63">
                  <c:v>45002</c:v>
                </c:pt>
                <c:pt idx="64">
                  <c:v>45001</c:v>
                </c:pt>
                <c:pt idx="65">
                  <c:v>45000</c:v>
                </c:pt>
                <c:pt idx="66">
                  <c:v>44999</c:v>
                </c:pt>
                <c:pt idx="67">
                  <c:v>44998</c:v>
                </c:pt>
                <c:pt idx="68">
                  <c:v>44995</c:v>
                </c:pt>
                <c:pt idx="69">
                  <c:v>44994</c:v>
                </c:pt>
                <c:pt idx="70">
                  <c:v>44993</c:v>
                </c:pt>
                <c:pt idx="71">
                  <c:v>44992</c:v>
                </c:pt>
                <c:pt idx="72">
                  <c:v>44991</c:v>
                </c:pt>
                <c:pt idx="73">
                  <c:v>44988</c:v>
                </c:pt>
                <c:pt idx="74">
                  <c:v>44987</c:v>
                </c:pt>
                <c:pt idx="75">
                  <c:v>44986</c:v>
                </c:pt>
                <c:pt idx="76">
                  <c:v>44985</c:v>
                </c:pt>
                <c:pt idx="77">
                  <c:v>44984</c:v>
                </c:pt>
                <c:pt idx="78">
                  <c:v>44981</c:v>
                </c:pt>
                <c:pt idx="79">
                  <c:v>44980</c:v>
                </c:pt>
                <c:pt idx="80">
                  <c:v>44979</c:v>
                </c:pt>
                <c:pt idx="81">
                  <c:v>44978</c:v>
                </c:pt>
                <c:pt idx="82">
                  <c:v>44974</c:v>
                </c:pt>
                <c:pt idx="83">
                  <c:v>44973</c:v>
                </c:pt>
                <c:pt idx="84">
                  <c:v>44972</c:v>
                </c:pt>
                <c:pt idx="85">
                  <c:v>44971</c:v>
                </c:pt>
                <c:pt idx="86">
                  <c:v>44970</c:v>
                </c:pt>
                <c:pt idx="87">
                  <c:v>44967</c:v>
                </c:pt>
                <c:pt idx="88">
                  <c:v>44966</c:v>
                </c:pt>
                <c:pt idx="89">
                  <c:v>44965</c:v>
                </c:pt>
                <c:pt idx="90">
                  <c:v>44964</c:v>
                </c:pt>
                <c:pt idx="91">
                  <c:v>44963</c:v>
                </c:pt>
                <c:pt idx="92">
                  <c:v>44960</c:v>
                </c:pt>
                <c:pt idx="93">
                  <c:v>44959</c:v>
                </c:pt>
                <c:pt idx="94">
                  <c:v>44958</c:v>
                </c:pt>
                <c:pt idx="95">
                  <c:v>44957</c:v>
                </c:pt>
                <c:pt idx="96">
                  <c:v>44956</c:v>
                </c:pt>
                <c:pt idx="97">
                  <c:v>44953</c:v>
                </c:pt>
                <c:pt idx="98">
                  <c:v>44952</c:v>
                </c:pt>
                <c:pt idx="99">
                  <c:v>44951</c:v>
                </c:pt>
                <c:pt idx="100">
                  <c:v>44950</c:v>
                </c:pt>
                <c:pt idx="101">
                  <c:v>44949</c:v>
                </c:pt>
                <c:pt idx="102">
                  <c:v>44946</c:v>
                </c:pt>
                <c:pt idx="103">
                  <c:v>44945</c:v>
                </c:pt>
                <c:pt idx="104">
                  <c:v>44944</c:v>
                </c:pt>
                <c:pt idx="105">
                  <c:v>44943</c:v>
                </c:pt>
                <c:pt idx="106">
                  <c:v>44939</c:v>
                </c:pt>
                <c:pt idx="107">
                  <c:v>44938</c:v>
                </c:pt>
                <c:pt idx="108">
                  <c:v>44937</c:v>
                </c:pt>
                <c:pt idx="109">
                  <c:v>44936</c:v>
                </c:pt>
                <c:pt idx="110">
                  <c:v>44935</c:v>
                </c:pt>
                <c:pt idx="111">
                  <c:v>44932</c:v>
                </c:pt>
                <c:pt idx="112">
                  <c:v>44931</c:v>
                </c:pt>
                <c:pt idx="113">
                  <c:v>44930</c:v>
                </c:pt>
                <c:pt idx="114">
                  <c:v>44929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44918</c:v>
                </c:pt>
                <c:pt idx="120">
                  <c:v>44917</c:v>
                </c:pt>
                <c:pt idx="121">
                  <c:v>44916</c:v>
                </c:pt>
                <c:pt idx="122">
                  <c:v>44915</c:v>
                </c:pt>
                <c:pt idx="123">
                  <c:v>44914</c:v>
                </c:pt>
                <c:pt idx="124">
                  <c:v>44911</c:v>
                </c:pt>
                <c:pt idx="125">
                  <c:v>44910</c:v>
                </c:pt>
                <c:pt idx="126">
                  <c:v>44909</c:v>
                </c:pt>
                <c:pt idx="127">
                  <c:v>44908</c:v>
                </c:pt>
                <c:pt idx="128">
                  <c:v>44907</c:v>
                </c:pt>
                <c:pt idx="129">
                  <c:v>44904</c:v>
                </c:pt>
                <c:pt idx="130">
                  <c:v>44903</c:v>
                </c:pt>
                <c:pt idx="131">
                  <c:v>44902</c:v>
                </c:pt>
                <c:pt idx="132">
                  <c:v>44901</c:v>
                </c:pt>
                <c:pt idx="133">
                  <c:v>44900</c:v>
                </c:pt>
                <c:pt idx="134">
                  <c:v>44897</c:v>
                </c:pt>
                <c:pt idx="135">
                  <c:v>44896</c:v>
                </c:pt>
                <c:pt idx="136">
                  <c:v>44895</c:v>
                </c:pt>
                <c:pt idx="137">
                  <c:v>44894</c:v>
                </c:pt>
                <c:pt idx="138">
                  <c:v>44893</c:v>
                </c:pt>
                <c:pt idx="139">
                  <c:v>44890</c:v>
                </c:pt>
                <c:pt idx="140">
                  <c:v>44888</c:v>
                </c:pt>
                <c:pt idx="141">
                  <c:v>44887</c:v>
                </c:pt>
                <c:pt idx="142">
                  <c:v>44886</c:v>
                </c:pt>
                <c:pt idx="143">
                  <c:v>44883</c:v>
                </c:pt>
                <c:pt idx="144">
                  <c:v>44882</c:v>
                </c:pt>
                <c:pt idx="145">
                  <c:v>44881</c:v>
                </c:pt>
                <c:pt idx="146">
                  <c:v>44880</c:v>
                </c:pt>
                <c:pt idx="147">
                  <c:v>44879</c:v>
                </c:pt>
                <c:pt idx="148">
                  <c:v>44875</c:v>
                </c:pt>
                <c:pt idx="149">
                  <c:v>44874</c:v>
                </c:pt>
                <c:pt idx="150">
                  <c:v>44873</c:v>
                </c:pt>
                <c:pt idx="151">
                  <c:v>44872</c:v>
                </c:pt>
                <c:pt idx="152">
                  <c:v>44869</c:v>
                </c:pt>
                <c:pt idx="153">
                  <c:v>44868</c:v>
                </c:pt>
                <c:pt idx="154">
                  <c:v>44867</c:v>
                </c:pt>
                <c:pt idx="155">
                  <c:v>44866</c:v>
                </c:pt>
                <c:pt idx="156">
                  <c:v>44865</c:v>
                </c:pt>
                <c:pt idx="157">
                  <c:v>44862</c:v>
                </c:pt>
                <c:pt idx="158">
                  <c:v>44861</c:v>
                </c:pt>
                <c:pt idx="159">
                  <c:v>44860</c:v>
                </c:pt>
                <c:pt idx="160">
                  <c:v>44859</c:v>
                </c:pt>
                <c:pt idx="161">
                  <c:v>44858</c:v>
                </c:pt>
                <c:pt idx="162">
                  <c:v>44855</c:v>
                </c:pt>
                <c:pt idx="163">
                  <c:v>44854</c:v>
                </c:pt>
                <c:pt idx="164">
                  <c:v>44853</c:v>
                </c:pt>
                <c:pt idx="165">
                  <c:v>44852</c:v>
                </c:pt>
                <c:pt idx="166">
                  <c:v>44851</c:v>
                </c:pt>
                <c:pt idx="167">
                  <c:v>44848</c:v>
                </c:pt>
                <c:pt idx="168">
                  <c:v>44847</c:v>
                </c:pt>
                <c:pt idx="169">
                  <c:v>44846</c:v>
                </c:pt>
                <c:pt idx="170">
                  <c:v>44845</c:v>
                </c:pt>
                <c:pt idx="171">
                  <c:v>44841</c:v>
                </c:pt>
                <c:pt idx="172">
                  <c:v>44840</c:v>
                </c:pt>
                <c:pt idx="173">
                  <c:v>44839</c:v>
                </c:pt>
                <c:pt idx="174">
                  <c:v>44838</c:v>
                </c:pt>
                <c:pt idx="175">
                  <c:v>44837</c:v>
                </c:pt>
                <c:pt idx="176">
                  <c:v>44834</c:v>
                </c:pt>
                <c:pt idx="177">
                  <c:v>44833</c:v>
                </c:pt>
                <c:pt idx="178">
                  <c:v>44832</c:v>
                </c:pt>
                <c:pt idx="179">
                  <c:v>44831</c:v>
                </c:pt>
                <c:pt idx="180">
                  <c:v>44830</c:v>
                </c:pt>
                <c:pt idx="181">
                  <c:v>44827</c:v>
                </c:pt>
                <c:pt idx="182">
                  <c:v>44826</c:v>
                </c:pt>
                <c:pt idx="183">
                  <c:v>44825</c:v>
                </c:pt>
                <c:pt idx="184">
                  <c:v>44824</c:v>
                </c:pt>
                <c:pt idx="185">
                  <c:v>44823</c:v>
                </c:pt>
                <c:pt idx="186">
                  <c:v>44820</c:v>
                </c:pt>
                <c:pt idx="187">
                  <c:v>44819</c:v>
                </c:pt>
                <c:pt idx="188">
                  <c:v>44818</c:v>
                </c:pt>
                <c:pt idx="189">
                  <c:v>44817</c:v>
                </c:pt>
                <c:pt idx="190">
                  <c:v>44816</c:v>
                </c:pt>
                <c:pt idx="191">
                  <c:v>44813</c:v>
                </c:pt>
                <c:pt idx="192">
                  <c:v>44812</c:v>
                </c:pt>
                <c:pt idx="193">
                  <c:v>44811</c:v>
                </c:pt>
                <c:pt idx="194">
                  <c:v>44810</c:v>
                </c:pt>
                <c:pt idx="195">
                  <c:v>44806</c:v>
                </c:pt>
                <c:pt idx="196">
                  <c:v>44805</c:v>
                </c:pt>
                <c:pt idx="197">
                  <c:v>44804</c:v>
                </c:pt>
                <c:pt idx="198">
                  <c:v>44803</c:v>
                </c:pt>
                <c:pt idx="199">
                  <c:v>44802</c:v>
                </c:pt>
                <c:pt idx="200">
                  <c:v>44799</c:v>
                </c:pt>
                <c:pt idx="201">
                  <c:v>44798</c:v>
                </c:pt>
                <c:pt idx="202">
                  <c:v>44797</c:v>
                </c:pt>
                <c:pt idx="203">
                  <c:v>44796</c:v>
                </c:pt>
                <c:pt idx="204">
                  <c:v>44795</c:v>
                </c:pt>
                <c:pt idx="205">
                  <c:v>44792</c:v>
                </c:pt>
                <c:pt idx="206">
                  <c:v>44791</c:v>
                </c:pt>
                <c:pt idx="207">
                  <c:v>44790</c:v>
                </c:pt>
                <c:pt idx="208">
                  <c:v>44789</c:v>
                </c:pt>
                <c:pt idx="209">
                  <c:v>44788</c:v>
                </c:pt>
                <c:pt idx="210">
                  <c:v>44785</c:v>
                </c:pt>
                <c:pt idx="211">
                  <c:v>44784</c:v>
                </c:pt>
                <c:pt idx="212">
                  <c:v>44783</c:v>
                </c:pt>
                <c:pt idx="213">
                  <c:v>44782</c:v>
                </c:pt>
                <c:pt idx="214">
                  <c:v>44781</c:v>
                </c:pt>
                <c:pt idx="215">
                  <c:v>44778</c:v>
                </c:pt>
                <c:pt idx="216">
                  <c:v>44777</c:v>
                </c:pt>
                <c:pt idx="217">
                  <c:v>44776</c:v>
                </c:pt>
                <c:pt idx="218">
                  <c:v>44775</c:v>
                </c:pt>
                <c:pt idx="219">
                  <c:v>44774</c:v>
                </c:pt>
                <c:pt idx="220">
                  <c:v>44771</c:v>
                </c:pt>
                <c:pt idx="221">
                  <c:v>44770</c:v>
                </c:pt>
                <c:pt idx="222">
                  <c:v>44769</c:v>
                </c:pt>
                <c:pt idx="223">
                  <c:v>44768</c:v>
                </c:pt>
                <c:pt idx="224">
                  <c:v>44767</c:v>
                </c:pt>
                <c:pt idx="225">
                  <c:v>44764</c:v>
                </c:pt>
                <c:pt idx="226">
                  <c:v>44763</c:v>
                </c:pt>
                <c:pt idx="227">
                  <c:v>44762</c:v>
                </c:pt>
                <c:pt idx="228">
                  <c:v>44761</c:v>
                </c:pt>
                <c:pt idx="229">
                  <c:v>44760</c:v>
                </c:pt>
                <c:pt idx="230">
                  <c:v>44757</c:v>
                </c:pt>
                <c:pt idx="231">
                  <c:v>44756</c:v>
                </c:pt>
                <c:pt idx="232">
                  <c:v>44755</c:v>
                </c:pt>
                <c:pt idx="233">
                  <c:v>44754</c:v>
                </c:pt>
                <c:pt idx="234">
                  <c:v>44753</c:v>
                </c:pt>
                <c:pt idx="235">
                  <c:v>44750</c:v>
                </c:pt>
                <c:pt idx="236">
                  <c:v>44749</c:v>
                </c:pt>
                <c:pt idx="237">
                  <c:v>44748</c:v>
                </c:pt>
                <c:pt idx="238">
                  <c:v>44747</c:v>
                </c:pt>
                <c:pt idx="239">
                  <c:v>44743</c:v>
                </c:pt>
                <c:pt idx="240">
                  <c:v>44742</c:v>
                </c:pt>
                <c:pt idx="241">
                  <c:v>44741</c:v>
                </c:pt>
                <c:pt idx="242">
                  <c:v>44740</c:v>
                </c:pt>
                <c:pt idx="243">
                  <c:v>44739</c:v>
                </c:pt>
                <c:pt idx="244">
                  <c:v>44736</c:v>
                </c:pt>
                <c:pt idx="245">
                  <c:v>44735</c:v>
                </c:pt>
                <c:pt idx="246">
                  <c:v>44734</c:v>
                </c:pt>
                <c:pt idx="247">
                  <c:v>44733</c:v>
                </c:pt>
              </c:numCache>
            </c:numRef>
          </c:cat>
          <c:val>
            <c:numRef>
              <c:f>'Bond Yield time series'!$D$4:$D$251</c:f>
              <c:numCache>
                <c:formatCode>General</c:formatCode>
                <c:ptCount val="248"/>
                <c:pt idx="0">
                  <c:v>5.2670000000000003</c:v>
                </c:pt>
                <c:pt idx="1">
                  <c:v>5.2140000000000004</c:v>
                </c:pt>
                <c:pt idx="2">
                  <c:v>5.3170000000000002</c:v>
                </c:pt>
                <c:pt idx="3">
                  <c:v>5.3209999999999997</c:v>
                </c:pt>
                <c:pt idx="4">
                  <c:v>5.1980000000000004</c:v>
                </c:pt>
                <c:pt idx="5">
                  <c:v>5.2249999999999996</c:v>
                </c:pt>
                <c:pt idx="6">
                  <c:v>5.1379999999999999</c:v>
                </c:pt>
                <c:pt idx="7">
                  <c:v>5.1980000000000004</c:v>
                </c:pt>
                <c:pt idx="8">
                  <c:v>5.1189999999999998</c:v>
                </c:pt>
                <c:pt idx="9">
                  <c:v>5.08</c:v>
                </c:pt>
                <c:pt idx="10">
                  <c:v>5.0579999999999998</c:v>
                </c:pt>
                <c:pt idx="11">
                  <c:v>4.9800000000000004</c:v>
                </c:pt>
                <c:pt idx="12">
                  <c:v>5.0229999999999997</c:v>
                </c:pt>
                <c:pt idx="13">
                  <c:v>5.0819999999999999</c:v>
                </c:pt>
                <c:pt idx="14">
                  <c:v>5.226</c:v>
                </c:pt>
                <c:pt idx="15">
                  <c:v>5.22</c:v>
                </c:pt>
                <c:pt idx="16">
                  <c:v>5.08</c:v>
                </c:pt>
                <c:pt idx="17">
                  <c:v>4.9969999999999999</c:v>
                </c:pt>
                <c:pt idx="18">
                  <c:v>5.0209999999999999</c:v>
                </c:pt>
                <c:pt idx="19">
                  <c:v>5.03</c:v>
                </c:pt>
                <c:pt idx="20">
                  <c:v>4.9610000000000003</c:v>
                </c:pt>
                <c:pt idx="21">
                  <c:v>4.8920000000000003</c:v>
                </c:pt>
                <c:pt idx="22">
                  <c:v>4.7750000000000004</c:v>
                </c:pt>
                <c:pt idx="23">
                  <c:v>4.7279999999999998</c:v>
                </c:pt>
                <c:pt idx="24">
                  <c:v>4.7210000000000001</c:v>
                </c:pt>
                <c:pt idx="25">
                  <c:v>4.6139999999999999</c:v>
                </c:pt>
                <c:pt idx="26">
                  <c:v>4.6289999999999996</c:v>
                </c:pt>
                <c:pt idx="27">
                  <c:v>4.7519999999999998</c:v>
                </c:pt>
                <c:pt idx="28">
                  <c:v>4.7720000000000002</c:v>
                </c:pt>
                <c:pt idx="29">
                  <c:v>4.6210000000000004</c:v>
                </c:pt>
                <c:pt idx="30">
                  <c:v>4.5810000000000004</c:v>
                </c:pt>
                <c:pt idx="31">
                  <c:v>4.524</c:v>
                </c:pt>
                <c:pt idx="32">
                  <c:v>4.6669999999999998</c:v>
                </c:pt>
                <c:pt idx="33">
                  <c:v>4.8579999999999997</c:v>
                </c:pt>
                <c:pt idx="34">
                  <c:v>4.6980000000000004</c:v>
                </c:pt>
                <c:pt idx="35">
                  <c:v>4.7649999999999997</c:v>
                </c:pt>
                <c:pt idx="36">
                  <c:v>4.6920000000000002</c:v>
                </c:pt>
                <c:pt idx="37">
                  <c:v>4.6340000000000003</c:v>
                </c:pt>
                <c:pt idx="38">
                  <c:v>4.8470000000000004</c:v>
                </c:pt>
                <c:pt idx="39">
                  <c:v>4.8689999999999998</c:v>
                </c:pt>
                <c:pt idx="40">
                  <c:v>4.8250000000000002</c:v>
                </c:pt>
                <c:pt idx="41">
                  <c:v>4.9180000000000001</c:v>
                </c:pt>
                <c:pt idx="42">
                  <c:v>4.8520000000000003</c:v>
                </c:pt>
                <c:pt idx="43">
                  <c:v>4.8120000000000003</c:v>
                </c:pt>
                <c:pt idx="44">
                  <c:v>4.7510000000000003</c:v>
                </c:pt>
                <c:pt idx="45">
                  <c:v>4.6479999999999997</c:v>
                </c:pt>
                <c:pt idx="46">
                  <c:v>4.6859999999999999</c:v>
                </c:pt>
                <c:pt idx="47">
                  <c:v>4.734</c:v>
                </c:pt>
                <c:pt idx="48">
                  <c:v>4.7699999999999996</c:v>
                </c:pt>
                <c:pt idx="49">
                  <c:v>4.6440000000000001</c:v>
                </c:pt>
                <c:pt idx="50">
                  <c:v>4.6920000000000002</c:v>
                </c:pt>
                <c:pt idx="51">
                  <c:v>4.6669999999999998</c:v>
                </c:pt>
                <c:pt idx="52">
                  <c:v>4.76</c:v>
                </c:pt>
                <c:pt idx="53">
                  <c:v>4.8529999999999998</c:v>
                </c:pt>
                <c:pt idx="54">
                  <c:v>4.984</c:v>
                </c:pt>
                <c:pt idx="55">
                  <c:v>5.0380000000000003</c:v>
                </c:pt>
                <c:pt idx="56">
                  <c:v>5.0380000000000003</c:v>
                </c:pt>
                <c:pt idx="57">
                  <c:v>5.0229999999999997</c:v>
                </c:pt>
                <c:pt idx="58">
                  <c:v>4.8520000000000003</c:v>
                </c:pt>
                <c:pt idx="59">
                  <c:v>4.7830000000000004</c:v>
                </c:pt>
                <c:pt idx="60">
                  <c:v>5.01</c:v>
                </c:pt>
                <c:pt idx="61">
                  <c:v>5.1890000000000001</c:v>
                </c:pt>
                <c:pt idx="62">
                  <c:v>5.1529999999999996</c:v>
                </c:pt>
                <c:pt idx="63">
                  <c:v>5.1349999999999998</c:v>
                </c:pt>
                <c:pt idx="64">
                  <c:v>5.3949999999999996</c:v>
                </c:pt>
                <c:pt idx="65">
                  <c:v>5.2640000000000002</c:v>
                </c:pt>
                <c:pt idx="66">
                  <c:v>5.2380000000000004</c:v>
                </c:pt>
                <c:pt idx="67">
                  <c:v>5.0519999999999996</c:v>
                </c:pt>
                <c:pt idx="68">
                  <c:v>5.3710000000000004</c:v>
                </c:pt>
                <c:pt idx="69">
                  <c:v>5.5460000000000003</c:v>
                </c:pt>
                <c:pt idx="70">
                  <c:v>5.6509999999999998</c:v>
                </c:pt>
                <c:pt idx="71">
                  <c:v>5.5730000000000004</c:v>
                </c:pt>
                <c:pt idx="72">
                  <c:v>5.5140000000000002</c:v>
                </c:pt>
                <c:pt idx="73">
                  <c:v>5.5049999999999999</c:v>
                </c:pt>
                <c:pt idx="74">
                  <c:v>5.5780000000000003</c:v>
                </c:pt>
                <c:pt idx="75">
                  <c:v>5.6040000000000001</c:v>
                </c:pt>
                <c:pt idx="76">
                  <c:v>5.48</c:v>
                </c:pt>
                <c:pt idx="77">
                  <c:v>5.468</c:v>
                </c:pt>
                <c:pt idx="78">
                  <c:v>5.484</c:v>
                </c:pt>
                <c:pt idx="79">
                  <c:v>5.3369999999999997</c:v>
                </c:pt>
                <c:pt idx="80">
                  <c:v>5.3780000000000001</c:v>
                </c:pt>
                <c:pt idx="81">
                  <c:v>5.43</c:v>
                </c:pt>
                <c:pt idx="82">
                  <c:v>5.2439999999999998</c:v>
                </c:pt>
                <c:pt idx="83">
                  <c:v>5.3029999999999999</c:v>
                </c:pt>
                <c:pt idx="84">
                  <c:v>5.2709999999999999</c:v>
                </c:pt>
                <c:pt idx="85">
                  <c:v>5.2510000000000003</c:v>
                </c:pt>
                <c:pt idx="86">
                  <c:v>5.0910000000000002</c:v>
                </c:pt>
                <c:pt idx="87">
                  <c:v>5.1230000000000002</c:v>
                </c:pt>
                <c:pt idx="88">
                  <c:v>5.0679999999999996</c:v>
                </c:pt>
                <c:pt idx="89">
                  <c:v>4.9480000000000004</c:v>
                </c:pt>
                <c:pt idx="90">
                  <c:v>4.931</c:v>
                </c:pt>
                <c:pt idx="91">
                  <c:v>5.0339999999999998</c:v>
                </c:pt>
                <c:pt idx="92">
                  <c:v>4.8550000000000004</c:v>
                </c:pt>
                <c:pt idx="93">
                  <c:v>4.625</c:v>
                </c:pt>
                <c:pt idx="94">
                  <c:v>4.6660000000000004</c:v>
                </c:pt>
                <c:pt idx="95">
                  <c:v>4.7619999999999996</c:v>
                </c:pt>
                <c:pt idx="96">
                  <c:v>4.8540000000000001</c:v>
                </c:pt>
                <c:pt idx="97">
                  <c:v>4.766</c:v>
                </c:pt>
                <c:pt idx="98">
                  <c:v>4.7480000000000002</c:v>
                </c:pt>
                <c:pt idx="99">
                  <c:v>4.7640000000000002</c:v>
                </c:pt>
                <c:pt idx="100">
                  <c:v>4.7359999999999998</c:v>
                </c:pt>
                <c:pt idx="101">
                  <c:v>4.7750000000000004</c:v>
                </c:pt>
                <c:pt idx="102">
                  <c:v>4.6950000000000003</c:v>
                </c:pt>
                <c:pt idx="103">
                  <c:v>4.6769999999999996</c:v>
                </c:pt>
                <c:pt idx="104">
                  <c:v>4.6219999999999999</c:v>
                </c:pt>
                <c:pt idx="105">
                  <c:v>4.6950000000000003</c:v>
                </c:pt>
                <c:pt idx="106">
                  <c:v>4.7329999999999997</c:v>
                </c:pt>
                <c:pt idx="107">
                  <c:v>4.6669999999999998</c:v>
                </c:pt>
                <c:pt idx="108">
                  <c:v>4.8150000000000004</c:v>
                </c:pt>
                <c:pt idx="109">
                  <c:v>4.9139999999999997</c:v>
                </c:pt>
                <c:pt idx="110">
                  <c:v>4.88</c:v>
                </c:pt>
                <c:pt idx="111">
                  <c:v>4.944</c:v>
                </c:pt>
                <c:pt idx="112">
                  <c:v>5.1840000000000002</c:v>
                </c:pt>
                <c:pt idx="113">
                  <c:v>5.1189999999999998</c:v>
                </c:pt>
                <c:pt idx="114">
                  <c:v>5.1710000000000003</c:v>
                </c:pt>
                <c:pt idx="115">
                  <c:v>5.1980000000000004</c:v>
                </c:pt>
                <c:pt idx="116">
                  <c:v>5.1840000000000002</c:v>
                </c:pt>
                <c:pt idx="117">
                  <c:v>5.23</c:v>
                </c:pt>
                <c:pt idx="118">
                  <c:v>5.1950000000000003</c:v>
                </c:pt>
                <c:pt idx="119">
                  <c:v>5.125</c:v>
                </c:pt>
                <c:pt idx="120">
                  <c:v>5.0570000000000004</c:v>
                </c:pt>
                <c:pt idx="121">
                  <c:v>5.05</c:v>
                </c:pt>
                <c:pt idx="122">
                  <c:v>5.0629999999999997</c:v>
                </c:pt>
                <c:pt idx="123">
                  <c:v>4.9180000000000001</c:v>
                </c:pt>
                <c:pt idx="124">
                  <c:v>4.8019999999999996</c:v>
                </c:pt>
                <c:pt idx="125">
                  <c:v>4.7530000000000001</c:v>
                </c:pt>
                <c:pt idx="126">
                  <c:v>4.7549999999999999</c:v>
                </c:pt>
                <c:pt idx="127">
                  <c:v>4.7770000000000001</c:v>
                </c:pt>
                <c:pt idx="128">
                  <c:v>4.9279999999999999</c:v>
                </c:pt>
                <c:pt idx="129">
                  <c:v>4.8849999999999998</c:v>
                </c:pt>
                <c:pt idx="130">
                  <c:v>4.782</c:v>
                </c:pt>
                <c:pt idx="131">
                  <c:v>4.7270000000000003</c:v>
                </c:pt>
                <c:pt idx="132">
                  <c:v>4.8440000000000003</c:v>
                </c:pt>
                <c:pt idx="133">
                  <c:v>4.8479999999999999</c:v>
                </c:pt>
                <c:pt idx="134">
                  <c:v>4.726</c:v>
                </c:pt>
                <c:pt idx="135">
                  <c:v>4.76</c:v>
                </c:pt>
                <c:pt idx="136">
                  <c:v>4.8609999999999998</c:v>
                </c:pt>
                <c:pt idx="137">
                  <c:v>5.0380000000000003</c:v>
                </c:pt>
                <c:pt idx="138">
                  <c:v>4.9669999999999996</c:v>
                </c:pt>
                <c:pt idx="139">
                  <c:v>5.01</c:v>
                </c:pt>
                <c:pt idx="140">
                  <c:v>5.0170000000000003</c:v>
                </c:pt>
                <c:pt idx="141">
                  <c:v>5.069</c:v>
                </c:pt>
                <c:pt idx="142">
                  <c:v>5.1269999999999998</c:v>
                </c:pt>
                <c:pt idx="143">
                  <c:v>5.1139999999999999</c:v>
                </c:pt>
                <c:pt idx="144">
                  <c:v>5.1280000000000001</c:v>
                </c:pt>
                <c:pt idx="145">
                  <c:v>5.0309999999999997</c:v>
                </c:pt>
                <c:pt idx="146">
                  <c:v>5.0890000000000004</c:v>
                </c:pt>
                <c:pt idx="147">
                  <c:v>5.24</c:v>
                </c:pt>
                <c:pt idx="148">
                  <c:v>5.2640000000000002</c:v>
                </c:pt>
                <c:pt idx="149">
                  <c:v>5.6210000000000004</c:v>
                </c:pt>
                <c:pt idx="150">
                  <c:v>5.6349999999999998</c:v>
                </c:pt>
                <c:pt idx="151">
                  <c:v>5.7549999999999999</c:v>
                </c:pt>
                <c:pt idx="152">
                  <c:v>5.7510000000000003</c:v>
                </c:pt>
                <c:pt idx="153">
                  <c:v>5.7809999999999997</c:v>
                </c:pt>
                <c:pt idx="154">
                  <c:v>5.7480000000000002</c:v>
                </c:pt>
                <c:pt idx="155">
                  <c:v>5.7160000000000002</c:v>
                </c:pt>
                <c:pt idx="156">
                  <c:v>5.6669999999999998</c:v>
                </c:pt>
                <c:pt idx="157">
                  <c:v>5.6769999999999996</c:v>
                </c:pt>
                <c:pt idx="158">
                  <c:v>5.58</c:v>
                </c:pt>
                <c:pt idx="159">
                  <c:v>5.71</c:v>
                </c:pt>
                <c:pt idx="160">
                  <c:v>5.7469999999999999</c:v>
                </c:pt>
                <c:pt idx="161">
                  <c:v>5.9029999999999996</c:v>
                </c:pt>
                <c:pt idx="162">
                  <c:v>5.8860000000000001</c:v>
                </c:pt>
                <c:pt idx="163">
                  <c:v>5.9809999999999999</c:v>
                </c:pt>
                <c:pt idx="164">
                  <c:v>5.8819999999999997</c:v>
                </c:pt>
                <c:pt idx="165">
                  <c:v>5.7480000000000002</c:v>
                </c:pt>
                <c:pt idx="166">
                  <c:v>5.7830000000000004</c:v>
                </c:pt>
                <c:pt idx="167">
                  <c:v>5.8410000000000002</c:v>
                </c:pt>
                <c:pt idx="168">
                  <c:v>5.8010000000000002</c:v>
                </c:pt>
                <c:pt idx="169">
                  <c:v>5.6120000000000001</c:v>
                </c:pt>
                <c:pt idx="170">
                  <c:v>5.55</c:v>
                </c:pt>
                <c:pt idx="171">
                  <c:v>5.5780000000000003</c:v>
                </c:pt>
                <c:pt idx="172">
                  <c:v>5.4569999999999999</c:v>
                </c:pt>
                <c:pt idx="173">
                  <c:v>5.3630000000000004</c:v>
                </c:pt>
                <c:pt idx="174">
                  <c:v>5.3019999999999996</c:v>
                </c:pt>
                <c:pt idx="175">
                  <c:v>5.3620000000000001</c:v>
                </c:pt>
                <c:pt idx="176">
                  <c:v>5.5590000000000002</c:v>
                </c:pt>
                <c:pt idx="177">
                  <c:v>5.5259999999999998</c:v>
                </c:pt>
                <c:pt idx="178">
                  <c:v>5.3949999999999996</c:v>
                </c:pt>
                <c:pt idx="179">
                  <c:v>5.7549999999999999</c:v>
                </c:pt>
                <c:pt idx="180">
                  <c:v>5.62</c:v>
                </c:pt>
                <c:pt idx="181">
                  <c:v>5.399</c:v>
                </c:pt>
                <c:pt idx="182">
                  <c:v>5.3159999999999998</c:v>
                </c:pt>
                <c:pt idx="183">
                  <c:v>5.0670000000000002</c:v>
                </c:pt>
                <c:pt idx="184">
                  <c:v>5.1870000000000003</c:v>
                </c:pt>
                <c:pt idx="185">
                  <c:v>5.0430000000000001</c:v>
                </c:pt>
                <c:pt idx="186">
                  <c:v>5.0049999999999999</c:v>
                </c:pt>
                <c:pt idx="187">
                  <c:v>5.0110000000000001</c:v>
                </c:pt>
                <c:pt idx="188">
                  <c:v>4.9790000000000001</c:v>
                </c:pt>
                <c:pt idx="189">
                  <c:v>4.9770000000000003</c:v>
                </c:pt>
                <c:pt idx="190">
                  <c:v>4.8319999999999999</c:v>
                </c:pt>
                <c:pt idx="191">
                  <c:v>4.8620000000000001</c:v>
                </c:pt>
                <c:pt idx="192">
                  <c:v>4.88</c:v>
                </c:pt>
                <c:pt idx="193">
                  <c:v>4.8460000000000001</c:v>
                </c:pt>
                <c:pt idx="194">
                  <c:v>4.9249999999999998</c:v>
                </c:pt>
                <c:pt idx="195">
                  <c:v>4.8339999999999996</c:v>
                </c:pt>
                <c:pt idx="196">
                  <c:v>4.9039999999999999</c:v>
                </c:pt>
                <c:pt idx="197">
                  <c:v>4.7839999999999998</c:v>
                </c:pt>
                <c:pt idx="198">
                  <c:v>4.7190000000000003</c:v>
                </c:pt>
                <c:pt idx="199">
                  <c:v>4.6260000000000003</c:v>
                </c:pt>
                <c:pt idx="200">
                  <c:v>4.5750000000000002</c:v>
                </c:pt>
                <c:pt idx="201">
                  <c:v>4.5090000000000003</c:v>
                </c:pt>
                <c:pt idx="202">
                  <c:v>4.6130000000000004</c:v>
                </c:pt>
                <c:pt idx="203">
                  <c:v>4.5940000000000003</c:v>
                </c:pt>
                <c:pt idx="204">
                  <c:v>4.58</c:v>
                </c:pt>
                <c:pt idx="205">
                  <c:v>4.38</c:v>
                </c:pt>
                <c:pt idx="206">
                  <c:v>4.2649999999999997</c:v>
                </c:pt>
                <c:pt idx="207">
                  <c:v>4.2679999999999998</c:v>
                </c:pt>
                <c:pt idx="208">
                  <c:v>4.1550000000000002</c:v>
                </c:pt>
                <c:pt idx="209">
                  <c:v>4.1399999999999997</c:v>
                </c:pt>
                <c:pt idx="210">
                  <c:v>4.2149999999999999</c:v>
                </c:pt>
                <c:pt idx="211">
                  <c:v>4.3019999999999996</c:v>
                </c:pt>
                <c:pt idx="212">
                  <c:v>4.2409999999999997</c:v>
                </c:pt>
                <c:pt idx="213">
                  <c:v>4.3840000000000003</c:v>
                </c:pt>
                <c:pt idx="214">
                  <c:v>4.327</c:v>
                </c:pt>
                <c:pt idx="215">
                  <c:v>4.4089999999999998</c:v>
                </c:pt>
                <c:pt idx="216">
                  <c:v>4.2080000000000002</c:v>
                </c:pt>
                <c:pt idx="217">
                  <c:v>4.3129999999999997</c:v>
                </c:pt>
                <c:pt idx="218">
                  <c:v>4.3739999999999997</c:v>
                </c:pt>
                <c:pt idx="219">
                  <c:v>4.1630000000000003</c:v>
                </c:pt>
                <c:pt idx="220">
                  <c:v>4.2169999999999996</c:v>
                </c:pt>
                <c:pt idx="221">
                  <c:v>4.2089999999999996</c:v>
                </c:pt>
                <c:pt idx="222">
                  <c:v>4.3730000000000002</c:v>
                </c:pt>
                <c:pt idx="223">
                  <c:v>4.4560000000000004</c:v>
                </c:pt>
                <c:pt idx="224">
                  <c:v>4.4249999999999998</c:v>
                </c:pt>
                <c:pt idx="225">
                  <c:v>4.4130000000000003</c:v>
                </c:pt>
                <c:pt idx="226">
                  <c:v>4.5830000000000002</c:v>
                </c:pt>
                <c:pt idx="227">
                  <c:v>4.7329999999999997</c:v>
                </c:pt>
                <c:pt idx="228">
                  <c:v>4.8109999999999999</c:v>
                </c:pt>
                <c:pt idx="229">
                  <c:v>4.6749999999999998</c:v>
                </c:pt>
                <c:pt idx="230">
                  <c:v>4.665</c:v>
                </c:pt>
                <c:pt idx="231">
                  <c:v>4.7169999999999996</c:v>
                </c:pt>
                <c:pt idx="232">
                  <c:v>4.6479999999999997</c:v>
                </c:pt>
                <c:pt idx="233">
                  <c:v>4.617</c:v>
                </c:pt>
                <c:pt idx="234">
                  <c:v>4.5890000000000004</c:v>
                </c:pt>
                <c:pt idx="235">
                  <c:v>4.6900000000000004</c:v>
                </c:pt>
                <c:pt idx="236">
                  <c:v>4.5789999999999997</c:v>
                </c:pt>
                <c:pt idx="237">
                  <c:v>4.5460000000000003</c:v>
                </c:pt>
                <c:pt idx="238">
                  <c:v>4.41</c:v>
                </c:pt>
                <c:pt idx="239">
                  <c:v>4.4909999999999997</c:v>
                </c:pt>
                <c:pt idx="240">
                  <c:v>4.6379999999999999</c:v>
                </c:pt>
                <c:pt idx="241">
                  <c:v>4.6689999999999996</c:v>
                </c:pt>
                <c:pt idx="242">
                  <c:v>4.8209999999999997</c:v>
                </c:pt>
                <c:pt idx="243">
                  <c:v>4.7789999999999999</c:v>
                </c:pt>
                <c:pt idx="244">
                  <c:v>4.7050000000000001</c:v>
                </c:pt>
                <c:pt idx="245">
                  <c:v>4.7279999999999998</c:v>
                </c:pt>
                <c:pt idx="246">
                  <c:v>4.7119999999999997</c:v>
                </c:pt>
                <c:pt idx="247">
                  <c:v>4.7430000000000003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31-4B0C-951A-5EFE0DD2712B}"/>
            </c:ext>
          </c:extLst>
        </c:ser>
        <c:ser>
          <c:idx val="2"/>
          <c:order val="2"/>
          <c:tx>
            <c:strRef>
              <c:f>'Bond Yield time series'!$E$3</c:f>
              <c:strCache>
                <c:ptCount val="1"/>
                <c:pt idx="0">
                  <c:v>STZ 2026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'Bond Yield time series'!$B$4:$B$251</c:f>
              <c:numCache>
                <c:formatCode>m/d/yyyy</c:formatCode>
                <c:ptCount val="248"/>
                <c:pt idx="0">
                  <c:v>45093</c:v>
                </c:pt>
                <c:pt idx="1">
                  <c:v>45092</c:v>
                </c:pt>
                <c:pt idx="2">
                  <c:v>45091</c:v>
                </c:pt>
                <c:pt idx="3">
                  <c:v>45090</c:v>
                </c:pt>
                <c:pt idx="4">
                  <c:v>45089</c:v>
                </c:pt>
                <c:pt idx="5">
                  <c:v>45086</c:v>
                </c:pt>
                <c:pt idx="6">
                  <c:v>45085</c:v>
                </c:pt>
                <c:pt idx="7">
                  <c:v>45084</c:v>
                </c:pt>
                <c:pt idx="8">
                  <c:v>45083</c:v>
                </c:pt>
                <c:pt idx="9">
                  <c:v>45082</c:v>
                </c:pt>
                <c:pt idx="10">
                  <c:v>45079</c:v>
                </c:pt>
                <c:pt idx="11">
                  <c:v>45078</c:v>
                </c:pt>
                <c:pt idx="12">
                  <c:v>45077</c:v>
                </c:pt>
                <c:pt idx="13">
                  <c:v>45076</c:v>
                </c:pt>
                <c:pt idx="14">
                  <c:v>45072</c:v>
                </c:pt>
                <c:pt idx="15">
                  <c:v>45071</c:v>
                </c:pt>
                <c:pt idx="16">
                  <c:v>45070</c:v>
                </c:pt>
                <c:pt idx="17">
                  <c:v>45069</c:v>
                </c:pt>
                <c:pt idx="18">
                  <c:v>45068</c:v>
                </c:pt>
                <c:pt idx="19">
                  <c:v>45065</c:v>
                </c:pt>
                <c:pt idx="20">
                  <c:v>45064</c:v>
                </c:pt>
                <c:pt idx="21">
                  <c:v>45063</c:v>
                </c:pt>
                <c:pt idx="22">
                  <c:v>45062</c:v>
                </c:pt>
                <c:pt idx="23">
                  <c:v>45061</c:v>
                </c:pt>
                <c:pt idx="24">
                  <c:v>45058</c:v>
                </c:pt>
                <c:pt idx="25">
                  <c:v>45057</c:v>
                </c:pt>
                <c:pt idx="26">
                  <c:v>45056</c:v>
                </c:pt>
                <c:pt idx="27">
                  <c:v>45055</c:v>
                </c:pt>
                <c:pt idx="28">
                  <c:v>45054</c:v>
                </c:pt>
                <c:pt idx="29">
                  <c:v>45051</c:v>
                </c:pt>
                <c:pt idx="30">
                  <c:v>45050</c:v>
                </c:pt>
                <c:pt idx="31">
                  <c:v>45049</c:v>
                </c:pt>
                <c:pt idx="32">
                  <c:v>45048</c:v>
                </c:pt>
                <c:pt idx="33">
                  <c:v>45047</c:v>
                </c:pt>
                <c:pt idx="34">
                  <c:v>45044</c:v>
                </c:pt>
                <c:pt idx="35">
                  <c:v>45043</c:v>
                </c:pt>
                <c:pt idx="36">
                  <c:v>45042</c:v>
                </c:pt>
                <c:pt idx="37">
                  <c:v>45041</c:v>
                </c:pt>
                <c:pt idx="38">
                  <c:v>45040</c:v>
                </c:pt>
                <c:pt idx="39">
                  <c:v>45037</c:v>
                </c:pt>
                <c:pt idx="40">
                  <c:v>45036</c:v>
                </c:pt>
                <c:pt idx="41">
                  <c:v>45035</c:v>
                </c:pt>
                <c:pt idx="42">
                  <c:v>45034</c:v>
                </c:pt>
                <c:pt idx="43">
                  <c:v>45033</c:v>
                </c:pt>
                <c:pt idx="44">
                  <c:v>45030</c:v>
                </c:pt>
                <c:pt idx="45">
                  <c:v>45029</c:v>
                </c:pt>
                <c:pt idx="46">
                  <c:v>45028</c:v>
                </c:pt>
                <c:pt idx="47">
                  <c:v>45027</c:v>
                </c:pt>
                <c:pt idx="48">
                  <c:v>45026</c:v>
                </c:pt>
                <c:pt idx="49">
                  <c:v>45022</c:v>
                </c:pt>
                <c:pt idx="50">
                  <c:v>45021</c:v>
                </c:pt>
                <c:pt idx="51">
                  <c:v>45020</c:v>
                </c:pt>
                <c:pt idx="52">
                  <c:v>45019</c:v>
                </c:pt>
                <c:pt idx="53">
                  <c:v>45016</c:v>
                </c:pt>
                <c:pt idx="54">
                  <c:v>45015</c:v>
                </c:pt>
                <c:pt idx="55">
                  <c:v>45014</c:v>
                </c:pt>
                <c:pt idx="56">
                  <c:v>45013</c:v>
                </c:pt>
                <c:pt idx="57">
                  <c:v>45012</c:v>
                </c:pt>
                <c:pt idx="58">
                  <c:v>45009</c:v>
                </c:pt>
                <c:pt idx="59">
                  <c:v>45008</c:v>
                </c:pt>
                <c:pt idx="60">
                  <c:v>45007</c:v>
                </c:pt>
                <c:pt idx="61">
                  <c:v>45006</c:v>
                </c:pt>
                <c:pt idx="62">
                  <c:v>45005</c:v>
                </c:pt>
                <c:pt idx="63">
                  <c:v>45002</c:v>
                </c:pt>
                <c:pt idx="64">
                  <c:v>45001</c:v>
                </c:pt>
                <c:pt idx="65">
                  <c:v>45000</c:v>
                </c:pt>
                <c:pt idx="66">
                  <c:v>44999</c:v>
                </c:pt>
                <c:pt idx="67">
                  <c:v>44998</c:v>
                </c:pt>
                <c:pt idx="68">
                  <c:v>44995</c:v>
                </c:pt>
                <c:pt idx="69">
                  <c:v>44994</c:v>
                </c:pt>
                <c:pt idx="70">
                  <c:v>44993</c:v>
                </c:pt>
                <c:pt idx="71">
                  <c:v>44992</c:v>
                </c:pt>
                <c:pt idx="72">
                  <c:v>44991</c:v>
                </c:pt>
                <c:pt idx="73">
                  <c:v>44988</c:v>
                </c:pt>
                <c:pt idx="74">
                  <c:v>44987</c:v>
                </c:pt>
                <c:pt idx="75">
                  <c:v>44986</c:v>
                </c:pt>
                <c:pt idx="76">
                  <c:v>44985</c:v>
                </c:pt>
                <c:pt idx="77">
                  <c:v>44984</c:v>
                </c:pt>
                <c:pt idx="78">
                  <c:v>44981</c:v>
                </c:pt>
                <c:pt idx="79">
                  <c:v>44980</c:v>
                </c:pt>
                <c:pt idx="80">
                  <c:v>44979</c:v>
                </c:pt>
                <c:pt idx="81">
                  <c:v>44978</c:v>
                </c:pt>
                <c:pt idx="82">
                  <c:v>44974</c:v>
                </c:pt>
                <c:pt idx="83">
                  <c:v>44973</c:v>
                </c:pt>
                <c:pt idx="84">
                  <c:v>44972</c:v>
                </c:pt>
                <c:pt idx="85">
                  <c:v>44971</c:v>
                </c:pt>
                <c:pt idx="86">
                  <c:v>44970</c:v>
                </c:pt>
                <c:pt idx="87">
                  <c:v>44967</c:v>
                </c:pt>
                <c:pt idx="88">
                  <c:v>44966</c:v>
                </c:pt>
                <c:pt idx="89">
                  <c:v>44965</c:v>
                </c:pt>
                <c:pt idx="90">
                  <c:v>44964</c:v>
                </c:pt>
                <c:pt idx="91">
                  <c:v>44963</c:v>
                </c:pt>
                <c:pt idx="92">
                  <c:v>44960</c:v>
                </c:pt>
                <c:pt idx="93">
                  <c:v>44959</c:v>
                </c:pt>
                <c:pt idx="94">
                  <c:v>44958</c:v>
                </c:pt>
                <c:pt idx="95">
                  <c:v>44957</c:v>
                </c:pt>
                <c:pt idx="96">
                  <c:v>44956</c:v>
                </c:pt>
                <c:pt idx="97">
                  <c:v>44953</c:v>
                </c:pt>
                <c:pt idx="98">
                  <c:v>44952</c:v>
                </c:pt>
                <c:pt idx="99">
                  <c:v>44951</c:v>
                </c:pt>
                <c:pt idx="100">
                  <c:v>44950</c:v>
                </c:pt>
                <c:pt idx="101">
                  <c:v>44949</c:v>
                </c:pt>
                <c:pt idx="102">
                  <c:v>44946</c:v>
                </c:pt>
                <c:pt idx="103">
                  <c:v>44945</c:v>
                </c:pt>
                <c:pt idx="104">
                  <c:v>44944</c:v>
                </c:pt>
                <c:pt idx="105">
                  <c:v>44943</c:v>
                </c:pt>
                <c:pt idx="106">
                  <c:v>44939</c:v>
                </c:pt>
                <c:pt idx="107">
                  <c:v>44938</c:v>
                </c:pt>
                <c:pt idx="108">
                  <c:v>44937</c:v>
                </c:pt>
                <c:pt idx="109">
                  <c:v>44936</c:v>
                </c:pt>
                <c:pt idx="110">
                  <c:v>44935</c:v>
                </c:pt>
                <c:pt idx="111">
                  <c:v>44932</c:v>
                </c:pt>
                <c:pt idx="112">
                  <c:v>44931</c:v>
                </c:pt>
                <c:pt idx="113">
                  <c:v>44930</c:v>
                </c:pt>
                <c:pt idx="114">
                  <c:v>44929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44918</c:v>
                </c:pt>
                <c:pt idx="120">
                  <c:v>44917</c:v>
                </c:pt>
                <c:pt idx="121">
                  <c:v>44916</c:v>
                </c:pt>
                <c:pt idx="122">
                  <c:v>44915</c:v>
                </c:pt>
                <c:pt idx="123">
                  <c:v>44914</c:v>
                </c:pt>
                <c:pt idx="124">
                  <c:v>44911</c:v>
                </c:pt>
                <c:pt idx="125">
                  <c:v>44910</c:v>
                </c:pt>
                <c:pt idx="126">
                  <c:v>44909</c:v>
                </c:pt>
                <c:pt idx="127">
                  <c:v>44908</c:v>
                </c:pt>
                <c:pt idx="128">
                  <c:v>44907</c:v>
                </c:pt>
                <c:pt idx="129">
                  <c:v>44904</c:v>
                </c:pt>
                <c:pt idx="130">
                  <c:v>44903</c:v>
                </c:pt>
                <c:pt idx="131">
                  <c:v>44902</c:v>
                </c:pt>
                <c:pt idx="132">
                  <c:v>44901</c:v>
                </c:pt>
                <c:pt idx="133">
                  <c:v>44900</c:v>
                </c:pt>
                <c:pt idx="134">
                  <c:v>44897</c:v>
                </c:pt>
                <c:pt idx="135">
                  <c:v>44896</c:v>
                </c:pt>
                <c:pt idx="136">
                  <c:v>44895</c:v>
                </c:pt>
                <c:pt idx="137">
                  <c:v>44894</c:v>
                </c:pt>
                <c:pt idx="138">
                  <c:v>44893</c:v>
                </c:pt>
                <c:pt idx="139">
                  <c:v>44890</c:v>
                </c:pt>
                <c:pt idx="140">
                  <c:v>44888</c:v>
                </c:pt>
                <c:pt idx="141">
                  <c:v>44887</c:v>
                </c:pt>
                <c:pt idx="142">
                  <c:v>44886</c:v>
                </c:pt>
                <c:pt idx="143">
                  <c:v>44883</c:v>
                </c:pt>
                <c:pt idx="144">
                  <c:v>44882</c:v>
                </c:pt>
                <c:pt idx="145">
                  <c:v>44881</c:v>
                </c:pt>
                <c:pt idx="146">
                  <c:v>44880</c:v>
                </c:pt>
                <c:pt idx="147">
                  <c:v>44879</c:v>
                </c:pt>
                <c:pt idx="148">
                  <c:v>44875</c:v>
                </c:pt>
                <c:pt idx="149">
                  <c:v>44874</c:v>
                </c:pt>
                <c:pt idx="150">
                  <c:v>44873</c:v>
                </c:pt>
                <c:pt idx="151">
                  <c:v>44872</c:v>
                </c:pt>
                <c:pt idx="152">
                  <c:v>44869</c:v>
                </c:pt>
                <c:pt idx="153">
                  <c:v>44868</c:v>
                </c:pt>
                <c:pt idx="154">
                  <c:v>44867</c:v>
                </c:pt>
                <c:pt idx="155">
                  <c:v>44866</c:v>
                </c:pt>
                <c:pt idx="156">
                  <c:v>44865</c:v>
                </c:pt>
                <c:pt idx="157">
                  <c:v>44862</c:v>
                </c:pt>
                <c:pt idx="158">
                  <c:v>44861</c:v>
                </c:pt>
                <c:pt idx="159">
                  <c:v>44860</c:v>
                </c:pt>
                <c:pt idx="160">
                  <c:v>44859</c:v>
                </c:pt>
                <c:pt idx="161">
                  <c:v>44858</c:v>
                </c:pt>
                <c:pt idx="162">
                  <c:v>44855</c:v>
                </c:pt>
                <c:pt idx="163">
                  <c:v>44854</c:v>
                </c:pt>
                <c:pt idx="164">
                  <c:v>44853</c:v>
                </c:pt>
                <c:pt idx="165">
                  <c:v>44852</c:v>
                </c:pt>
                <c:pt idx="166">
                  <c:v>44851</c:v>
                </c:pt>
                <c:pt idx="167">
                  <c:v>44848</c:v>
                </c:pt>
                <c:pt idx="168">
                  <c:v>44847</c:v>
                </c:pt>
                <c:pt idx="169">
                  <c:v>44846</c:v>
                </c:pt>
                <c:pt idx="170">
                  <c:v>44845</c:v>
                </c:pt>
                <c:pt idx="171">
                  <c:v>44841</c:v>
                </c:pt>
                <c:pt idx="172">
                  <c:v>44840</c:v>
                </c:pt>
                <c:pt idx="173">
                  <c:v>44839</c:v>
                </c:pt>
                <c:pt idx="174">
                  <c:v>44838</c:v>
                </c:pt>
                <c:pt idx="175">
                  <c:v>44837</c:v>
                </c:pt>
                <c:pt idx="176">
                  <c:v>44834</c:v>
                </c:pt>
                <c:pt idx="177">
                  <c:v>44833</c:v>
                </c:pt>
                <c:pt idx="178">
                  <c:v>44832</c:v>
                </c:pt>
                <c:pt idx="179">
                  <c:v>44831</c:v>
                </c:pt>
                <c:pt idx="180">
                  <c:v>44830</c:v>
                </c:pt>
                <c:pt idx="181">
                  <c:v>44827</c:v>
                </c:pt>
                <c:pt idx="182">
                  <c:v>44826</c:v>
                </c:pt>
                <c:pt idx="183">
                  <c:v>44825</c:v>
                </c:pt>
                <c:pt idx="184">
                  <c:v>44824</c:v>
                </c:pt>
                <c:pt idx="185">
                  <c:v>44823</c:v>
                </c:pt>
                <c:pt idx="186">
                  <c:v>44820</c:v>
                </c:pt>
                <c:pt idx="187">
                  <c:v>44819</c:v>
                </c:pt>
                <c:pt idx="188">
                  <c:v>44818</c:v>
                </c:pt>
                <c:pt idx="189">
                  <c:v>44817</c:v>
                </c:pt>
                <c:pt idx="190">
                  <c:v>44816</c:v>
                </c:pt>
                <c:pt idx="191">
                  <c:v>44813</c:v>
                </c:pt>
                <c:pt idx="192">
                  <c:v>44812</c:v>
                </c:pt>
                <c:pt idx="193">
                  <c:v>44811</c:v>
                </c:pt>
                <c:pt idx="194">
                  <c:v>44810</c:v>
                </c:pt>
                <c:pt idx="195">
                  <c:v>44806</c:v>
                </c:pt>
                <c:pt idx="196">
                  <c:v>44805</c:v>
                </c:pt>
                <c:pt idx="197">
                  <c:v>44804</c:v>
                </c:pt>
                <c:pt idx="198">
                  <c:v>44803</c:v>
                </c:pt>
                <c:pt idx="199">
                  <c:v>44802</c:v>
                </c:pt>
                <c:pt idx="200">
                  <c:v>44799</c:v>
                </c:pt>
                <c:pt idx="201">
                  <c:v>44798</c:v>
                </c:pt>
                <c:pt idx="202">
                  <c:v>44797</c:v>
                </c:pt>
                <c:pt idx="203">
                  <c:v>44796</c:v>
                </c:pt>
                <c:pt idx="204">
                  <c:v>44795</c:v>
                </c:pt>
                <c:pt idx="205">
                  <c:v>44792</c:v>
                </c:pt>
                <c:pt idx="206">
                  <c:v>44791</c:v>
                </c:pt>
                <c:pt idx="207">
                  <c:v>44790</c:v>
                </c:pt>
                <c:pt idx="208">
                  <c:v>44789</c:v>
                </c:pt>
                <c:pt idx="209">
                  <c:v>44788</c:v>
                </c:pt>
                <c:pt idx="210">
                  <c:v>44785</c:v>
                </c:pt>
                <c:pt idx="211">
                  <c:v>44784</c:v>
                </c:pt>
                <c:pt idx="212">
                  <c:v>44783</c:v>
                </c:pt>
                <c:pt idx="213">
                  <c:v>44782</c:v>
                </c:pt>
                <c:pt idx="214">
                  <c:v>44781</c:v>
                </c:pt>
                <c:pt idx="215">
                  <c:v>44778</c:v>
                </c:pt>
                <c:pt idx="216">
                  <c:v>44777</c:v>
                </c:pt>
                <c:pt idx="217">
                  <c:v>44776</c:v>
                </c:pt>
                <c:pt idx="218">
                  <c:v>44775</c:v>
                </c:pt>
                <c:pt idx="219">
                  <c:v>44774</c:v>
                </c:pt>
                <c:pt idx="220">
                  <c:v>44771</c:v>
                </c:pt>
                <c:pt idx="221">
                  <c:v>44770</c:v>
                </c:pt>
                <c:pt idx="222">
                  <c:v>44769</c:v>
                </c:pt>
                <c:pt idx="223">
                  <c:v>44768</c:v>
                </c:pt>
                <c:pt idx="224">
                  <c:v>44767</c:v>
                </c:pt>
                <c:pt idx="225">
                  <c:v>44764</c:v>
                </c:pt>
                <c:pt idx="226">
                  <c:v>44763</c:v>
                </c:pt>
                <c:pt idx="227">
                  <c:v>44762</c:v>
                </c:pt>
                <c:pt idx="228">
                  <c:v>44761</c:v>
                </c:pt>
                <c:pt idx="229">
                  <c:v>44760</c:v>
                </c:pt>
                <c:pt idx="230">
                  <c:v>44757</c:v>
                </c:pt>
                <c:pt idx="231">
                  <c:v>44756</c:v>
                </c:pt>
                <c:pt idx="232">
                  <c:v>44755</c:v>
                </c:pt>
                <c:pt idx="233">
                  <c:v>44754</c:v>
                </c:pt>
                <c:pt idx="234">
                  <c:v>44753</c:v>
                </c:pt>
                <c:pt idx="235">
                  <c:v>44750</c:v>
                </c:pt>
                <c:pt idx="236">
                  <c:v>44749</c:v>
                </c:pt>
                <c:pt idx="237">
                  <c:v>44748</c:v>
                </c:pt>
                <c:pt idx="238">
                  <c:v>44747</c:v>
                </c:pt>
                <c:pt idx="239">
                  <c:v>44743</c:v>
                </c:pt>
                <c:pt idx="240">
                  <c:v>44742</c:v>
                </c:pt>
                <c:pt idx="241">
                  <c:v>44741</c:v>
                </c:pt>
                <c:pt idx="242">
                  <c:v>44740</c:v>
                </c:pt>
                <c:pt idx="243">
                  <c:v>44739</c:v>
                </c:pt>
                <c:pt idx="244">
                  <c:v>44736</c:v>
                </c:pt>
                <c:pt idx="245">
                  <c:v>44735</c:v>
                </c:pt>
                <c:pt idx="246">
                  <c:v>44734</c:v>
                </c:pt>
                <c:pt idx="247">
                  <c:v>44733</c:v>
                </c:pt>
              </c:numCache>
            </c:numRef>
          </c:cat>
          <c:val>
            <c:numRef>
              <c:f>'Bond Yield time series'!$E$4:$E$251</c:f>
              <c:numCache>
                <c:formatCode>General</c:formatCode>
                <c:ptCount val="248"/>
                <c:pt idx="0">
                  <c:v>5.1989999999999998</c:v>
                </c:pt>
                <c:pt idx="1">
                  <c:v>5.1379999999999999</c:v>
                </c:pt>
                <c:pt idx="2">
                  <c:v>5.165</c:v>
                </c:pt>
                <c:pt idx="3">
                  <c:v>5.0679999999999996</c:v>
                </c:pt>
                <c:pt idx="4">
                  <c:v>5.0199999999999996</c:v>
                </c:pt>
                <c:pt idx="5">
                  <c:v>5.0739999999999998</c:v>
                </c:pt>
                <c:pt idx="6">
                  <c:v>5.0179999999999998</c:v>
                </c:pt>
                <c:pt idx="7">
                  <c:v>5.0410000000000004</c:v>
                </c:pt>
                <c:pt idx="8">
                  <c:v>4.8890000000000002</c:v>
                </c:pt>
                <c:pt idx="9">
                  <c:v>4.8499999999999996</c:v>
                </c:pt>
                <c:pt idx="10">
                  <c:v>4.7889999999999997</c:v>
                </c:pt>
                <c:pt idx="11">
                  <c:v>4.6269999999999998</c:v>
                </c:pt>
                <c:pt idx="12">
                  <c:v>4.96</c:v>
                </c:pt>
                <c:pt idx="13">
                  <c:v>4.7629999999999999</c:v>
                </c:pt>
                <c:pt idx="14">
                  <c:v>5.0590000000000002</c:v>
                </c:pt>
                <c:pt idx="15">
                  <c:v>5.0270000000000001</c:v>
                </c:pt>
                <c:pt idx="16">
                  <c:v>4.97</c:v>
                </c:pt>
                <c:pt idx="17">
                  <c:v>5.0199999999999996</c:v>
                </c:pt>
                <c:pt idx="18">
                  <c:v>5.0010000000000003</c:v>
                </c:pt>
                <c:pt idx="19">
                  <c:v>5.0670000000000002</c:v>
                </c:pt>
                <c:pt idx="20">
                  <c:v>5.1849999999999996</c:v>
                </c:pt>
                <c:pt idx="21">
                  <c:v>5.1079999999999997</c:v>
                </c:pt>
                <c:pt idx="22">
                  <c:v>5.0449999999999999</c:v>
                </c:pt>
                <c:pt idx="23">
                  <c:v>5.0049999999999999</c:v>
                </c:pt>
                <c:pt idx="24">
                  <c:v>5.0270000000000001</c:v>
                </c:pt>
                <c:pt idx="25">
                  <c:v>4.83</c:v>
                </c:pt>
                <c:pt idx="26">
                  <c:v>4.8959999999999999</c:v>
                </c:pt>
                <c:pt idx="27">
                  <c:v>5.0490000000000004</c:v>
                </c:pt>
                <c:pt idx="28">
                  <c:v>5.0410000000000004</c:v>
                </c:pt>
                <c:pt idx="29">
                  <c:v>4.9770000000000003</c:v>
                </c:pt>
                <c:pt idx="30">
                  <c:v>4.859</c:v>
                </c:pt>
                <c:pt idx="31">
                  <c:v>4.9020000000000001</c:v>
                </c:pt>
                <c:pt idx="32">
                  <c:v>4.9880000000000004</c:v>
                </c:pt>
                <c:pt idx="33">
                  <c:v>5.1390000000000002</c:v>
                </c:pt>
                <c:pt idx="34">
                  <c:v>5.1420000000000003</c:v>
                </c:pt>
                <c:pt idx="35">
                  <c:v>5.2539999999999996</c:v>
                </c:pt>
                <c:pt idx="36">
                  <c:v>5.14</c:v>
                </c:pt>
                <c:pt idx="37">
                  <c:v>4.9740000000000002</c:v>
                </c:pt>
                <c:pt idx="38">
                  <c:v>5.1079999999999997</c:v>
                </c:pt>
                <c:pt idx="39">
                  <c:v>5.149</c:v>
                </c:pt>
                <c:pt idx="40">
                  <c:v>5.0709999999999997</c:v>
                </c:pt>
                <c:pt idx="41">
                  <c:v>5.1180000000000003</c:v>
                </c:pt>
                <c:pt idx="42">
                  <c:v>5.0449999999999999</c:v>
                </c:pt>
                <c:pt idx="43">
                  <c:v>5.0750000000000002</c:v>
                </c:pt>
                <c:pt idx="44">
                  <c:v>5</c:v>
                </c:pt>
                <c:pt idx="45">
                  <c:v>5.1120000000000001</c:v>
                </c:pt>
                <c:pt idx="46">
                  <c:v>5.1230000000000002</c:v>
                </c:pt>
                <c:pt idx="47">
                  <c:v>5.0990000000000002</c:v>
                </c:pt>
                <c:pt idx="48">
                  <c:v>5.109</c:v>
                </c:pt>
                <c:pt idx="49">
                  <c:v>5.016</c:v>
                </c:pt>
                <c:pt idx="50">
                  <c:v>4.8920000000000003</c:v>
                </c:pt>
                <c:pt idx="51">
                  <c:v>4.9059999999999997</c:v>
                </c:pt>
                <c:pt idx="52">
                  <c:v>4.7759999999999998</c:v>
                </c:pt>
                <c:pt idx="53">
                  <c:v>4.891</c:v>
                </c:pt>
                <c:pt idx="54">
                  <c:v>5.0060000000000002</c:v>
                </c:pt>
                <c:pt idx="55">
                  <c:v>4.9790000000000001</c:v>
                </c:pt>
                <c:pt idx="56">
                  <c:v>4.9720000000000004</c:v>
                </c:pt>
                <c:pt idx="57">
                  <c:v>4.8929999999999998</c:v>
                </c:pt>
                <c:pt idx="58">
                  <c:v>4.851</c:v>
                </c:pt>
                <c:pt idx="59">
                  <c:v>4.8719999999999999</c:v>
                </c:pt>
                <c:pt idx="60">
                  <c:v>5.0449999999999999</c:v>
                </c:pt>
                <c:pt idx="61">
                  <c:v>5.1219999999999999</c:v>
                </c:pt>
                <c:pt idx="62">
                  <c:v>5.2119999999999997</c:v>
                </c:pt>
                <c:pt idx="63">
                  <c:v>5.101</c:v>
                </c:pt>
                <c:pt idx="64">
                  <c:v>5.2110000000000003</c:v>
                </c:pt>
                <c:pt idx="65">
                  <c:v>5.0999999999999996</c:v>
                </c:pt>
                <c:pt idx="66">
                  <c:v>5.3079999999999998</c:v>
                </c:pt>
                <c:pt idx="67">
                  <c:v>5.375</c:v>
                </c:pt>
                <c:pt idx="68">
                  <c:v>5.3419999999999996</c:v>
                </c:pt>
                <c:pt idx="69">
                  <c:v>5.5279999999999996</c:v>
                </c:pt>
                <c:pt idx="70">
                  <c:v>5.6740000000000004</c:v>
                </c:pt>
                <c:pt idx="71">
                  <c:v>5.5949999999999998</c:v>
                </c:pt>
                <c:pt idx="72">
                  <c:v>5.41</c:v>
                </c:pt>
                <c:pt idx="73">
                  <c:v>5.4180000000000001</c:v>
                </c:pt>
                <c:pt idx="74">
                  <c:v>5.4640000000000004</c:v>
                </c:pt>
                <c:pt idx="75">
                  <c:v>5.4550000000000001</c:v>
                </c:pt>
                <c:pt idx="76">
                  <c:v>5.3419999999999996</c:v>
                </c:pt>
                <c:pt idx="77">
                  <c:v>5.3339999999999996</c:v>
                </c:pt>
                <c:pt idx="78">
                  <c:v>5.4089999999999998</c:v>
                </c:pt>
                <c:pt idx="79">
                  <c:v>5.3179999999999996</c:v>
                </c:pt>
                <c:pt idx="80">
                  <c:v>5.3819999999999997</c:v>
                </c:pt>
                <c:pt idx="81">
                  <c:v>5.4450000000000003</c:v>
                </c:pt>
                <c:pt idx="82">
                  <c:v>5.319</c:v>
                </c:pt>
                <c:pt idx="83">
                  <c:v>5.31</c:v>
                </c:pt>
                <c:pt idx="84">
                  <c:v>5.2510000000000003</c:v>
                </c:pt>
                <c:pt idx="85">
                  <c:v>5.2469999999999999</c:v>
                </c:pt>
                <c:pt idx="86">
                  <c:v>5.1449999999999996</c:v>
                </c:pt>
                <c:pt idx="87">
                  <c:v>5.1689999999999996</c:v>
                </c:pt>
                <c:pt idx="88">
                  <c:v>5.1079999999999997</c:v>
                </c:pt>
                <c:pt idx="89">
                  <c:v>5.0599999999999996</c:v>
                </c:pt>
                <c:pt idx="90">
                  <c:v>5.1349999999999998</c:v>
                </c:pt>
                <c:pt idx="91">
                  <c:v>5.1230000000000002</c:v>
                </c:pt>
                <c:pt idx="92">
                  <c:v>5.0110000000000001</c:v>
                </c:pt>
                <c:pt idx="93">
                  <c:v>4.7930000000000001</c:v>
                </c:pt>
                <c:pt idx="94">
                  <c:v>4.9089999999999998</c:v>
                </c:pt>
                <c:pt idx="95">
                  <c:v>4.9210000000000003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31-4B0C-951A-5EFE0DD27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9384"/>
        <c:axId val="999758752"/>
      </c:lineChart>
      <c:dateAx>
        <c:axId val="10116893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58752"/>
        <c:crosses val="autoZero"/>
        <c:auto val="1"/>
        <c:lblOffset val="100"/>
        <c:baseTimeUnit val="days"/>
      </c:dateAx>
      <c:valAx>
        <c:axId val="999758752"/>
        <c:scaling>
          <c:orientation val="minMax"/>
          <c:max val="6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9384"/>
        <c:crosses val="autoZero"/>
        <c:crossBetween val="between"/>
        <c:majorUnit val="0.5"/>
      </c:valAx>
      <c:spPr>
        <a:solidFill>
          <a:schemeClr val="tx1">
            <a:lumMod val="65000"/>
            <a:lumOff val="3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Long</a:t>
            </a:r>
            <a:r>
              <a:rPr lang="en-US" baseline="0"/>
              <a:t> Bond YTW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'Bond Yield time series'!$P$2</c:f>
              <c:strCache>
                <c:ptCount val="1"/>
                <c:pt idx="0">
                  <c:v>ABIBB 2046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'Bond Yield time series'!$O$3:$O$250</c:f>
              <c:numCache>
                <c:formatCode>m/d/yyyy</c:formatCode>
                <c:ptCount val="248"/>
                <c:pt idx="0">
                  <c:v>45093</c:v>
                </c:pt>
                <c:pt idx="1">
                  <c:v>45092</c:v>
                </c:pt>
                <c:pt idx="2">
                  <c:v>45091</c:v>
                </c:pt>
                <c:pt idx="3">
                  <c:v>45090</c:v>
                </c:pt>
                <c:pt idx="4">
                  <c:v>45089</c:v>
                </c:pt>
                <c:pt idx="5">
                  <c:v>45086</c:v>
                </c:pt>
                <c:pt idx="6">
                  <c:v>45085</c:v>
                </c:pt>
                <c:pt idx="7">
                  <c:v>45084</c:v>
                </c:pt>
                <c:pt idx="8">
                  <c:v>45083</c:v>
                </c:pt>
                <c:pt idx="9">
                  <c:v>45082</c:v>
                </c:pt>
                <c:pt idx="10">
                  <c:v>45079</c:v>
                </c:pt>
                <c:pt idx="11">
                  <c:v>45078</c:v>
                </c:pt>
                <c:pt idx="12">
                  <c:v>45077</c:v>
                </c:pt>
                <c:pt idx="13">
                  <c:v>45076</c:v>
                </c:pt>
                <c:pt idx="14">
                  <c:v>45072</c:v>
                </c:pt>
                <c:pt idx="15">
                  <c:v>45071</c:v>
                </c:pt>
                <c:pt idx="16">
                  <c:v>45070</c:v>
                </c:pt>
                <c:pt idx="17">
                  <c:v>45069</c:v>
                </c:pt>
                <c:pt idx="18">
                  <c:v>45068</c:v>
                </c:pt>
                <c:pt idx="19">
                  <c:v>45065</c:v>
                </c:pt>
                <c:pt idx="20">
                  <c:v>45064</c:v>
                </c:pt>
                <c:pt idx="21">
                  <c:v>45063</c:v>
                </c:pt>
                <c:pt idx="22">
                  <c:v>45062</c:v>
                </c:pt>
                <c:pt idx="23">
                  <c:v>45061</c:v>
                </c:pt>
                <c:pt idx="24">
                  <c:v>45058</c:v>
                </c:pt>
                <c:pt idx="25">
                  <c:v>45057</c:v>
                </c:pt>
                <c:pt idx="26">
                  <c:v>45056</c:v>
                </c:pt>
                <c:pt idx="27">
                  <c:v>45055</c:v>
                </c:pt>
                <c:pt idx="28">
                  <c:v>45054</c:v>
                </c:pt>
                <c:pt idx="29">
                  <c:v>45051</c:v>
                </c:pt>
                <c:pt idx="30">
                  <c:v>45050</c:v>
                </c:pt>
                <c:pt idx="31">
                  <c:v>45049</c:v>
                </c:pt>
                <c:pt idx="32">
                  <c:v>45048</c:v>
                </c:pt>
                <c:pt idx="33">
                  <c:v>45047</c:v>
                </c:pt>
                <c:pt idx="34">
                  <c:v>45044</c:v>
                </c:pt>
                <c:pt idx="35">
                  <c:v>45043</c:v>
                </c:pt>
                <c:pt idx="36">
                  <c:v>45042</c:v>
                </c:pt>
                <c:pt idx="37">
                  <c:v>45041</c:v>
                </c:pt>
                <c:pt idx="38">
                  <c:v>45040</c:v>
                </c:pt>
                <c:pt idx="39">
                  <c:v>45037</c:v>
                </c:pt>
                <c:pt idx="40">
                  <c:v>45036</c:v>
                </c:pt>
                <c:pt idx="41">
                  <c:v>45035</c:v>
                </c:pt>
                <c:pt idx="42">
                  <c:v>45034</c:v>
                </c:pt>
                <c:pt idx="43">
                  <c:v>45033</c:v>
                </c:pt>
                <c:pt idx="44">
                  <c:v>45030</c:v>
                </c:pt>
                <c:pt idx="45">
                  <c:v>45029</c:v>
                </c:pt>
                <c:pt idx="46">
                  <c:v>45028</c:v>
                </c:pt>
                <c:pt idx="47">
                  <c:v>45027</c:v>
                </c:pt>
                <c:pt idx="48">
                  <c:v>45026</c:v>
                </c:pt>
                <c:pt idx="49">
                  <c:v>45022</c:v>
                </c:pt>
                <c:pt idx="50">
                  <c:v>45021</c:v>
                </c:pt>
                <c:pt idx="51">
                  <c:v>45020</c:v>
                </c:pt>
                <c:pt idx="52">
                  <c:v>45019</c:v>
                </c:pt>
                <c:pt idx="53">
                  <c:v>45016</c:v>
                </c:pt>
                <c:pt idx="54">
                  <c:v>45015</c:v>
                </c:pt>
                <c:pt idx="55">
                  <c:v>45014</c:v>
                </c:pt>
                <c:pt idx="56">
                  <c:v>45013</c:v>
                </c:pt>
                <c:pt idx="57">
                  <c:v>45012</c:v>
                </c:pt>
                <c:pt idx="58">
                  <c:v>45009</c:v>
                </c:pt>
                <c:pt idx="59">
                  <c:v>45008</c:v>
                </c:pt>
                <c:pt idx="60">
                  <c:v>45007</c:v>
                </c:pt>
                <c:pt idx="61">
                  <c:v>45006</c:v>
                </c:pt>
                <c:pt idx="62">
                  <c:v>45005</c:v>
                </c:pt>
                <c:pt idx="63">
                  <c:v>45002</c:v>
                </c:pt>
                <c:pt idx="64">
                  <c:v>45001</c:v>
                </c:pt>
                <c:pt idx="65">
                  <c:v>45000</c:v>
                </c:pt>
                <c:pt idx="66">
                  <c:v>44999</c:v>
                </c:pt>
                <c:pt idx="67">
                  <c:v>44998</c:v>
                </c:pt>
                <c:pt idx="68">
                  <c:v>44995</c:v>
                </c:pt>
                <c:pt idx="69">
                  <c:v>44994</c:v>
                </c:pt>
                <c:pt idx="70">
                  <c:v>44993</c:v>
                </c:pt>
                <c:pt idx="71">
                  <c:v>44992</c:v>
                </c:pt>
                <c:pt idx="72">
                  <c:v>44991</c:v>
                </c:pt>
                <c:pt idx="73">
                  <c:v>44988</c:v>
                </c:pt>
                <c:pt idx="74">
                  <c:v>44987</c:v>
                </c:pt>
                <c:pt idx="75">
                  <c:v>44986</c:v>
                </c:pt>
                <c:pt idx="76">
                  <c:v>44985</c:v>
                </c:pt>
                <c:pt idx="77">
                  <c:v>44984</c:v>
                </c:pt>
                <c:pt idx="78">
                  <c:v>44981</c:v>
                </c:pt>
                <c:pt idx="79">
                  <c:v>44980</c:v>
                </c:pt>
                <c:pt idx="80">
                  <c:v>44979</c:v>
                </c:pt>
                <c:pt idx="81">
                  <c:v>44978</c:v>
                </c:pt>
                <c:pt idx="82">
                  <c:v>44974</c:v>
                </c:pt>
                <c:pt idx="83">
                  <c:v>44973</c:v>
                </c:pt>
                <c:pt idx="84">
                  <c:v>44972</c:v>
                </c:pt>
                <c:pt idx="85">
                  <c:v>44971</c:v>
                </c:pt>
                <c:pt idx="86">
                  <c:v>44970</c:v>
                </c:pt>
                <c:pt idx="87">
                  <c:v>44967</c:v>
                </c:pt>
                <c:pt idx="88">
                  <c:v>44966</c:v>
                </c:pt>
                <c:pt idx="89">
                  <c:v>44965</c:v>
                </c:pt>
                <c:pt idx="90">
                  <c:v>44964</c:v>
                </c:pt>
                <c:pt idx="91">
                  <c:v>44963</c:v>
                </c:pt>
                <c:pt idx="92">
                  <c:v>44960</c:v>
                </c:pt>
                <c:pt idx="93">
                  <c:v>44959</c:v>
                </c:pt>
                <c:pt idx="94">
                  <c:v>44958</c:v>
                </c:pt>
                <c:pt idx="95">
                  <c:v>44957</c:v>
                </c:pt>
                <c:pt idx="96">
                  <c:v>44956</c:v>
                </c:pt>
                <c:pt idx="97">
                  <c:v>44953</c:v>
                </c:pt>
                <c:pt idx="98">
                  <c:v>44952</c:v>
                </c:pt>
                <c:pt idx="99">
                  <c:v>44951</c:v>
                </c:pt>
                <c:pt idx="100">
                  <c:v>44950</c:v>
                </c:pt>
                <c:pt idx="101">
                  <c:v>44949</c:v>
                </c:pt>
                <c:pt idx="102">
                  <c:v>44946</c:v>
                </c:pt>
                <c:pt idx="103">
                  <c:v>44945</c:v>
                </c:pt>
                <c:pt idx="104">
                  <c:v>44944</c:v>
                </c:pt>
                <c:pt idx="105">
                  <c:v>44943</c:v>
                </c:pt>
                <c:pt idx="106">
                  <c:v>44939</c:v>
                </c:pt>
                <c:pt idx="107">
                  <c:v>44938</c:v>
                </c:pt>
                <c:pt idx="108">
                  <c:v>44937</c:v>
                </c:pt>
                <c:pt idx="109">
                  <c:v>44936</c:v>
                </c:pt>
                <c:pt idx="110">
                  <c:v>44935</c:v>
                </c:pt>
                <c:pt idx="111">
                  <c:v>44932</c:v>
                </c:pt>
                <c:pt idx="112">
                  <c:v>44931</c:v>
                </c:pt>
                <c:pt idx="113">
                  <c:v>44930</c:v>
                </c:pt>
                <c:pt idx="114">
                  <c:v>44929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44918</c:v>
                </c:pt>
                <c:pt idx="120">
                  <c:v>44917</c:v>
                </c:pt>
                <c:pt idx="121">
                  <c:v>44916</c:v>
                </c:pt>
                <c:pt idx="122">
                  <c:v>44915</c:v>
                </c:pt>
                <c:pt idx="123">
                  <c:v>44914</c:v>
                </c:pt>
                <c:pt idx="124">
                  <c:v>44911</c:v>
                </c:pt>
                <c:pt idx="125">
                  <c:v>44910</c:v>
                </c:pt>
                <c:pt idx="126">
                  <c:v>44909</c:v>
                </c:pt>
                <c:pt idx="127">
                  <c:v>44908</c:v>
                </c:pt>
                <c:pt idx="128">
                  <c:v>44907</c:v>
                </c:pt>
                <c:pt idx="129">
                  <c:v>44904</c:v>
                </c:pt>
                <c:pt idx="130">
                  <c:v>44903</c:v>
                </c:pt>
                <c:pt idx="131">
                  <c:v>44902</c:v>
                </c:pt>
                <c:pt idx="132">
                  <c:v>44901</c:v>
                </c:pt>
                <c:pt idx="133">
                  <c:v>44900</c:v>
                </c:pt>
                <c:pt idx="134">
                  <c:v>44897</c:v>
                </c:pt>
                <c:pt idx="135">
                  <c:v>44896</c:v>
                </c:pt>
                <c:pt idx="136">
                  <c:v>44895</c:v>
                </c:pt>
                <c:pt idx="137">
                  <c:v>44894</c:v>
                </c:pt>
                <c:pt idx="138">
                  <c:v>44893</c:v>
                </c:pt>
                <c:pt idx="139">
                  <c:v>44890</c:v>
                </c:pt>
                <c:pt idx="140">
                  <c:v>44888</c:v>
                </c:pt>
                <c:pt idx="141">
                  <c:v>44887</c:v>
                </c:pt>
                <c:pt idx="142">
                  <c:v>44886</c:v>
                </c:pt>
                <c:pt idx="143">
                  <c:v>44883</c:v>
                </c:pt>
                <c:pt idx="144">
                  <c:v>44882</c:v>
                </c:pt>
                <c:pt idx="145">
                  <c:v>44881</c:v>
                </c:pt>
                <c:pt idx="146">
                  <c:v>44880</c:v>
                </c:pt>
                <c:pt idx="147">
                  <c:v>44879</c:v>
                </c:pt>
                <c:pt idx="148">
                  <c:v>44875</c:v>
                </c:pt>
                <c:pt idx="149">
                  <c:v>44874</c:v>
                </c:pt>
                <c:pt idx="150">
                  <c:v>44873</c:v>
                </c:pt>
                <c:pt idx="151">
                  <c:v>44872</c:v>
                </c:pt>
                <c:pt idx="152">
                  <c:v>44869</c:v>
                </c:pt>
                <c:pt idx="153">
                  <c:v>44868</c:v>
                </c:pt>
                <c:pt idx="154">
                  <c:v>44867</c:v>
                </c:pt>
                <c:pt idx="155">
                  <c:v>44866</c:v>
                </c:pt>
                <c:pt idx="156">
                  <c:v>44865</c:v>
                </c:pt>
                <c:pt idx="157">
                  <c:v>44862</c:v>
                </c:pt>
                <c:pt idx="158">
                  <c:v>44861</c:v>
                </c:pt>
                <c:pt idx="159">
                  <c:v>44860</c:v>
                </c:pt>
                <c:pt idx="160">
                  <c:v>44859</c:v>
                </c:pt>
                <c:pt idx="161">
                  <c:v>44858</c:v>
                </c:pt>
                <c:pt idx="162">
                  <c:v>44855</c:v>
                </c:pt>
                <c:pt idx="163">
                  <c:v>44854</c:v>
                </c:pt>
                <c:pt idx="164">
                  <c:v>44853</c:v>
                </c:pt>
                <c:pt idx="165">
                  <c:v>44852</c:v>
                </c:pt>
                <c:pt idx="166">
                  <c:v>44851</c:v>
                </c:pt>
                <c:pt idx="167">
                  <c:v>44848</c:v>
                </c:pt>
                <c:pt idx="168">
                  <c:v>44847</c:v>
                </c:pt>
                <c:pt idx="169">
                  <c:v>44846</c:v>
                </c:pt>
                <c:pt idx="170">
                  <c:v>44845</c:v>
                </c:pt>
                <c:pt idx="171">
                  <c:v>44841</c:v>
                </c:pt>
                <c:pt idx="172">
                  <c:v>44840</c:v>
                </c:pt>
                <c:pt idx="173">
                  <c:v>44839</c:v>
                </c:pt>
                <c:pt idx="174">
                  <c:v>44838</c:v>
                </c:pt>
                <c:pt idx="175">
                  <c:v>44837</c:v>
                </c:pt>
                <c:pt idx="176">
                  <c:v>44834</c:v>
                </c:pt>
                <c:pt idx="177">
                  <c:v>44833</c:v>
                </c:pt>
                <c:pt idx="178">
                  <c:v>44832</c:v>
                </c:pt>
                <c:pt idx="179">
                  <c:v>44831</c:v>
                </c:pt>
                <c:pt idx="180">
                  <c:v>44830</c:v>
                </c:pt>
                <c:pt idx="181">
                  <c:v>44827</c:v>
                </c:pt>
                <c:pt idx="182">
                  <c:v>44826</c:v>
                </c:pt>
                <c:pt idx="183">
                  <c:v>44825</c:v>
                </c:pt>
                <c:pt idx="184">
                  <c:v>44824</c:v>
                </c:pt>
                <c:pt idx="185">
                  <c:v>44823</c:v>
                </c:pt>
                <c:pt idx="186">
                  <c:v>44820</c:v>
                </c:pt>
                <c:pt idx="187">
                  <c:v>44819</c:v>
                </c:pt>
                <c:pt idx="188">
                  <c:v>44818</c:v>
                </c:pt>
                <c:pt idx="189">
                  <c:v>44817</c:v>
                </c:pt>
                <c:pt idx="190">
                  <c:v>44816</c:v>
                </c:pt>
                <c:pt idx="191">
                  <c:v>44813</c:v>
                </c:pt>
                <c:pt idx="192">
                  <c:v>44812</c:v>
                </c:pt>
                <c:pt idx="193">
                  <c:v>44811</c:v>
                </c:pt>
                <c:pt idx="194">
                  <c:v>44810</c:v>
                </c:pt>
                <c:pt idx="195">
                  <c:v>44806</c:v>
                </c:pt>
                <c:pt idx="196">
                  <c:v>44805</c:v>
                </c:pt>
                <c:pt idx="197">
                  <c:v>44804</c:v>
                </c:pt>
                <c:pt idx="198">
                  <c:v>44803</c:v>
                </c:pt>
                <c:pt idx="199">
                  <c:v>44802</c:v>
                </c:pt>
                <c:pt idx="200">
                  <c:v>44799</c:v>
                </c:pt>
                <c:pt idx="201">
                  <c:v>44798</c:v>
                </c:pt>
                <c:pt idx="202">
                  <c:v>44797</c:v>
                </c:pt>
                <c:pt idx="203">
                  <c:v>44796</c:v>
                </c:pt>
                <c:pt idx="204">
                  <c:v>44795</c:v>
                </c:pt>
                <c:pt idx="205">
                  <c:v>44792</c:v>
                </c:pt>
                <c:pt idx="206">
                  <c:v>44791</c:v>
                </c:pt>
                <c:pt idx="207">
                  <c:v>44790</c:v>
                </c:pt>
                <c:pt idx="208">
                  <c:v>44789</c:v>
                </c:pt>
                <c:pt idx="209">
                  <c:v>44788</c:v>
                </c:pt>
                <c:pt idx="210">
                  <c:v>44785</c:v>
                </c:pt>
                <c:pt idx="211">
                  <c:v>44784</c:v>
                </c:pt>
                <c:pt idx="212">
                  <c:v>44783</c:v>
                </c:pt>
                <c:pt idx="213">
                  <c:v>44782</c:v>
                </c:pt>
                <c:pt idx="214">
                  <c:v>44781</c:v>
                </c:pt>
                <c:pt idx="215">
                  <c:v>44778</c:v>
                </c:pt>
                <c:pt idx="216">
                  <c:v>44777</c:v>
                </c:pt>
                <c:pt idx="217">
                  <c:v>44776</c:v>
                </c:pt>
                <c:pt idx="218">
                  <c:v>44775</c:v>
                </c:pt>
                <c:pt idx="219">
                  <c:v>44774</c:v>
                </c:pt>
                <c:pt idx="220">
                  <c:v>44771</c:v>
                </c:pt>
                <c:pt idx="221">
                  <c:v>44770</c:v>
                </c:pt>
                <c:pt idx="222">
                  <c:v>44769</c:v>
                </c:pt>
                <c:pt idx="223">
                  <c:v>44768</c:v>
                </c:pt>
                <c:pt idx="224">
                  <c:v>44767</c:v>
                </c:pt>
                <c:pt idx="225">
                  <c:v>44764</c:v>
                </c:pt>
                <c:pt idx="226">
                  <c:v>44763</c:v>
                </c:pt>
                <c:pt idx="227">
                  <c:v>44762</c:v>
                </c:pt>
                <c:pt idx="228">
                  <c:v>44761</c:v>
                </c:pt>
                <c:pt idx="229">
                  <c:v>44760</c:v>
                </c:pt>
                <c:pt idx="230">
                  <c:v>44757</c:v>
                </c:pt>
                <c:pt idx="231">
                  <c:v>44756</c:v>
                </c:pt>
                <c:pt idx="232">
                  <c:v>44755</c:v>
                </c:pt>
                <c:pt idx="233">
                  <c:v>44754</c:v>
                </c:pt>
                <c:pt idx="234">
                  <c:v>44753</c:v>
                </c:pt>
                <c:pt idx="235">
                  <c:v>44750</c:v>
                </c:pt>
                <c:pt idx="236">
                  <c:v>44749</c:v>
                </c:pt>
                <c:pt idx="237">
                  <c:v>44748</c:v>
                </c:pt>
                <c:pt idx="238">
                  <c:v>44747</c:v>
                </c:pt>
                <c:pt idx="239">
                  <c:v>44743</c:v>
                </c:pt>
                <c:pt idx="240">
                  <c:v>44742</c:v>
                </c:pt>
                <c:pt idx="241">
                  <c:v>44741</c:v>
                </c:pt>
                <c:pt idx="242">
                  <c:v>44740</c:v>
                </c:pt>
                <c:pt idx="243">
                  <c:v>44739</c:v>
                </c:pt>
                <c:pt idx="244">
                  <c:v>44736</c:v>
                </c:pt>
                <c:pt idx="245">
                  <c:v>44735</c:v>
                </c:pt>
                <c:pt idx="246">
                  <c:v>44734</c:v>
                </c:pt>
                <c:pt idx="247">
                  <c:v>44733</c:v>
                </c:pt>
              </c:numCache>
            </c:numRef>
          </c:cat>
          <c:val>
            <c:numRef>
              <c:f>'Bond Yield time series'!$P$3:$P$250</c:f>
              <c:numCache>
                <c:formatCode>General</c:formatCode>
                <c:ptCount val="248"/>
                <c:pt idx="0">
                  <c:v>5.2560000000000002</c:v>
                </c:pt>
                <c:pt idx="1">
                  <c:v>5.2610000000000001</c:v>
                </c:pt>
                <c:pt idx="2">
                  <c:v>5.3230000000000004</c:v>
                </c:pt>
                <c:pt idx="3">
                  <c:v>5.3689999999999998</c:v>
                </c:pt>
                <c:pt idx="4">
                  <c:v>5.3170000000000002</c:v>
                </c:pt>
                <c:pt idx="5">
                  <c:v>5.33</c:v>
                </c:pt>
                <c:pt idx="6">
                  <c:v>5.32</c:v>
                </c:pt>
                <c:pt idx="7">
                  <c:v>5.3760000000000003</c:v>
                </c:pt>
                <c:pt idx="8">
                  <c:v>5.2750000000000004</c:v>
                </c:pt>
                <c:pt idx="9">
                  <c:v>5.2809999999999997</c:v>
                </c:pt>
                <c:pt idx="10">
                  <c:v>5.2859999999999996</c:v>
                </c:pt>
                <c:pt idx="11">
                  <c:v>5.2510000000000003</c:v>
                </c:pt>
                <c:pt idx="12">
                  <c:v>5.2859999999999996</c:v>
                </c:pt>
                <c:pt idx="13">
                  <c:v>5.3090000000000002</c:v>
                </c:pt>
                <c:pt idx="14">
                  <c:v>5.3730000000000002</c:v>
                </c:pt>
                <c:pt idx="15">
                  <c:v>5.3789999999999996</c:v>
                </c:pt>
                <c:pt idx="16">
                  <c:v>5.3620000000000001</c:v>
                </c:pt>
                <c:pt idx="17">
                  <c:v>5.3250000000000002</c:v>
                </c:pt>
                <c:pt idx="18">
                  <c:v>5.3170000000000002</c:v>
                </c:pt>
                <c:pt idx="19">
                  <c:v>5.2859999999999996</c:v>
                </c:pt>
                <c:pt idx="20">
                  <c:v>5.2869999999999999</c:v>
                </c:pt>
                <c:pt idx="21">
                  <c:v>5.194</c:v>
                </c:pt>
                <c:pt idx="22">
                  <c:v>5.2119999999999997</c:v>
                </c:pt>
                <c:pt idx="23">
                  <c:v>5.1580000000000004</c:v>
                </c:pt>
                <c:pt idx="24">
                  <c:v>5.0860000000000003</c:v>
                </c:pt>
                <c:pt idx="25">
                  <c:v>5.048</c:v>
                </c:pt>
                <c:pt idx="26">
                  <c:v>5.1150000000000002</c:v>
                </c:pt>
                <c:pt idx="27">
                  <c:v>5.1449999999999996</c:v>
                </c:pt>
                <c:pt idx="28">
                  <c:v>5.17</c:v>
                </c:pt>
                <c:pt idx="29">
                  <c:v>5.0620000000000003</c:v>
                </c:pt>
                <c:pt idx="30">
                  <c:v>5.0640000000000001</c:v>
                </c:pt>
                <c:pt idx="31">
                  <c:v>4.9729999999999999</c:v>
                </c:pt>
                <c:pt idx="32">
                  <c:v>5.024</c:v>
                </c:pt>
                <c:pt idx="33">
                  <c:v>5.125</c:v>
                </c:pt>
                <c:pt idx="34">
                  <c:v>4.9690000000000003</c:v>
                </c:pt>
                <c:pt idx="35">
                  <c:v>5.0599999999999996</c:v>
                </c:pt>
                <c:pt idx="36">
                  <c:v>5.0529999999999999</c:v>
                </c:pt>
                <c:pt idx="37">
                  <c:v>4.9889999999999999</c:v>
                </c:pt>
                <c:pt idx="38">
                  <c:v>5.0819999999999999</c:v>
                </c:pt>
                <c:pt idx="39">
                  <c:v>5.1379999999999999</c:v>
                </c:pt>
                <c:pt idx="40">
                  <c:v>5.173</c:v>
                </c:pt>
                <c:pt idx="41">
                  <c:v>5.194</c:v>
                </c:pt>
                <c:pt idx="42">
                  <c:v>5.1550000000000002</c:v>
                </c:pt>
                <c:pt idx="43">
                  <c:v>5.1769999999999996</c:v>
                </c:pt>
                <c:pt idx="44">
                  <c:v>5.1120000000000001</c:v>
                </c:pt>
                <c:pt idx="45">
                  <c:v>5.0720000000000001</c:v>
                </c:pt>
                <c:pt idx="46">
                  <c:v>5.03</c:v>
                </c:pt>
                <c:pt idx="47">
                  <c:v>4.9969999999999999</c:v>
                </c:pt>
                <c:pt idx="48">
                  <c:v>5.0270000000000001</c:v>
                </c:pt>
                <c:pt idx="49">
                  <c:v>4.923</c:v>
                </c:pt>
                <c:pt idx="50">
                  <c:v>4.9610000000000003</c:v>
                </c:pt>
                <c:pt idx="51">
                  <c:v>5.032</c:v>
                </c:pt>
                <c:pt idx="52">
                  <c:v>5.0540000000000003</c:v>
                </c:pt>
                <c:pt idx="53">
                  <c:v>5.07</c:v>
                </c:pt>
                <c:pt idx="54">
                  <c:v>5.2009999999999996</c:v>
                </c:pt>
                <c:pt idx="55">
                  <c:v>5.2670000000000003</c:v>
                </c:pt>
                <c:pt idx="56">
                  <c:v>5.2809999999999997</c:v>
                </c:pt>
                <c:pt idx="57">
                  <c:v>5.2729999999999997</c:v>
                </c:pt>
                <c:pt idx="58">
                  <c:v>5.2050000000000001</c:v>
                </c:pt>
                <c:pt idx="59">
                  <c:v>5.1680000000000001</c:v>
                </c:pt>
                <c:pt idx="60">
                  <c:v>5.149</c:v>
                </c:pt>
                <c:pt idx="61">
                  <c:v>5.2510000000000003</c:v>
                </c:pt>
                <c:pt idx="62">
                  <c:v>5.2720000000000002</c:v>
                </c:pt>
                <c:pt idx="63">
                  <c:v>5.2359999999999998</c:v>
                </c:pt>
                <c:pt idx="64">
                  <c:v>5.2869999999999999</c:v>
                </c:pt>
                <c:pt idx="65">
                  <c:v>5.3220000000000001</c:v>
                </c:pt>
                <c:pt idx="66">
                  <c:v>5.3680000000000003</c:v>
                </c:pt>
                <c:pt idx="67">
                  <c:v>5.399</c:v>
                </c:pt>
                <c:pt idx="68">
                  <c:v>5.351</c:v>
                </c:pt>
                <c:pt idx="69">
                  <c:v>5.5069999999999997</c:v>
                </c:pt>
                <c:pt idx="70">
                  <c:v>5.484</c:v>
                </c:pt>
                <c:pt idx="71">
                  <c:v>5.4390000000000001</c:v>
                </c:pt>
                <c:pt idx="72">
                  <c:v>5.4340000000000002</c:v>
                </c:pt>
                <c:pt idx="73">
                  <c:v>5.41</c:v>
                </c:pt>
                <c:pt idx="74">
                  <c:v>5.6219999999999999</c:v>
                </c:pt>
                <c:pt idx="75">
                  <c:v>5.59</c:v>
                </c:pt>
                <c:pt idx="76">
                  <c:v>5.5350000000000001</c:v>
                </c:pt>
                <c:pt idx="77">
                  <c:v>5.532</c:v>
                </c:pt>
                <c:pt idx="78">
                  <c:v>5.5570000000000004</c:v>
                </c:pt>
                <c:pt idx="79">
                  <c:v>5.4630000000000001</c:v>
                </c:pt>
                <c:pt idx="80">
                  <c:v>5.5119999999999996</c:v>
                </c:pt>
                <c:pt idx="81">
                  <c:v>5.5949999999999998</c:v>
                </c:pt>
                <c:pt idx="82">
                  <c:v>5.4450000000000003</c:v>
                </c:pt>
                <c:pt idx="83">
                  <c:v>5.44</c:v>
                </c:pt>
                <c:pt idx="84">
                  <c:v>5.3940000000000001</c:v>
                </c:pt>
                <c:pt idx="85">
                  <c:v>5.335</c:v>
                </c:pt>
                <c:pt idx="86">
                  <c:v>5.3559999999999999</c:v>
                </c:pt>
                <c:pt idx="87">
                  <c:v>5.3810000000000002</c:v>
                </c:pt>
                <c:pt idx="88">
                  <c:v>5.3090000000000002</c:v>
                </c:pt>
                <c:pt idx="89">
                  <c:v>5.2009999999999996</c:v>
                </c:pt>
                <c:pt idx="90">
                  <c:v>5.2279999999999998</c:v>
                </c:pt>
                <c:pt idx="91">
                  <c:v>5.1630000000000003</c:v>
                </c:pt>
                <c:pt idx="92">
                  <c:v>5.0629999999999997</c:v>
                </c:pt>
                <c:pt idx="93">
                  <c:v>4.9420000000000002</c:v>
                </c:pt>
                <c:pt idx="94">
                  <c:v>5.0110000000000001</c:v>
                </c:pt>
                <c:pt idx="95">
                  <c:v>5.0750000000000002</c:v>
                </c:pt>
                <c:pt idx="96">
                  <c:v>5.1289999999999996</c:v>
                </c:pt>
                <c:pt idx="97">
                  <c:v>5.0679999999999996</c:v>
                </c:pt>
                <c:pt idx="98">
                  <c:v>5.0549999999999997</c:v>
                </c:pt>
                <c:pt idx="99">
                  <c:v>5.0439999999999996</c:v>
                </c:pt>
                <c:pt idx="100">
                  <c:v>5.0490000000000004</c:v>
                </c:pt>
                <c:pt idx="101">
                  <c:v>5.1100000000000003</c:v>
                </c:pt>
                <c:pt idx="102">
                  <c:v>5.1059999999999999</c:v>
                </c:pt>
                <c:pt idx="103">
                  <c:v>5.0019999999999998</c:v>
                </c:pt>
                <c:pt idx="104">
                  <c:v>4.8780000000000001</c:v>
                </c:pt>
                <c:pt idx="105">
                  <c:v>5.0410000000000004</c:v>
                </c:pt>
                <c:pt idx="106">
                  <c:v>5.0389999999999997</c:v>
                </c:pt>
                <c:pt idx="107">
                  <c:v>5.0060000000000002</c:v>
                </c:pt>
                <c:pt idx="108">
                  <c:v>5.0739999999999998</c:v>
                </c:pt>
                <c:pt idx="109">
                  <c:v>5.234</c:v>
                </c:pt>
                <c:pt idx="110">
                  <c:v>5.1459999999999999</c:v>
                </c:pt>
                <c:pt idx="111">
                  <c:v>5.2039999999999997</c:v>
                </c:pt>
                <c:pt idx="112">
                  <c:v>5.35</c:v>
                </c:pt>
                <c:pt idx="113">
                  <c:v>5.3849999999999998</c:v>
                </c:pt>
                <c:pt idx="114">
                  <c:v>5.476</c:v>
                </c:pt>
                <c:pt idx="115">
                  <c:v>5.5330000000000004</c:v>
                </c:pt>
                <c:pt idx="116">
                  <c:v>5.4779999999999998</c:v>
                </c:pt>
                <c:pt idx="117">
                  <c:v>5.5439999999999996</c:v>
                </c:pt>
                <c:pt idx="118">
                  <c:v>5.508</c:v>
                </c:pt>
                <c:pt idx="119">
                  <c:v>5.42</c:v>
                </c:pt>
                <c:pt idx="120">
                  <c:v>5.3380000000000001</c:v>
                </c:pt>
                <c:pt idx="121">
                  <c:v>5.327</c:v>
                </c:pt>
                <c:pt idx="122">
                  <c:v>5.35</c:v>
                </c:pt>
                <c:pt idx="123">
                  <c:v>5.2320000000000002</c:v>
                </c:pt>
                <c:pt idx="124">
                  <c:v>5.1319999999999997</c:v>
                </c:pt>
                <c:pt idx="125">
                  <c:v>5.0599999999999996</c:v>
                </c:pt>
                <c:pt idx="126">
                  <c:v>5.0389999999999997</c:v>
                </c:pt>
                <c:pt idx="127">
                  <c:v>5.0389999999999997</c:v>
                </c:pt>
                <c:pt idx="128">
                  <c:v>5.0540000000000003</c:v>
                </c:pt>
                <c:pt idx="129">
                  <c:v>5.0860000000000003</c:v>
                </c:pt>
                <c:pt idx="130">
                  <c:v>4.944</c:v>
                </c:pt>
                <c:pt idx="131">
                  <c:v>4.9660000000000002</c:v>
                </c:pt>
                <c:pt idx="132">
                  <c:v>5.077</c:v>
                </c:pt>
                <c:pt idx="133">
                  <c:v>5.1310000000000002</c:v>
                </c:pt>
                <c:pt idx="134">
                  <c:v>5.0419999999999998</c:v>
                </c:pt>
                <c:pt idx="135">
                  <c:v>5.117</c:v>
                </c:pt>
                <c:pt idx="136">
                  <c:v>5.3789999999999996</c:v>
                </c:pt>
                <c:pt idx="137">
                  <c:v>5.4279999999999999</c:v>
                </c:pt>
                <c:pt idx="138">
                  <c:v>5.3120000000000003</c:v>
                </c:pt>
                <c:pt idx="139">
                  <c:v>5.2779999999999996</c:v>
                </c:pt>
                <c:pt idx="140">
                  <c:v>5.2809999999999997</c:v>
                </c:pt>
                <c:pt idx="141">
                  <c:v>5.3689999999999998</c:v>
                </c:pt>
                <c:pt idx="142">
                  <c:v>5.4290000000000003</c:v>
                </c:pt>
                <c:pt idx="143">
                  <c:v>5.4720000000000004</c:v>
                </c:pt>
                <c:pt idx="144">
                  <c:v>5.4669999999999996</c:v>
                </c:pt>
                <c:pt idx="145">
                  <c:v>5.3959999999999999</c:v>
                </c:pt>
                <c:pt idx="146">
                  <c:v>5.5190000000000001</c:v>
                </c:pt>
                <c:pt idx="147">
                  <c:v>5.625</c:v>
                </c:pt>
                <c:pt idx="148">
                  <c:v>5.7080000000000002</c:v>
                </c:pt>
                <c:pt idx="149">
                  <c:v>5.9820000000000002</c:v>
                </c:pt>
                <c:pt idx="150">
                  <c:v>5.93</c:v>
                </c:pt>
                <c:pt idx="151">
                  <c:v>5.9459999999999997</c:v>
                </c:pt>
                <c:pt idx="152">
                  <c:v>5.9989999999999997</c:v>
                </c:pt>
                <c:pt idx="153">
                  <c:v>5.9710000000000001</c:v>
                </c:pt>
                <c:pt idx="154">
                  <c:v>5.899</c:v>
                </c:pt>
                <c:pt idx="155">
                  <c:v>5.883</c:v>
                </c:pt>
                <c:pt idx="156">
                  <c:v>5.9589999999999996</c:v>
                </c:pt>
                <c:pt idx="157">
                  <c:v>5.9050000000000002</c:v>
                </c:pt>
                <c:pt idx="158">
                  <c:v>5.9480000000000004</c:v>
                </c:pt>
                <c:pt idx="159">
                  <c:v>6.0670000000000002</c:v>
                </c:pt>
                <c:pt idx="160">
                  <c:v>6.157</c:v>
                </c:pt>
                <c:pt idx="161">
                  <c:v>6.34</c:v>
                </c:pt>
                <c:pt idx="162">
                  <c:v>6.2969999999999997</c:v>
                </c:pt>
                <c:pt idx="163">
                  <c:v>6.2370000000000001</c:v>
                </c:pt>
                <c:pt idx="164">
                  <c:v>6.1740000000000004</c:v>
                </c:pt>
                <c:pt idx="165">
                  <c:v>6.0629999999999997</c:v>
                </c:pt>
                <c:pt idx="166">
                  <c:v>6.0650000000000004</c:v>
                </c:pt>
                <c:pt idx="167">
                  <c:v>6.0940000000000003</c:v>
                </c:pt>
                <c:pt idx="168">
                  <c:v>6.0270000000000001</c:v>
                </c:pt>
                <c:pt idx="169">
                  <c:v>6.069</c:v>
                </c:pt>
                <c:pt idx="170">
                  <c:v>6.0679999999999996</c:v>
                </c:pt>
                <c:pt idx="171">
                  <c:v>5.8730000000000002</c:v>
                </c:pt>
                <c:pt idx="172">
                  <c:v>5.7720000000000002</c:v>
                </c:pt>
                <c:pt idx="173">
                  <c:v>5.8360000000000003</c:v>
                </c:pt>
                <c:pt idx="174">
                  <c:v>5.7140000000000004</c:v>
                </c:pt>
                <c:pt idx="175">
                  <c:v>5.7590000000000003</c:v>
                </c:pt>
                <c:pt idx="176">
                  <c:v>5.9649999999999999</c:v>
                </c:pt>
                <c:pt idx="177">
                  <c:v>6.125</c:v>
                </c:pt>
                <c:pt idx="178">
                  <c:v>5.9829999999999997</c:v>
                </c:pt>
                <c:pt idx="179">
                  <c:v>6.0389999999999997</c:v>
                </c:pt>
                <c:pt idx="180">
                  <c:v>5.8479999999999999</c:v>
                </c:pt>
                <c:pt idx="181">
                  <c:v>5.6630000000000003</c:v>
                </c:pt>
                <c:pt idx="182">
                  <c:v>5.6870000000000003</c:v>
                </c:pt>
                <c:pt idx="183">
                  <c:v>5.452</c:v>
                </c:pt>
                <c:pt idx="184">
                  <c:v>5.5549999999999997</c:v>
                </c:pt>
                <c:pt idx="185">
                  <c:v>5.5019999999999998</c:v>
                </c:pt>
                <c:pt idx="186">
                  <c:v>5.5549999999999997</c:v>
                </c:pt>
                <c:pt idx="187">
                  <c:v>5.4349999999999996</c:v>
                </c:pt>
                <c:pt idx="188">
                  <c:v>5.4059999999999997</c:v>
                </c:pt>
                <c:pt idx="189">
                  <c:v>5.3890000000000002</c:v>
                </c:pt>
                <c:pt idx="190">
                  <c:v>5.3849999999999998</c:v>
                </c:pt>
                <c:pt idx="191">
                  <c:v>5.3689999999999998</c:v>
                </c:pt>
                <c:pt idx="192">
                  <c:v>5.4240000000000004</c:v>
                </c:pt>
                <c:pt idx="193">
                  <c:v>5.3940000000000001</c:v>
                </c:pt>
                <c:pt idx="194">
                  <c:v>5.5469999999999997</c:v>
                </c:pt>
                <c:pt idx="195">
                  <c:v>5.351</c:v>
                </c:pt>
                <c:pt idx="196">
                  <c:v>5.4169999999999998</c:v>
                </c:pt>
                <c:pt idx="197">
                  <c:v>5.2779999999999996</c:v>
                </c:pt>
                <c:pt idx="198">
                  <c:v>5.1710000000000003</c:v>
                </c:pt>
                <c:pt idx="199">
                  <c:v>5.1609999999999996</c:v>
                </c:pt>
                <c:pt idx="200">
                  <c:v>5.0389999999999997</c:v>
                </c:pt>
                <c:pt idx="201">
                  <c:v>5.0590000000000002</c:v>
                </c:pt>
                <c:pt idx="202">
                  <c:v>5.1470000000000002</c:v>
                </c:pt>
                <c:pt idx="203">
                  <c:v>5.157</c:v>
                </c:pt>
                <c:pt idx="204">
                  <c:v>5.133</c:v>
                </c:pt>
                <c:pt idx="205">
                  <c:v>5.0519999999999996</c:v>
                </c:pt>
                <c:pt idx="206">
                  <c:v>4.915</c:v>
                </c:pt>
                <c:pt idx="207">
                  <c:v>4.9470000000000001</c:v>
                </c:pt>
                <c:pt idx="208">
                  <c:v>4.8109999999999999</c:v>
                </c:pt>
                <c:pt idx="209">
                  <c:v>4.7770000000000001</c:v>
                </c:pt>
                <c:pt idx="210">
                  <c:v>4.7839999999999998</c:v>
                </c:pt>
                <c:pt idx="211">
                  <c:v>4.8789999999999996</c:v>
                </c:pt>
                <c:pt idx="212">
                  <c:v>4.8540000000000001</c:v>
                </c:pt>
                <c:pt idx="213">
                  <c:v>4.8819999999999997</c:v>
                </c:pt>
                <c:pt idx="214">
                  <c:v>4.8419999999999996</c:v>
                </c:pt>
                <c:pt idx="215">
                  <c:v>4.9359999999999999</c:v>
                </c:pt>
                <c:pt idx="216">
                  <c:v>4.806</c:v>
                </c:pt>
                <c:pt idx="217">
                  <c:v>4.782</c:v>
                </c:pt>
                <c:pt idx="218">
                  <c:v>4.8970000000000002</c:v>
                </c:pt>
                <c:pt idx="219">
                  <c:v>4.76</c:v>
                </c:pt>
                <c:pt idx="220">
                  <c:v>4.8559999999999999</c:v>
                </c:pt>
                <c:pt idx="221">
                  <c:v>4.891</c:v>
                </c:pt>
                <c:pt idx="222">
                  <c:v>4.9370000000000003</c:v>
                </c:pt>
                <c:pt idx="223">
                  <c:v>5.0019999999999998</c:v>
                </c:pt>
                <c:pt idx="224">
                  <c:v>4.9790000000000001</c:v>
                </c:pt>
                <c:pt idx="225">
                  <c:v>4.84</c:v>
                </c:pt>
                <c:pt idx="226">
                  <c:v>4.9459999999999997</c:v>
                </c:pt>
                <c:pt idx="227">
                  <c:v>5.0460000000000003</c:v>
                </c:pt>
                <c:pt idx="228">
                  <c:v>5.1109999999999998</c:v>
                </c:pt>
                <c:pt idx="229">
                  <c:v>5.0869999999999997</c:v>
                </c:pt>
                <c:pt idx="230">
                  <c:v>5.0679999999999996</c:v>
                </c:pt>
                <c:pt idx="231">
                  <c:v>5.1580000000000004</c:v>
                </c:pt>
                <c:pt idx="232">
                  <c:v>5.1050000000000004</c:v>
                </c:pt>
                <c:pt idx="233">
                  <c:v>5.1719999999999997</c:v>
                </c:pt>
                <c:pt idx="234">
                  <c:v>5.1310000000000002</c:v>
                </c:pt>
                <c:pt idx="235">
                  <c:v>5.2240000000000002</c:v>
                </c:pt>
                <c:pt idx="236">
                  <c:v>5.2119999999999997</c:v>
                </c:pt>
                <c:pt idx="237">
                  <c:v>5.2779999999999996</c:v>
                </c:pt>
                <c:pt idx="238">
                  <c:v>5.26</c:v>
                </c:pt>
                <c:pt idx="239">
                  <c:v>5.31</c:v>
                </c:pt>
                <c:pt idx="240">
                  <c:v>5.3259999999999996</c:v>
                </c:pt>
                <c:pt idx="241">
                  <c:v>5.3259999999999996</c:v>
                </c:pt>
                <c:pt idx="242">
                  <c:v>5.3630000000000004</c:v>
                </c:pt>
                <c:pt idx="243">
                  <c:v>5.359</c:v>
                </c:pt>
                <c:pt idx="244">
                  <c:v>5.3230000000000004</c:v>
                </c:pt>
                <c:pt idx="245">
                  <c:v>5.2779999999999996</c:v>
                </c:pt>
                <c:pt idx="246">
                  <c:v>5.306</c:v>
                </c:pt>
                <c:pt idx="247">
                  <c:v>5.3819999999999997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0-4CBF-8FAD-3F6591C8B094}"/>
            </c:ext>
          </c:extLst>
        </c:ser>
        <c:ser>
          <c:idx val="1"/>
          <c:order val="1"/>
          <c:tx>
            <c:strRef>
              <c:f>'Bond Yield time series'!$Q$2</c:f>
              <c:strCache>
                <c:ptCount val="1"/>
                <c:pt idx="0">
                  <c:v>TAP 2046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'Bond Yield time series'!$O$3:$O$250</c:f>
              <c:numCache>
                <c:formatCode>m/d/yyyy</c:formatCode>
                <c:ptCount val="248"/>
                <c:pt idx="0">
                  <c:v>45093</c:v>
                </c:pt>
                <c:pt idx="1">
                  <c:v>45092</c:v>
                </c:pt>
                <c:pt idx="2">
                  <c:v>45091</c:v>
                </c:pt>
                <c:pt idx="3">
                  <c:v>45090</c:v>
                </c:pt>
                <c:pt idx="4">
                  <c:v>45089</c:v>
                </c:pt>
                <c:pt idx="5">
                  <c:v>45086</c:v>
                </c:pt>
                <c:pt idx="6">
                  <c:v>45085</c:v>
                </c:pt>
                <c:pt idx="7">
                  <c:v>45084</c:v>
                </c:pt>
                <c:pt idx="8">
                  <c:v>45083</c:v>
                </c:pt>
                <c:pt idx="9">
                  <c:v>45082</c:v>
                </c:pt>
                <c:pt idx="10">
                  <c:v>45079</c:v>
                </c:pt>
                <c:pt idx="11">
                  <c:v>45078</c:v>
                </c:pt>
                <c:pt idx="12">
                  <c:v>45077</c:v>
                </c:pt>
                <c:pt idx="13">
                  <c:v>45076</c:v>
                </c:pt>
                <c:pt idx="14">
                  <c:v>45072</c:v>
                </c:pt>
                <c:pt idx="15">
                  <c:v>45071</c:v>
                </c:pt>
                <c:pt idx="16">
                  <c:v>45070</c:v>
                </c:pt>
                <c:pt idx="17">
                  <c:v>45069</c:v>
                </c:pt>
                <c:pt idx="18">
                  <c:v>45068</c:v>
                </c:pt>
                <c:pt idx="19">
                  <c:v>45065</c:v>
                </c:pt>
                <c:pt idx="20">
                  <c:v>45064</c:v>
                </c:pt>
                <c:pt idx="21">
                  <c:v>45063</c:v>
                </c:pt>
                <c:pt idx="22">
                  <c:v>45062</c:v>
                </c:pt>
                <c:pt idx="23">
                  <c:v>45061</c:v>
                </c:pt>
                <c:pt idx="24">
                  <c:v>45058</c:v>
                </c:pt>
                <c:pt idx="25">
                  <c:v>45057</c:v>
                </c:pt>
                <c:pt idx="26">
                  <c:v>45056</c:v>
                </c:pt>
                <c:pt idx="27">
                  <c:v>45055</c:v>
                </c:pt>
                <c:pt idx="28">
                  <c:v>45054</c:v>
                </c:pt>
                <c:pt idx="29">
                  <c:v>45051</c:v>
                </c:pt>
                <c:pt idx="30">
                  <c:v>45050</c:v>
                </c:pt>
                <c:pt idx="31">
                  <c:v>45049</c:v>
                </c:pt>
                <c:pt idx="32">
                  <c:v>45048</c:v>
                </c:pt>
                <c:pt idx="33">
                  <c:v>45047</c:v>
                </c:pt>
                <c:pt idx="34">
                  <c:v>45044</c:v>
                </c:pt>
                <c:pt idx="35">
                  <c:v>45043</c:v>
                </c:pt>
                <c:pt idx="36">
                  <c:v>45042</c:v>
                </c:pt>
                <c:pt idx="37">
                  <c:v>45041</c:v>
                </c:pt>
                <c:pt idx="38">
                  <c:v>45040</c:v>
                </c:pt>
                <c:pt idx="39">
                  <c:v>45037</c:v>
                </c:pt>
                <c:pt idx="40">
                  <c:v>45036</c:v>
                </c:pt>
                <c:pt idx="41">
                  <c:v>45035</c:v>
                </c:pt>
                <c:pt idx="42">
                  <c:v>45034</c:v>
                </c:pt>
                <c:pt idx="43">
                  <c:v>45033</c:v>
                </c:pt>
                <c:pt idx="44">
                  <c:v>45030</c:v>
                </c:pt>
                <c:pt idx="45">
                  <c:v>45029</c:v>
                </c:pt>
                <c:pt idx="46">
                  <c:v>45028</c:v>
                </c:pt>
                <c:pt idx="47">
                  <c:v>45027</c:v>
                </c:pt>
                <c:pt idx="48">
                  <c:v>45026</c:v>
                </c:pt>
                <c:pt idx="49">
                  <c:v>45022</c:v>
                </c:pt>
                <c:pt idx="50">
                  <c:v>45021</c:v>
                </c:pt>
                <c:pt idx="51">
                  <c:v>45020</c:v>
                </c:pt>
                <c:pt idx="52">
                  <c:v>45019</c:v>
                </c:pt>
                <c:pt idx="53">
                  <c:v>45016</c:v>
                </c:pt>
                <c:pt idx="54">
                  <c:v>45015</c:v>
                </c:pt>
                <c:pt idx="55">
                  <c:v>45014</c:v>
                </c:pt>
                <c:pt idx="56">
                  <c:v>45013</c:v>
                </c:pt>
                <c:pt idx="57">
                  <c:v>45012</c:v>
                </c:pt>
                <c:pt idx="58">
                  <c:v>45009</c:v>
                </c:pt>
                <c:pt idx="59">
                  <c:v>45008</c:v>
                </c:pt>
                <c:pt idx="60">
                  <c:v>45007</c:v>
                </c:pt>
                <c:pt idx="61">
                  <c:v>45006</c:v>
                </c:pt>
                <c:pt idx="62">
                  <c:v>45005</c:v>
                </c:pt>
                <c:pt idx="63">
                  <c:v>45002</c:v>
                </c:pt>
                <c:pt idx="64">
                  <c:v>45001</c:v>
                </c:pt>
                <c:pt idx="65">
                  <c:v>45000</c:v>
                </c:pt>
                <c:pt idx="66">
                  <c:v>44999</c:v>
                </c:pt>
                <c:pt idx="67">
                  <c:v>44998</c:v>
                </c:pt>
                <c:pt idx="68">
                  <c:v>44995</c:v>
                </c:pt>
                <c:pt idx="69">
                  <c:v>44994</c:v>
                </c:pt>
                <c:pt idx="70">
                  <c:v>44993</c:v>
                </c:pt>
                <c:pt idx="71">
                  <c:v>44992</c:v>
                </c:pt>
                <c:pt idx="72">
                  <c:v>44991</c:v>
                </c:pt>
                <c:pt idx="73">
                  <c:v>44988</c:v>
                </c:pt>
                <c:pt idx="74">
                  <c:v>44987</c:v>
                </c:pt>
                <c:pt idx="75">
                  <c:v>44986</c:v>
                </c:pt>
                <c:pt idx="76">
                  <c:v>44985</c:v>
                </c:pt>
                <c:pt idx="77">
                  <c:v>44984</c:v>
                </c:pt>
                <c:pt idx="78">
                  <c:v>44981</c:v>
                </c:pt>
                <c:pt idx="79">
                  <c:v>44980</c:v>
                </c:pt>
                <c:pt idx="80">
                  <c:v>44979</c:v>
                </c:pt>
                <c:pt idx="81">
                  <c:v>44978</c:v>
                </c:pt>
                <c:pt idx="82">
                  <c:v>44974</c:v>
                </c:pt>
                <c:pt idx="83">
                  <c:v>44973</c:v>
                </c:pt>
                <c:pt idx="84">
                  <c:v>44972</c:v>
                </c:pt>
                <c:pt idx="85">
                  <c:v>44971</c:v>
                </c:pt>
                <c:pt idx="86">
                  <c:v>44970</c:v>
                </c:pt>
                <c:pt idx="87">
                  <c:v>44967</c:v>
                </c:pt>
                <c:pt idx="88">
                  <c:v>44966</c:v>
                </c:pt>
                <c:pt idx="89">
                  <c:v>44965</c:v>
                </c:pt>
                <c:pt idx="90">
                  <c:v>44964</c:v>
                </c:pt>
                <c:pt idx="91">
                  <c:v>44963</c:v>
                </c:pt>
                <c:pt idx="92">
                  <c:v>44960</c:v>
                </c:pt>
                <c:pt idx="93">
                  <c:v>44959</c:v>
                </c:pt>
                <c:pt idx="94">
                  <c:v>44958</c:v>
                </c:pt>
                <c:pt idx="95">
                  <c:v>44957</c:v>
                </c:pt>
                <c:pt idx="96">
                  <c:v>44956</c:v>
                </c:pt>
                <c:pt idx="97">
                  <c:v>44953</c:v>
                </c:pt>
                <c:pt idx="98">
                  <c:v>44952</c:v>
                </c:pt>
                <c:pt idx="99">
                  <c:v>44951</c:v>
                </c:pt>
                <c:pt idx="100">
                  <c:v>44950</c:v>
                </c:pt>
                <c:pt idx="101">
                  <c:v>44949</c:v>
                </c:pt>
                <c:pt idx="102">
                  <c:v>44946</c:v>
                </c:pt>
                <c:pt idx="103">
                  <c:v>44945</c:v>
                </c:pt>
                <c:pt idx="104">
                  <c:v>44944</c:v>
                </c:pt>
                <c:pt idx="105">
                  <c:v>44943</c:v>
                </c:pt>
                <c:pt idx="106">
                  <c:v>44939</c:v>
                </c:pt>
                <c:pt idx="107">
                  <c:v>44938</c:v>
                </c:pt>
                <c:pt idx="108">
                  <c:v>44937</c:v>
                </c:pt>
                <c:pt idx="109">
                  <c:v>44936</c:v>
                </c:pt>
                <c:pt idx="110">
                  <c:v>44935</c:v>
                </c:pt>
                <c:pt idx="111">
                  <c:v>44932</c:v>
                </c:pt>
                <c:pt idx="112">
                  <c:v>44931</c:v>
                </c:pt>
                <c:pt idx="113">
                  <c:v>44930</c:v>
                </c:pt>
                <c:pt idx="114">
                  <c:v>44929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44918</c:v>
                </c:pt>
                <c:pt idx="120">
                  <c:v>44917</c:v>
                </c:pt>
                <c:pt idx="121">
                  <c:v>44916</c:v>
                </c:pt>
                <c:pt idx="122">
                  <c:v>44915</c:v>
                </c:pt>
                <c:pt idx="123">
                  <c:v>44914</c:v>
                </c:pt>
                <c:pt idx="124">
                  <c:v>44911</c:v>
                </c:pt>
                <c:pt idx="125">
                  <c:v>44910</c:v>
                </c:pt>
                <c:pt idx="126">
                  <c:v>44909</c:v>
                </c:pt>
                <c:pt idx="127">
                  <c:v>44908</c:v>
                </c:pt>
                <c:pt idx="128">
                  <c:v>44907</c:v>
                </c:pt>
                <c:pt idx="129">
                  <c:v>44904</c:v>
                </c:pt>
                <c:pt idx="130">
                  <c:v>44903</c:v>
                </c:pt>
                <c:pt idx="131">
                  <c:v>44902</c:v>
                </c:pt>
                <c:pt idx="132">
                  <c:v>44901</c:v>
                </c:pt>
                <c:pt idx="133">
                  <c:v>44900</c:v>
                </c:pt>
                <c:pt idx="134">
                  <c:v>44897</c:v>
                </c:pt>
                <c:pt idx="135">
                  <c:v>44896</c:v>
                </c:pt>
                <c:pt idx="136">
                  <c:v>44895</c:v>
                </c:pt>
                <c:pt idx="137">
                  <c:v>44894</c:v>
                </c:pt>
                <c:pt idx="138">
                  <c:v>44893</c:v>
                </c:pt>
                <c:pt idx="139">
                  <c:v>44890</c:v>
                </c:pt>
                <c:pt idx="140">
                  <c:v>44888</c:v>
                </c:pt>
                <c:pt idx="141">
                  <c:v>44887</c:v>
                </c:pt>
                <c:pt idx="142">
                  <c:v>44886</c:v>
                </c:pt>
                <c:pt idx="143">
                  <c:v>44883</c:v>
                </c:pt>
                <c:pt idx="144">
                  <c:v>44882</c:v>
                </c:pt>
                <c:pt idx="145">
                  <c:v>44881</c:v>
                </c:pt>
                <c:pt idx="146">
                  <c:v>44880</c:v>
                </c:pt>
                <c:pt idx="147">
                  <c:v>44879</c:v>
                </c:pt>
                <c:pt idx="148">
                  <c:v>44875</c:v>
                </c:pt>
                <c:pt idx="149">
                  <c:v>44874</c:v>
                </c:pt>
                <c:pt idx="150">
                  <c:v>44873</c:v>
                </c:pt>
                <c:pt idx="151">
                  <c:v>44872</c:v>
                </c:pt>
                <c:pt idx="152">
                  <c:v>44869</c:v>
                </c:pt>
                <c:pt idx="153">
                  <c:v>44868</c:v>
                </c:pt>
                <c:pt idx="154">
                  <c:v>44867</c:v>
                </c:pt>
                <c:pt idx="155">
                  <c:v>44866</c:v>
                </c:pt>
                <c:pt idx="156">
                  <c:v>44865</c:v>
                </c:pt>
                <c:pt idx="157">
                  <c:v>44862</c:v>
                </c:pt>
                <c:pt idx="158">
                  <c:v>44861</c:v>
                </c:pt>
                <c:pt idx="159">
                  <c:v>44860</c:v>
                </c:pt>
                <c:pt idx="160">
                  <c:v>44859</c:v>
                </c:pt>
                <c:pt idx="161">
                  <c:v>44858</c:v>
                </c:pt>
                <c:pt idx="162">
                  <c:v>44855</c:v>
                </c:pt>
                <c:pt idx="163">
                  <c:v>44854</c:v>
                </c:pt>
                <c:pt idx="164">
                  <c:v>44853</c:v>
                </c:pt>
                <c:pt idx="165">
                  <c:v>44852</c:v>
                </c:pt>
                <c:pt idx="166">
                  <c:v>44851</c:v>
                </c:pt>
                <c:pt idx="167">
                  <c:v>44848</c:v>
                </c:pt>
                <c:pt idx="168">
                  <c:v>44847</c:v>
                </c:pt>
                <c:pt idx="169">
                  <c:v>44846</c:v>
                </c:pt>
                <c:pt idx="170">
                  <c:v>44845</c:v>
                </c:pt>
                <c:pt idx="171">
                  <c:v>44841</c:v>
                </c:pt>
                <c:pt idx="172">
                  <c:v>44840</c:v>
                </c:pt>
                <c:pt idx="173">
                  <c:v>44839</c:v>
                </c:pt>
                <c:pt idx="174">
                  <c:v>44838</c:v>
                </c:pt>
                <c:pt idx="175">
                  <c:v>44837</c:v>
                </c:pt>
                <c:pt idx="176">
                  <c:v>44834</c:v>
                </c:pt>
                <c:pt idx="177">
                  <c:v>44833</c:v>
                </c:pt>
                <c:pt idx="178">
                  <c:v>44832</c:v>
                </c:pt>
                <c:pt idx="179">
                  <c:v>44831</c:v>
                </c:pt>
                <c:pt idx="180">
                  <c:v>44830</c:v>
                </c:pt>
                <c:pt idx="181">
                  <c:v>44827</c:v>
                </c:pt>
                <c:pt idx="182">
                  <c:v>44826</c:v>
                </c:pt>
                <c:pt idx="183">
                  <c:v>44825</c:v>
                </c:pt>
                <c:pt idx="184">
                  <c:v>44824</c:v>
                </c:pt>
                <c:pt idx="185">
                  <c:v>44823</c:v>
                </c:pt>
                <c:pt idx="186">
                  <c:v>44820</c:v>
                </c:pt>
                <c:pt idx="187">
                  <c:v>44819</c:v>
                </c:pt>
                <c:pt idx="188">
                  <c:v>44818</c:v>
                </c:pt>
                <c:pt idx="189">
                  <c:v>44817</c:v>
                </c:pt>
                <c:pt idx="190">
                  <c:v>44816</c:v>
                </c:pt>
                <c:pt idx="191">
                  <c:v>44813</c:v>
                </c:pt>
                <c:pt idx="192">
                  <c:v>44812</c:v>
                </c:pt>
                <c:pt idx="193">
                  <c:v>44811</c:v>
                </c:pt>
                <c:pt idx="194">
                  <c:v>44810</c:v>
                </c:pt>
                <c:pt idx="195">
                  <c:v>44806</c:v>
                </c:pt>
                <c:pt idx="196">
                  <c:v>44805</c:v>
                </c:pt>
                <c:pt idx="197">
                  <c:v>44804</c:v>
                </c:pt>
                <c:pt idx="198">
                  <c:v>44803</c:v>
                </c:pt>
                <c:pt idx="199">
                  <c:v>44802</c:v>
                </c:pt>
                <c:pt idx="200">
                  <c:v>44799</c:v>
                </c:pt>
                <c:pt idx="201">
                  <c:v>44798</c:v>
                </c:pt>
                <c:pt idx="202">
                  <c:v>44797</c:v>
                </c:pt>
                <c:pt idx="203">
                  <c:v>44796</c:v>
                </c:pt>
                <c:pt idx="204">
                  <c:v>44795</c:v>
                </c:pt>
                <c:pt idx="205">
                  <c:v>44792</c:v>
                </c:pt>
                <c:pt idx="206">
                  <c:v>44791</c:v>
                </c:pt>
                <c:pt idx="207">
                  <c:v>44790</c:v>
                </c:pt>
                <c:pt idx="208">
                  <c:v>44789</c:v>
                </c:pt>
                <c:pt idx="209">
                  <c:v>44788</c:v>
                </c:pt>
                <c:pt idx="210">
                  <c:v>44785</c:v>
                </c:pt>
                <c:pt idx="211">
                  <c:v>44784</c:v>
                </c:pt>
                <c:pt idx="212">
                  <c:v>44783</c:v>
                </c:pt>
                <c:pt idx="213">
                  <c:v>44782</c:v>
                </c:pt>
                <c:pt idx="214">
                  <c:v>44781</c:v>
                </c:pt>
                <c:pt idx="215">
                  <c:v>44778</c:v>
                </c:pt>
                <c:pt idx="216">
                  <c:v>44777</c:v>
                </c:pt>
                <c:pt idx="217">
                  <c:v>44776</c:v>
                </c:pt>
                <c:pt idx="218">
                  <c:v>44775</c:v>
                </c:pt>
                <c:pt idx="219">
                  <c:v>44774</c:v>
                </c:pt>
                <c:pt idx="220">
                  <c:v>44771</c:v>
                </c:pt>
                <c:pt idx="221">
                  <c:v>44770</c:v>
                </c:pt>
                <c:pt idx="222">
                  <c:v>44769</c:v>
                </c:pt>
                <c:pt idx="223">
                  <c:v>44768</c:v>
                </c:pt>
                <c:pt idx="224">
                  <c:v>44767</c:v>
                </c:pt>
                <c:pt idx="225">
                  <c:v>44764</c:v>
                </c:pt>
                <c:pt idx="226">
                  <c:v>44763</c:v>
                </c:pt>
                <c:pt idx="227">
                  <c:v>44762</c:v>
                </c:pt>
                <c:pt idx="228">
                  <c:v>44761</c:v>
                </c:pt>
                <c:pt idx="229">
                  <c:v>44760</c:v>
                </c:pt>
                <c:pt idx="230">
                  <c:v>44757</c:v>
                </c:pt>
                <c:pt idx="231">
                  <c:v>44756</c:v>
                </c:pt>
                <c:pt idx="232">
                  <c:v>44755</c:v>
                </c:pt>
                <c:pt idx="233">
                  <c:v>44754</c:v>
                </c:pt>
                <c:pt idx="234">
                  <c:v>44753</c:v>
                </c:pt>
                <c:pt idx="235">
                  <c:v>44750</c:v>
                </c:pt>
                <c:pt idx="236">
                  <c:v>44749</c:v>
                </c:pt>
                <c:pt idx="237">
                  <c:v>44748</c:v>
                </c:pt>
                <c:pt idx="238">
                  <c:v>44747</c:v>
                </c:pt>
                <c:pt idx="239">
                  <c:v>44743</c:v>
                </c:pt>
                <c:pt idx="240">
                  <c:v>44742</c:v>
                </c:pt>
                <c:pt idx="241">
                  <c:v>44741</c:v>
                </c:pt>
                <c:pt idx="242">
                  <c:v>44740</c:v>
                </c:pt>
                <c:pt idx="243">
                  <c:v>44739</c:v>
                </c:pt>
                <c:pt idx="244">
                  <c:v>44736</c:v>
                </c:pt>
                <c:pt idx="245">
                  <c:v>44735</c:v>
                </c:pt>
                <c:pt idx="246">
                  <c:v>44734</c:v>
                </c:pt>
                <c:pt idx="247">
                  <c:v>44733</c:v>
                </c:pt>
              </c:numCache>
            </c:numRef>
          </c:cat>
          <c:val>
            <c:numRef>
              <c:f>'Bond Yield time series'!$Q$3:$Q$250</c:f>
              <c:numCache>
                <c:formatCode>General</c:formatCode>
                <c:ptCount val="248"/>
                <c:pt idx="0">
                  <c:v>5.5730000000000004</c:v>
                </c:pt>
                <c:pt idx="1">
                  <c:v>5.5540000000000003</c:v>
                </c:pt>
                <c:pt idx="2">
                  <c:v>5.6689999999999996</c:v>
                </c:pt>
                <c:pt idx="3">
                  <c:v>5.7380000000000004</c:v>
                </c:pt>
                <c:pt idx="4">
                  <c:v>5.6630000000000003</c:v>
                </c:pt>
                <c:pt idx="5">
                  <c:v>5.72</c:v>
                </c:pt>
                <c:pt idx="6">
                  <c:v>5.6989999999999998</c:v>
                </c:pt>
                <c:pt idx="7">
                  <c:v>5.7809999999999997</c:v>
                </c:pt>
                <c:pt idx="8">
                  <c:v>5.6870000000000003</c:v>
                </c:pt>
                <c:pt idx="9">
                  <c:v>5.6980000000000004</c:v>
                </c:pt>
                <c:pt idx="10">
                  <c:v>5.7009999999999996</c:v>
                </c:pt>
                <c:pt idx="11">
                  <c:v>5.657</c:v>
                </c:pt>
                <c:pt idx="12">
                  <c:v>5.72</c:v>
                </c:pt>
                <c:pt idx="13">
                  <c:v>5.7389999999999999</c:v>
                </c:pt>
                <c:pt idx="14">
                  <c:v>5.83</c:v>
                </c:pt>
                <c:pt idx="15">
                  <c:v>5.8529999999999998</c:v>
                </c:pt>
                <c:pt idx="16">
                  <c:v>5.8520000000000003</c:v>
                </c:pt>
                <c:pt idx="17">
                  <c:v>5.8479999999999999</c:v>
                </c:pt>
                <c:pt idx="18">
                  <c:v>5.8609999999999998</c:v>
                </c:pt>
                <c:pt idx="19">
                  <c:v>5.8490000000000002</c:v>
                </c:pt>
                <c:pt idx="20">
                  <c:v>5.8280000000000003</c:v>
                </c:pt>
                <c:pt idx="21">
                  <c:v>5.7469999999999999</c:v>
                </c:pt>
                <c:pt idx="22">
                  <c:v>5.7350000000000003</c:v>
                </c:pt>
                <c:pt idx="23">
                  <c:v>5.6479999999999997</c:v>
                </c:pt>
                <c:pt idx="24">
                  <c:v>5.5659999999999998</c:v>
                </c:pt>
                <c:pt idx="25">
                  <c:v>5.5149999999999997</c:v>
                </c:pt>
                <c:pt idx="26">
                  <c:v>5.5730000000000004</c:v>
                </c:pt>
                <c:pt idx="27">
                  <c:v>5.6319999999999997</c:v>
                </c:pt>
                <c:pt idx="28">
                  <c:v>5.6120000000000001</c:v>
                </c:pt>
                <c:pt idx="29">
                  <c:v>5.5449999999999999</c:v>
                </c:pt>
                <c:pt idx="30">
                  <c:v>5.5019999999999998</c:v>
                </c:pt>
                <c:pt idx="31">
                  <c:v>5.4169999999999998</c:v>
                </c:pt>
                <c:pt idx="32">
                  <c:v>5.4580000000000002</c:v>
                </c:pt>
                <c:pt idx="33">
                  <c:v>5.5819999999999999</c:v>
                </c:pt>
                <c:pt idx="34">
                  <c:v>5.415</c:v>
                </c:pt>
                <c:pt idx="35">
                  <c:v>5.5460000000000003</c:v>
                </c:pt>
                <c:pt idx="36">
                  <c:v>5.5309999999999997</c:v>
                </c:pt>
                <c:pt idx="37">
                  <c:v>5.4749999999999996</c:v>
                </c:pt>
                <c:pt idx="38">
                  <c:v>5.5469999999999997</c:v>
                </c:pt>
                <c:pt idx="39">
                  <c:v>5.58</c:v>
                </c:pt>
                <c:pt idx="40">
                  <c:v>5.5590000000000002</c:v>
                </c:pt>
                <c:pt idx="41">
                  <c:v>5.6</c:v>
                </c:pt>
                <c:pt idx="42">
                  <c:v>5.6180000000000003</c:v>
                </c:pt>
                <c:pt idx="43">
                  <c:v>5.6840000000000002</c:v>
                </c:pt>
                <c:pt idx="44">
                  <c:v>5.6239999999999997</c:v>
                </c:pt>
                <c:pt idx="45">
                  <c:v>5.5720000000000001</c:v>
                </c:pt>
                <c:pt idx="46">
                  <c:v>5.5579999999999998</c:v>
                </c:pt>
                <c:pt idx="47">
                  <c:v>5.5410000000000004</c:v>
                </c:pt>
                <c:pt idx="48">
                  <c:v>5.55</c:v>
                </c:pt>
                <c:pt idx="49">
                  <c:v>5.4589999999999996</c:v>
                </c:pt>
                <c:pt idx="50">
                  <c:v>5.4889999999999999</c:v>
                </c:pt>
                <c:pt idx="51">
                  <c:v>5.51</c:v>
                </c:pt>
                <c:pt idx="52">
                  <c:v>5.5449999999999999</c:v>
                </c:pt>
                <c:pt idx="53">
                  <c:v>5.601</c:v>
                </c:pt>
                <c:pt idx="54">
                  <c:v>5.64</c:v>
                </c:pt>
                <c:pt idx="55">
                  <c:v>5.6529999999999996</c:v>
                </c:pt>
                <c:pt idx="56">
                  <c:v>5.7160000000000002</c:v>
                </c:pt>
                <c:pt idx="57">
                  <c:v>5.694</c:v>
                </c:pt>
                <c:pt idx="58">
                  <c:v>5.633</c:v>
                </c:pt>
                <c:pt idx="59">
                  <c:v>5.5919999999999996</c:v>
                </c:pt>
                <c:pt idx="60">
                  <c:v>5.6230000000000002</c:v>
                </c:pt>
                <c:pt idx="61">
                  <c:v>5.6719999999999997</c:v>
                </c:pt>
                <c:pt idx="62">
                  <c:v>5.6539999999999999</c:v>
                </c:pt>
                <c:pt idx="63">
                  <c:v>5.6440000000000001</c:v>
                </c:pt>
                <c:pt idx="64">
                  <c:v>5.718</c:v>
                </c:pt>
                <c:pt idx="65">
                  <c:v>5.7060000000000004</c:v>
                </c:pt>
                <c:pt idx="66">
                  <c:v>5.7789999999999999</c:v>
                </c:pt>
                <c:pt idx="67">
                  <c:v>5.7779999999999996</c:v>
                </c:pt>
                <c:pt idx="68">
                  <c:v>5.7649999999999997</c:v>
                </c:pt>
                <c:pt idx="69">
                  <c:v>5.8810000000000002</c:v>
                </c:pt>
                <c:pt idx="70">
                  <c:v>5.8760000000000003</c:v>
                </c:pt>
                <c:pt idx="71">
                  <c:v>5.944</c:v>
                </c:pt>
                <c:pt idx="72">
                  <c:v>5.9130000000000003</c:v>
                </c:pt>
                <c:pt idx="73">
                  <c:v>5.9080000000000004</c:v>
                </c:pt>
                <c:pt idx="74">
                  <c:v>6.0419999999999998</c:v>
                </c:pt>
                <c:pt idx="75">
                  <c:v>6.0209999999999999</c:v>
                </c:pt>
                <c:pt idx="76">
                  <c:v>5.9509999999999996</c:v>
                </c:pt>
                <c:pt idx="77">
                  <c:v>5.9630000000000001</c:v>
                </c:pt>
                <c:pt idx="78">
                  <c:v>5.9640000000000004</c:v>
                </c:pt>
                <c:pt idx="79">
                  <c:v>5.8970000000000002</c:v>
                </c:pt>
                <c:pt idx="80">
                  <c:v>5.9619999999999997</c:v>
                </c:pt>
                <c:pt idx="81">
                  <c:v>6.0090000000000003</c:v>
                </c:pt>
                <c:pt idx="82">
                  <c:v>5.8650000000000002</c:v>
                </c:pt>
                <c:pt idx="83">
                  <c:v>5.8769999999999998</c:v>
                </c:pt>
                <c:pt idx="84">
                  <c:v>5.7910000000000004</c:v>
                </c:pt>
                <c:pt idx="85">
                  <c:v>5.7320000000000002</c:v>
                </c:pt>
                <c:pt idx="86">
                  <c:v>5.72</c:v>
                </c:pt>
                <c:pt idx="87">
                  <c:v>5.6749999999999998</c:v>
                </c:pt>
                <c:pt idx="88">
                  <c:v>5.625</c:v>
                </c:pt>
                <c:pt idx="89">
                  <c:v>5.5590000000000002</c:v>
                </c:pt>
                <c:pt idx="90">
                  <c:v>5.5469999999999997</c:v>
                </c:pt>
                <c:pt idx="91">
                  <c:v>5.468</c:v>
                </c:pt>
                <c:pt idx="92">
                  <c:v>5.4119999999999999</c:v>
                </c:pt>
                <c:pt idx="93">
                  <c:v>5.3150000000000004</c:v>
                </c:pt>
                <c:pt idx="94">
                  <c:v>5.3449999999999998</c:v>
                </c:pt>
                <c:pt idx="95">
                  <c:v>5.4359999999999999</c:v>
                </c:pt>
                <c:pt idx="96">
                  <c:v>5.4320000000000004</c:v>
                </c:pt>
                <c:pt idx="97">
                  <c:v>5.4329999999999998</c:v>
                </c:pt>
                <c:pt idx="98">
                  <c:v>5.4180000000000001</c:v>
                </c:pt>
                <c:pt idx="99">
                  <c:v>5.3970000000000002</c:v>
                </c:pt>
                <c:pt idx="100">
                  <c:v>5.4039999999999999</c:v>
                </c:pt>
                <c:pt idx="101">
                  <c:v>5.4779999999999998</c:v>
                </c:pt>
                <c:pt idx="102">
                  <c:v>5.47</c:v>
                </c:pt>
                <c:pt idx="103">
                  <c:v>5.4219999999999997</c:v>
                </c:pt>
                <c:pt idx="104">
                  <c:v>5.31</c:v>
                </c:pt>
                <c:pt idx="105">
                  <c:v>5.4589999999999996</c:v>
                </c:pt>
                <c:pt idx="106">
                  <c:v>5.423</c:v>
                </c:pt>
                <c:pt idx="107">
                  <c:v>5.3970000000000002</c:v>
                </c:pt>
                <c:pt idx="108">
                  <c:v>5.516</c:v>
                </c:pt>
                <c:pt idx="109">
                  <c:v>5.6189999999999998</c:v>
                </c:pt>
                <c:pt idx="110">
                  <c:v>5.5990000000000002</c:v>
                </c:pt>
                <c:pt idx="111">
                  <c:v>5.71</c:v>
                </c:pt>
                <c:pt idx="112">
                  <c:v>5.8179999999999996</c:v>
                </c:pt>
                <c:pt idx="113">
                  <c:v>5.8150000000000004</c:v>
                </c:pt>
                <c:pt idx="114">
                  <c:v>5.9160000000000004</c:v>
                </c:pt>
                <c:pt idx="115">
                  <c:v>5.9269999999999996</c:v>
                </c:pt>
                <c:pt idx="116">
                  <c:v>5.891</c:v>
                </c:pt>
                <c:pt idx="117">
                  <c:v>5.9080000000000004</c:v>
                </c:pt>
                <c:pt idx="118">
                  <c:v>5.8979999999999997</c:v>
                </c:pt>
                <c:pt idx="119">
                  <c:v>5.8040000000000003</c:v>
                </c:pt>
                <c:pt idx="120">
                  <c:v>5.7160000000000002</c:v>
                </c:pt>
                <c:pt idx="121">
                  <c:v>5.7069999999999999</c:v>
                </c:pt>
                <c:pt idx="122">
                  <c:v>5.74</c:v>
                </c:pt>
                <c:pt idx="123">
                  <c:v>5.6109999999999998</c:v>
                </c:pt>
                <c:pt idx="124">
                  <c:v>5.49</c:v>
                </c:pt>
                <c:pt idx="125">
                  <c:v>5.399</c:v>
                </c:pt>
                <c:pt idx="126">
                  <c:v>5.4050000000000002</c:v>
                </c:pt>
                <c:pt idx="127">
                  <c:v>5.468</c:v>
                </c:pt>
                <c:pt idx="128">
                  <c:v>5.5039999999999996</c:v>
                </c:pt>
                <c:pt idx="129">
                  <c:v>5.4989999999999997</c:v>
                </c:pt>
                <c:pt idx="130">
                  <c:v>5.3620000000000001</c:v>
                </c:pt>
                <c:pt idx="131">
                  <c:v>5.37</c:v>
                </c:pt>
                <c:pt idx="132">
                  <c:v>5.47</c:v>
                </c:pt>
                <c:pt idx="133">
                  <c:v>5.5339999999999998</c:v>
                </c:pt>
                <c:pt idx="134">
                  <c:v>5.46</c:v>
                </c:pt>
                <c:pt idx="135">
                  <c:v>5.5250000000000004</c:v>
                </c:pt>
                <c:pt idx="136">
                  <c:v>5.7240000000000002</c:v>
                </c:pt>
                <c:pt idx="137">
                  <c:v>5.7279999999999998</c:v>
                </c:pt>
                <c:pt idx="138">
                  <c:v>5.6740000000000004</c:v>
                </c:pt>
                <c:pt idx="139">
                  <c:v>5.6550000000000002</c:v>
                </c:pt>
                <c:pt idx="140">
                  <c:v>5.62</c:v>
                </c:pt>
                <c:pt idx="141">
                  <c:v>5.7640000000000002</c:v>
                </c:pt>
                <c:pt idx="142">
                  <c:v>5.85</c:v>
                </c:pt>
                <c:pt idx="143">
                  <c:v>5.835</c:v>
                </c:pt>
                <c:pt idx="144">
                  <c:v>5.8540000000000001</c:v>
                </c:pt>
                <c:pt idx="145">
                  <c:v>5.8179999999999996</c:v>
                </c:pt>
                <c:pt idx="146">
                  <c:v>5.9470000000000001</c:v>
                </c:pt>
                <c:pt idx="147">
                  <c:v>6.0659999999999998</c:v>
                </c:pt>
                <c:pt idx="148">
                  <c:v>6.1109999999999998</c:v>
                </c:pt>
                <c:pt idx="149">
                  <c:v>6.4260000000000002</c:v>
                </c:pt>
                <c:pt idx="150">
                  <c:v>6.3650000000000002</c:v>
                </c:pt>
                <c:pt idx="151">
                  <c:v>6.452</c:v>
                </c:pt>
                <c:pt idx="152">
                  <c:v>6.4</c:v>
                </c:pt>
                <c:pt idx="153">
                  <c:v>6.3470000000000004</c:v>
                </c:pt>
                <c:pt idx="154">
                  <c:v>6.2560000000000002</c:v>
                </c:pt>
                <c:pt idx="155">
                  <c:v>6.2850000000000001</c:v>
                </c:pt>
                <c:pt idx="156">
                  <c:v>6.3659999999999997</c:v>
                </c:pt>
                <c:pt idx="157">
                  <c:v>6.3230000000000004</c:v>
                </c:pt>
                <c:pt idx="158">
                  <c:v>6.2549999999999999</c:v>
                </c:pt>
                <c:pt idx="159">
                  <c:v>6.3479999999999999</c:v>
                </c:pt>
                <c:pt idx="160">
                  <c:v>6.431</c:v>
                </c:pt>
                <c:pt idx="161">
                  <c:v>6.6079999999999997</c:v>
                </c:pt>
                <c:pt idx="162">
                  <c:v>6.61</c:v>
                </c:pt>
                <c:pt idx="163">
                  <c:v>6.51</c:v>
                </c:pt>
                <c:pt idx="164">
                  <c:v>6.4089999999999998</c:v>
                </c:pt>
                <c:pt idx="165">
                  <c:v>6.2720000000000002</c:v>
                </c:pt>
                <c:pt idx="166">
                  <c:v>6.35</c:v>
                </c:pt>
                <c:pt idx="167">
                  <c:v>6.3680000000000003</c:v>
                </c:pt>
                <c:pt idx="168">
                  <c:v>6.3070000000000004</c:v>
                </c:pt>
                <c:pt idx="169">
                  <c:v>6.4249999999999998</c:v>
                </c:pt>
                <c:pt idx="170">
                  <c:v>6.2729999999999997</c:v>
                </c:pt>
                <c:pt idx="171">
                  <c:v>6.2190000000000003</c:v>
                </c:pt>
                <c:pt idx="172">
                  <c:v>6.1289999999999996</c:v>
                </c:pt>
                <c:pt idx="173">
                  <c:v>6.14</c:v>
                </c:pt>
                <c:pt idx="174">
                  <c:v>6.077</c:v>
                </c:pt>
                <c:pt idx="175">
                  <c:v>6.0960000000000001</c:v>
                </c:pt>
                <c:pt idx="176">
                  <c:v>6.2859999999999996</c:v>
                </c:pt>
                <c:pt idx="177">
                  <c:v>6.32</c:v>
                </c:pt>
                <c:pt idx="178">
                  <c:v>6.2519999999999998</c:v>
                </c:pt>
                <c:pt idx="179">
                  <c:v>6.2949999999999999</c:v>
                </c:pt>
                <c:pt idx="180">
                  <c:v>6.0970000000000004</c:v>
                </c:pt>
                <c:pt idx="181">
                  <c:v>5.931</c:v>
                </c:pt>
                <c:pt idx="182">
                  <c:v>5.8929999999999998</c:v>
                </c:pt>
                <c:pt idx="183">
                  <c:v>5.7770000000000001</c:v>
                </c:pt>
                <c:pt idx="184">
                  <c:v>5.8490000000000002</c:v>
                </c:pt>
                <c:pt idx="185">
                  <c:v>5.7990000000000004</c:v>
                </c:pt>
                <c:pt idx="186">
                  <c:v>5.8380000000000001</c:v>
                </c:pt>
                <c:pt idx="187">
                  <c:v>5.7489999999999997</c:v>
                </c:pt>
                <c:pt idx="188">
                  <c:v>5.7290000000000001</c:v>
                </c:pt>
                <c:pt idx="189">
                  <c:v>5.7709999999999999</c:v>
                </c:pt>
                <c:pt idx="190">
                  <c:v>5.7270000000000003</c:v>
                </c:pt>
                <c:pt idx="191">
                  <c:v>5.7249999999999996</c:v>
                </c:pt>
                <c:pt idx="192">
                  <c:v>5.7610000000000001</c:v>
                </c:pt>
                <c:pt idx="193">
                  <c:v>5.7050000000000001</c:v>
                </c:pt>
                <c:pt idx="194">
                  <c:v>5.8339999999999996</c:v>
                </c:pt>
                <c:pt idx="195">
                  <c:v>5.6319999999999997</c:v>
                </c:pt>
                <c:pt idx="196">
                  <c:v>5.6790000000000003</c:v>
                </c:pt>
                <c:pt idx="197">
                  <c:v>5.5709999999999997</c:v>
                </c:pt>
                <c:pt idx="198">
                  <c:v>5.476</c:v>
                </c:pt>
                <c:pt idx="199">
                  <c:v>5.4370000000000003</c:v>
                </c:pt>
                <c:pt idx="200">
                  <c:v>5.327</c:v>
                </c:pt>
                <c:pt idx="201">
                  <c:v>5.3339999999999996</c:v>
                </c:pt>
                <c:pt idx="202">
                  <c:v>5.4569999999999999</c:v>
                </c:pt>
                <c:pt idx="203">
                  <c:v>5.4089999999999998</c:v>
                </c:pt>
                <c:pt idx="204">
                  <c:v>5.3959999999999999</c:v>
                </c:pt>
                <c:pt idx="205">
                  <c:v>5.3179999999999996</c:v>
                </c:pt>
                <c:pt idx="206">
                  <c:v>5.1449999999999996</c:v>
                </c:pt>
                <c:pt idx="207">
                  <c:v>5.1319999999999997</c:v>
                </c:pt>
                <c:pt idx="208">
                  <c:v>5.04</c:v>
                </c:pt>
                <c:pt idx="209">
                  <c:v>5.0350000000000001</c:v>
                </c:pt>
                <c:pt idx="210">
                  <c:v>5.0640000000000001</c:v>
                </c:pt>
                <c:pt idx="211">
                  <c:v>5.24</c:v>
                </c:pt>
                <c:pt idx="212">
                  <c:v>5.0960000000000001</c:v>
                </c:pt>
                <c:pt idx="213">
                  <c:v>5.1319999999999997</c:v>
                </c:pt>
                <c:pt idx="214">
                  <c:v>5.0659999999999998</c:v>
                </c:pt>
                <c:pt idx="215">
                  <c:v>5.1520000000000001</c:v>
                </c:pt>
                <c:pt idx="216">
                  <c:v>5.0220000000000002</c:v>
                </c:pt>
                <c:pt idx="217">
                  <c:v>5.03</c:v>
                </c:pt>
                <c:pt idx="218">
                  <c:v>5.1369999999999996</c:v>
                </c:pt>
                <c:pt idx="219">
                  <c:v>4.9720000000000004</c:v>
                </c:pt>
                <c:pt idx="220">
                  <c:v>5.09</c:v>
                </c:pt>
                <c:pt idx="221">
                  <c:v>5.1219999999999999</c:v>
                </c:pt>
                <c:pt idx="222">
                  <c:v>5.1589999999999998</c:v>
                </c:pt>
                <c:pt idx="223">
                  <c:v>5.1779999999999999</c:v>
                </c:pt>
                <c:pt idx="224">
                  <c:v>5.2030000000000003</c:v>
                </c:pt>
                <c:pt idx="225">
                  <c:v>5.0460000000000003</c:v>
                </c:pt>
                <c:pt idx="226">
                  <c:v>5.1109999999999998</c:v>
                </c:pt>
                <c:pt idx="227">
                  <c:v>5.3220000000000001</c:v>
                </c:pt>
                <c:pt idx="228">
                  <c:v>5.33</c:v>
                </c:pt>
                <c:pt idx="229">
                  <c:v>5.2770000000000001</c:v>
                </c:pt>
                <c:pt idx="230">
                  <c:v>5.3070000000000004</c:v>
                </c:pt>
                <c:pt idx="231">
                  <c:v>5.3559999999999999</c:v>
                </c:pt>
                <c:pt idx="232">
                  <c:v>5.3239999999999998</c:v>
                </c:pt>
                <c:pt idx="233">
                  <c:v>5.3170000000000002</c:v>
                </c:pt>
                <c:pt idx="234">
                  <c:v>5.3289999999999997</c:v>
                </c:pt>
                <c:pt idx="235">
                  <c:v>5.4850000000000003</c:v>
                </c:pt>
                <c:pt idx="236">
                  <c:v>5.4710000000000001</c:v>
                </c:pt>
                <c:pt idx="237">
                  <c:v>5.452</c:v>
                </c:pt>
                <c:pt idx="238">
                  <c:v>5.4290000000000003</c:v>
                </c:pt>
                <c:pt idx="239">
                  <c:v>5.4960000000000004</c:v>
                </c:pt>
                <c:pt idx="240">
                  <c:v>5.5780000000000003</c:v>
                </c:pt>
                <c:pt idx="241">
                  <c:v>5.5430000000000001</c:v>
                </c:pt>
                <c:pt idx="242">
                  <c:v>5.5730000000000004</c:v>
                </c:pt>
                <c:pt idx="243">
                  <c:v>5.5090000000000003</c:v>
                </c:pt>
                <c:pt idx="244">
                  <c:v>5.4610000000000003</c:v>
                </c:pt>
                <c:pt idx="245">
                  <c:v>5.4189999999999996</c:v>
                </c:pt>
                <c:pt idx="246">
                  <c:v>5.5209999999999999</c:v>
                </c:pt>
                <c:pt idx="247">
                  <c:v>5.617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0-4CBF-8FAD-3F6591C8B094}"/>
            </c:ext>
          </c:extLst>
        </c:ser>
        <c:ser>
          <c:idx val="2"/>
          <c:order val="2"/>
          <c:tx>
            <c:strRef>
              <c:f>'Bond Yield time series'!$R$2</c:f>
              <c:strCache>
                <c:ptCount val="1"/>
                <c:pt idx="0">
                  <c:v>STZ 2050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'Bond Yield time series'!$O$3:$O$250</c:f>
              <c:numCache>
                <c:formatCode>m/d/yyyy</c:formatCode>
                <c:ptCount val="248"/>
                <c:pt idx="0">
                  <c:v>45093</c:v>
                </c:pt>
                <c:pt idx="1">
                  <c:v>45092</c:v>
                </c:pt>
                <c:pt idx="2">
                  <c:v>45091</c:v>
                </c:pt>
                <c:pt idx="3">
                  <c:v>45090</c:v>
                </c:pt>
                <c:pt idx="4">
                  <c:v>45089</c:v>
                </c:pt>
                <c:pt idx="5">
                  <c:v>45086</c:v>
                </c:pt>
                <c:pt idx="6">
                  <c:v>45085</c:v>
                </c:pt>
                <c:pt idx="7">
                  <c:v>45084</c:v>
                </c:pt>
                <c:pt idx="8">
                  <c:v>45083</c:v>
                </c:pt>
                <c:pt idx="9">
                  <c:v>45082</c:v>
                </c:pt>
                <c:pt idx="10">
                  <c:v>45079</c:v>
                </c:pt>
                <c:pt idx="11">
                  <c:v>45078</c:v>
                </c:pt>
                <c:pt idx="12">
                  <c:v>45077</c:v>
                </c:pt>
                <c:pt idx="13">
                  <c:v>45076</c:v>
                </c:pt>
                <c:pt idx="14">
                  <c:v>45072</c:v>
                </c:pt>
                <c:pt idx="15">
                  <c:v>45071</c:v>
                </c:pt>
                <c:pt idx="16">
                  <c:v>45070</c:v>
                </c:pt>
                <c:pt idx="17">
                  <c:v>45069</c:v>
                </c:pt>
                <c:pt idx="18">
                  <c:v>45068</c:v>
                </c:pt>
                <c:pt idx="19">
                  <c:v>45065</c:v>
                </c:pt>
                <c:pt idx="20">
                  <c:v>45064</c:v>
                </c:pt>
                <c:pt idx="21">
                  <c:v>45063</c:v>
                </c:pt>
                <c:pt idx="22">
                  <c:v>45062</c:v>
                </c:pt>
                <c:pt idx="23">
                  <c:v>45061</c:v>
                </c:pt>
                <c:pt idx="24">
                  <c:v>45058</c:v>
                </c:pt>
                <c:pt idx="25">
                  <c:v>45057</c:v>
                </c:pt>
                <c:pt idx="26">
                  <c:v>45056</c:v>
                </c:pt>
                <c:pt idx="27">
                  <c:v>45055</c:v>
                </c:pt>
                <c:pt idx="28">
                  <c:v>45054</c:v>
                </c:pt>
                <c:pt idx="29">
                  <c:v>45051</c:v>
                </c:pt>
                <c:pt idx="30">
                  <c:v>45050</c:v>
                </c:pt>
                <c:pt idx="31">
                  <c:v>45049</c:v>
                </c:pt>
                <c:pt idx="32">
                  <c:v>45048</c:v>
                </c:pt>
                <c:pt idx="33">
                  <c:v>45047</c:v>
                </c:pt>
                <c:pt idx="34">
                  <c:v>45044</c:v>
                </c:pt>
                <c:pt idx="35">
                  <c:v>45043</c:v>
                </c:pt>
                <c:pt idx="36">
                  <c:v>45042</c:v>
                </c:pt>
                <c:pt idx="37">
                  <c:v>45041</c:v>
                </c:pt>
                <c:pt idx="38">
                  <c:v>45040</c:v>
                </c:pt>
                <c:pt idx="39">
                  <c:v>45037</c:v>
                </c:pt>
                <c:pt idx="40">
                  <c:v>45036</c:v>
                </c:pt>
                <c:pt idx="41">
                  <c:v>45035</c:v>
                </c:pt>
                <c:pt idx="42">
                  <c:v>45034</c:v>
                </c:pt>
                <c:pt idx="43">
                  <c:v>45033</c:v>
                </c:pt>
                <c:pt idx="44">
                  <c:v>45030</c:v>
                </c:pt>
                <c:pt idx="45">
                  <c:v>45029</c:v>
                </c:pt>
                <c:pt idx="46">
                  <c:v>45028</c:v>
                </c:pt>
                <c:pt idx="47">
                  <c:v>45027</c:v>
                </c:pt>
                <c:pt idx="48">
                  <c:v>45026</c:v>
                </c:pt>
                <c:pt idx="49">
                  <c:v>45022</c:v>
                </c:pt>
                <c:pt idx="50">
                  <c:v>45021</c:v>
                </c:pt>
                <c:pt idx="51">
                  <c:v>45020</c:v>
                </c:pt>
                <c:pt idx="52">
                  <c:v>45019</c:v>
                </c:pt>
                <c:pt idx="53">
                  <c:v>45016</c:v>
                </c:pt>
                <c:pt idx="54">
                  <c:v>45015</c:v>
                </c:pt>
                <c:pt idx="55">
                  <c:v>45014</c:v>
                </c:pt>
                <c:pt idx="56">
                  <c:v>45013</c:v>
                </c:pt>
                <c:pt idx="57">
                  <c:v>45012</c:v>
                </c:pt>
                <c:pt idx="58">
                  <c:v>45009</c:v>
                </c:pt>
                <c:pt idx="59">
                  <c:v>45008</c:v>
                </c:pt>
                <c:pt idx="60">
                  <c:v>45007</c:v>
                </c:pt>
                <c:pt idx="61">
                  <c:v>45006</c:v>
                </c:pt>
                <c:pt idx="62">
                  <c:v>45005</c:v>
                </c:pt>
                <c:pt idx="63">
                  <c:v>45002</c:v>
                </c:pt>
                <c:pt idx="64">
                  <c:v>45001</c:v>
                </c:pt>
                <c:pt idx="65">
                  <c:v>45000</c:v>
                </c:pt>
                <c:pt idx="66">
                  <c:v>44999</c:v>
                </c:pt>
                <c:pt idx="67">
                  <c:v>44998</c:v>
                </c:pt>
                <c:pt idx="68">
                  <c:v>44995</c:v>
                </c:pt>
                <c:pt idx="69">
                  <c:v>44994</c:v>
                </c:pt>
                <c:pt idx="70">
                  <c:v>44993</c:v>
                </c:pt>
                <c:pt idx="71">
                  <c:v>44992</c:v>
                </c:pt>
                <c:pt idx="72">
                  <c:v>44991</c:v>
                </c:pt>
                <c:pt idx="73">
                  <c:v>44988</c:v>
                </c:pt>
                <c:pt idx="74">
                  <c:v>44987</c:v>
                </c:pt>
                <c:pt idx="75">
                  <c:v>44986</c:v>
                </c:pt>
                <c:pt idx="76">
                  <c:v>44985</c:v>
                </c:pt>
                <c:pt idx="77">
                  <c:v>44984</c:v>
                </c:pt>
                <c:pt idx="78">
                  <c:v>44981</c:v>
                </c:pt>
                <c:pt idx="79">
                  <c:v>44980</c:v>
                </c:pt>
                <c:pt idx="80">
                  <c:v>44979</c:v>
                </c:pt>
                <c:pt idx="81">
                  <c:v>44978</c:v>
                </c:pt>
                <c:pt idx="82">
                  <c:v>44974</c:v>
                </c:pt>
                <c:pt idx="83">
                  <c:v>44973</c:v>
                </c:pt>
                <c:pt idx="84">
                  <c:v>44972</c:v>
                </c:pt>
                <c:pt idx="85">
                  <c:v>44971</c:v>
                </c:pt>
                <c:pt idx="86">
                  <c:v>44970</c:v>
                </c:pt>
                <c:pt idx="87">
                  <c:v>44967</c:v>
                </c:pt>
                <c:pt idx="88">
                  <c:v>44966</c:v>
                </c:pt>
                <c:pt idx="89">
                  <c:v>44965</c:v>
                </c:pt>
                <c:pt idx="90">
                  <c:v>44964</c:v>
                </c:pt>
                <c:pt idx="91">
                  <c:v>44963</c:v>
                </c:pt>
                <c:pt idx="92">
                  <c:v>44960</c:v>
                </c:pt>
                <c:pt idx="93">
                  <c:v>44959</c:v>
                </c:pt>
                <c:pt idx="94">
                  <c:v>44958</c:v>
                </c:pt>
                <c:pt idx="95">
                  <c:v>44957</c:v>
                </c:pt>
                <c:pt idx="96">
                  <c:v>44956</c:v>
                </c:pt>
                <c:pt idx="97">
                  <c:v>44953</c:v>
                </c:pt>
                <c:pt idx="98">
                  <c:v>44952</c:v>
                </c:pt>
                <c:pt idx="99">
                  <c:v>44951</c:v>
                </c:pt>
                <c:pt idx="100">
                  <c:v>44950</c:v>
                </c:pt>
                <c:pt idx="101">
                  <c:v>44949</c:v>
                </c:pt>
                <c:pt idx="102">
                  <c:v>44946</c:v>
                </c:pt>
                <c:pt idx="103">
                  <c:v>44945</c:v>
                </c:pt>
                <c:pt idx="104">
                  <c:v>44944</c:v>
                </c:pt>
                <c:pt idx="105">
                  <c:v>44943</c:v>
                </c:pt>
                <c:pt idx="106">
                  <c:v>44939</c:v>
                </c:pt>
                <c:pt idx="107">
                  <c:v>44938</c:v>
                </c:pt>
                <c:pt idx="108">
                  <c:v>44937</c:v>
                </c:pt>
                <c:pt idx="109">
                  <c:v>44936</c:v>
                </c:pt>
                <c:pt idx="110">
                  <c:v>44935</c:v>
                </c:pt>
                <c:pt idx="111">
                  <c:v>44932</c:v>
                </c:pt>
                <c:pt idx="112">
                  <c:v>44931</c:v>
                </c:pt>
                <c:pt idx="113">
                  <c:v>44930</c:v>
                </c:pt>
                <c:pt idx="114">
                  <c:v>44929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44918</c:v>
                </c:pt>
                <c:pt idx="120">
                  <c:v>44917</c:v>
                </c:pt>
                <c:pt idx="121">
                  <c:v>44916</c:v>
                </c:pt>
                <c:pt idx="122">
                  <c:v>44915</c:v>
                </c:pt>
                <c:pt idx="123">
                  <c:v>44914</c:v>
                </c:pt>
                <c:pt idx="124">
                  <c:v>44911</c:v>
                </c:pt>
                <c:pt idx="125">
                  <c:v>44910</c:v>
                </c:pt>
                <c:pt idx="126">
                  <c:v>44909</c:v>
                </c:pt>
                <c:pt idx="127">
                  <c:v>44908</c:v>
                </c:pt>
                <c:pt idx="128">
                  <c:v>44907</c:v>
                </c:pt>
                <c:pt idx="129">
                  <c:v>44904</c:v>
                </c:pt>
                <c:pt idx="130">
                  <c:v>44903</c:v>
                </c:pt>
                <c:pt idx="131">
                  <c:v>44902</c:v>
                </c:pt>
                <c:pt idx="132">
                  <c:v>44901</c:v>
                </c:pt>
                <c:pt idx="133">
                  <c:v>44900</c:v>
                </c:pt>
                <c:pt idx="134">
                  <c:v>44897</c:v>
                </c:pt>
                <c:pt idx="135">
                  <c:v>44896</c:v>
                </c:pt>
                <c:pt idx="136">
                  <c:v>44895</c:v>
                </c:pt>
                <c:pt idx="137">
                  <c:v>44894</c:v>
                </c:pt>
                <c:pt idx="138">
                  <c:v>44893</c:v>
                </c:pt>
                <c:pt idx="139">
                  <c:v>44890</c:v>
                </c:pt>
                <c:pt idx="140">
                  <c:v>44888</c:v>
                </c:pt>
                <c:pt idx="141">
                  <c:v>44887</c:v>
                </c:pt>
                <c:pt idx="142">
                  <c:v>44886</c:v>
                </c:pt>
                <c:pt idx="143">
                  <c:v>44883</c:v>
                </c:pt>
                <c:pt idx="144">
                  <c:v>44882</c:v>
                </c:pt>
                <c:pt idx="145">
                  <c:v>44881</c:v>
                </c:pt>
                <c:pt idx="146">
                  <c:v>44880</c:v>
                </c:pt>
                <c:pt idx="147">
                  <c:v>44879</c:v>
                </c:pt>
                <c:pt idx="148">
                  <c:v>44875</c:v>
                </c:pt>
                <c:pt idx="149">
                  <c:v>44874</c:v>
                </c:pt>
                <c:pt idx="150">
                  <c:v>44873</c:v>
                </c:pt>
                <c:pt idx="151">
                  <c:v>44872</c:v>
                </c:pt>
                <c:pt idx="152">
                  <c:v>44869</c:v>
                </c:pt>
                <c:pt idx="153">
                  <c:v>44868</c:v>
                </c:pt>
                <c:pt idx="154">
                  <c:v>44867</c:v>
                </c:pt>
                <c:pt idx="155">
                  <c:v>44866</c:v>
                </c:pt>
                <c:pt idx="156">
                  <c:v>44865</c:v>
                </c:pt>
                <c:pt idx="157">
                  <c:v>44862</c:v>
                </c:pt>
                <c:pt idx="158">
                  <c:v>44861</c:v>
                </c:pt>
                <c:pt idx="159">
                  <c:v>44860</c:v>
                </c:pt>
                <c:pt idx="160">
                  <c:v>44859</c:v>
                </c:pt>
                <c:pt idx="161">
                  <c:v>44858</c:v>
                </c:pt>
                <c:pt idx="162">
                  <c:v>44855</c:v>
                </c:pt>
                <c:pt idx="163">
                  <c:v>44854</c:v>
                </c:pt>
                <c:pt idx="164">
                  <c:v>44853</c:v>
                </c:pt>
                <c:pt idx="165">
                  <c:v>44852</c:v>
                </c:pt>
                <c:pt idx="166">
                  <c:v>44851</c:v>
                </c:pt>
                <c:pt idx="167">
                  <c:v>44848</c:v>
                </c:pt>
                <c:pt idx="168">
                  <c:v>44847</c:v>
                </c:pt>
                <c:pt idx="169">
                  <c:v>44846</c:v>
                </c:pt>
                <c:pt idx="170">
                  <c:v>44845</c:v>
                </c:pt>
                <c:pt idx="171">
                  <c:v>44841</c:v>
                </c:pt>
                <c:pt idx="172">
                  <c:v>44840</c:v>
                </c:pt>
                <c:pt idx="173">
                  <c:v>44839</c:v>
                </c:pt>
                <c:pt idx="174">
                  <c:v>44838</c:v>
                </c:pt>
                <c:pt idx="175">
                  <c:v>44837</c:v>
                </c:pt>
                <c:pt idx="176">
                  <c:v>44834</c:v>
                </c:pt>
                <c:pt idx="177">
                  <c:v>44833</c:v>
                </c:pt>
                <c:pt idx="178">
                  <c:v>44832</c:v>
                </c:pt>
                <c:pt idx="179">
                  <c:v>44831</c:v>
                </c:pt>
                <c:pt idx="180">
                  <c:v>44830</c:v>
                </c:pt>
                <c:pt idx="181">
                  <c:v>44827</c:v>
                </c:pt>
                <c:pt idx="182">
                  <c:v>44826</c:v>
                </c:pt>
                <c:pt idx="183">
                  <c:v>44825</c:v>
                </c:pt>
                <c:pt idx="184">
                  <c:v>44824</c:v>
                </c:pt>
                <c:pt idx="185">
                  <c:v>44823</c:v>
                </c:pt>
                <c:pt idx="186">
                  <c:v>44820</c:v>
                </c:pt>
                <c:pt idx="187">
                  <c:v>44819</c:v>
                </c:pt>
                <c:pt idx="188">
                  <c:v>44818</c:v>
                </c:pt>
                <c:pt idx="189">
                  <c:v>44817</c:v>
                </c:pt>
                <c:pt idx="190">
                  <c:v>44816</c:v>
                </c:pt>
                <c:pt idx="191">
                  <c:v>44813</c:v>
                </c:pt>
                <c:pt idx="192">
                  <c:v>44812</c:v>
                </c:pt>
                <c:pt idx="193">
                  <c:v>44811</c:v>
                </c:pt>
                <c:pt idx="194">
                  <c:v>44810</c:v>
                </c:pt>
                <c:pt idx="195">
                  <c:v>44806</c:v>
                </c:pt>
                <c:pt idx="196">
                  <c:v>44805</c:v>
                </c:pt>
                <c:pt idx="197">
                  <c:v>44804</c:v>
                </c:pt>
                <c:pt idx="198">
                  <c:v>44803</c:v>
                </c:pt>
                <c:pt idx="199">
                  <c:v>44802</c:v>
                </c:pt>
                <c:pt idx="200">
                  <c:v>44799</c:v>
                </c:pt>
                <c:pt idx="201">
                  <c:v>44798</c:v>
                </c:pt>
                <c:pt idx="202">
                  <c:v>44797</c:v>
                </c:pt>
                <c:pt idx="203">
                  <c:v>44796</c:v>
                </c:pt>
                <c:pt idx="204">
                  <c:v>44795</c:v>
                </c:pt>
                <c:pt idx="205">
                  <c:v>44792</c:v>
                </c:pt>
                <c:pt idx="206">
                  <c:v>44791</c:v>
                </c:pt>
                <c:pt idx="207">
                  <c:v>44790</c:v>
                </c:pt>
                <c:pt idx="208">
                  <c:v>44789</c:v>
                </c:pt>
                <c:pt idx="209">
                  <c:v>44788</c:v>
                </c:pt>
                <c:pt idx="210">
                  <c:v>44785</c:v>
                </c:pt>
                <c:pt idx="211">
                  <c:v>44784</c:v>
                </c:pt>
                <c:pt idx="212">
                  <c:v>44783</c:v>
                </c:pt>
                <c:pt idx="213">
                  <c:v>44782</c:v>
                </c:pt>
                <c:pt idx="214">
                  <c:v>44781</c:v>
                </c:pt>
                <c:pt idx="215">
                  <c:v>44778</c:v>
                </c:pt>
                <c:pt idx="216">
                  <c:v>44777</c:v>
                </c:pt>
                <c:pt idx="217">
                  <c:v>44776</c:v>
                </c:pt>
                <c:pt idx="218">
                  <c:v>44775</c:v>
                </c:pt>
                <c:pt idx="219">
                  <c:v>44774</c:v>
                </c:pt>
                <c:pt idx="220">
                  <c:v>44771</c:v>
                </c:pt>
                <c:pt idx="221">
                  <c:v>44770</c:v>
                </c:pt>
                <c:pt idx="222">
                  <c:v>44769</c:v>
                </c:pt>
                <c:pt idx="223">
                  <c:v>44768</c:v>
                </c:pt>
                <c:pt idx="224">
                  <c:v>44767</c:v>
                </c:pt>
                <c:pt idx="225">
                  <c:v>44764</c:v>
                </c:pt>
                <c:pt idx="226">
                  <c:v>44763</c:v>
                </c:pt>
                <c:pt idx="227">
                  <c:v>44762</c:v>
                </c:pt>
                <c:pt idx="228">
                  <c:v>44761</c:v>
                </c:pt>
                <c:pt idx="229">
                  <c:v>44760</c:v>
                </c:pt>
                <c:pt idx="230">
                  <c:v>44757</c:v>
                </c:pt>
                <c:pt idx="231">
                  <c:v>44756</c:v>
                </c:pt>
                <c:pt idx="232">
                  <c:v>44755</c:v>
                </c:pt>
                <c:pt idx="233">
                  <c:v>44754</c:v>
                </c:pt>
                <c:pt idx="234">
                  <c:v>44753</c:v>
                </c:pt>
                <c:pt idx="235">
                  <c:v>44750</c:v>
                </c:pt>
                <c:pt idx="236">
                  <c:v>44749</c:v>
                </c:pt>
                <c:pt idx="237">
                  <c:v>44748</c:v>
                </c:pt>
                <c:pt idx="238">
                  <c:v>44747</c:v>
                </c:pt>
                <c:pt idx="239">
                  <c:v>44743</c:v>
                </c:pt>
                <c:pt idx="240">
                  <c:v>44742</c:v>
                </c:pt>
                <c:pt idx="241">
                  <c:v>44741</c:v>
                </c:pt>
                <c:pt idx="242">
                  <c:v>44740</c:v>
                </c:pt>
                <c:pt idx="243">
                  <c:v>44739</c:v>
                </c:pt>
                <c:pt idx="244">
                  <c:v>44736</c:v>
                </c:pt>
                <c:pt idx="245">
                  <c:v>44735</c:v>
                </c:pt>
                <c:pt idx="246">
                  <c:v>44734</c:v>
                </c:pt>
                <c:pt idx="247">
                  <c:v>44733</c:v>
                </c:pt>
              </c:numCache>
            </c:numRef>
          </c:cat>
          <c:val>
            <c:numRef>
              <c:f>'Bond Yield time series'!$R$3:$R$250</c:f>
              <c:numCache>
                <c:formatCode>General</c:formatCode>
                <c:ptCount val="248"/>
                <c:pt idx="0">
                  <c:v>5.3659999999999997</c:v>
                </c:pt>
                <c:pt idx="1">
                  <c:v>5.3559999999999999</c:v>
                </c:pt>
                <c:pt idx="2">
                  <c:v>5.4340000000000002</c:v>
                </c:pt>
                <c:pt idx="3">
                  <c:v>5.484</c:v>
                </c:pt>
                <c:pt idx="4">
                  <c:v>5.452</c:v>
                </c:pt>
                <c:pt idx="5">
                  <c:v>5.4770000000000003</c:v>
                </c:pt>
                <c:pt idx="6">
                  <c:v>5.4480000000000004</c:v>
                </c:pt>
                <c:pt idx="7">
                  <c:v>5.52</c:v>
                </c:pt>
                <c:pt idx="8">
                  <c:v>5.4210000000000003</c:v>
                </c:pt>
                <c:pt idx="9">
                  <c:v>5.4550000000000001</c:v>
                </c:pt>
                <c:pt idx="10">
                  <c:v>5.4409999999999998</c:v>
                </c:pt>
                <c:pt idx="11">
                  <c:v>5.4009999999999998</c:v>
                </c:pt>
                <c:pt idx="12">
                  <c:v>5.407</c:v>
                </c:pt>
                <c:pt idx="13">
                  <c:v>5.4459999999999997</c:v>
                </c:pt>
                <c:pt idx="14">
                  <c:v>5.5549999999999997</c:v>
                </c:pt>
                <c:pt idx="15">
                  <c:v>5.5890000000000004</c:v>
                </c:pt>
                <c:pt idx="16">
                  <c:v>5.5659999999999998</c:v>
                </c:pt>
                <c:pt idx="17">
                  <c:v>5.56</c:v>
                </c:pt>
                <c:pt idx="18">
                  <c:v>5.5730000000000004</c:v>
                </c:pt>
                <c:pt idx="19">
                  <c:v>5.56</c:v>
                </c:pt>
                <c:pt idx="20">
                  <c:v>5.5279999999999996</c:v>
                </c:pt>
                <c:pt idx="21">
                  <c:v>5.5</c:v>
                </c:pt>
                <c:pt idx="22">
                  <c:v>5.5129999999999999</c:v>
                </c:pt>
                <c:pt idx="23">
                  <c:v>5.468</c:v>
                </c:pt>
                <c:pt idx="24">
                  <c:v>5.3849999999999998</c:v>
                </c:pt>
                <c:pt idx="25">
                  <c:v>5.3390000000000004</c:v>
                </c:pt>
                <c:pt idx="26">
                  <c:v>5.39</c:v>
                </c:pt>
                <c:pt idx="27">
                  <c:v>5.4349999999999996</c:v>
                </c:pt>
                <c:pt idx="28">
                  <c:v>5.4210000000000003</c:v>
                </c:pt>
                <c:pt idx="29">
                  <c:v>5.335</c:v>
                </c:pt>
                <c:pt idx="30">
                  <c:v>5.3129999999999997</c:v>
                </c:pt>
                <c:pt idx="31">
                  <c:v>5.2549999999999999</c:v>
                </c:pt>
                <c:pt idx="32">
                  <c:v>5.2809999999999997</c:v>
                </c:pt>
                <c:pt idx="33">
                  <c:v>5.3860000000000001</c:v>
                </c:pt>
                <c:pt idx="34">
                  <c:v>5.1929999999999996</c:v>
                </c:pt>
                <c:pt idx="35">
                  <c:v>5.258</c:v>
                </c:pt>
                <c:pt idx="36">
                  <c:v>5.2009999999999996</c:v>
                </c:pt>
                <c:pt idx="37">
                  <c:v>5.15</c:v>
                </c:pt>
                <c:pt idx="38">
                  <c:v>5.2060000000000004</c:v>
                </c:pt>
                <c:pt idx="39">
                  <c:v>5.2539999999999996</c:v>
                </c:pt>
                <c:pt idx="40">
                  <c:v>5.2869999999999999</c:v>
                </c:pt>
                <c:pt idx="41">
                  <c:v>5.3289999999999997</c:v>
                </c:pt>
                <c:pt idx="42">
                  <c:v>5.3070000000000004</c:v>
                </c:pt>
                <c:pt idx="43">
                  <c:v>5.3220000000000001</c:v>
                </c:pt>
                <c:pt idx="44">
                  <c:v>5.2880000000000003</c:v>
                </c:pt>
                <c:pt idx="45">
                  <c:v>5.2130000000000001</c:v>
                </c:pt>
                <c:pt idx="46">
                  <c:v>5.2069999999999999</c:v>
                </c:pt>
                <c:pt idx="47">
                  <c:v>5.1790000000000003</c:v>
                </c:pt>
                <c:pt idx="48">
                  <c:v>5.1779999999999999</c:v>
                </c:pt>
                <c:pt idx="49">
                  <c:v>5.1159999999999997</c:v>
                </c:pt>
                <c:pt idx="50">
                  <c:v>5.1189999999999998</c:v>
                </c:pt>
                <c:pt idx="51">
                  <c:v>5.12</c:v>
                </c:pt>
                <c:pt idx="52">
                  <c:v>5.181</c:v>
                </c:pt>
                <c:pt idx="53">
                  <c:v>5.2039999999999997</c:v>
                </c:pt>
                <c:pt idx="54">
                  <c:v>5.2789999999999999</c:v>
                </c:pt>
                <c:pt idx="55">
                  <c:v>5.343</c:v>
                </c:pt>
                <c:pt idx="56">
                  <c:v>5.3570000000000002</c:v>
                </c:pt>
                <c:pt idx="57">
                  <c:v>5.3150000000000004</c:v>
                </c:pt>
                <c:pt idx="58">
                  <c:v>5.2690000000000001</c:v>
                </c:pt>
                <c:pt idx="59">
                  <c:v>5.359</c:v>
                </c:pt>
                <c:pt idx="60">
                  <c:v>5.3310000000000004</c:v>
                </c:pt>
                <c:pt idx="61">
                  <c:v>5.3869999999999996</c:v>
                </c:pt>
                <c:pt idx="62">
                  <c:v>5.4740000000000002</c:v>
                </c:pt>
                <c:pt idx="63">
                  <c:v>5.4420000000000002</c:v>
                </c:pt>
                <c:pt idx="64">
                  <c:v>5.5060000000000002</c:v>
                </c:pt>
                <c:pt idx="65">
                  <c:v>5.52</c:v>
                </c:pt>
                <c:pt idx="66">
                  <c:v>5.601</c:v>
                </c:pt>
                <c:pt idx="67">
                  <c:v>5.601</c:v>
                </c:pt>
                <c:pt idx="68">
                  <c:v>5.4050000000000002</c:v>
                </c:pt>
                <c:pt idx="69">
                  <c:v>5.5709999999999997</c:v>
                </c:pt>
                <c:pt idx="70">
                  <c:v>5.5380000000000003</c:v>
                </c:pt>
                <c:pt idx="71">
                  <c:v>5.5350000000000001</c:v>
                </c:pt>
                <c:pt idx="72">
                  <c:v>5.55</c:v>
                </c:pt>
                <c:pt idx="73">
                  <c:v>5.4939999999999998</c:v>
                </c:pt>
                <c:pt idx="74">
                  <c:v>5.6420000000000003</c:v>
                </c:pt>
                <c:pt idx="75">
                  <c:v>5.6689999999999996</c:v>
                </c:pt>
                <c:pt idx="76">
                  <c:v>5.5880000000000001</c:v>
                </c:pt>
                <c:pt idx="77">
                  <c:v>5.6029999999999998</c:v>
                </c:pt>
                <c:pt idx="78">
                  <c:v>5.5590000000000002</c:v>
                </c:pt>
                <c:pt idx="79">
                  <c:v>5.51</c:v>
                </c:pt>
                <c:pt idx="80">
                  <c:v>5.5810000000000004</c:v>
                </c:pt>
                <c:pt idx="81">
                  <c:v>5.6340000000000003</c:v>
                </c:pt>
                <c:pt idx="82">
                  <c:v>5.48</c:v>
                </c:pt>
                <c:pt idx="83">
                  <c:v>5.4989999999999997</c:v>
                </c:pt>
                <c:pt idx="84">
                  <c:v>5.4</c:v>
                </c:pt>
                <c:pt idx="85">
                  <c:v>5.359</c:v>
                </c:pt>
                <c:pt idx="86">
                  <c:v>5.3650000000000002</c:v>
                </c:pt>
                <c:pt idx="87">
                  <c:v>5.3650000000000002</c:v>
                </c:pt>
                <c:pt idx="88">
                  <c:v>5.2670000000000003</c:v>
                </c:pt>
                <c:pt idx="89">
                  <c:v>5.1970000000000001</c:v>
                </c:pt>
                <c:pt idx="90">
                  <c:v>5.2009999999999996</c:v>
                </c:pt>
                <c:pt idx="91">
                  <c:v>5.13</c:v>
                </c:pt>
                <c:pt idx="92">
                  <c:v>5.0590000000000002</c:v>
                </c:pt>
                <c:pt idx="93">
                  <c:v>4.9829999999999997</c:v>
                </c:pt>
                <c:pt idx="94">
                  <c:v>4.9889999999999999</c:v>
                </c:pt>
                <c:pt idx="95">
                  <c:v>5.0620000000000003</c:v>
                </c:pt>
                <c:pt idx="96">
                  <c:v>5.141</c:v>
                </c:pt>
                <c:pt idx="97">
                  <c:v>5.1040000000000001</c:v>
                </c:pt>
                <c:pt idx="98">
                  <c:v>5.0650000000000004</c:v>
                </c:pt>
                <c:pt idx="99">
                  <c:v>5.0540000000000003</c:v>
                </c:pt>
                <c:pt idx="100">
                  <c:v>5.069</c:v>
                </c:pt>
                <c:pt idx="101">
                  <c:v>5.1509999999999998</c:v>
                </c:pt>
                <c:pt idx="102">
                  <c:v>5.1529999999999996</c:v>
                </c:pt>
                <c:pt idx="103">
                  <c:v>5.0469999999999997</c:v>
                </c:pt>
                <c:pt idx="104">
                  <c:v>5.0030000000000001</c:v>
                </c:pt>
                <c:pt idx="105">
                  <c:v>5.109</c:v>
                </c:pt>
                <c:pt idx="106">
                  <c:v>5.0999999999999996</c:v>
                </c:pt>
                <c:pt idx="107">
                  <c:v>5.0670000000000002</c:v>
                </c:pt>
                <c:pt idx="108">
                  <c:v>5.1379999999999999</c:v>
                </c:pt>
                <c:pt idx="109">
                  <c:v>5.2850000000000001</c:v>
                </c:pt>
                <c:pt idx="110">
                  <c:v>5.2110000000000003</c:v>
                </c:pt>
                <c:pt idx="111">
                  <c:v>5.2880000000000003</c:v>
                </c:pt>
                <c:pt idx="112">
                  <c:v>5.3470000000000004</c:v>
                </c:pt>
                <c:pt idx="113">
                  <c:v>5.3970000000000002</c:v>
                </c:pt>
                <c:pt idx="114">
                  <c:v>5.4630000000000001</c:v>
                </c:pt>
                <c:pt idx="115">
                  <c:v>5.4749999999999996</c:v>
                </c:pt>
                <c:pt idx="116">
                  <c:v>5.452</c:v>
                </c:pt>
                <c:pt idx="117">
                  <c:v>5.51</c:v>
                </c:pt>
                <c:pt idx="118">
                  <c:v>5.4710000000000001</c:v>
                </c:pt>
                <c:pt idx="119">
                  <c:v>5.3390000000000004</c:v>
                </c:pt>
                <c:pt idx="120">
                  <c:v>5.2770000000000001</c:v>
                </c:pt>
                <c:pt idx="121">
                  <c:v>5.2729999999999997</c:v>
                </c:pt>
                <c:pt idx="122">
                  <c:v>5.2949999999999999</c:v>
                </c:pt>
                <c:pt idx="123">
                  <c:v>5.1710000000000003</c:v>
                </c:pt>
                <c:pt idx="124">
                  <c:v>5.0709999999999997</c:v>
                </c:pt>
                <c:pt idx="125">
                  <c:v>4.984</c:v>
                </c:pt>
                <c:pt idx="126">
                  <c:v>4.9880000000000004</c:v>
                </c:pt>
                <c:pt idx="127">
                  <c:v>4.9939999999999998</c:v>
                </c:pt>
                <c:pt idx="128">
                  <c:v>5.0549999999999997</c:v>
                </c:pt>
                <c:pt idx="129">
                  <c:v>5.0599999999999996</c:v>
                </c:pt>
                <c:pt idx="130">
                  <c:v>5.0170000000000003</c:v>
                </c:pt>
                <c:pt idx="131">
                  <c:v>5.0190000000000001</c:v>
                </c:pt>
                <c:pt idx="132">
                  <c:v>5.157</c:v>
                </c:pt>
                <c:pt idx="133">
                  <c:v>5.2110000000000003</c:v>
                </c:pt>
                <c:pt idx="134">
                  <c:v>5.117</c:v>
                </c:pt>
                <c:pt idx="135">
                  <c:v>5.2069999999999999</c:v>
                </c:pt>
                <c:pt idx="136">
                  <c:v>5.3739999999999997</c:v>
                </c:pt>
                <c:pt idx="137">
                  <c:v>5.4470000000000001</c:v>
                </c:pt>
                <c:pt idx="138">
                  <c:v>5.3460000000000001</c:v>
                </c:pt>
                <c:pt idx="139">
                  <c:v>5.3360000000000003</c:v>
                </c:pt>
                <c:pt idx="140">
                  <c:v>5.2450000000000001</c:v>
                </c:pt>
                <c:pt idx="141">
                  <c:v>5.415</c:v>
                </c:pt>
                <c:pt idx="142">
                  <c:v>5.5439999999999996</c:v>
                </c:pt>
                <c:pt idx="143">
                  <c:v>5.5519999999999996</c:v>
                </c:pt>
                <c:pt idx="144">
                  <c:v>5.5140000000000002</c:v>
                </c:pt>
                <c:pt idx="145">
                  <c:v>5.492</c:v>
                </c:pt>
                <c:pt idx="146">
                  <c:v>5.5990000000000002</c:v>
                </c:pt>
                <c:pt idx="147">
                  <c:v>5.7350000000000003</c:v>
                </c:pt>
                <c:pt idx="148">
                  <c:v>5.76</c:v>
                </c:pt>
                <c:pt idx="149">
                  <c:v>6.0259999999999998</c:v>
                </c:pt>
                <c:pt idx="150">
                  <c:v>6.016</c:v>
                </c:pt>
                <c:pt idx="151">
                  <c:v>6.0529999999999999</c:v>
                </c:pt>
                <c:pt idx="152">
                  <c:v>6.0069999999999997</c:v>
                </c:pt>
                <c:pt idx="153">
                  <c:v>5.99</c:v>
                </c:pt>
                <c:pt idx="154">
                  <c:v>5.9080000000000004</c:v>
                </c:pt>
                <c:pt idx="155">
                  <c:v>5.8769999999999998</c:v>
                </c:pt>
                <c:pt idx="156">
                  <c:v>5.97</c:v>
                </c:pt>
                <c:pt idx="157">
                  <c:v>5.9269999999999996</c:v>
                </c:pt>
                <c:pt idx="158">
                  <c:v>5.915</c:v>
                </c:pt>
                <c:pt idx="159">
                  <c:v>5.9829999999999997</c:v>
                </c:pt>
                <c:pt idx="160">
                  <c:v>6.0910000000000002</c:v>
                </c:pt>
                <c:pt idx="161">
                  <c:v>6.2119999999999997</c:v>
                </c:pt>
                <c:pt idx="162">
                  <c:v>6.2160000000000002</c:v>
                </c:pt>
                <c:pt idx="163">
                  <c:v>6.1180000000000003</c:v>
                </c:pt>
                <c:pt idx="164">
                  <c:v>6.0209999999999999</c:v>
                </c:pt>
                <c:pt idx="165">
                  <c:v>5.88</c:v>
                </c:pt>
                <c:pt idx="166">
                  <c:v>5.9180000000000001</c:v>
                </c:pt>
                <c:pt idx="167">
                  <c:v>5.952</c:v>
                </c:pt>
                <c:pt idx="168">
                  <c:v>5.883</c:v>
                </c:pt>
                <c:pt idx="169">
                  <c:v>5.835</c:v>
                </c:pt>
                <c:pt idx="170">
                  <c:v>5.7830000000000004</c:v>
                </c:pt>
                <c:pt idx="171">
                  <c:v>5.6970000000000001</c:v>
                </c:pt>
                <c:pt idx="172">
                  <c:v>5.5940000000000003</c:v>
                </c:pt>
                <c:pt idx="173">
                  <c:v>5.6260000000000003</c:v>
                </c:pt>
                <c:pt idx="174">
                  <c:v>5.5940000000000003</c:v>
                </c:pt>
                <c:pt idx="175">
                  <c:v>5.6440000000000001</c:v>
                </c:pt>
                <c:pt idx="176">
                  <c:v>5.7569999999999997</c:v>
                </c:pt>
                <c:pt idx="177">
                  <c:v>5.7850000000000001</c:v>
                </c:pt>
                <c:pt idx="178">
                  <c:v>5.68</c:v>
                </c:pt>
                <c:pt idx="179">
                  <c:v>5.7789999999999999</c:v>
                </c:pt>
                <c:pt idx="180">
                  <c:v>5.6260000000000003</c:v>
                </c:pt>
                <c:pt idx="181">
                  <c:v>5.5389999999999997</c:v>
                </c:pt>
                <c:pt idx="182">
                  <c:v>5.5259999999999998</c:v>
                </c:pt>
                <c:pt idx="183">
                  <c:v>5.3730000000000002</c:v>
                </c:pt>
                <c:pt idx="184">
                  <c:v>5.4329999999999998</c:v>
                </c:pt>
                <c:pt idx="185">
                  <c:v>5.3650000000000002</c:v>
                </c:pt>
                <c:pt idx="186">
                  <c:v>5.3970000000000002</c:v>
                </c:pt>
                <c:pt idx="187">
                  <c:v>5.3550000000000004</c:v>
                </c:pt>
                <c:pt idx="188">
                  <c:v>5.319</c:v>
                </c:pt>
                <c:pt idx="189">
                  <c:v>5.3609999999999998</c:v>
                </c:pt>
                <c:pt idx="190">
                  <c:v>5.3179999999999996</c:v>
                </c:pt>
                <c:pt idx="191">
                  <c:v>5.306</c:v>
                </c:pt>
                <c:pt idx="192">
                  <c:v>5.3659999999999997</c:v>
                </c:pt>
                <c:pt idx="193">
                  <c:v>5.2919999999999998</c:v>
                </c:pt>
                <c:pt idx="194">
                  <c:v>5.423</c:v>
                </c:pt>
                <c:pt idx="195">
                  <c:v>5.218</c:v>
                </c:pt>
                <c:pt idx="196">
                  <c:v>5.2969999999999997</c:v>
                </c:pt>
                <c:pt idx="197">
                  <c:v>5.1390000000000002</c:v>
                </c:pt>
                <c:pt idx="198">
                  <c:v>5.0839999999999996</c:v>
                </c:pt>
                <c:pt idx="199">
                  <c:v>5.0949999999999998</c:v>
                </c:pt>
                <c:pt idx="200">
                  <c:v>5</c:v>
                </c:pt>
                <c:pt idx="201">
                  <c:v>4.9930000000000003</c:v>
                </c:pt>
                <c:pt idx="202">
                  <c:v>5.101</c:v>
                </c:pt>
                <c:pt idx="203">
                  <c:v>5.069</c:v>
                </c:pt>
                <c:pt idx="204">
                  <c:v>5.048</c:v>
                </c:pt>
                <c:pt idx="205">
                  <c:v>4.984</c:v>
                </c:pt>
                <c:pt idx="206">
                  <c:v>4.8479999999999999</c:v>
                </c:pt>
                <c:pt idx="207">
                  <c:v>4.8689999999999998</c:v>
                </c:pt>
                <c:pt idx="208">
                  <c:v>4.774</c:v>
                </c:pt>
                <c:pt idx="209">
                  <c:v>4.7709999999999999</c:v>
                </c:pt>
                <c:pt idx="210">
                  <c:v>4.7539999999999996</c:v>
                </c:pt>
                <c:pt idx="211">
                  <c:v>4.8239999999999998</c:v>
                </c:pt>
                <c:pt idx="212">
                  <c:v>4.7960000000000003</c:v>
                </c:pt>
                <c:pt idx="213">
                  <c:v>4.7910000000000004</c:v>
                </c:pt>
                <c:pt idx="214">
                  <c:v>4.782</c:v>
                </c:pt>
                <c:pt idx="215">
                  <c:v>4.851</c:v>
                </c:pt>
                <c:pt idx="216">
                  <c:v>4.7130000000000001</c:v>
                </c:pt>
                <c:pt idx="217">
                  <c:v>4.7030000000000003</c:v>
                </c:pt>
                <c:pt idx="218">
                  <c:v>4.7939999999999996</c:v>
                </c:pt>
                <c:pt idx="219">
                  <c:v>4.665</c:v>
                </c:pt>
                <c:pt idx="220">
                  <c:v>4.76</c:v>
                </c:pt>
                <c:pt idx="221">
                  <c:v>4.7640000000000002</c:v>
                </c:pt>
                <c:pt idx="222">
                  <c:v>4.7889999999999997</c:v>
                </c:pt>
                <c:pt idx="223">
                  <c:v>4.8719999999999999</c:v>
                </c:pt>
                <c:pt idx="224">
                  <c:v>4.843</c:v>
                </c:pt>
                <c:pt idx="225">
                  <c:v>4.7240000000000002</c:v>
                </c:pt>
                <c:pt idx="226">
                  <c:v>4.8220000000000001</c:v>
                </c:pt>
                <c:pt idx="227">
                  <c:v>4.92</c:v>
                </c:pt>
                <c:pt idx="228">
                  <c:v>4.9560000000000004</c:v>
                </c:pt>
                <c:pt idx="229">
                  <c:v>4.9210000000000003</c:v>
                </c:pt>
                <c:pt idx="230">
                  <c:v>4.9400000000000004</c:v>
                </c:pt>
                <c:pt idx="231">
                  <c:v>4.9930000000000003</c:v>
                </c:pt>
                <c:pt idx="232">
                  <c:v>4.9379999999999997</c:v>
                </c:pt>
                <c:pt idx="233">
                  <c:v>4.9950000000000001</c:v>
                </c:pt>
                <c:pt idx="234">
                  <c:v>5.0069999999999997</c:v>
                </c:pt>
                <c:pt idx="235">
                  <c:v>5.0810000000000004</c:v>
                </c:pt>
                <c:pt idx="236">
                  <c:v>5.101</c:v>
                </c:pt>
                <c:pt idx="237">
                  <c:v>5.0609999999999999</c:v>
                </c:pt>
                <c:pt idx="238">
                  <c:v>5.0570000000000004</c:v>
                </c:pt>
                <c:pt idx="239">
                  <c:v>5.0919999999999996</c:v>
                </c:pt>
                <c:pt idx="240">
                  <c:v>5.1180000000000003</c:v>
                </c:pt>
                <c:pt idx="241">
                  <c:v>5.1310000000000002</c:v>
                </c:pt>
                <c:pt idx="242">
                  <c:v>5.1829999999999998</c:v>
                </c:pt>
                <c:pt idx="243">
                  <c:v>5.1470000000000002</c:v>
                </c:pt>
                <c:pt idx="244">
                  <c:v>5.1520000000000001</c:v>
                </c:pt>
                <c:pt idx="245">
                  <c:v>5.1130000000000004</c:v>
                </c:pt>
                <c:pt idx="246">
                  <c:v>5.1360000000000001</c:v>
                </c:pt>
                <c:pt idx="247">
                  <c:v>5.2370000000000001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20-4CBF-8FAD-3F6591C8B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129440"/>
        <c:axId val="871129768"/>
      </c:lineChart>
      <c:dateAx>
        <c:axId val="8711294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29768"/>
        <c:crosses val="autoZero"/>
        <c:auto val="1"/>
        <c:lblOffset val="100"/>
        <c:baseTimeUnit val="days"/>
      </c:dateAx>
      <c:valAx>
        <c:axId val="871129768"/>
        <c:scaling>
          <c:orientation val="minMax"/>
          <c:max val="6.5"/>
          <c:min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29440"/>
        <c:crosses val="autoZero"/>
        <c:crossBetween val="between"/>
        <c:majorUnit val="0.5"/>
      </c:valAx>
      <c:spPr>
        <a:solidFill>
          <a:schemeClr val="tx1">
            <a:lumMod val="65000"/>
            <a:lumOff val="3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0</xdr:row>
      <xdr:rowOff>104775</xdr:rowOff>
    </xdr:from>
    <xdr:to>
      <xdr:col>11</xdr:col>
      <xdr:colOff>37308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2FC30D-5B9F-FBB0-C18D-BD2DA792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104775"/>
          <a:ext cx="6333333" cy="68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22</xdr:row>
      <xdr:rowOff>19050</xdr:rowOff>
    </xdr:from>
    <xdr:to>
      <xdr:col>9</xdr:col>
      <xdr:colOff>123825</xdr:colOff>
      <xdr:row>37</xdr:row>
      <xdr:rowOff>37794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9EC9E0-84BC-4786-86D9-9466181AA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" y="4486275"/>
          <a:ext cx="7534275" cy="2447619"/>
        </a:xfrm>
        <a:prstGeom prst="rect">
          <a:avLst/>
        </a:prstGeom>
      </xdr:spPr>
    </xdr:pic>
    <xdr:clientData/>
  </xdr:twoCellAnchor>
  <xdr:twoCellAnchor>
    <xdr:from>
      <xdr:col>4</xdr:col>
      <xdr:colOff>428624</xdr:colOff>
      <xdr:row>41</xdr:row>
      <xdr:rowOff>47625</xdr:rowOff>
    </xdr:from>
    <xdr:to>
      <xdr:col>10</xdr:col>
      <xdr:colOff>533399</xdr:colOff>
      <xdr:row>55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5B2A27-343C-4143-8A12-9DF84FF2A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41</xdr:row>
      <xdr:rowOff>28575</xdr:rowOff>
    </xdr:from>
    <xdr:to>
      <xdr:col>4</xdr:col>
      <xdr:colOff>419100</xdr:colOff>
      <xdr:row>54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501E2FA-2BFE-4905-8902-D1A4BA5DB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4</xdr:row>
      <xdr:rowOff>47625</xdr:rowOff>
    </xdr:from>
    <xdr:to>
      <xdr:col>12</xdr:col>
      <xdr:colOff>237211</xdr:colOff>
      <xdr:row>38</xdr:row>
      <xdr:rowOff>104080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27C28E-F384-E35D-2E55-98B2A20A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695325"/>
          <a:ext cx="7314286" cy="55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1</xdr:row>
      <xdr:rowOff>133350</xdr:rowOff>
    </xdr:from>
    <xdr:to>
      <xdr:col>12</xdr:col>
      <xdr:colOff>542925</xdr:colOff>
      <xdr:row>18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E244AB-1729-45E1-775E-3FE44F215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166687</xdr:colOff>
      <xdr:row>2</xdr:row>
      <xdr:rowOff>66675</xdr:rowOff>
    </xdr:from>
    <xdr:to>
      <xdr:col>25</xdr:col>
      <xdr:colOff>471487</xdr:colOff>
      <xdr:row>19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4FF54E-49ED-1DEA-9D66-F5D67B17B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0</xdr:row>
      <xdr:rowOff>0</xdr:rowOff>
    </xdr:from>
    <xdr:to>
      <xdr:col>11</xdr:col>
      <xdr:colOff>523030</xdr:colOff>
      <xdr:row>23</xdr:row>
      <xdr:rowOff>94773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51E914-96B1-92DB-C4F2-4BD50F9DF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0"/>
          <a:ext cx="6761905" cy="38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</xdr:row>
      <xdr:rowOff>95250</xdr:rowOff>
    </xdr:from>
    <xdr:to>
      <xdr:col>23</xdr:col>
      <xdr:colOff>275382</xdr:colOff>
      <xdr:row>23</xdr:row>
      <xdr:rowOff>123376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C25EA2-E97B-9B9D-A533-8BA3DB807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257175"/>
          <a:ext cx="6742857" cy="35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12</xdr:col>
      <xdr:colOff>551467</xdr:colOff>
      <xdr:row>26</xdr:row>
      <xdr:rowOff>104239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751C6D-468E-155D-D949-E550AEF29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575"/>
          <a:ext cx="7866667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152400</xdr:rowOff>
    </xdr:from>
    <xdr:to>
      <xdr:col>12</xdr:col>
      <xdr:colOff>503848</xdr:colOff>
      <xdr:row>55</xdr:row>
      <xdr:rowOff>56575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E87092-DE09-14A2-3935-AED84C997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2450"/>
          <a:ext cx="7819048" cy="4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2</xdr:row>
      <xdr:rowOff>57150</xdr:rowOff>
    </xdr:from>
    <xdr:to>
      <xdr:col>27</xdr:col>
      <xdr:colOff>170444</xdr:colOff>
      <xdr:row>40</xdr:row>
      <xdr:rowOff>65905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05C1E8-BE56-43AD-ED13-8FD79285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2025" y="381000"/>
          <a:ext cx="8047619" cy="61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40</xdr:row>
      <xdr:rowOff>104775</xdr:rowOff>
    </xdr:from>
    <xdr:to>
      <xdr:col>27</xdr:col>
      <xdr:colOff>151396</xdr:colOff>
      <xdr:row>64</xdr:row>
      <xdr:rowOff>47146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8A6C77-CB87-FC05-0A85-49B01DB72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2025" y="6581775"/>
          <a:ext cx="8028571" cy="3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64</xdr:row>
      <xdr:rowOff>19050</xdr:rowOff>
    </xdr:from>
    <xdr:to>
      <xdr:col>27</xdr:col>
      <xdr:colOff>370448</xdr:colOff>
      <xdr:row>102</xdr:row>
      <xdr:rowOff>161138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67D6A-A05C-B8ED-3995-28E6D098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10600" y="10382250"/>
          <a:ext cx="8219048" cy="62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102</xdr:row>
      <xdr:rowOff>104775</xdr:rowOff>
    </xdr:from>
    <xdr:to>
      <xdr:col>27</xdr:col>
      <xdr:colOff>237106</xdr:colOff>
      <xdr:row>143</xdr:row>
      <xdr:rowOff>8707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31B3F9-C33C-9805-8EBA-3CB3459C9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925" y="16621125"/>
          <a:ext cx="8152381" cy="654285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Houge, Todd" id="{63CB7976-2219-4519-A8A8-847A630BF026}" userId="S::thouge@uiowa.edu::ab51677d-f663-4a05-8ce5-3399db59e38e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9" dT="2021-01-12T17:43:11.01" personId="{63CB7976-2219-4519-A8A8-847A630BF026}" id="{F9714180-F228-4A36-B404-4A221A8B4335}">
    <text>May be estimated by using the average payout ratio, applying a growth rate to the prior year's dividend, or on a per share basis.</text>
  </threadedComment>
  <threadedComment ref="C50" dT="2021-01-12T17:40:24.62" personId="{63CB7976-2219-4519-A8A8-847A630BF026}" id="{44F8742D-73BC-4D31-9BCF-B501CB8782BB}">
    <text>Total dividends paid is subtracted from retained earnings (RE) on the B/S and also listed on the CF statement.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4"/>
  <sheetViews>
    <sheetView showGridLines="0" workbookViewId="0"/>
  </sheetViews>
  <sheetFormatPr defaultColWidth="9.140625" defaultRowHeight="15" x14ac:dyDescent="0.25"/>
  <cols>
    <col min="1" max="1" width="25.85546875" style="2" customWidth="1"/>
    <col min="2" max="2" width="10.7109375" style="37" bestFit="1" customWidth="1"/>
    <col min="3" max="16384" width="9.140625" style="2"/>
  </cols>
  <sheetData>
    <row r="1" spans="1:33" x14ac:dyDescent="0.25">
      <c r="A1" s="43" t="s">
        <v>78</v>
      </c>
      <c r="O1" s="1" t="str">
        <f>A1</f>
        <v>Molson Coors</v>
      </c>
    </row>
    <row r="2" spans="1:33" x14ac:dyDescent="0.25">
      <c r="A2" s="3" t="s">
        <v>5</v>
      </c>
      <c r="O2" s="3" t="s">
        <v>28</v>
      </c>
    </row>
    <row r="4" spans="1:33" ht="15.75" thickBot="1" x14ac:dyDescent="0.3">
      <c r="A4" s="2" t="s">
        <v>3</v>
      </c>
      <c r="B4" s="26" t="s">
        <v>79</v>
      </c>
      <c r="Q4" s="278" t="s">
        <v>29</v>
      </c>
      <c r="R4" s="278"/>
      <c r="S4" s="278"/>
      <c r="T4" s="278"/>
      <c r="U4" s="278"/>
      <c r="V4" s="278"/>
      <c r="W4" s="278"/>
      <c r="AA4" s="278" t="s">
        <v>36</v>
      </c>
      <c r="AB4" s="278"/>
      <c r="AC4" s="278"/>
      <c r="AD4" s="278"/>
      <c r="AE4" s="278"/>
      <c r="AF4" s="278"/>
      <c r="AG4" s="278"/>
    </row>
    <row r="5" spans="1:33" x14ac:dyDescent="0.25">
      <c r="A5" s="2" t="s">
        <v>8</v>
      </c>
      <c r="B5" s="44">
        <v>50</v>
      </c>
      <c r="P5" s="54"/>
      <c r="Q5" s="55"/>
      <c r="R5" s="56"/>
      <c r="S5" s="56"/>
      <c r="T5" s="56"/>
      <c r="U5" s="56"/>
      <c r="V5" s="56"/>
      <c r="W5" s="57"/>
      <c r="Z5" s="54"/>
      <c r="AA5" s="55"/>
      <c r="AB5" s="56"/>
      <c r="AC5" s="56"/>
      <c r="AD5" s="56"/>
      <c r="AE5" s="56"/>
      <c r="AF5" s="56"/>
      <c r="AG5" s="57"/>
    </row>
    <row r="6" spans="1:33" ht="15" customHeight="1" x14ac:dyDescent="0.25">
      <c r="A6" s="2" t="s">
        <v>17</v>
      </c>
      <c r="B6" s="45">
        <v>44986</v>
      </c>
      <c r="O6" s="277" t="s">
        <v>30</v>
      </c>
      <c r="P6" s="58"/>
      <c r="Q6" s="64"/>
      <c r="R6" s="65"/>
      <c r="S6" s="65"/>
      <c r="T6" s="65"/>
      <c r="U6" s="65"/>
      <c r="V6" s="65"/>
      <c r="W6" s="66"/>
      <c r="Y6" s="277" t="s">
        <v>37</v>
      </c>
      <c r="Z6" s="58"/>
      <c r="AA6" s="64"/>
      <c r="AB6" s="65"/>
      <c r="AC6" s="65"/>
      <c r="AD6" s="65"/>
      <c r="AE6" s="65"/>
      <c r="AF6" s="65"/>
      <c r="AG6" s="66"/>
    </row>
    <row r="7" spans="1:33" x14ac:dyDescent="0.25">
      <c r="A7" s="2" t="s">
        <v>22</v>
      </c>
      <c r="B7" s="73" t="s">
        <v>9</v>
      </c>
      <c r="O7" s="277"/>
      <c r="P7" s="59"/>
      <c r="Q7" s="67"/>
      <c r="R7" s="68"/>
      <c r="S7" s="68"/>
      <c r="T7" s="68"/>
      <c r="U7" s="68"/>
      <c r="V7" s="68"/>
      <c r="W7" s="69"/>
      <c r="Y7" s="277"/>
      <c r="Z7" s="59"/>
      <c r="AA7" s="67"/>
      <c r="AB7" s="68"/>
      <c r="AC7" s="68"/>
      <c r="AD7" s="68"/>
      <c r="AE7" s="68"/>
      <c r="AF7" s="68"/>
      <c r="AG7" s="69"/>
    </row>
    <row r="8" spans="1:33" x14ac:dyDescent="0.25">
      <c r="A8" s="2" t="s">
        <v>26</v>
      </c>
      <c r="B8" s="45">
        <v>44926</v>
      </c>
      <c r="O8" s="277"/>
      <c r="P8" s="59"/>
      <c r="Q8" s="67"/>
      <c r="R8" s="68"/>
      <c r="S8" s="68"/>
      <c r="T8" s="68"/>
      <c r="U8" s="68"/>
      <c r="V8" s="68"/>
      <c r="W8" s="69"/>
      <c r="Y8" s="277"/>
      <c r="Z8" s="59"/>
      <c r="AA8" s="67"/>
      <c r="AB8" s="68"/>
      <c r="AC8" s="68"/>
      <c r="AD8" s="68"/>
      <c r="AE8" s="68"/>
      <c r="AF8" s="68"/>
      <c r="AG8" s="69"/>
    </row>
    <row r="9" spans="1:33" x14ac:dyDescent="0.25">
      <c r="A9" s="2" t="s">
        <v>27</v>
      </c>
      <c r="B9" s="45">
        <v>45291</v>
      </c>
      <c r="O9" s="277"/>
      <c r="P9" s="59"/>
      <c r="Q9" s="67"/>
      <c r="R9" s="68"/>
      <c r="S9" s="68"/>
      <c r="T9" s="68"/>
      <c r="U9" s="68"/>
      <c r="V9" s="68"/>
      <c r="W9" s="69"/>
      <c r="Y9" s="277"/>
      <c r="Z9" s="59"/>
      <c r="AA9" s="67"/>
      <c r="AB9" s="68"/>
      <c r="AC9" s="68"/>
      <c r="AD9" s="68"/>
      <c r="AE9" s="68"/>
      <c r="AF9" s="68"/>
      <c r="AG9" s="69"/>
    </row>
    <row r="10" spans="1:33" x14ac:dyDescent="0.25">
      <c r="A10" s="2" t="s">
        <v>11</v>
      </c>
      <c r="B10" s="46">
        <v>0.05</v>
      </c>
      <c r="O10" s="277"/>
      <c r="P10" s="59"/>
      <c r="Q10" s="67"/>
      <c r="R10" s="68"/>
      <c r="S10" s="68"/>
      <c r="T10" s="68"/>
      <c r="U10" s="68"/>
      <c r="V10" s="68"/>
      <c r="W10" s="69"/>
      <c r="Y10" s="277"/>
      <c r="Z10" s="59"/>
      <c r="AA10" s="67"/>
      <c r="AB10" s="68"/>
      <c r="AC10" s="68"/>
      <c r="AD10" s="68"/>
      <c r="AE10" s="68"/>
      <c r="AF10" s="68"/>
      <c r="AG10" s="69"/>
    </row>
    <row r="11" spans="1:33" x14ac:dyDescent="0.25">
      <c r="A11" s="2" t="s">
        <v>12</v>
      </c>
      <c r="B11" s="47">
        <v>1</v>
      </c>
      <c r="O11" s="277"/>
      <c r="P11" s="59"/>
      <c r="Q11" s="67"/>
      <c r="R11" s="68"/>
      <c r="S11" s="68"/>
      <c r="T11" s="68"/>
      <c r="U11" s="68"/>
      <c r="V11" s="68"/>
      <c r="W11" s="69"/>
      <c r="Y11" s="277"/>
      <c r="Z11" s="59"/>
      <c r="AA11" s="67"/>
      <c r="AB11" s="68"/>
      <c r="AC11" s="68"/>
      <c r="AD11" s="68"/>
      <c r="AE11" s="68"/>
      <c r="AF11" s="68"/>
      <c r="AG11" s="69"/>
    </row>
    <row r="12" spans="1:33" ht="15.75" thickBot="1" x14ac:dyDescent="0.3">
      <c r="A12" s="2" t="s">
        <v>13</v>
      </c>
      <c r="B12" s="46">
        <v>0.03</v>
      </c>
      <c r="O12" s="277"/>
      <c r="P12" s="60"/>
      <c r="Q12" s="70"/>
      <c r="R12" s="71"/>
      <c r="S12" s="71"/>
      <c r="T12" s="71"/>
      <c r="U12" s="71"/>
      <c r="V12" s="71"/>
      <c r="W12" s="72"/>
      <c r="Y12" s="277"/>
      <c r="Z12" s="60"/>
      <c r="AA12" s="70"/>
      <c r="AB12" s="71"/>
      <c r="AC12" s="71"/>
      <c r="AD12" s="71"/>
      <c r="AE12" s="71"/>
      <c r="AF12" s="71"/>
      <c r="AG12" s="72"/>
    </row>
    <row r="13" spans="1:33" x14ac:dyDescent="0.25">
      <c r="A13" s="2" t="s">
        <v>16</v>
      </c>
      <c r="B13" s="46">
        <v>0.05</v>
      </c>
      <c r="P13" s="53"/>
      <c r="Q13" s="53"/>
      <c r="R13" s="53"/>
      <c r="S13" s="53"/>
      <c r="T13" s="53"/>
      <c r="U13" s="53"/>
      <c r="V13" s="53"/>
      <c r="W13" s="53"/>
      <c r="Z13" s="53"/>
      <c r="AA13" s="53"/>
      <c r="AB13" s="53"/>
      <c r="AC13" s="53"/>
      <c r="AD13" s="53"/>
      <c r="AE13" s="53"/>
      <c r="AF13" s="53"/>
      <c r="AG13" s="53"/>
    </row>
    <row r="14" spans="1:33" x14ac:dyDescent="0.25">
      <c r="A14" s="2" t="s">
        <v>14</v>
      </c>
      <c r="B14" s="46">
        <v>2.5000000000000001E-2</v>
      </c>
      <c r="P14" s="53"/>
      <c r="Q14" s="53"/>
      <c r="R14" s="53"/>
      <c r="S14" s="53"/>
      <c r="T14" s="53"/>
      <c r="U14" s="53"/>
      <c r="V14" s="53"/>
      <c r="W14" s="53"/>
      <c r="Z14" s="53"/>
      <c r="AA14" s="53"/>
      <c r="AB14" s="53"/>
      <c r="AC14" s="53"/>
      <c r="AD14" s="53"/>
      <c r="AE14" s="53"/>
      <c r="AF14" s="53"/>
      <c r="AG14" s="53"/>
    </row>
    <row r="15" spans="1:33" ht="15.75" thickBot="1" x14ac:dyDescent="0.3">
      <c r="A15" s="2" t="s">
        <v>19</v>
      </c>
      <c r="B15" s="46">
        <v>2.5000000000000001E-2</v>
      </c>
      <c r="Q15" s="278" t="s">
        <v>31</v>
      </c>
      <c r="R15" s="278"/>
      <c r="S15" s="278"/>
      <c r="T15" s="278"/>
      <c r="U15" s="278"/>
      <c r="V15" s="278"/>
      <c r="W15" s="278"/>
      <c r="AA15" s="278" t="s">
        <v>38</v>
      </c>
      <c r="AB15" s="278"/>
      <c r="AC15" s="278"/>
      <c r="AD15" s="278"/>
      <c r="AE15" s="278"/>
      <c r="AF15" s="278"/>
      <c r="AG15" s="278"/>
    </row>
    <row r="16" spans="1:33" x14ac:dyDescent="0.25">
      <c r="A16" s="2" t="s">
        <v>4</v>
      </c>
      <c r="B16" s="46">
        <v>0</v>
      </c>
      <c r="P16" s="54"/>
      <c r="Q16" s="55"/>
      <c r="R16" s="56"/>
      <c r="S16" s="56"/>
      <c r="T16" s="56"/>
      <c r="U16" s="56"/>
      <c r="V16" s="56"/>
      <c r="W16" s="57"/>
      <c r="Z16" s="54"/>
      <c r="AA16" s="55"/>
      <c r="AB16" s="56"/>
      <c r="AC16" s="56"/>
      <c r="AD16" s="56"/>
      <c r="AE16" s="56"/>
      <c r="AF16" s="56"/>
      <c r="AG16" s="57"/>
    </row>
    <row r="17" spans="1:33" x14ac:dyDescent="0.25">
      <c r="A17" s="2" t="s">
        <v>65</v>
      </c>
      <c r="B17" s="46">
        <v>0.22</v>
      </c>
      <c r="O17" s="277" t="s">
        <v>34</v>
      </c>
      <c r="P17" s="58"/>
      <c r="Q17" s="64"/>
      <c r="R17" s="65"/>
      <c r="S17" s="65"/>
      <c r="T17" s="65"/>
      <c r="U17" s="65"/>
      <c r="V17" s="65"/>
      <c r="W17" s="66"/>
      <c r="Y17" s="277" t="s">
        <v>39</v>
      </c>
      <c r="Z17" s="58"/>
      <c r="AA17" s="64"/>
      <c r="AB17" s="65"/>
      <c r="AC17" s="65"/>
      <c r="AD17" s="65"/>
      <c r="AE17" s="65"/>
      <c r="AF17" s="65"/>
      <c r="AG17" s="66"/>
    </row>
    <row r="18" spans="1:33" x14ac:dyDescent="0.25">
      <c r="A18" s="2" t="s">
        <v>66</v>
      </c>
      <c r="B18" s="46">
        <v>0.25</v>
      </c>
      <c r="O18" s="277"/>
      <c r="P18" s="59"/>
      <c r="Q18" s="67"/>
      <c r="R18" s="68"/>
      <c r="S18" s="68"/>
      <c r="T18" s="68"/>
      <c r="U18" s="68"/>
      <c r="V18" s="68"/>
      <c r="W18" s="69"/>
      <c r="Y18" s="277"/>
      <c r="Z18" s="59"/>
      <c r="AA18" s="67"/>
      <c r="AB18" s="68"/>
      <c r="AC18" s="68"/>
      <c r="AD18" s="68"/>
      <c r="AE18" s="68"/>
      <c r="AF18" s="68"/>
      <c r="AG18" s="69"/>
    </row>
    <row r="19" spans="1:33" x14ac:dyDescent="0.25">
      <c r="A19" s="2" t="s">
        <v>35</v>
      </c>
      <c r="B19" s="41" t="e">
        <f>#REF!</f>
        <v>#REF!</v>
      </c>
      <c r="O19" s="277"/>
      <c r="P19" s="59"/>
      <c r="Q19" s="67"/>
      <c r="R19" s="68"/>
      <c r="S19" s="68"/>
      <c r="T19" s="68"/>
      <c r="U19" s="68"/>
      <c r="V19" s="68"/>
      <c r="W19" s="69"/>
      <c r="Y19" s="277"/>
      <c r="Z19" s="59"/>
      <c r="AA19" s="67"/>
      <c r="AB19" s="68"/>
      <c r="AC19" s="68"/>
      <c r="AD19" s="68"/>
      <c r="AE19" s="68"/>
      <c r="AF19" s="68"/>
      <c r="AG19" s="69"/>
    </row>
    <row r="20" spans="1:33" x14ac:dyDescent="0.25">
      <c r="A20" s="2" t="s">
        <v>43</v>
      </c>
      <c r="B20" s="41" t="e">
        <f>#REF!</f>
        <v>#REF!</v>
      </c>
      <c r="O20" s="277"/>
      <c r="P20" s="59"/>
      <c r="Q20" s="67"/>
      <c r="R20" s="68"/>
      <c r="S20" s="68"/>
      <c r="T20" s="68"/>
      <c r="U20" s="68"/>
      <c r="V20" s="68"/>
      <c r="W20" s="69"/>
      <c r="Y20" s="277"/>
      <c r="Z20" s="59"/>
      <c r="AA20" s="67"/>
      <c r="AB20" s="68"/>
      <c r="AC20" s="68"/>
      <c r="AD20" s="68"/>
      <c r="AE20" s="68"/>
      <c r="AF20" s="68"/>
      <c r="AG20" s="69"/>
    </row>
    <row r="21" spans="1:33" x14ac:dyDescent="0.25">
      <c r="A21" s="2" t="s">
        <v>57</v>
      </c>
      <c r="B21" s="46">
        <v>0.02</v>
      </c>
      <c r="O21" s="277"/>
      <c r="P21" s="59"/>
      <c r="Q21" s="67"/>
      <c r="R21" s="68"/>
      <c r="S21" s="68"/>
      <c r="T21" s="68"/>
      <c r="U21" s="68"/>
      <c r="V21" s="68"/>
      <c r="W21" s="69"/>
      <c r="Y21" s="277"/>
      <c r="Z21" s="59"/>
      <c r="AA21" s="67"/>
      <c r="AB21" s="68"/>
      <c r="AC21" s="68"/>
      <c r="AD21" s="68"/>
      <c r="AE21" s="68"/>
      <c r="AF21" s="68"/>
      <c r="AG21" s="69"/>
    </row>
    <row r="22" spans="1:33" x14ac:dyDescent="0.25">
      <c r="O22" s="277"/>
      <c r="P22" s="59"/>
      <c r="Q22" s="67"/>
      <c r="R22" s="68"/>
      <c r="S22" s="68"/>
      <c r="T22" s="68"/>
      <c r="U22" s="68"/>
      <c r="V22" s="68"/>
      <c r="W22" s="69"/>
      <c r="Y22" s="277"/>
      <c r="Z22" s="59"/>
      <c r="AA22" s="67"/>
      <c r="AB22" s="68"/>
      <c r="AC22" s="68"/>
      <c r="AD22" s="68"/>
      <c r="AE22" s="68"/>
      <c r="AF22" s="68"/>
      <c r="AG22" s="69"/>
    </row>
    <row r="23" spans="1:33" ht="15.75" thickBot="1" x14ac:dyDescent="0.3">
      <c r="O23" s="277"/>
      <c r="P23" s="60"/>
      <c r="Q23" s="70"/>
      <c r="R23" s="71"/>
      <c r="S23" s="71"/>
      <c r="T23" s="71"/>
      <c r="U23" s="71"/>
      <c r="V23" s="71"/>
      <c r="W23" s="72"/>
      <c r="Y23" s="277"/>
      <c r="Z23" s="60"/>
      <c r="AA23" s="70"/>
      <c r="AB23" s="71"/>
      <c r="AC23" s="71"/>
      <c r="AD23" s="71"/>
      <c r="AE23" s="71"/>
      <c r="AF23" s="71"/>
      <c r="AG23" s="72"/>
    </row>
    <row r="26" spans="1:33" ht="15.75" thickBot="1" x14ac:dyDescent="0.3">
      <c r="Q26" s="278" t="s">
        <v>32</v>
      </c>
      <c r="R26" s="278"/>
      <c r="S26" s="278"/>
      <c r="T26" s="278"/>
      <c r="U26" s="278"/>
      <c r="V26" s="278"/>
      <c r="W26" s="278"/>
      <c r="AA26" s="278" t="s">
        <v>40</v>
      </c>
      <c r="AB26" s="278"/>
      <c r="AC26" s="278"/>
      <c r="AD26" s="278"/>
      <c r="AE26" s="278"/>
      <c r="AF26" s="278"/>
      <c r="AG26" s="278"/>
    </row>
    <row r="27" spans="1:33" x14ac:dyDescent="0.25">
      <c r="P27" s="54"/>
      <c r="Q27" s="55"/>
      <c r="R27" s="56"/>
      <c r="S27" s="56"/>
      <c r="T27" s="56"/>
      <c r="U27" s="56"/>
      <c r="V27" s="56"/>
      <c r="W27" s="57"/>
      <c r="Z27" s="54"/>
      <c r="AA27" s="55"/>
      <c r="AB27" s="56"/>
      <c r="AC27" s="56"/>
      <c r="AD27" s="56"/>
      <c r="AE27" s="56"/>
      <c r="AF27" s="56"/>
      <c r="AG27" s="57"/>
    </row>
    <row r="28" spans="1:33" x14ac:dyDescent="0.25">
      <c r="O28" s="277" t="s">
        <v>33</v>
      </c>
      <c r="P28" s="58"/>
      <c r="Q28" s="64"/>
      <c r="R28" s="65"/>
      <c r="S28" s="65"/>
      <c r="T28" s="65"/>
      <c r="U28" s="65"/>
      <c r="V28" s="65"/>
      <c r="W28" s="66"/>
      <c r="Y28" s="277" t="s">
        <v>41</v>
      </c>
      <c r="Z28" s="58"/>
      <c r="AA28" s="64"/>
      <c r="AB28" s="65"/>
      <c r="AC28" s="65"/>
      <c r="AD28" s="65"/>
      <c r="AE28" s="65"/>
      <c r="AF28" s="65"/>
      <c r="AG28" s="66"/>
    </row>
    <row r="29" spans="1:33" x14ac:dyDescent="0.25">
      <c r="O29" s="277"/>
      <c r="P29" s="59"/>
      <c r="Q29" s="67"/>
      <c r="R29" s="68"/>
      <c r="S29" s="68"/>
      <c r="T29" s="68"/>
      <c r="U29" s="68"/>
      <c r="V29" s="68"/>
      <c r="W29" s="69"/>
      <c r="Y29" s="277"/>
      <c r="Z29" s="59"/>
      <c r="AA29" s="67"/>
      <c r="AB29" s="68"/>
      <c r="AC29" s="68"/>
      <c r="AD29" s="68"/>
      <c r="AE29" s="68"/>
      <c r="AF29" s="68"/>
      <c r="AG29" s="69"/>
    </row>
    <row r="30" spans="1:33" x14ac:dyDescent="0.25">
      <c r="O30" s="277"/>
      <c r="P30" s="59"/>
      <c r="Q30" s="67"/>
      <c r="R30" s="68"/>
      <c r="S30" s="68"/>
      <c r="T30" s="68"/>
      <c r="U30" s="68"/>
      <c r="V30" s="68"/>
      <c r="W30" s="69"/>
      <c r="Y30" s="277"/>
      <c r="Z30" s="59"/>
      <c r="AA30" s="67"/>
      <c r="AB30" s="68"/>
      <c r="AC30" s="68"/>
      <c r="AD30" s="68"/>
      <c r="AE30" s="68"/>
      <c r="AF30" s="68"/>
      <c r="AG30" s="69"/>
    </row>
    <row r="31" spans="1:33" x14ac:dyDescent="0.25">
      <c r="O31" s="277"/>
      <c r="P31" s="59"/>
      <c r="Q31" s="67"/>
      <c r="R31" s="68"/>
      <c r="S31" s="68"/>
      <c r="T31" s="68"/>
      <c r="U31" s="68"/>
      <c r="V31" s="68"/>
      <c r="W31" s="69"/>
      <c r="Y31" s="277"/>
      <c r="Z31" s="59"/>
      <c r="AA31" s="67"/>
      <c r="AB31" s="68"/>
      <c r="AC31" s="68"/>
      <c r="AD31" s="68"/>
      <c r="AE31" s="68"/>
      <c r="AF31" s="68"/>
      <c r="AG31" s="69"/>
    </row>
    <row r="32" spans="1:33" x14ac:dyDescent="0.25">
      <c r="O32" s="277"/>
      <c r="P32" s="59"/>
      <c r="Q32" s="67"/>
      <c r="R32" s="68"/>
      <c r="S32" s="68"/>
      <c r="T32" s="68"/>
      <c r="U32" s="68"/>
      <c r="V32" s="68"/>
      <c r="W32" s="69"/>
      <c r="Y32" s="277"/>
      <c r="Z32" s="59"/>
      <c r="AA32" s="67"/>
      <c r="AB32" s="68"/>
      <c r="AC32" s="68"/>
      <c r="AD32" s="68"/>
      <c r="AE32" s="68"/>
      <c r="AF32" s="68"/>
      <c r="AG32" s="69"/>
    </row>
    <row r="33" spans="1:33" x14ac:dyDescent="0.25">
      <c r="O33" s="277"/>
      <c r="P33" s="59"/>
      <c r="Q33" s="67"/>
      <c r="R33" s="68"/>
      <c r="S33" s="68"/>
      <c r="T33" s="68"/>
      <c r="U33" s="68"/>
      <c r="V33" s="68"/>
      <c r="W33" s="69"/>
      <c r="Y33" s="277"/>
      <c r="Z33" s="59"/>
      <c r="AA33" s="67"/>
      <c r="AB33" s="68"/>
      <c r="AC33" s="68"/>
      <c r="AD33" s="68"/>
      <c r="AE33" s="68"/>
      <c r="AF33" s="68"/>
      <c r="AG33" s="69"/>
    </row>
    <row r="34" spans="1:33" ht="15.75" thickBot="1" x14ac:dyDescent="0.3">
      <c r="O34" s="277"/>
      <c r="P34" s="60"/>
      <c r="Q34" s="70"/>
      <c r="R34" s="71"/>
      <c r="S34" s="71"/>
      <c r="T34" s="71"/>
      <c r="U34" s="71"/>
      <c r="V34" s="71"/>
      <c r="W34" s="72"/>
      <c r="Y34" s="277"/>
      <c r="Z34" s="60"/>
      <c r="AA34" s="70"/>
      <c r="AB34" s="71"/>
      <c r="AC34" s="71"/>
      <c r="AD34" s="71"/>
      <c r="AE34" s="71"/>
      <c r="AF34" s="71"/>
      <c r="AG34" s="72"/>
    </row>
    <row r="35" spans="1:33" x14ac:dyDescent="0.25">
      <c r="O35" s="74"/>
      <c r="P35" s="53"/>
      <c r="Q35" s="68"/>
      <c r="R35" s="68"/>
      <c r="S35" s="68"/>
      <c r="T35" s="68"/>
      <c r="U35" s="68"/>
      <c r="V35" s="68"/>
      <c r="W35" s="68"/>
      <c r="Y35" s="74"/>
      <c r="Z35" s="53"/>
      <c r="AA35" s="68"/>
      <c r="AB35" s="68"/>
      <c r="AC35" s="68"/>
      <c r="AD35" s="68"/>
      <c r="AE35" s="68"/>
      <c r="AF35" s="68"/>
      <c r="AG35" s="68"/>
    </row>
    <row r="36" spans="1:33" x14ac:dyDescent="0.25">
      <c r="O36" s="62"/>
      <c r="P36" s="53"/>
      <c r="Q36" s="53"/>
      <c r="R36" s="53"/>
      <c r="S36" s="53"/>
      <c r="T36" s="53"/>
      <c r="U36" s="53"/>
      <c r="V36" s="53"/>
      <c r="W36" s="53"/>
      <c r="Y36" s="62"/>
      <c r="Z36" s="53"/>
      <c r="AA36" s="53"/>
      <c r="AB36" s="53"/>
      <c r="AC36" s="53"/>
      <c r="AD36" s="53"/>
      <c r="AE36" s="53"/>
      <c r="AF36" s="53"/>
      <c r="AG36" s="53"/>
    </row>
    <row r="37" spans="1:33" x14ac:dyDescent="0.25">
      <c r="A37" s="3" t="s">
        <v>59</v>
      </c>
    </row>
    <row r="38" spans="1:33" ht="15.75" thickBot="1" x14ac:dyDescent="0.3">
      <c r="A38" s="49"/>
      <c r="B38" s="49"/>
      <c r="C38" s="49">
        <v>2022</v>
      </c>
      <c r="D38" s="49" t="s">
        <v>15</v>
      </c>
      <c r="E38" s="49" t="s">
        <v>18</v>
      </c>
      <c r="F38" s="49" t="s">
        <v>20</v>
      </c>
      <c r="G38" s="49" t="s">
        <v>21</v>
      </c>
      <c r="H38" s="49" t="s">
        <v>23</v>
      </c>
      <c r="I38" s="49" t="s">
        <v>24</v>
      </c>
      <c r="J38" s="49" t="s">
        <v>25</v>
      </c>
      <c r="K38" s="49" t="s">
        <v>42</v>
      </c>
      <c r="L38" s="49" t="s">
        <v>75</v>
      </c>
      <c r="M38" s="49" t="s">
        <v>76</v>
      </c>
      <c r="N38" s="49" t="s">
        <v>77</v>
      </c>
    </row>
    <row r="39" spans="1:33" x14ac:dyDescent="0.25">
      <c r="A39" s="2" t="s">
        <v>44</v>
      </c>
    </row>
    <row r="41" spans="1:33" x14ac:dyDescent="0.25">
      <c r="A41" s="2" t="s">
        <v>45</v>
      </c>
    </row>
    <row r="43" spans="1:33" x14ac:dyDescent="0.25">
      <c r="A43" s="2" t="s">
        <v>56</v>
      </c>
    </row>
    <row r="45" spans="1:33" x14ac:dyDescent="0.25">
      <c r="A45" s="2" t="s">
        <v>58</v>
      </c>
    </row>
    <row r="47" spans="1:33" x14ac:dyDescent="0.25">
      <c r="A47" s="1" t="s">
        <v>71</v>
      </c>
    </row>
    <row r="48" spans="1:33" x14ac:dyDescent="0.25">
      <c r="A48" s="2" t="s">
        <v>72</v>
      </c>
    </row>
    <row r="49" spans="1:15" x14ac:dyDescent="0.25">
      <c r="A49" s="2" t="s">
        <v>73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</row>
    <row r="50" spans="1:15" x14ac:dyDescent="0.25">
      <c r="A50" s="2" t="s">
        <v>74</v>
      </c>
      <c r="C50" s="2">
        <f>C48*C49</f>
        <v>0</v>
      </c>
      <c r="D50" s="2">
        <f t="shared" ref="D50:M50" si="0">D48*D49</f>
        <v>0</v>
      </c>
      <c r="E50" s="2">
        <f t="shared" si="0"/>
        <v>0</v>
      </c>
      <c r="F50" s="2">
        <f t="shared" si="0"/>
        <v>0</v>
      </c>
      <c r="G50" s="2">
        <f t="shared" si="0"/>
        <v>0</v>
      </c>
      <c r="H50" s="2">
        <f t="shared" si="0"/>
        <v>0</v>
      </c>
      <c r="I50" s="2">
        <f t="shared" si="0"/>
        <v>0</v>
      </c>
      <c r="J50" s="2">
        <f t="shared" si="0"/>
        <v>0</v>
      </c>
      <c r="K50" s="2">
        <f t="shared" si="0"/>
        <v>0</v>
      </c>
      <c r="L50" s="2">
        <f t="shared" si="0"/>
        <v>0</v>
      </c>
      <c r="M50" s="2">
        <f t="shared" si="0"/>
        <v>0</v>
      </c>
      <c r="N50" s="2">
        <f t="shared" ref="N50" si="1">N48*N49</f>
        <v>0</v>
      </c>
    </row>
    <row r="51" spans="1:15" customFormat="1" ht="12.75" x14ac:dyDescent="0.2"/>
    <row r="53" spans="1:15" x14ac:dyDescent="0.25">
      <c r="A53" s="3" t="s">
        <v>46</v>
      </c>
    </row>
    <row r="54" spans="1:15" ht="15.75" thickBot="1" x14ac:dyDescent="0.3">
      <c r="A54" s="49"/>
      <c r="B54" s="49"/>
      <c r="C54" s="49">
        <v>2012</v>
      </c>
      <c r="D54" s="49">
        <v>2013</v>
      </c>
      <c r="E54" s="49">
        <v>2014</v>
      </c>
      <c r="F54" s="49">
        <v>2015</v>
      </c>
      <c r="G54" s="49">
        <v>2016</v>
      </c>
      <c r="H54" s="49">
        <v>2017</v>
      </c>
      <c r="I54" s="49">
        <v>2018</v>
      </c>
      <c r="J54" s="49">
        <v>2019</v>
      </c>
      <c r="K54" s="49">
        <v>2020</v>
      </c>
      <c r="L54" s="49">
        <v>2021</v>
      </c>
      <c r="M54" s="49">
        <v>2022</v>
      </c>
      <c r="N54" s="49"/>
    </row>
    <row r="55" spans="1:15" x14ac:dyDescent="0.25">
      <c r="A55" s="1" t="s">
        <v>47</v>
      </c>
    </row>
    <row r="56" spans="1:15" x14ac:dyDescent="0.25">
      <c r="A56" s="2" t="s">
        <v>48</v>
      </c>
    </row>
    <row r="57" spans="1:15" ht="15.75" thickBot="1" x14ac:dyDescent="0.3">
      <c r="A57" s="2" t="s">
        <v>49</v>
      </c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8"/>
    </row>
    <row r="58" spans="1:15" ht="15.75" thickBot="1" x14ac:dyDescent="0.3">
      <c r="A58" s="2" t="s">
        <v>50</v>
      </c>
      <c r="C58" s="61" t="e">
        <f>C56/C57</f>
        <v>#DIV/0!</v>
      </c>
      <c r="D58" s="61" t="e">
        <f t="shared" ref="D58:M58" si="2">D56/D57</f>
        <v>#DIV/0!</v>
      </c>
      <c r="E58" s="61" t="e">
        <f t="shared" si="2"/>
        <v>#DIV/0!</v>
      </c>
      <c r="F58" s="61" t="e">
        <f t="shared" si="2"/>
        <v>#DIV/0!</v>
      </c>
      <c r="G58" s="61" t="e">
        <f t="shared" si="2"/>
        <v>#DIV/0!</v>
      </c>
      <c r="H58" s="61" t="e">
        <f t="shared" si="2"/>
        <v>#DIV/0!</v>
      </c>
      <c r="I58" s="61" t="e">
        <f t="shared" si="2"/>
        <v>#DIV/0!</v>
      </c>
      <c r="J58" s="61" t="e">
        <f t="shared" si="2"/>
        <v>#DIV/0!</v>
      </c>
      <c r="K58" s="61" t="e">
        <f t="shared" si="2"/>
        <v>#DIV/0!</v>
      </c>
      <c r="L58" s="61" t="e">
        <f t="shared" si="2"/>
        <v>#DIV/0!</v>
      </c>
      <c r="M58" s="61" t="e">
        <f t="shared" si="2"/>
        <v>#DIV/0!</v>
      </c>
      <c r="N58" s="63" t="e">
        <f>AVERAGE(C58:M58)</f>
        <v>#DIV/0!</v>
      </c>
      <c r="O58" s="2" t="s">
        <v>2</v>
      </c>
    </row>
    <row r="60" spans="1:15" x14ac:dyDescent="0.25">
      <c r="A60" s="1" t="s">
        <v>51</v>
      </c>
    </row>
    <row r="61" spans="1:15" x14ac:dyDescent="0.25">
      <c r="A61" s="2" t="s">
        <v>53</v>
      </c>
    </row>
    <row r="62" spans="1:15" x14ac:dyDescent="0.25">
      <c r="A62" s="2" t="s">
        <v>52</v>
      </c>
    </row>
    <row r="63" spans="1:15" x14ac:dyDescent="0.25">
      <c r="A63" s="2" t="s">
        <v>54</v>
      </c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</row>
    <row r="64" spans="1:15" x14ac:dyDescent="0.25">
      <c r="A64" s="2" t="s">
        <v>55</v>
      </c>
      <c r="C64" s="61">
        <f>SUM(C61:C63)</f>
        <v>0</v>
      </c>
      <c r="D64" s="61">
        <f t="shared" ref="D64:M64" si="3">SUM(D61:D63)</f>
        <v>0</v>
      </c>
      <c r="E64" s="61">
        <f t="shared" si="3"/>
        <v>0</v>
      </c>
      <c r="F64" s="61">
        <f t="shared" si="3"/>
        <v>0</v>
      </c>
      <c r="G64" s="61">
        <f t="shared" si="3"/>
        <v>0</v>
      </c>
      <c r="H64" s="61">
        <f t="shared" si="3"/>
        <v>0</v>
      </c>
      <c r="I64" s="61">
        <f t="shared" si="3"/>
        <v>0</v>
      </c>
      <c r="J64" s="61">
        <f t="shared" si="3"/>
        <v>0</v>
      </c>
      <c r="K64" s="61">
        <f t="shared" si="3"/>
        <v>0</v>
      </c>
      <c r="L64" s="61">
        <f t="shared" si="3"/>
        <v>0</v>
      </c>
      <c r="M64" s="61">
        <f t="shared" si="3"/>
        <v>0</v>
      </c>
      <c r="N64" s="61"/>
    </row>
    <row r="66" spans="1:15" x14ac:dyDescent="0.25">
      <c r="A66" s="1" t="s">
        <v>60</v>
      </c>
    </row>
    <row r="67" spans="1:15" x14ac:dyDescent="0.25">
      <c r="A67" s="2" t="s">
        <v>61</v>
      </c>
    </row>
    <row r="68" spans="1:15" ht="15.75" thickBot="1" x14ac:dyDescent="0.3">
      <c r="A68" s="2" t="s">
        <v>62</v>
      </c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8"/>
    </row>
    <row r="69" spans="1:15" ht="15.75" thickBot="1" x14ac:dyDescent="0.3">
      <c r="A69" s="2" t="s">
        <v>63</v>
      </c>
      <c r="C69" s="61" t="e">
        <f>C67/C68</f>
        <v>#DIV/0!</v>
      </c>
      <c r="D69" s="61" t="e">
        <f t="shared" ref="D69" si="4">D67/D68</f>
        <v>#DIV/0!</v>
      </c>
      <c r="E69" s="61" t="e">
        <f t="shared" ref="E69" si="5">E67/E68</f>
        <v>#DIV/0!</v>
      </c>
      <c r="F69" s="61" t="e">
        <f t="shared" ref="F69" si="6">F67/F68</f>
        <v>#DIV/0!</v>
      </c>
      <c r="G69" s="61" t="e">
        <f t="shared" ref="G69" si="7">G67/G68</f>
        <v>#DIV/0!</v>
      </c>
      <c r="H69" s="61" t="e">
        <f t="shared" ref="H69" si="8">H67/H68</f>
        <v>#DIV/0!</v>
      </c>
      <c r="I69" s="61" t="e">
        <f t="shared" ref="I69" si="9">I67/I68</f>
        <v>#DIV/0!</v>
      </c>
      <c r="J69" s="61" t="e">
        <f t="shared" ref="J69" si="10">J67/J68</f>
        <v>#DIV/0!</v>
      </c>
      <c r="K69" s="61" t="e">
        <f t="shared" ref="K69" si="11">K67/K68</f>
        <v>#DIV/0!</v>
      </c>
      <c r="L69" s="61" t="e">
        <f t="shared" ref="L69" si="12">L67/L68</f>
        <v>#DIV/0!</v>
      </c>
      <c r="M69" s="61" t="e">
        <f t="shared" ref="M69" si="13">M67/M68</f>
        <v>#DIV/0!</v>
      </c>
      <c r="N69" s="63" t="e">
        <f>MIN(C69:M69)</f>
        <v>#DIV/0!</v>
      </c>
      <c r="O69" s="2" t="s">
        <v>64</v>
      </c>
    </row>
    <row r="71" spans="1:15" x14ac:dyDescent="0.25">
      <c r="A71" s="1" t="s">
        <v>67</v>
      </c>
    </row>
    <row r="72" spans="1:15" x14ac:dyDescent="0.25">
      <c r="A72" s="2" t="s">
        <v>68</v>
      </c>
    </row>
    <row r="73" spans="1:15" ht="15.75" thickBot="1" x14ac:dyDescent="0.3">
      <c r="A73" s="2" t="s">
        <v>69</v>
      </c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</row>
    <row r="74" spans="1:15" ht="15.75" thickBot="1" x14ac:dyDescent="0.3">
      <c r="A74" s="2" t="s">
        <v>70</v>
      </c>
      <c r="C74" s="61" t="e">
        <f>C72/C73</f>
        <v>#DIV/0!</v>
      </c>
      <c r="D74" s="61" t="e">
        <f t="shared" ref="D74" si="14">D72/D73</f>
        <v>#DIV/0!</v>
      </c>
      <c r="E74" s="61" t="e">
        <f t="shared" ref="E74" si="15">E72/E73</f>
        <v>#DIV/0!</v>
      </c>
      <c r="F74" s="61" t="e">
        <f t="shared" ref="F74" si="16">F72/F73</f>
        <v>#DIV/0!</v>
      </c>
      <c r="G74" s="61" t="e">
        <f t="shared" ref="G74" si="17">G72/G73</f>
        <v>#DIV/0!</v>
      </c>
      <c r="H74" s="61" t="e">
        <f t="shared" ref="H74" si="18">H72/H73</f>
        <v>#DIV/0!</v>
      </c>
      <c r="I74" s="61" t="e">
        <f t="shared" ref="I74" si="19">I72/I73</f>
        <v>#DIV/0!</v>
      </c>
      <c r="J74" s="61" t="e">
        <f t="shared" ref="J74" si="20">J72/J73</f>
        <v>#DIV/0!</v>
      </c>
      <c r="K74" s="61" t="e">
        <f t="shared" ref="K74" si="21">K72/K73</f>
        <v>#DIV/0!</v>
      </c>
      <c r="L74" s="61" t="e">
        <f t="shared" ref="L74" si="22">L72/L73</f>
        <v>#DIV/0!</v>
      </c>
      <c r="M74" s="61" t="e">
        <f t="shared" ref="M74" si="23">M72/M73</f>
        <v>#DIV/0!</v>
      </c>
      <c r="N74" s="63" t="e">
        <f>AVERAGE(C74:M74)</f>
        <v>#DIV/0!</v>
      </c>
      <c r="O74" s="2" t="s">
        <v>2</v>
      </c>
    </row>
  </sheetData>
  <mergeCells count="12">
    <mergeCell ref="Y28:Y34"/>
    <mergeCell ref="AA4:AG4"/>
    <mergeCell ref="Y6:Y12"/>
    <mergeCell ref="AA15:AG15"/>
    <mergeCell ref="Y17:Y23"/>
    <mergeCell ref="AA26:AG26"/>
    <mergeCell ref="O28:O34"/>
    <mergeCell ref="Q4:W4"/>
    <mergeCell ref="O6:O12"/>
    <mergeCell ref="Q15:W15"/>
    <mergeCell ref="O17:O23"/>
    <mergeCell ref="Q26:W26"/>
  </mergeCells>
  <phoneticPr fontId="0" type="noConversion"/>
  <pageMargins left="0.75" right="0.75" top="1" bottom="1" header="0.5" footer="0.5"/>
  <pageSetup orientation="portrait" r:id="rId1"/>
  <headerFooter alignWithMargins="0"/>
  <ignoredErrors>
    <ignoredError sqref="C58 D58:N58 C69:N69 C74:N74" evalError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Y1137"/>
  <sheetViews>
    <sheetView showGridLines="0" tabSelected="1" workbookViewId="0">
      <pane xSplit="2" ySplit="4" topLeftCell="D5" activePane="bottomRight" state="frozen"/>
      <selection pane="topRight" activeCell="B1" sqref="B1"/>
      <selection pane="bottomLeft" activeCell="A5" sqref="A5"/>
      <selection pane="bottomRight" activeCell="B1" sqref="B1"/>
    </sheetView>
  </sheetViews>
  <sheetFormatPr defaultColWidth="6.42578125" defaultRowHeight="15" outlineLevelCol="1" x14ac:dyDescent="0.25"/>
  <cols>
    <col min="1" max="1" width="39.7109375" style="2" hidden="1" customWidth="1"/>
    <col min="2" max="2" width="44.28515625" style="23" bestFit="1" customWidth="1"/>
    <col min="3" max="3" width="19.42578125" style="23" hidden="1" customWidth="1"/>
    <col min="4" max="5" width="11.7109375" style="36" customWidth="1"/>
    <col min="6" max="9" width="11.7109375" style="36" hidden="1" customWidth="1" outlineLevel="1"/>
    <col min="10" max="10" width="11.7109375" style="36" customWidth="1" collapsed="1"/>
    <col min="11" max="14" width="11.7109375" style="36" customWidth="1" outlineLevel="1"/>
    <col min="15" max="15" width="11.7109375" style="36" customWidth="1"/>
    <col min="16" max="19" width="11.7109375" style="36" customWidth="1" outlineLevel="1"/>
    <col min="20" max="20" width="11.7109375" style="36" customWidth="1"/>
    <col min="21" max="27" width="11.7109375" style="24" customWidth="1"/>
    <col min="28" max="51" width="6.42578125" style="24"/>
    <col min="52" max="16384" width="6.42578125" style="2"/>
  </cols>
  <sheetData>
    <row r="1" spans="1:51" s="5" customFormat="1" x14ac:dyDescent="0.25">
      <c r="A1" s="126" t="s">
        <v>101</v>
      </c>
      <c r="B1" s="4" t="str">
        <f>Inputs!A1</f>
        <v>Molson Coors</v>
      </c>
      <c r="C1" s="4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</row>
    <row r="2" spans="1:51" s="5" customFormat="1" x14ac:dyDescent="0.25">
      <c r="B2" s="6" t="s">
        <v>10</v>
      </c>
      <c r="C2" s="6"/>
      <c r="D2" s="25"/>
      <c r="E2" s="25"/>
      <c r="F2" s="132" t="s">
        <v>220</v>
      </c>
      <c r="G2" s="132" t="s">
        <v>221</v>
      </c>
      <c r="H2" s="132" t="s">
        <v>222</v>
      </c>
      <c r="I2" s="132" t="s">
        <v>223</v>
      </c>
      <c r="J2" s="25"/>
      <c r="K2" s="131" t="s">
        <v>220</v>
      </c>
      <c r="L2" s="132" t="s">
        <v>221</v>
      </c>
      <c r="M2" s="132" t="s">
        <v>222</v>
      </c>
      <c r="N2" s="132" t="s">
        <v>223</v>
      </c>
      <c r="O2" s="25"/>
      <c r="P2" s="25"/>
      <c r="Q2" s="25"/>
      <c r="R2" s="25"/>
      <c r="S2" s="25"/>
      <c r="T2" s="25"/>
    </row>
    <row r="3" spans="1:51" s="8" customFormat="1" x14ac:dyDescent="0.25">
      <c r="B3" s="7"/>
      <c r="C3" s="7"/>
      <c r="D3" s="27"/>
      <c r="E3" s="27"/>
      <c r="F3" s="133">
        <v>2021</v>
      </c>
      <c r="G3" s="133">
        <v>2021</v>
      </c>
      <c r="H3" s="133">
        <v>2021</v>
      </c>
      <c r="I3" s="133">
        <v>2021</v>
      </c>
      <c r="J3" s="27"/>
      <c r="K3" s="133">
        <v>2022</v>
      </c>
      <c r="L3" s="133">
        <v>2022</v>
      </c>
      <c r="M3" s="133">
        <v>2022</v>
      </c>
      <c r="N3" s="133">
        <v>2022</v>
      </c>
      <c r="O3" s="27"/>
      <c r="P3" s="27"/>
      <c r="Q3" s="27"/>
      <c r="R3" s="27"/>
      <c r="S3" s="27"/>
      <c r="T3" s="2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</row>
    <row r="4" spans="1:51" s="49" customFormat="1" ht="15.75" thickBot="1" x14ac:dyDescent="0.3">
      <c r="B4" s="48" t="str">
        <f>CONCATENATE("Fiscal Years Ending ",Inputs!B7)</f>
        <v>Fiscal Years Ending Dec. 31</v>
      </c>
      <c r="C4" s="168">
        <v>2018</v>
      </c>
      <c r="D4" s="49">
        <v>2019</v>
      </c>
      <c r="E4" s="49">
        <v>2020</v>
      </c>
      <c r="F4" s="49" t="s">
        <v>224</v>
      </c>
      <c r="G4" s="49" t="s">
        <v>225</v>
      </c>
      <c r="H4" s="49" t="s">
        <v>226</v>
      </c>
      <c r="I4" s="49" t="s">
        <v>227</v>
      </c>
      <c r="J4" s="49">
        <v>2021</v>
      </c>
      <c r="K4" s="49" t="s">
        <v>216</v>
      </c>
      <c r="L4" s="49" t="s">
        <v>217</v>
      </c>
      <c r="M4" s="49" t="s">
        <v>218</v>
      </c>
      <c r="N4" s="49" t="s">
        <v>219</v>
      </c>
      <c r="O4" s="49">
        <v>2022</v>
      </c>
      <c r="P4" s="49" t="s">
        <v>92</v>
      </c>
      <c r="Q4" s="49" t="s">
        <v>93</v>
      </c>
      <c r="R4" s="49" t="s">
        <v>94</v>
      </c>
      <c r="S4" s="49" t="s">
        <v>95</v>
      </c>
      <c r="T4" s="49" t="s">
        <v>15</v>
      </c>
      <c r="U4" s="49" t="s">
        <v>18</v>
      </c>
      <c r="V4" s="49" t="s">
        <v>20</v>
      </c>
      <c r="W4" s="49" t="s">
        <v>21</v>
      </c>
      <c r="X4" s="49" t="s">
        <v>23</v>
      </c>
    </row>
    <row r="5" spans="1:51" s="51" customFormat="1" ht="15.75" customHeight="1" x14ac:dyDescent="0.25">
      <c r="A5" s="52" t="s">
        <v>194</v>
      </c>
      <c r="B5" s="51" t="s">
        <v>206</v>
      </c>
      <c r="C5" s="201">
        <f>_xll.BDP($A$1, $A5, "EQY_FUND_RELATIVE_PERIOD", C$4)</f>
        <v>92.141000000000005</v>
      </c>
      <c r="D5" s="238">
        <f>_xll.BDP($A$1, $A5, "EQY_FUND_RELATIVE_PERIOD", D$4)</f>
        <v>88.945999999999998</v>
      </c>
      <c r="E5" s="238">
        <f>_xll.BDP($A$1, $A5, "EQY_FUND_RELATIVE_PERIOD", E$4)</f>
        <v>82.033000000000001</v>
      </c>
      <c r="F5" s="238" cm="1">
        <f t="array" ref="F5">_xll.BDP($A$1, $A5, "EQY_FUND_YEAR", F$3, "FUND_PER", F$2)</f>
        <v>16.248000000000001</v>
      </c>
      <c r="G5" s="238" cm="1">
        <f t="array" ref="G5">_xll.BDP($A$1, $A5, "EQY_FUND_YEAR", G$3, "FUND_PER", G$2)</f>
        <v>22.131</v>
      </c>
      <c r="H5" s="238" cm="1">
        <f t="array" ref="H5">_xll.BDP($A$1, $A5, "EQY_FUND_YEAR", H$3, "FUND_PER", H$2)</f>
        <v>22.541</v>
      </c>
      <c r="I5" s="238" cm="1">
        <f t="array" ref="I5">_xll.BDP($A$1, $A5, "EQY_FUND_YEAR", I$3, "FUND_PER", I$2)</f>
        <v>19.753</v>
      </c>
      <c r="J5" s="238">
        <f>_xll.BDP($A$1, $A5, "EQY_FUND_RELATIVE_PERIOD", J$4)</f>
        <v>80.673000000000002</v>
      </c>
      <c r="K5" s="204" cm="1">
        <f t="array" ref="K5">_xll.BDP($A$1, $A5, "EQY_FUND_YEAR", K$3, "FUND_PER", K$2)</f>
        <v>16.530999999999999</v>
      </c>
      <c r="L5" s="204" cm="1">
        <f t="array" ref="L5">_xll.BDP($A$1, $A5, "EQY_FUND_YEAR", L$3, "FUND_PER", L$2)</f>
        <v>21.74</v>
      </c>
      <c r="M5" s="204" cm="1">
        <f t="array" ref="M5">_xll.BDP($A$1, $A5, "EQY_FUND_YEAR", M$3, "FUND_PER", M$2)</f>
        <v>22.09</v>
      </c>
      <c r="N5" s="204" cm="1">
        <f t="array" ref="N5">_xll.BDP($A$1, $A5, "EQY_FUND_YEAR", N$3, "FUND_PER", N$2)</f>
        <v>18.734999999999999</v>
      </c>
      <c r="O5" s="238">
        <f>_xll.BDP($A$1, $A5, "EQY_FUND_RELATIVE_PERIOD", O$4)</f>
        <v>79.096000000000004</v>
      </c>
      <c r="P5" s="204">
        <v>16.2</v>
      </c>
      <c r="Q5" s="204">
        <f>L5*0.983</f>
        <v>21.370419999999999</v>
      </c>
      <c r="R5" s="204">
        <f>M5*0.975</f>
        <v>21.537749999999999</v>
      </c>
      <c r="S5" s="204">
        <f>N5*0.962</f>
        <v>18.023070000000001</v>
      </c>
      <c r="T5" s="238">
        <f>SUM(P5:S5)</f>
        <v>77.131240000000005</v>
      </c>
      <c r="U5" s="238">
        <f>T5*0.976</f>
        <v>75.280090240000007</v>
      </c>
      <c r="V5" s="238">
        <f>U5*0.985</f>
        <v>74.150888886400011</v>
      </c>
      <c r="W5" s="238">
        <f>V5*0.987</f>
        <v>73.186927330876813</v>
      </c>
      <c r="X5" s="238">
        <f>W5*0.99</f>
        <v>72.455058057568039</v>
      </c>
      <c r="Y5" s="207"/>
      <c r="Z5" s="207"/>
    </row>
    <row r="6" spans="1:51" s="51" customFormat="1" ht="15.75" customHeight="1" x14ac:dyDescent="0.25">
      <c r="A6" s="52"/>
      <c r="B6" s="51" t="s">
        <v>230</v>
      </c>
      <c r="C6" s="201"/>
      <c r="D6" s="250">
        <f>D5/C5-1</f>
        <v>-3.4675117482988127E-2</v>
      </c>
      <c r="E6" s="250">
        <f>E5/D5-1</f>
        <v>-7.7721314055719137E-2</v>
      </c>
      <c r="F6" s="250"/>
      <c r="G6" s="250"/>
      <c r="H6" s="250"/>
      <c r="I6" s="250"/>
      <c r="J6" s="250">
        <f>J5/E5-1</f>
        <v>-1.6578693940243583E-2</v>
      </c>
      <c r="K6" s="202">
        <f>K5/F5-1</f>
        <v>1.74175283111766E-2</v>
      </c>
      <c r="L6" s="202">
        <f t="shared" ref="L6:N6" si="0">L5/G5-1</f>
        <v>-1.7667525190908751E-2</v>
      </c>
      <c r="M6" s="202">
        <f t="shared" si="0"/>
        <v>-2.0007985448737831E-2</v>
      </c>
      <c r="N6" s="202">
        <f t="shared" si="0"/>
        <v>-5.1536475472080179E-2</v>
      </c>
      <c r="O6" s="250">
        <f>O5/J5-1</f>
        <v>-1.9548052012445249E-2</v>
      </c>
      <c r="P6" s="202">
        <f>P5/K5-1</f>
        <v>-2.0022987115117075E-2</v>
      </c>
      <c r="Q6" s="202">
        <f t="shared" ref="Q6:S6" si="1">Q5/L5-1</f>
        <v>-1.7000000000000015E-2</v>
      </c>
      <c r="R6" s="202">
        <f t="shared" si="1"/>
        <v>-2.5000000000000022E-2</v>
      </c>
      <c r="S6" s="202">
        <f t="shared" si="1"/>
        <v>-3.7999999999999923E-2</v>
      </c>
      <c r="T6" s="250">
        <f>T5/O5-1</f>
        <v>-2.4840194194396648E-2</v>
      </c>
      <c r="U6" s="250">
        <f>U5/T5-1</f>
        <v>-2.4000000000000021E-2</v>
      </c>
      <c r="V6" s="250">
        <f t="shared" ref="V6:X6" si="2">V5/U5-1</f>
        <v>-1.4999999999999902E-2</v>
      </c>
      <c r="W6" s="250">
        <f t="shared" si="2"/>
        <v>-1.3000000000000012E-2</v>
      </c>
      <c r="X6" s="250">
        <f t="shared" si="2"/>
        <v>-1.000000000000012E-2</v>
      </c>
      <c r="Y6" s="207"/>
      <c r="Z6" s="207"/>
    </row>
    <row r="7" spans="1:51" s="11" customFormat="1" ht="15.75" customHeight="1" x14ac:dyDescent="0.25">
      <c r="A7" s="76"/>
      <c r="C7" s="166"/>
      <c r="D7" s="251"/>
      <c r="E7" s="251"/>
      <c r="F7" s="251"/>
      <c r="G7" s="251"/>
      <c r="H7" s="251"/>
      <c r="I7" s="251"/>
      <c r="J7" s="251"/>
      <c r="K7" s="194"/>
      <c r="L7" s="194"/>
      <c r="M7" s="194"/>
      <c r="N7" s="194"/>
      <c r="O7" s="251"/>
      <c r="P7" s="194"/>
      <c r="Q7" s="194"/>
      <c r="R7" s="194"/>
      <c r="S7" s="194"/>
      <c r="T7" s="251"/>
      <c r="U7" s="251"/>
      <c r="V7" s="251"/>
      <c r="W7" s="251"/>
      <c r="X7" s="251"/>
      <c r="Y7" s="128"/>
      <c r="Z7" s="128"/>
    </row>
    <row r="8" spans="1:51" s="11" customFormat="1" ht="15.75" customHeight="1" x14ac:dyDescent="0.25">
      <c r="A8" s="76"/>
      <c r="B8" s="11" t="s">
        <v>212</v>
      </c>
      <c r="C8" s="167">
        <f t="shared" ref="C8" si="3">C14+C11</f>
        <v>144.75640594306552</v>
      </c>
      <c r="D8" s="252">
        <f t="shared" ref="D8:P8" si="4">D14+D11</f>
        <v>146.25840397544576</v>
      </c>
      <c r="E8" s="252">
        <f t="shared" si="4"/>
        <v>142.915655894579</v>
      </c>
      <c r="F8" s="252">
        <f t="shared" si="4"/>
        <v>138.85401280157558</v>
      </c>
      <c r="G8" s="252">
        <f t="shared" si="4"/>
        <v>161.04107360715739</v>
      </c>
      <c r="H8" s="252">
        <f t="shared" si="4"/>
        <v>152.40672552238144</v>
      </c>
      <c r="I8" s="252">
        <f t="shared" si="4"/>
        <v>161.71720751278286</v>
      </c>
      <c r="J8" s="252">
        <f t="shared" si="4"/>
        <v>154.32548684194217</v>
      </c>
      <c r="K8" s="195">
        <f t="shared" si="4"/>
        <v>159.89958260238339</v>
      </c>
      <c r="L8" s="195">
        <f t="shared" si="4"/>
        <v>161.05795768169276</v>
      </c>
      <c r="M8" s="195">
        <f t="shared" si="4"/>
        <v>159.23042100497963</v>
      </c>
      <c r="N8" s="195">
        <f t="shared" si="4"/>
        <v>167.88897784894584</v>
      </c>
      <c r="O8" s="252">
        <f t="shared" si="4"/>
        <v>161.92348538484876</v>
      </c>
      <c r="P8" s="195">
        <f t="shared" si="4"/>
        <v>171.48</v>
      </c>
      <c r="Q8" s="195">
        <f>Q33*Q5</f>
        <v>169.40237046918128</v>
      </c>
      <c r="R8" s="195">
        <f>R33*R5</f>
        <v>164.56464010864644</v>
      </c>
      <c r="S8" s="195">
        <f>S33*S5</f>
        <v>168.77711054176677</v>
      </c>
      <c r="T8" s="252">
        <f>AVERAGE(P8:S8)</f>
        <v>168.55603027989864</v>
      </c>
      <c r="U8" s="252">
        <f>U5*U33</f>
        <v>169.6738447214868</v>
      </c>
      <c r="V8" s="252">
        <f t="shared" ref="V8:X8" si="5">V5*V33</f>
        <v>170.80556926577913</v>
      </c>
      <c r="W8" s="252">
        <f t="shared" si="5"/>
        <v>171.95679880263049</v>
      </c>
      <c r="X8" s="252">
        <f t="shared" si="5"/>
        <v>173.47173820008163</v>
      </c>
      <c r="Y8" s="127"/>
      <c r="Z8" s="127"/>
    </row>
    <row r="9" spans="1:51" s="11" customFormat="1" ht="15.75" customHeight="1" x14ac:dyDescent="0.25">
      <c r="A9" s="76"/>
      <c r="B9" s="11" t="s">
        <v>230</v>
      </c>
      <c r="C9" s="166"/>
      <c r="D9" s="251">
        <f>D8/C8-1</f>
        <v>1.037603843916246E-2</v>
      </c>
      <c r="E9" s="251">
        <f>E8/D8-1</f>
        <v>-2.2855083810622956E-2</v>
      </c>
      <c r="F9" s="251"/>
      <c r="G9" s="251"/>
      <c r="H9" s="251"/>
      <c r="I9" s="251"/>
      <c r="J9" s="251">
        <f>J8/E8-1</f>
        <v>7.9836116455845652E-2</v>
      </c>
      <c r="K9" s="194">
        <f>K8/F8-1</f>
        <v>0.15156616201565765</v>
      </c>
      <c r="L9" s="194">
        <f t="shared" ref="L9:N9" si="6">L8/G8-1</f>
        <v>1.0484328101645346E-4</v>
      </c>
      <c r="M9" s="194">
        <f t="shared" si="6"/>
        <v>4.4772928879678098E-2</v>
      </c>
      <c r="N9" s="194">
        <f t="shared" si="6"/>
        <v>3.8163968022234984E-2</v>
      </c>
      <c r="O9" s="251">
        <f>O8/J8-1</f>
        <v>4.9233595165576016E-2</v>
      </c>
      <c r="P9" s="194">
        <f>P8/K8-1</f>
        <v>7.2423062081488965E-2</v>
      </c>
      <c r="Q9" s="194">
        <f t="shared" ref="Q9:S9" si="7">Q8/L8-1</f>
        <v>5.1810000000000134E-2</v>
      </c>
      <c r="R9" s="194">
        <f t="shared" si="7"/>
        <v>3.3499999999999863E-2</v>
      </c>
      <c r="S9" s="194">
        <f t="shared" si="7"/>
        <v>5.2900000000000169E-3</v>
      </c>
      <c r="T9" s="251">
        <f>T8/O8-1</f>
        <v>4.0960981535730134E-2</v>
      </c>
      <c r="U9" s="251">
        <f>U8/T8-1</f>
        <v>6.6317083982814218E-3</v>
      </c>
      <c r="V9" s="251">
        <f t="shared" ref="V9:X9" si="8">V8/U8-1</f>
        <v>6.6699999999999537E-3</v>
      </c>
      <c r="W9" s="251">
        <f t="shared" si="8"/>
        <v>6.7399999999999682E-3</v>
      </c>
      <c r="X9" s="251">
        <f t="shared" si="8"/>
        <v>8.8099999999997625E-3</v>
      </c>
      <c r="Y9" s="127"/>
      <c r="Z9" s="127"/>
    </row>
    <row r="10" spans="1:51" s="11" customFormat="1" ht="15.75" customHeight="1" x14ac:dyDescent="0.25">
      <c r="A10" s="76"/>
      <c r="C10" s="166"/>
      <c r="D10" s="251"/>
      <c r="E10" s="251"/>
      <c r="F10" s="251"/>
      <c r="G10" s="251"/>
      <c r="H10" s="251"/>
      <c r="I10" s="251"/>
      <c r="J10" s="251"/>
      <c r="K10" s="194"/>
      <c r="L10" s="194"/>
      <c r="M10" s="194"/>
      <c r="N10" s="194"/>
      <c r="O10" s="251"/>
      <c r="P10" s="194"/>
      <c r="Q10" s="194"/>
      <c r="R10" s="194"/>
      <c r="S10" s="194"/>
      <c r="T10" s="251"/>
      <c r="U10" s="251"/>
      <c r="V10" s="251"/>
      <c r="W10" s="251"/>
      <c r="X10" s="251"/>
      <c r="Y10" s="127"/>
      <c r="Z10" s="127"/>
    </row>
    <row r="11" spans="1:51" s="11" customFormat="1" x14ac:dyDescent="0.25">
      <c r="A11" s="76" t="s">
        <v>196</v>
      </c>
      <c r="B11" s="11" t="s">
        <v>202</v>
      </c>
      <c r="C11" s="167">
        <f>_xll.BDP($A$1, $A11, "EQY_FUND_RELATIVE_PERIOD", C$4)</f>
        <v>27.874670342192942</v>
      </c>
      <c r="D11" s="252">
        <f>_xll.BDP($A$1, $A11, "EQY_FUND_RELATIVE_PERIOD", D$4)</f>
        <v>27.316574101140016</v>
      </c>
      <c r="E11" s="252">
        <f>_xll.BDP($A$1, $A11, "EQY_FUND_RELATIVE_PERIOD", E$4)</f>
        <v>25.231309351114795</v>
      </c>
      <c r="F11" s="253" cm="1">
        <f t="array" ref="F11">_xll.BDP($A$1, $A11, "EQY_FUND_YEAR", F$3, "FUND_PER", F$2)</f>
        <v>22.015017232890198</v>
      </c>
      <c r="G11" s="253" cm="1">
        <f t="array" ref="G11">_xll.BDP($A$1, $A11, "EQY_FUND_YEAR", G$3, "FUND_PER", G$2)</f>
        <v>28.222854819032129</v>
      </c>
      <c r="H11" s="253" cm="1">
        <f t="array" ref="H11">_xll.BDP($A$1, $A11, "EQY_FUND_YEAR", H$3, "FUND_PER", H$2)</f>
        <v>27.181580231578014</v>
      </c>
      <c r="I11" s="253" cm="1">
        <f t="array" ref="I11">_xll.BDP($A$1, $A11, "EQY_FUND_YEAR", I$3, "FUND_PER", I$2)</f>
        <v>29.119627398369872</v>
      </c>
      <c r="J11" s="252">
        <f>_xll.BDP($A$1, $A11, "EQY_FUND_RELATIVE_PERIOD", J$4)</f>
        <v>26.90119370793202</v>
      </c>
      <c r="K11" s="193" cm="1">
        <f t="array" ref="K11">_xll.BDP($A$1, $A11, "EQY_FUND_YEAR", K$3, "FUND_PER", K$2)</f>
        <v>25.933095396527737</v>
      </c>
      <c r="L11" s="193" cm="1">
        <f t="array" ref="L11">_xll.BDP($A$1, $A11, "EQY_FUND_YEAR", L$3, "FUND_PER", L$2)</f>
        <v>26.665133394664217</v>
      </c>
      <c r="M11" s="193" cm="1">
        <f t="array" ref="M11">_xll.BDP($A$1, $A11, "EQY_FUND_YEAR", M$3, "FUND_PER", M$2)</f>
        <v>26.355817111815302</v>
      </c>
      <c r="N11" s="193" cm="1">
        <f t="array" ref="N11">_xll.BDP($A$1, $A11, "EQY_FUND_YEAR", N$3, "FUND_PER", N$2)</f>
        <v>27.536696023485455</v>
      </c>
      <c r="O11" s="252">
        <f>_xll.BDP($A$1, $A11, "EQY_FUND_RELATIVE_PERIOD", O$4)</f>
        <v>26.632193789825021</v>
      </c>
      <c r="P11" s="195">
        <v>26.48</v>
      </c>
      <c r="Q11" s="195">
        <f>Q8-Q14</f>
        <v>27.386113224471046</v>
      </c>
      <c r="R11" s="195">
        <f t="shared" ref="R11:S11" si="9">R8-R14</f>
        <v>26.914855138071516</v>
      </c>
      <c r="S11" s="195">
        <f t="shared" si="9"/>
        <v>26.602213984520972</v>
      </c>
      <c r="T11" s="252">
        <f>T8-T14</f>
        <v>26.845795586765888</v>
      </c>
      <c r="U11" s="252">
        <f>U8-U14</f>
        <v>27.906925934476817</v>
      </c>
      <c r="V11" s="252">
        <f t="shared" ref="V11:X11" si="10">V8-V14</f>
        <v>28.093065130459763</v>
      </c>
      <c r="W11" s="252">
        <f t="shared" si="10"/>
        <v>28.282412389439088</v>
      </c>
      <c r="X11" s="252">
        <f t="shared" si="10"/>
        <v>28.531580442590041</v>
      </c>
      <c r="Y11" s="127"/>
      <c r="Z11" s="127"/>
    </row>
    <row r="12" spans="1:51" s="11" customFormat="1" x14ac:dyDescent="0.25">
      <c r="A12" s="76"/>
      <c r="B12" s="11" t="s">
        <v>230</v>
      </c>
      <c r="C12" s="166"/>
      <c r="D12" s="251">
        <f>D11/C11-1</f>
        <v>-2.0021626595101094E-2</v>
      </c>
      <c r="E12" s="251">
        <f>E11/D11-1</f>
        <v>-7.6336979238483482E-2</v>
      </c>
      <c r="F12" s="251"/>
      <c r="G12" s="251"/>
      <c r="H12" s="251"/>
      <c r="I12" s="251"/>
      <c r="J12" s="251">
        <f>J11/E11-1</f>
        <v>6.6183024177595584E-2</v>
      </c>
      <c r="K12" s="194">
        <f>K11/F11-1</f>
        <v>0.17797297736310513</v>
      </c>
      <c r="L12" s="194">
        <f t="shared" ref="L12:N12" si="11">L11/G11-1</f>
        <v>-5.5193616462834272E-2</v>
      </c>
      <c r="M12" s="194">
        <f t="shared" si="11"/>
        <v>-3.037951115157711E-2</v>
      </c>
      <c r="N12" s="194">
        <f t="shared" si="11"/>
        <v>-5.4359602656627093E-2</v>
      </c>
      <c r="O12" s="251">
        <f>O11/J11-1</f>
        <v>-9.9995532178812629E-3</v>
      </c>
      <c r="P12" s="194">
        <f>P11/K11-1</f>
        <v>2.1089059948682154E-2</v>
      </c>
      <c r="Q12" s="194">
        <f t="shared" ref="Q12:S12" si="12">Q11/L11-1</f>
        <v>2.7038298257720417E-2</v>
      </c>
      <c r="R12" s="194">
        <f t="shared" si="12"/>
        <v>2.1211181724492878E-2</v>
      </c>
      <c r="S12" s="194">
        <f t="shared" si="12"/>
        <v>-3.393588098468614E-2</v>
      </c>
      <c r="T12" s="251">
        <f>T11/O11-1</f>
        <v>8.0204356661925935E-3</v>
      </c>
      <c r="U12" s="251">
        <f>U11/T11-1</f>
        <v>3.9526872812591707E-2</v>
      </c>
      <c r="V12" s="251">
        <f t="shared" ref="V12:X12" si="13">V11/U11-1</f>
        <v>6.6699999999995097E-3</v>
      </c>
      <c r="W12" s="251">
        <f t="shared" si="13"/>
        <v>6.7400000000008564E-3</v>
      </c>
      <c r="X12" s="251">
        <f t="shared" si="13"/>
        <v>8.8099999999997625E-3</v>
      </c>
      <c r="Y12" s="127"/>
      <c r="Z12" s="127"/>
    </row>
    <row r="13" spans="1:51" s="11" customFormat="1" x14ac:dyDescent="0.25">
      <c r="A13" s="76"/>
      <c r="C13" s="166"/>
      <c r="D13" s="251"/>
      <c r="E13" s="251"/>
      <c r="F13" s="251"/>
      <c r="G13" s="251"/>
      <c r="H13" s="251"/>
      <c r="I13" s="251"/>
      <c r="J13" s="251"/>
      <c r="K13" s="194"/>
      <c r="L13" s="194"/>
      <c r="M13" s="194"/>
      <c r="N13" s="194"/>
      <c r="O13" s="251"/>
      <c r="P13" s="194"/>
      <c r="Q13" s="194"/>
      <c r="R13" s="194"/>
      <c r="S13" s="194"/>
      <c r="T13" s="251"/>
      <c r="U13" s="251"/>
      <c r="V13" s="251"/>
      <c r="W13" s="251"/>
      <c r="X13" s="251"/>
      <c r="Y13" s="127"/>
      <c r="Z13" s="127"/>
    </row>
    <row r="14" spans="1:51" s="51" customFormat="1" x14ac:dyDescent="0.25">
      <c r="A14" s="52" t="s">
        <v>195</v>
      </c>
      <c r="B14" s="51" t="s">
        <v>201</v>
      </c>
      <c r="C14" s="203">
        <f>_xll.BDP($A$1, $A14, "EQY_FUND_RELATIVE_PERIOD", C$4)</f>
        <v>116.88173560087257</v>
      </c>
      <c r="D14" s="254">
        <f>_xll.BDP($A$1, $A14, "EQY_FUND_RELATIVE_PERIOD", D$4)</f>
        <v>118.94182987430575</v>
      </c>
      <c r="E14" s="254">
        <f>_xll.BDP($A$1, $A14, "EQY_FUND_RELATIVE_PERIOD", E$4)</f>
        <v>117.68434654346422</v>
      </c>
      <c r="F14" s="238" cm="1">
        <f t="array" ref="F14">_xll.BDP($A$1, $A14, "EQY_FUND_YEAR", F$3, "FUND_PER", F$2)</f>
        <v>116.83899556868538</v>
      </c>
      <c r="G14" s="238" cm="1">
        <f t="array" ref="G14">_xll.BDP($A$1, $A14, "EQY_FUND_YEAR", G$3, "FUND_PER", G$2)</f>
        <v>132.81821878812525</v>
      </c>
      <c r="H14" s="238" cm="1">
        <f t="array" ref="H14">_xll.BDP($A$1, $A14, "EQY_FUND_YEAR", H$3, "FUND_PER", H$2)</f>
        <v>125.22514529080341</v>
      </c>
      <c r="I14" s="238" cm="1">
        <f t="array" ref="I14">_xll.BDP($A$1, $A14, "EQY_FUND_YEAR", I$3, "FUND_PER", I$2)</f>
        <v>132.59758011441298</v>
      </c>
      <c r="J14" s="254">
        <f>_xll.BDP($A$1, $A14, "EQY_FUND_RELATIVE_PERIOD", J$4)</f>
        <v>127.42429313401014</v>
      </c>
      <c r="K14" s="204" cm="1">
        <f t="array" ref="K14">_xll.BDP($A$1, $A14, "EQY_FUND_YEAR", K$3, "FUND_PER", K$2)</f>
        <v>133.96648720585566</v>
      </c>
      <c r="L14" s="204" cm="1">
        <f t="array" ref="L14">_xll.BDP($A$1, $A14, "EQY_FUND_YEAR", L$3, "FUND_PER", L$2)</f>
        <v>134.39282428702853</v>
      </c>
      <c r="M14" s="204" cm="1">
        <f t="array" ref="M14">_xll.BDP($A$1, $A14, "EQY_FUND_YEAR", M$3, "FUND_PER", M$2)</f>
        <v>132.87460389316433</v>
      </c>
      <c r="N14" s="204" cm="1">
        <f t="array" ref="N14">_xll.BDP($A$1, $A14, "EQY_FUND_YEAR", N$3, "FUND_PER", N$2)</f>
        <v>140.35228182546038</v>
      </c>
      <c r="O14" s="254">
        <f>_xll.BDP($A$1, $A14, "EQY_FUND_RELATIVE_PERIOD", O$4)</f>
        <v>135.29129159502375</v>
      </c>
      <c r="P14" s="205">
        <v>145</v>
      </c>
      <c r="Q14" s="205">
        <f>Q36*Q5</f>
        <v>142.01625724471023</v>
      </c>
      <c r="R14" s="205">
        <f>R36*R5</f>
        <v>137.64978497057493</v>
      </c>
      <c r="S14" s="205">
        <f>S36*S5</f>
        <v>142.1748965572458</v>
      </c>
      <c r="T14" s="254">
        <f>AVERAGE(P14:S14)</f>
        <v>141.71023469313275</v>
      </c>
      <c r="U14" s="254">
        <f>U36*U5</f>
        <v>141.76691878700998</v>
      </c>
      <c r="V14" s="254">
        <f t="shared" ref="V14:X14" si="14">V36*V5</f>
        <v>142.71250413531936</v>
      </c>
      <c r="W14" s="254">
        <f t="shared" si="14"/>
        <v>143.6743864131914</v>
      </c>
      <c r="X14" s="254">
        <f t="shared" si="14"/>
        <v>144.94015775749159</v>
      </c>
      <c r="Y14" s="206"/>
      <c r="Z14" s="206"/>
    </row>
    <row r="15" spans="1:51" s="51" customFormat="1" x14ac:dyDescent="0.25">
      <c r="A15" s="52"/>
      <c r="B15" s="51" t="s">
        <v>230</v>
      </c>
      <c r="C15" s="201"/>
      <c r="D15" s="250">
        <f>D14/C14-1</f>
        <v>1.7625459297319068E-2</v>
      </c>
      <c r="E15" s="250">
        <f>E14/D14-1</f>
        <v>-1.0572254791862634E-2</v>
      </c>
      <c r="F15" s="250"/>
      <c r="G15" s="250"/>
      <c r="H15" s="250"/>
      <c r="I15" s="250"/>
      <c r="J15" s="250">
        <f t="shared" ref="J15:S15" si="15">J14/E14-1</f>
        <v>8.2763314549643141E-2</v>
      </c>
      <c r="K15" s="202">
        <f t="shared" si="15"/>
        <v>0.14659054157224127</v>
      </c>
      <c r="L15" s="202">
        <f t="shared" si="15"/>
        <v>1.1855342687701054E-2</v>
      </c>
      <c r="M15" s="202">
        <f t="shared" si="15"/>
        <v>6.1085643658843614E-2</v>
      </c>
      <c r="N15" s="202">
        <f t="shared" si="15"/>
        <v>5.848298064230284E-2</v>
      </c>
      <c r="O15" s="250">
        <f t="shared" si="15"/>
        <v>6.1738607823706104E-2</v>
      </c>
      <c r="P15" s="202">
        <f t="shared" si="15"/>
        <v>8.2360245642554064E-2</v>
      </c>
      <c r="Q15" s="202">
        <f t="shared" si="15"/>
        <v>5.6725000000000136E-2</v>
      </c>
      <c r="R15" s="202">
        <f t="shared" si="15"/>
        <v>3.5937499999999956E-2</v>
      </c>
      <c r="S15" s="202">
        <f t="shared" si="15"/>
        <v>1.2985999999999942E-2</v>
      </c>
      <c r="T15" s="250">
        <f>T14/O14-1</f>
        <v>4.744535307803277E-2</v>
      </c>
      <c r="U15" s="250">
        <f>U14/T14-1</f>
        <v>3.9999999999995595E-4</v>
      </c>
      <c r="V15" s="250">
        <f>V14/U14-1</f>
        <v>6.6700000000001758E-3</v>
      </c>
      <c r="W15" s="250">
        <f>W14/V14-1</f>
        <v>6.7399999999999682E-3</v>
      </c>
      <c r="X15" s="250">
        <f>X14/W14-1</f>
        <v>8.8099999999997625E-3</v>
      </c>
      <c r="Y15" s="206"/>
      <c r="Z15" s="206"/>
    </row>
    <row r="16" spans="1:51" s="11" customFormat="1" x14ac:dyDescent="0.25">
      <c r="A16" s="76"/>
      <c r="C16" s="166"/>
      <c r="D16" s="251"/>
      <c r="E16" s="251"/>
      <c r="F16" s="251"/>
      <c r="G16" s="251"/>
      <c r="H16" s="251"/>
      <c r="I16" s="251"/>
      <c r="J16" s="251"/>
      <c r="K16" s="194"/>
      <c r="L16" s="194"/>
      <c r="M16" s="194"/>
      <c r="N16" s="194"/>
      <c r="O16" s="251"/>
      <c r="P16" s="194"/>
      <c r="Q16" s="194"/>
      <c r="R16" s="194"/>
      <c r="S16" s="194"/>
      <c r="T16" s="251"/>
      <c r="U16" s="251"/>
      <c r="V16" s="251"/>
      <c r="W16" s="251"/>
      <c r="X16" s="251"/>
      <c r="Y16" s="127"/>
      <c r="Z16" s="127"/>
    </row>
    <row r="17" spans="1:26" s="11" customFormat="1" x14ac:dyDescent="0.25">
      <c r="A17" s="76" t="s">
        <v>197</v>
      </c>
      <c r="B17" s="11" t="s">
        <v>203</v>
      </c>
      <c r="C17" s="167">
        <f>_xll.BDP($A$1, $A17, "EQY_FUND_RELATIVE_PERIOD", C$4)</f>
        <v>71.464386103905966</v>
      </c>
      <c r="D17" s="252">
        <f>_xll.BDP($A$1, $A17, "EQY_FUND_RELATIVE_PERIOD", D$4)</f>
        <v>71.70867717491511</v>
      </c>
      <c r="E17" s="252">
        <f>_xll.BDP($A$1, $A17, "EQY_FUND_RELATIVE_PERIOD", E$4)</f>
        <v>71.747955091243767</v>
      </c>
      <c r="F17" s="253" cm="1">
        <f t="array" ref="F17">_xll.BDP($A$1, $A17, "EQY_FUND_YEAR", F$3, "FUND_PER", F$2)</f>
        <v>71.848842934515019</v>
      </c>
      <c r="G17" s="253" cm="1">
        <f t="array" ref="G17">_xll.BDP($A$1, $A17, "EQY_FUND_YEAR", G$3, "FUND_PER", G$2)</f>
        <v>75.364872802855729</v>
      </c>
      <c r="H17" s="253" cm="1">
        <f t="array" ref="H17">_xll.BDP($A$1, $A17, "EQY_FUND_YEAR", H$3, "FUND_PER", H$2)</f>
        <v>72.272747438001858</v>
      </c>
      <c r="I17" s="253" cm="1">
        <f t="array" ref="I17">_xll.BDP($A$1, $A17, "EQY_FUND_YEAR", I$3, "FUND_PER", I$2)</f>
        <v>89.196577735027589</v>
      </c>
      <c r="J17" s="252">
        <f>_xll.BDP($A$1, $A17, "EQY_FUND_RELATIVE_PERIOD", J$4)</f>
        <v>77.179477644317188</v>
      </c>
      <c r="K17" s="193" cm="1">
        <f t="array" ref="K17">_xll.BDP($A$1, $A17, "EQY_FUND_YEAR", K$3, "FUND_PER", K$2)</f>
        <v>77.841630875325151</v>
      </c>
      <c r="L17" s="193" cm="1">
        <f t="array" ref="L17">_xll.BDP($A$1, $A17, "EQY_FUND_YEAR", L$3, "FUND_PER", L$2)</f>
        <v>96.674333026678937</v>
      </c>
      <c r="M17" s="193" cm="1">
        <f t="array" ref="M17">_xll.BDP($A$1, $A17, "EQY_FUND_YEAR", M$3, "FUND_PER", M$2)</f>
        <v>88.34314169307379</v>
      </c>
      <c r="N17" s="193" cm="1">
        <f t="array" ref="N17">_xll.BDP($A$1, $A17, "EQY_FUND_YEAR", N$3, "FUND_PER", N$2)</f>
        <v>91.048839071257007</v>
      </c>
      <c r="O17" s="252">
        <f>_xll.BDP($A$1, $A17, "EQY_FUND_RELATIVE_PERIOD", O$4)</f>
        <v>89.079093759482149</v>
      </c>
      <c r="P17" s="195">
        <v>97.37</v>
      </c>
      <c r="Q17" s="195">
        <f>Q39*Q5</f>
        <v>101.20787587396505</v>
      </c>
      <c r="R17" s="195">
        <f>R39*R5</f>
        <v>88.718600045269355</v>
      </c>
      <c r="S17" s="195">
        <f>S39*S5</f>
        <v>89.340762850280242</v>
      </c>
      <c r="T17" s="252">
        <f>AVERAGE(P17:S17)</f>
        <v>94.159309692378656</v>
      </c>
      <c r="U17" s="252">
        <f>U39*U5</f>
        <v>90.980491397163945</v>
      </c>
      <c r="V17" s="252">
        <f t="shared" ref="V17:X17" si="16">V39*V5</f>
        <v>89.167705106075459</v>
      </c>
      <c r="W17" s="252">
        <f t="shared" si="16"/>
        <v>87.656490839937689</v>
      </c>
      <c r="X17" s="252">
        <f t="shared" si="16"/>
        <v>86.60636607967524</v>
      </c>
      <c r="Y17" s="127"/>
      <c r="Z17" s="127"/>
    </row>
    <row r="18" spans="1:26" s="11" customFormat="1" x14ac:dyDescent="0.25">
      <c r="A18" s="76"/>
      <c r="B18" s="11" t="s">
        <v>230</v>
      </c>
      <c r="C18" s="166"/>
      <c r="D18" s="251">
        <f>D17/C17-1</f>
        <v>3.418361009271953E-3</v>
      </c>
      <c r="E18" s="251">
        <f>E17/D17-1</f>
        <v>5.4774286566261488E-4</v>
      </c>
      <c r="F18" s="251"/>
      <c r="G18" s="251"/>
      <c r="H18" s="251"/>
      <c r="I18" s="251"/>
      <c r="J18" s="251">
        <f>J17/E17-1</f>
        <v>7.5702820326600362E-2</v>
      </c>
      <c r="K18" s="194">
        <f>K17/F17-1</f>
        <v>8.340827348148272E-2</v>
      </c>
      <c r="L18" s="194">
        <f t="shared" ref="L18:N18" si="17">L17/G17-1</f>
        <v>0.28275056311135649</v>
      </c>
      <c r="M18" s="194">
        <f t="shared" si="17"/>
        <v>0.22235759431807534</v>
      </c>
      <c r="N18" s="194">
        <f t="shared" si="17"/>
        <v>2.0766058331653126E-2</v>
      </c>
      <c r="O18" s="251">
        <f>O17/J17-1</f>
        <v>0.15418109163687954</v>
      </c>
      <c r="P18" s="194">
        <f>P17/K17-1</f>
        <v>0.2508730727385764</v>
      </c>
      <c r="Q18" s="194">
        <f t="shared" ref="Q18:S18" si="18">Q17/L17-1</f>
        <v>4.6895000000000131E-2</v>
      </c>
      <c r="R18" s="194">
        <f t="shared" si="18"/>
        <v>4.250000000000087E-3</v>
      </c>
      <c r="S18" s="194">
        <f t="shared" si="18"/>
        <v>-1.8759999999999777E-2</v>
      </c>
      <c r="T18" s="251">
        <f>T17/O17-1</f>
        <v>5.7030395331741257E-2</v>
      </c>
      <c r="U18" s="251">
        <f>U17/T17-1</f>
        <v>-3.3760000000000123E-2</v>
      </c>
      <c r="V18" s="251">
        <f t="shared" ref="V18:X18" si="19">V17/U17-1</f>
        <v>-1.9924999999999971E-2</v>
      </c>
      <c r="W18" s="251">
        <f t="shared" si="19"/>
        <v>-1.6948000000000074E-2</v>
      </c>
      <c r="X18" s="251">
        <f t="shared" si="19"/>
        <v>-1.1979999999999991E-2</v>
      </c>
      <c r="Y18" s="127"/>
      <c r="Z18" s="127"/>
    </row>
    <row r="19" spans="1:26" s="11" customFormat="1" x14ac:dyDescent="0.25">
      <c r="A19" s="76"/>
      <c r="C19" s="166"/>
      <c r="D19" s="251"/>
      <c r="E19" s="251"/>
      <c r="F19" s="251"/>
      <c r="G19" s="251"/>
      <c r="H19" s="251"/>
      <c r="I19" s="251"/>
      <c r="J19" s="251"/>
      <c r="K19" s="194"/>
      <c r="L19" s="194"/>
      <c r="M19" s="194"/>
      <c r="N19" s="194"/>
      <c r="O19" s="251"/>
      <c r="P19" s="194"/>
      <c r="Q19" s="194"/>
      <c r="R19" s="194"/>
      <c r="S19" s="194"/>
      <c r="T19" s="251"/>
      <c r="U19" s="251"/>
      <c r="V19" s="251"/>
      <c r="W19" s="251"/>
      <c r="X19" s="251"/>
      <c r="Y19" s="127"/>
      <c r="Z19" s="127"/>
    </row>
    <row r="20" spans="1:26" s="11" customFormat="1" hidden="1" x14ac:dyDescent="0.25">
      <c r="A20" s="76" t="s">
        <v>198</v>
      </c>
      <c r="B20" s="11" t="s">
        <v>204</v>
      </c>
      <c r="C20" s="167">
        <f>_xll.BDP($A$1, $A20, "EQY_FUND_RELATIVE_PERIOD", C$4)</f>
        <v>27.707535190631749</v>
      </c>
      <c r="D20" s="252">
        <f>_xll.BDP($A$1, $A20, "EQY_FUND_RELATIVE_PERIOD", D$4)</f>
        <v>38.639174330492665</v>
      </c>
      <c r="E20" s="252">
        <f>_xll.BDP($A$1, $A20, "EQY_FUND_RELATIVE_PERIOD", E$4)</f>
        <v>50.920970828812791</v>
      </c>
      <c r="F20" s="253" cm="1">
        <f t="array" ref="F20">_xll.BDP($A$1, $A20, "EQY_FUND_YEAR", F$3, "FUND_PER", F$2)</f>
        <v>34.084194977843424</v>
      </c>
      <c r="G20" s="253" cm="1">
        <f t="array" ref="G20">_xll.BDP($A$1, $A20, "EQY_FUND_YEAR", G$3, "FUND_PER", G$2)</f>
        <v>31.209615471510553</v>
      </c>
      <c r="H20" s="253" cm="1">
        <f t="array" ref="H20">_xll.BDP($A$1, $A20, "EQY_FUND_YEAR", H$3, "FUND_PER", H$2)</f>
        <v>29.377578634488266</v>
      </c>
      <c r="I20" s="253" cm="1">
        <f t="array" ref="I20">_xll.BDP($A$1, $A20, "EQY_FUND_YEAR", I$3, "FUND_PER", I$2)</f>
        <v>35.047840834303649</v>
      </c>
      <c r="J20" s="252">
        <f>_xll.BDP($A$1, $A20, "EQY_FUND_RELATIVE_PERIOD", J$4)</f>
        <v>32.216478871493557</v>
      </c>
      <c r="K20" s="193" cm="1">
        <f t="array" ref="K20">_xll.BDP($A$1, $A20, "EQY_FUND_YEAR", K$3, "FUND_PER", K$2)</f>
        <v>42.550359929828808</v>
      </c>
      <c r="L20" s="193" cm="1">
        <f t="array" ref="L20">_xll.BDP($A$1, $A20, "EQY_FUND_YEAR", L$3, "FUND_PER", L$2)</f>
        <v>32.451701931922727</v>
      </c>
      <c r="M20" s="193" cm="1">
        <f t="array" ref="M20">_xll.BDP($A$1, $A20, "EQY_FUND_YEAR", M$3, "FUND_PER", M$2)</f>
        <v>29.588048890900861</v>
      </c>
      <c r="N20" s="193" cm="1">
        <f t="array" ref="N20">_xll.BDP($A$1, $A20, "EQY_FUND_YEAR", N$3, "FUND_PER", N$2)</f>
        <v>76.605284227381915</v>
      </c>
      <c r="O20" s="252">
        <f>_xll.BDP($A$1, $A20, "EQY_FUND_RELATIVE_PERIOD", O$4)</f>
        <v>44.220946697683821</v>
      </c>
      <c r="P20" s="195">
        <v>38.04</v>
      </c>
      <c r="Q20" s="195"/>
      <c r="R20" s="195"/>
      <c r="S20" s="195"/>
      <c r="T20" s="252">
        <f>AVERAGE(P20:S20)</f>
        <v>38.04</v>
      </c>
      <c r="U20" s="252"/>
      <c r="V20" s="252"/>
      <c r="W20" s="252"/>
      <c r="X20" s="252"/>
      <c r="Y20" s="127"/>
      <c r="Z20" s="127"/>
    </row>
    <row r="21" spans="1:26" s="11" customFormat="1" hidden="1" x14ac:dyDescent="0.25">
      <c r="A21" s="76"/>
      <c r="B21" s="11" t="s">
        <v>230</v>
      </c>
      <c r="C21" s="166"/>
      <c r="D21" s="251">
        <f>D20/C20-1</f>
        <v>0.39453668702934763</v>
      </c>
      <c r="E21" s="251">
        <f>E20/D20-1</f>
        <v>0.31785866833670329</v>
      </c>
      <c r="F21" s="251"/>
      <c r="G21" s="251"/>
      <c r="H21" s="251"/>
      <c r="I21" s="251"/>
      <c r="J21" s="251">
        <f>J20/E20-1</f>
        <v>-0.36732394635994658</v>
      </c>
      <c r="K21" s="194">
        <f>K20/F20-1</f>
        <v>0.2483897582879353</v>
      </c>
      <c r="L21" s="194">
        <f t="shared" ref="L21:N21" si="20">L20/G20-1</f>
        <v>3.9798198140121421E-2</v>
      </c>
      <c r="M21" s="194">
        <f t="shared" si="20"/>
        <v>7.1643159918397537E-3</v>
      </c>
      <c r="N21" s="194">
        <f t="shared" si="20"/>
        <v>1.1857347672157661</v>
      </c>
      <c r="O21" s="251">
        <f>O20/J20-1</f>
        <v>0.37261886608012595</v>
      </c>
      <c r="P21" s="194">
        <f>P20/K20-1</f>
        <v>-0.1060005117998295</v>
      </c>
      <c r="Q21" s="194">
        <f t="shared" ref="Q21:S21" si="21">Q20/L20-1</f>
        <v>-1</v>
      </c>
      <c r="R21" s="194">
        <f t="shared" si="21"/>
        <v>-1</v>
      </c>
      <c r="S21" s="194">
        <f t="shared" si="21"/>
        <v>-1</v>
      </c>
      <c r="T21" s="251">
        <f>T20/O20-1</f>
        <v>-0.13977418303456546</v>
      </c>
      <c r="U21" s="251">
        <f>U20/T20-1</f>
        <v>-1</v>
      </c>
      <c r="V21" s="251" t="e">
        <f t="shared" ref="V21:X21" si="22">V20/U20-1</f>
        <v>#DIV/0!</v>
      </c>
      <c r="W21" s="251" t="e">
        <f t="shared" si="22"/>
        <v>#DIV/0!</v>
      </c>
      <c r="X21" s="251" t="e">
        <f t="shared" si="22"/>
        <v>#DIV/0!</v>
      </c>
      <c r="Y21" s="127"/>
      <c r="Z21" s="127"/>
    </row>
    <row r="22" spans="1:26" s="11" customFormat="1" hidden="1" x14ac:dyDescent="0.25">
      <c r="A22" s="76"/>
      <c r="C22" s="166"/>
      <c r="D22" s="251"/>
      <c r="E22" s="251"/>
      <c r="F22" s="251"/>
      <c r="G22" s="251"/>
      <c r="H22" s="251"/>
      <c r="I22" s="251"/>
      <c r="J22" s="251"/>
      <c r="K22" s="194"/>
      <c r="L22" s="194"/>
      <c r="M22" s="194"/>
      <c r="N22" s="194"/>
      <c r="O22" s="251"/>
      <c r="P22" s="194"/>
      <c r="Q22" s="194"/>
      <c r="R22" s="194"/>
      <c r="S22" s="194"/>
      <c r="T22" s="251"/>
      <c r="U22" s="251"/>
      <c r="V22" s="251"/>
      <c r="W22" s="251"/>
      <c r="X22" s="251"/>
      <c r="Y22" s="127"/>
      <c r="Z22" s="127"/>
    </row>
    <row r="23" spans="1:26" s="11" customFormat="1" hidden="1" x14ac:dyDescent="0.25">
      <c r="A23" s="76" t="s">
        <v>199</v>
      </c>
      <c r="B23" s="11" t="s">
        <v>234</v>
      </c>
      <c r="C23" s="167">
        <f>_xll.BDP($A$1, $A23, "EQY_FUND_RELATIVE_PERIOD", C$4)</f>
        <v>27.016203427355901</v>
      </c>
      <c r="D23" s="252">
        <f>_xll.BDP($A$1, $A23, "EQY_FUND_RELATIVE_PERIOD", D$4)</f>
        <v>19.049760528860208</v>
      </c>
      <c r="E23" s="252">
        <f>_xll.BDP($A$1, $A23, "EQY_FUND_RELATIVE_PERIOD", E$4)</f>
        <v>7.1251813294649713</v>
      </c>
      <c r="F23" s="253" cm="1">
        <f t="array" ref="F23">_xll.BDP($A$1, $A23, "EQY_FUND_YEAR", F$3, "FUND_PER", F$2)</f>
        <v>23.356720827178727</v>
      </c>
      <c r="G23" s="253" cm="1">
        <f t="array" ref="G23">_xll.BDP($A$1, $A23, "EQY_FUND_YEAR", G$3, "FUND_PER", G$2)</f>
        <v>35.353124576386065</v>
      </c>
      <c r="H23" s="253" cm="1">
        <f t="array" ref="H23">_xll.BDP($A$1, $A23, "EQY_FUND_YEAR", H$3, "FUND_PER", H$2)</f>
        <v>32.460849119382459</v>
      </c>
      <c r="I23" s="253" cm="1">
        <f t="array" ref="I23">_xll.BDP($A$1, $A23, "EQY_FUND_YEAR", I$3, "FUND_PER", I$2)</f>
        <v>17.561889333265832</v>
      </c>
      <c r="J23" s="252">
        <f>_xll.BDP($A$1, $A23, "EQY_FUND_RELATIVE_PERIOD", J$4)</f>
        <v>28.679979671017563</v>
      </c>
      <c r="K23" s="193" cm="1">
        <f t="array" ref="K23">_xll.BDP($A$1, $A23, "EQY_FUND_YEAR", K$3, "FUND_PER", K$2)</f>
        <v>24.082027705522961</v>
      </c>
      <c r="L23" s="193" cm="1">
        <f t="array" ref="L23">_xll.BDP($A$1, $A23, "EQY_FUND_YEAR", L$3, "FUND_PER", L$2)</f>
        <v>13.164673413063477</v>
      </c>
      <c r="M23" s="193" cm="1">
        <f t="array" ref="M23">_xll.BDP($A$1, $A23, "EQY_FUND_YEAR", M$3, "FUND_PER", M$2)</f>
        <v>22.648257129923042</v>
      </c>
      <c r="N23" s="193" cm="1">
        <f t="array" ref="N23">_xll.BDP($A$1, $A23, "EQY_FUND_YEAR", N$3, "FUND_PER", N$2)</f>
        <v>-18.270616493194556</v>
      </c>
      <c r="O23" s="252">
        <f>_xll.BDP($A$1, $A23, "EQY_FUND_RELATIVE_PERIOD", O$4)</f>
        <v>11.565692323252755</v>
      </c>
      <c r="P23" s="195">
        <v>20.190000000000001</v>
      </c>
      <c r="Q23" s="195"/>
      <c r="R23" s="195"/>
      <c r="S23" s="195"/>
      <c r="T23" s="252">
        <f>AVERAGE(P23:S23)</f>
        <v>20.190000000000001</v>
      </c>
      <c r="U23" s="252"/>
      <c r="V23" s="252"/>
      <c r="W23" s="252"/>
      <c r="X23" s="252"/>
      <c r="Y23" s="127"/>
      <c r="Z23" s="127"/>
    </row>
    <row r="24" spans="1:26" s="11" customFormat="1" hidden="1" x14ac:dyDescent="0.25">
      <c r="A24" s="76"/>
      <c r="B24" s="11" t="s">
        <v>230</v>
      </c>
      <c r="C24" s="166"/>
      <c r="D24" s="251">
        <f>D23/C23-1</f>
        <v>-0.29487647736724842</v>
      </c>
      <c r="E24" s="251">
        <f>E23/D23-1</f>
        <v>-0.62597003155654429</v>
      </c>
      <c r="F24" s="251"/>
      <c r="G24" s="251"/>
      <c r="H24" s="251"/>
      <c r="I24" s="251"/>
      <c r="J24" s="251">
        <f>J23/E23-1</f>
        <v>3.0251578654449682</v>
      </c>
      <c r="K24" s="194">
        <f>K23/F23-1</f>
        <v>3.1053454965315197E-2</v>
      </c>
      <c r="L24" s="194">
        <f t="shared" ref="L24:N24" si="23">L23/G23-1</f>
        <v>-0.62762348248401345</v>
      </c>
      <c r="M24" s="194">
        <f t="shared" si="23"/>
        <v>-0.30229005881427462</v>
      </c>
      <c r="N24" s="194">
        <f t="shared" si="23"/>
        <v>-2.0403559746038402</v>
      </c>
      <c r="O24" s="251">
        <f>O23/J23-1</f>
        <v>-0.59673289674816554</v>
      </c>
      <c r="P24" s="194">
        <f>P23/K23-1</f>
        <v>-0.16161544837980413</v>
      </c>
      <c r="Q24" s="194">
        <f t="shared" ref="Q24:S24" si="24">Q23/L23-1</f>
        <v>-1</v>
      </c>
      <c r="R24" s="194">
        <f t="shared" si="24"/>
        <v>-1</v>
      </c>
      <c r="S24" s="194">
        <f t="shared" si="24"/>
        <v>-1</v>
      </c>
      <c r="T24" s="251">
        <f>T23/O23-1</f>
        <v>0.74568019239177996</v>
      </c>
      <c r="U24" s="251">
        <f>U23/T23-1</f>
        <v>-1</v>
      </c>
      <c r="V24" s="251" t="e">
        <f t="shared" ref="V24:X24" si="25">V23/U23-1</f>
        <v>#DIV/0!</v>
      </c>
      <c r="W24" s="251" t="e">
        <f t="shared" si="25"/>
        <v>#DIV/0!</v>
      </c>
      <c r="X24" s="251" t="e">
        <f t="shared" si="25"/>
        <v>#DIV/0!</v>
      </c>
      <c r="Y24" s="127"/>
      <c r="Z24" s="127"/>
    </row>
    <row r="25" spans="1:26" s="11" customFormat="1" hidden="1" x14ac:dyDescent="0.25">
      <c r="A25" s="76"/>
      <c r="C25" s="166"/>
      <c r="D25" s="251"/>
      <c r="E25" s="251"/>
      <c r="F25" s="251"/>
      <c r="G25" s="251"/>
      <c r="H25" s="251"/>
      <c r="I25" s="251"/>
      <c r="J25" s="251"/>
      <c r="K25" s="194"/>
      <c r="L25" s="194"/>
      <c r="M25" s="194"/>
      <c r="N25" s="194"/>
      <c r="O25" s="258"/>
      <c r="P25" s="194"/>
      <c r="Q25" s="194"/>
      <c r="R25" s="194"/>
      <c r="S25" s="194"/>
      <c r="T25" s="251"/>
      <c r="U25" s="251"/>
      <c r="V25" s="251"/>
      <c r="W25" s="251"/>
      <c r="X25" s="251"/>
      <c r="Y25" s="127"/>
      <c r="Z25" s="127"/>
    </row>
    <row r="26" spans="1:26" s="14" customFormat="1" hidden="1" x14ac:dyDescent="0.25">
      <c r="A26" s="76" t="s">
        <v>200</v>
      </c>
      <c r="B26" s="76" t="s">
        <v>205</v>
      </c>
      <c r="C26" s="167">
        <f>_xll.BDP($A$1, $A26, "EQY_FUND_RELATIVE_PERIOD", C$4)</f>
        <v>12.117298488186583</v>
      </c>
      <c r="D26" s="252">
        <f>_xll.BDP($A$1, $A26, "EQY_FUND_RELATIVE_PERIOD", D$4)</f>
        <v>2.7173790839385692</v>
      </c>
      <c r="E26" s="252">
        <f>_xll.BDP($A$1, $A26, "EQY_FUND_RELATIVE_PERIOD", E$4)</f>
        <v>-11.568515109772896</v>
      </c>
      <c r="F26" s="253" cm="1">
        <f t="array" ref="F26">_xll.BDP($A$1, $A26, "EQY_FUND_YEAR", F$3, "FUND_PER", F$2)</f>
        <v>5.1760216642048249</v>
      </c>
      <c r="G26" s="253" cm="1">
        <f t="array" ref="G26">_xll.BDP($A$1, $A26, "EQY_FUND_YEAR", G$3, "FUND_PER", G$2)</f>
        <v>17.559080023496453</v>
      </c>
      <c r="H26" s="253" cm="1">
        <f t="array" ref="H26">_xll.BDP($A$1, $A26, "EQY_FUND_YEAR", H$3, "FUND_PER", H$2)</f>
        <v>20.096712656936248</v>
      </c>
      <c r="I26" s="253" cm="1">
        <f t="array" ref="I26">_xll.BDP($A$1, $A26, "EQY_FUND_YEAR", I$3, "FUND_PER", I$2)</f>
        <v>4.0500177188275197</v>
      </c>
      <c r="J26" s="252">
        <f>_xll.BDP($A$1, $A26, "EQY_FUND_RELATIVE_PERIOD", J$4)</f>
        <v>12.466376606795334</v>
      </c>
      <c r="K26" s="193" cm="1">
        <f t="array" ref="K26">_xll.BDP($A$1, $A26, "EQY_FUND_YEAR", K$3, "FUND_PER", K$2)</f>
        <v>9.1645998427197402</v>
      </c>
      <c r="L26" s="193" cm="1">
        <f t="array" ref="L26">_xll.BDP($A$1, $A26, "EQY_FUND_YEAR", L$3, "FUND_PER", L$2)</f>
        <v>2.1757129714811407</v>
      </c>
      <c r="M26" s="193" cm="1">
        <f t="array" ref="M26">_xll.BDP($A$1, $A26, "EQY_FUND_YEAR", M$3, "FUND_PER", M$2)</f>
        <v>9.7962879130828426</v>
      </c>
      <c r="N26" s="193" cm="1">
        <f t="array" ref="N26">_xll.BDP($A$1, $A26, "EQY_FUND_YEAR", N$3, "FUND_PER", N$2)</f>
        <v>-31.51854817187083</v>
      </c>
      <c r="O26" s="252">
        <f>_xll.BDP($A$1, $A26, "EQY_FUND_RELATIVE_PERIOD", O$4)</f>
        <v>-2.2162941235966422</v>
      </c>
      <c r="P26" s="195">
        <v>4.4800000000000004</v>
      </c>
      <c r="Q26" s="195"/>
      <c r="R26" s="195"/>
      <c r="S26" s="195"/>
      <c r="T26" s="252">
        <f>AVERAGE(P26:S26)</f>
        <v>4.4800000000000004</v>
      </c>
      <c r="U26" s="252"/>
      <c r="V26" s="252"/>
      <c r="W26" s="252"/>
      <c r="X26" s="252"/>
      <c r="Y26" s="127"/>
      <c r="Z26" s="127"/>
    </row>
    <row r="27" spans="1:26" s="14" customFormat="1" hidden="1" x14ac:dyDescent="0.25">
      <c r="A27" s="76"/>
      <c r="B27" s="11" t="s">
        <v>230</v>
      </c>
      <c r="C27" s="166"/>
      <c r="D27" s="251">
        <f>D26/C26-1</f>
        <v>-0.77574381892236122</v>
      </c>
      <c r="E27" s="251">
        <f>E26/D26-1</f>
        <v>-5.2572327056427808</v>
      </c>
      <c r="F27" s="251"/>
      <c r="G27" s="251"/>
      <c r="H27" s="251"/>
      <c r="I27" s="251"/>
      <c r="J27" s="251">
        <f>J26/E26-1</f>
        <v>-2.0776125102057339</v>
      </c>
      <c r="K27" s="194">
        <f>K26/F26-1</f>
        <v>0.77058761289548561</v>
      </c>
      <c r="L27" s="194">
        <f t="shared" ref="L27:N27" si="26">L26/G26-1</f>
        <v>-0.87609185853873106</v>
      </c>
      <c r="M27" s="194">
        <f t="shared" si="26"/>
        <v>-0.51254276854569447</v>
      </c>
      <c r="N27" s="194">
        <f t="shared" si="26"/>
        <v>-8.7823235254870564</v>
      </c>
      <c r="O27" s="251">
        <f>O26/J26-1</f>
        <v>-1.1777817399153943</v>
      </c>
      <c r="P27" s="194">
        <f>P26/K26-1</f>
        <v>-0.5111625082508251</v>
      </c>
      <c r="Q27" s="194">
        <f t="shared" ref="Q27:S27" si="27">Q26/L26-1</f>
        <v>-1</v>
      </c>
      <c r="R27" s="194">
        <f t="shared" si="27"/>
        <v>-1</v>
      </c>
      <c r="S27" s="194">
        <f t="shared" si="27"/>
        <v>-1</v>
      </c>
      <c r="T27" s="251">
        <f>T26/O26-1</f>
        <v>-3.0213923559612095</v>
      </c>
      <c r="U27" s="251">
        <f>U26/T26-1</f>
        <v>-1</v>
      </c>
      <c r="V27" s="251" t="e">
        <f t="shared" ref="V27:X27" si="28">V26/U26-1</f>
        <v>#DIV/0!</v>
      </c>
      <c r="W27" s="251" t="e">
        <f t="shared" si="28"/>
        <v>#DIV/0!</v>
      </c>
      <c r="X27" s="251" t="e">
        <f t="shared" si="28"/>
        <v>#DIV/0!</v>
      </c>
    </row>
    <row r="28" spans="1:26" s="14" customFormat="1" x14ac:dyDescent="0.25">
      <c r="A28" s="76"/>
      <c r="B28" s="11" t="s">
        <v>304</v>
      </c>
      <c r="C28" s="166">
        <f>C14-C17</f>
        <v>45.417349496966608</v>
      </c>
      <c r="D28" s="252">
        <f>D14-D17</f>
        <v>47.233152699390644</v>
      </c>
      <c r="E28" s="252">
        <f t="shared" ref="E28:S28" si="29">E14-E17</f>
        <v>45.936391452220448</v>
      </c>
      <c r="F28" s="253">
        <f t="shared" si="29"/>
        <v>44.990152634170357</v>
      </c>
      <c r="G28" s="253">
        <f t="shared" si="29"/>
        <v>57.453345985269522</v>
      </c>
      <c r="H28" s="253">
        <f t="shared" si="29"/>
        <v>52.952397852801553</v>
      </c>
      <c r="I28" s="253">
        <f t="shared" si="29"/>
        <v>43.401002379385389</v>
      </c>
      <c r="J28" s="252">
        <f t="shared" si="29"/>
        <v>50.244815489692954</v>
      </c>
      <c r="K28" s="193">
        <f t="shared" si="29"/>
        <v>56.124856330530505</v>
      </c>
      <c r="L28" s="193">
        <f t="shared" si="29"/>
        <v>37.718491260349595</v>
      </c>
      <c r="M28" s="193">
        <f t="shared" si="29"/>
        <v>44.531462200090544</v>
      </c>
      <c r="N28" s="193">
        <f t="shared" si="29"/>
        <v>49.303442754203374</v>
      </c>
      <c r="O28" s="252">
        <f t="shared" si="29"/>
        <v>46.212197835541602</v>
      </c>
      <c r="P28" s="195">
        <f t="shared" si="29"/>
        <v>47.629999999999995</v>
      </c>
      <c r="Q28" s="195">
        <f t="shared" si="29"/>
        <v>40.808381370745181</v>
      </c>
      <c r="R28" s="195">
        <f t="shared" si="29"/>
        <v>48.931184925305573</v>
      </c>
      <c r="S28" s="195">
        <f t="shared" si="29"/>
        <v>52.834133706965559</v>
      </c>
      <c r="T28" s="252">
        <f>T14-T17</f>
        <v>47.550925000754091</v>
      </c>
      <c r="U28" s="252">
        <f>U14-U17</f>
        <v>50.78642738984604</v>
      </c>
      <c r="V28" s="252">
        <f t="shared" ref="V28:X28" si="30">V14-V17</f>
        <v>53.544799029243904</v>
      </c>
      <c r="W28" s="252">
        <f t="shared" si="30"/>
        <v>56.01789557325371</v>
      </c>
      <c r="X28" s="252">
        <f t="shared" si="30"/>
        <v>58.33379167781635</v>
      </c>
    </row>
    <row r="29" spans="1:26" s="14" customFormat="1" x14ac:dyDescent="0.25">
      <c r="A29" s="76"/>
      <c r="B29" s="11" t="s">
        <v>230</v>
      </c>
      <c r="C29" s="166"/>
      <c r="D29" s="251">
        <f>D28/C28-1</f>
        <v>3.9980386846337534E-2</v>
      </c>
      <c r="E29" s="251">
        <f>E28/D28-1</f>
        <v>-2.7454471553556181E-2</v>
      </c>
      <c r="F29" s="251"/>
      <c r="G29" s="251"/>
      <c r="H29" s="251"/>
      <c r="I29" s="251"/>
      <c r="J29" s="251">
        <f>J28/E28-1</f>
        <v>9.3791085918313755E-2</v>
      </c>
      <c r="K29" s="194">
        <f>K28/F28-1</f>
        <v>0.24749201868462345</v>
      </c>
      <c r="L29" s="194">
        <f t="shared" ref="L29" si="31">L28/G28-1</f>
        <v>-0.34349356658844121</v>
      </c>
      <c r="M29" s="194">
        <f t="shared" ref="M29" si="32">M28/H28-1</f>
        <v>-0.1590284103114602</v>
      </c>
      <c r="N29" s="194">
        <f t="shared" ref="N29" si="33">N28/I28-1</f>
        <v>0.13599778924971395</v>
      </c>
      <c r="O29" s="251">
        <f>O28/J28-1</f>
        <v>-8.0259378302993012E-2</v>
      </c>
      <c r="P29" s="194">
        <f>P28/K28-1</f>
        <v>-0.15135640224186231</v>
      </c>
      <c r="Q29" s="194">
        <f t="shared" ref="Q29" si="34">Q28/L28-1</f>
        <v>8.1919769512195151E-2</v>
      </c>
      <c r="R29" s="194">
        <f t="shared" ref="R29" si="35">R28/M28-1</f>
        <v>9.8800320219579074E-2</v>
      </c>
      <c r="S29" s="194">
        <f t="shared" ref="S29" si="36">S28/N28-1</f>
        <v>7.161144852224699E-2</v>
      </c>
      <c r="T29" s="251">
        <f>T28/O28-1</f>
        <v>2.8969129968167806E-2</v>
      </c>
      <c r="U29" s="251">
        <f>U28/T28-1</f>
        <v>6.8042890628113639E-2</v>
      </c>
      <c r="V29" s="251">
        <f t="shared" ref="V29" si="37">V28/U28-1</f>
        <v>5.4313165567329458E-2</v>
      </c>
      <c r="W29" s="251">
        <f t="shared" ref="W29" si="38">W28/V28-1</f>
        <v>4.6187427889291532E-2</v>
      </c>
      <c r="X29" s="251">
        <f t="shared" ref="X29" si="39">X28/W28-1</f>
        <v>4.1342076150186369E-2</v>
      </c>
    </row>
    <row r="30" spans="1:26" s="14" customFormat="1" x14ac:dyDescent="0.25">
      <c r="A30" s="76"/>
      <c r="B30" s="11"/>
      <c r="C30" s="166"/>
      <c r="D30" s="251"/>
      <c r="E30" s="251"/>
      <c r="F30" s="251"/>
      <c r="G30" s="251"/>
      <c r="H30" s="251"/>
      <c r="I30" s="251"/>
      <c r="J30" s="251"/>
      <c r="K30" s="194"/>
      <c r="L30" s="194"/>
      <c r="M30" s="194"/>
      <c r="N30" s="194"/>
      <c r="O30" s="251"/>
      <c r="P30" s="194"/>
      <c r="Q30" s="194"/>
      <c r="R30" s="194"/>
      <c r="S30" s="194"/>
      <c r="T30" s="251"/>
      <c r="U30" s="251"/>
      <c r="V30" s="251"/>
      <c r="W30" s="251"/>
      <c r="X30" s="251"/>
    </row>
    <row r="31" spans="1:26" s="14" customFormat="1" x14ac:dyDescent="0.25">
      <c r="A31" s="76"/>
      <c r="B31" s="11"/>
      <c r="C31" s="166"/>
      <c r="D31" s="251"/>
      <c r="E31" s="251"/>
      <c r="F31" s="251"/>
      <c r="G31" s="251"/>
      <c r="H31" s="251"/>
      <c r="I31" s="251"/>
      <c r="J31" s="251"/>
      <c r="K31" s="194"/>
      <c r="L31" s="194"/>
      <c r="M31" s="194"/>
      <c r="N31" s="194"/>
      <c r="O31" s="251"/>
      <c r="P31" s="194"/>
      <c r="Q31" s="194"/>
      <c r="R31" s="194"/>
      <c r="S31" s="194"/>
      <c r="T31" s="251"/>
      <c r="U31" s="251"/>
      <c r="V31" s="251"/>
      <c r="W31" s="251"/>
      <c r="X31" s="251"/>
    </row>
    <row r="32" spans="1:26" s="14" customFormat="1" x14ac:dyDescent="0.25">
      <c r="A32" s="76"/>
      <c r="B32" s="11"/>
      <c r="C32" s="166"/>
      <c r="D32" s="251"/>
      <c r="E32" s="251"/>
      <c r="F32" s="251"/>
      <c r="G32" s="251"/>
      <c r="H32" s="251"/>
      <c r="I32" s="251"/>
      <c r="J32" s="251"/>
      <c r="K32" s="194"/>
      <c r="L32" s="194"/>
      <c r="M32" s="194"/>
      <c r="N32" s="194"/>
      <c r="O32" s="251"/>
      <c r="P32" s="194"/>
      <c r="Q32" s="194"/>
      <c r="R32" s="194"/>
      <c r="S32" s="194"/>
      <c r="T32" s="251"/>
      <c r="U32" s="251"/>
      <c r="V32" s="251"/>
      <c r="W32" s="251"/>
      <c r="X32" s="251"/>
    </row>
    <row r="33" spans="1:24" s="14" customFormat="1" x14ac:dyDescent="0.25">
      <c r="A33" s="76"/>
      <c r="B33" s="11" t="s">
        <v>232</v>
      </c>
      <c r="C33" s="169">
        <f t="shared" ref="C33:P33" si="40">C8/C5</f>
        <v>1.571031418620001</v>
      </c>
      <c r="D33" s="255">
        <f t="shared" si="40"/>
        <v>1.6443505494957138</v>
      </c>
      <c r="E33" s="255">
        <f t="shared" si="40"/>
        <v>1.7421727340774933</v>
      </c>
      <c r="F33" s="255">
        <f t="shared" si="40"/>
        <v>8.5459141310669349</v>
      </c>
      <c r="G33" s="255">
        <f t="shared" si="40"/>
        <v>7.2767192448220772</v>
      </c>
      <c r="H33" s="255">
        <f t="shared" si="40"/>
        <v>6.7613116331299157</v>
      </c>
      <c r="I33" s="255">
        <f t="shared" si="40"/>
        <v>8.1869694483259696</v>
      </c>
      <c r="J33" s="255">
        <f t="shared" si="40"/>
        <v>1.9129756776361628</v>
      </c>
      <c r="K33" s="196">
        <f t="shared" si="40"/>
        <v>9.6727108222360059</v>
      </c>
      <c r="L33" s="196">
        <f t="shared" si="40"/>
        <v>7.4083697185691246</v>
      </c>
      <c r="M33" s="196">
        <f t="shared" si="40"/>
        <v>7.2082580808048728</v>
      </c>
      <c r="N33" s="196">
        <f t="shared" si="40"/>
        <v>8.9612478168639367</v>
      </c>
      <c r="O33" s="255">
        <f t="shared" si="40"/>
        <v>2.0471766636093958</v>
      </c>
      <c r="P33" s="196">
        <f t="shared" si="40"/>
        <v>10.585185185185185</v>
      </c>
      <c r="Q33" s="196">
        <f>L33*1.07</f>
        <v>7.9269555988689637</v>
      </c>
      <c r="R33" s="196">
        <f>M33*1.06</f>
        <v>7.6407535656531653</v>
      </c>
      <c r="S33" s="196">
        <f>N33*1.045</f>
        <v>9.3645039686228131</v>
      </c>
      <c r="T33" s="255">
        <f>O33*(1+T34)</f>
        <v>2.1989274685660258</v>
      </c>
      <c r="U33" s="255">
        <f>T33*(1+U34)</f>
        <v>2.2539006552801761</v>
      </c>
      <c r="V33" s="255">
        <f t="shared" ref="V33:X33" si="41">U33*(1+V34)</f>
        <v>2.30348646969634</v>
      </c>
      <c r="W33" s="255">
        <f t="shared" si="41"/>
        <v>2.3495561990902667</v>
      </c>
      <c r="X33" s="255">
        <f t="shared" si="41"/>
        <v>2.3941977668729817</v>
      </c>
    </row>
    <row r="34" spans="1:24" s="14" customFormat="1" x14ac:dyDescent="0.25">
      <c r="A34" s="76"/>
      <c r="B34" s="11" t="s">
        <v>230</v>
      </c>
      <c r="C34" s="166"/>
      <c r="D34" s="251">
        <f>D33/C33-1</f>
        <v>4.6669423670798738E-2</v>
      </c>
      <c r="E34" s="251">
        <f>E33/D33-1</f>
        <v>5.9489860365710578E-2</v>
      </c>
      <c r="F34" s="251"/>
      <c r="G34" s="251"/>
      <c r="H34" s="251"/>
      <c r="I34" s="251"/>
      <c r="J34" s="251">
        <f>J33/E33-1</f>
        <v>9.8040188678025775E-2</v>
      </c>
      <c r="K34" s="194">
        <f>K33/F33-1</f>
        <v>0.13185209608798076</v>
      </c>
      <c r="L34" s="194">
        <f t="shared" ref="L34" si="42">L33/G33-1</f>
        <v>1.8092009505619844E-2</v>
      </c>
      <c r="M34" s="194">
        <f t="shared" ref="M34" si="43">M33/H33-1</f>
        <v>6.6103512443495882E-2</v>
      </c>
      <c r="N34" s="194">
        <f t="shared" ref="N34" si="44">N33/I33-1</f>
        <v>9.4574478801345396E-2</v>
      </c>
      <c r="O34" s="251">
        <f>O33/J33-1</f>
        <v>7.0153001704163387E-2</v>
      </c>
      <c r="P34" s="194">
        <f>P33/K33-1</f>
        <v>9.4334916004265024E-2</v>
      </c>
      <c r="Q34" s="194">
        <f t="shared" ref="Q34" si="45">Q33/L33-1</f>
        <v>7.0000000000000062E-2</v>
      </c>
      <c r="R34" s="194">
        <f t="shared" ref="R34" si="46">R33/M33-1</f>
        <v>6.0000000000000053E-2</v>
      </c>
      <c r="S34" s="194">
        <f t="shared" ref="S34" si="47">S33/N33-1</f>
        <v>4.4999999999999929E-2</v>
      </c>
      <c r="T34" s="251">
        <f>T37</f>
        <v>7.4126873197683407E-2</v>
      </c>
      <c r="U34" s="251">
        <f>U37</f>
        <v>2.4999999999999911E-2</v>
      </c>
      <c r="V34" s="251">
        <f t="shared" ref="V34:X34" si="48">V37</f>
        <v>2.200000000000002E-2</v>
      </c>
      <c r="W34" s="251">
        <f t="shared" si="48"/>
        <v>2.0000000000000018E-2</v>
      </c>
      <c r="X34" s="251">
        <f t="shared" si="48"/>
        <v>1.8999999999999906E-2</v>
      </c>
    </row>
    <row r="35" spans="1:24" s="14" customFormat="1" x14ac:dyDescent="0.25">
      <c r="A35" s="76"/>
      <c r="B35" s="11"/>
      <c r="C35" s="166"/>
      <c r="D35" s="251"/>
      <c r="E35" s="251"/>
      <c r="F35" s="251"/>
      <c r="G35" s="251"/>
      <c r="H35" s="251"/>
      <c r="I35" s="251"/>
      <c r="J35" s="251"/>
      <c r="K35" s="194"/>
      <c r="L35" s="194"/>
      <c r="M35" s="194"/>
      <c r="N35" s="194"/>
      <c r="O35" s="251"/>
      <c r="P35" s="194"/>
      <c r="Q35" s="194"/>
      <c r="R35" s="194"/>
      <c r="S35" s="194"/>
      <c r="T35" s="251"/>
      <c r="U35" s="251"/>
      <c r="V35" s="251"/>
      <c r="W35" s="251"/>
      <c r="X35" s="251"/>
    </row>
    <row r="36" spans="1:24" s="17" customFormat="1" x14ac:dyDescent="0.25">
      <c r="A36" s="52"/>
      <c r="B36" s="51" t="s">
        <v>231</v>
      </c>
      <c r="C36" s="199">
        <f t="shared" ref="C36:P36" si="49">C14/C5</f>
        <v>1.2685095191160565</v>
      </c>
      <c r="D36" s="256">
        <f t="shared" si="49"/>
        <v>1.3372364116914279</v>
      </c>
      <c r="E36" s="256">
        <f t="shared" si="49"/>
        <v>1.4345976197806274</v>
      </c>
      <c r="F36" s="256">
        <f t="shared" si="49"/>
        <v>7.1909770783287401</v>
      </c>
      <c r="G36" s="256">
        <f t="shared" si="49"/>
        <v>6.0014558216133587</v>
      </c>
      <c r="H36" s="256">
        <f t="shared" si="49"/>
        <v>5.5554387689456286</v>
      </c>
      <c r="I36" s="256">
        <f t="shared" si="49"/>
        <v>6.7127818617128021</v>
      </c>
      <c r="J36" s="256">
        <f t="shared" si="49"/>
        <v>1.5795159859433781</v>
      </c>
      <c r="K36" s="200">
        <f t="shared" si="49"/>
        <v>8.1039554295478595</v>
      </c>
      <c r="L36" s="200">
        <f t="shared" si="49"/>
        <v>6.181822644297541</v>
      </c>
      <c r="M36" s="200">
        <f t="shared" si="49"/>
        <v>6.0151473016371364</v>
      </c>
      <c r="N36" s="200">
        <f t="shared" si="49"/>
        <v>7.4914481892426146</v>
      </c>
      <c r="O36" s="256">
        <f t="shared" si="49"/>
        <v>1.7104694497196287</v>
      </c>
      <c r="P36" s="200">
        <f t="shared" si="49"/>
        <v>8.9506172839506171</v>
      </c>
      <c r="Q36" s="200">
        <f>L36*1.075</f>
        <v>6.6454593426198567</v>
      </c>
      <c r="R36" s="200">
        <f>M36*1.0625</f>
        <v>6.3910940079894578</v>
      </c>
      <c r="S36" s="200">
        <f>N36*1.053</f>
        <v>7.8884949432724722</v>
      </c>
      <c r="T36" s="256">
        <f>T14/T5</f>
        <v>1.8372612017275067</v>
      </c>
      <c r="U36" s="256">
        <f>T36*1.025</f>
        <v>1.8831927317706942</v>
      </c>
      <c r="V36" s="256">
        <f>U36*1.022</f>
        <v>1.9246229718696495</v>
      </c>
      <c r="W36" s="256">
        <f>V36*1.02</f>
        <v>1.9631154313070425</v>
      </c>
      <c r="X36" s="256">
        <f>W36*1.019</f>
        <v>2.0004146245018761</v>
      </c>
    </row>
    <row r="37" spans="1:24" s="17" customFormat="1" x14ac:dyDescent="0.25">
      <c r="A37" s="52"/>
      <c r="B37" s="51" t="s">
        <v>230</v>
      </c>
      <c r="C37" s="201"/>
      <c r="D37" s="250">
        <f>D36/C36-1</f>
        <v>5.4179248590316309E-2</v>
      </c>
      <c r="E37" s="250">
        <f>E36/D36-1</f>
        <v>7.2807775228054261E-2</v>
      </c>
      <c r="F37" s="250"/>
      <c r="G37" s="250"/>
      <c r="H37" s="250"/>
      <c r="I37" s="250"/>
      <c r="J37" s="250">
        <f>J36/E36-1</f>
        <v>0.1010167340058119</v>
      </c>
      <c r="K37" s="202">
        <f>K36/F36-1</f>
        <v>0.12696165503997192</v>
      </c>
      <c r="L37" s="202">
        <f t="shared" ref="L37" si="50">L36/G36-1</f>
        <v>3.0053844941192009E-2</v>
      </c>
      <c r="M37" s="202">
        <f t="shared" ref="M37" si="51">M36/H36-1</f>
        <v>8.2749275405794132E-2</v>
      </c>
      <c r="N37" s="202">
        <f t="shared" ref="N37" si="52">N36/I36-1</f>
        <v>0.11599756160274377</v>
      </c>
      <c r="O37" s="250">
        <f>O36/J36-1</f>
        <v>8.2907336767495732E-2</v>
      </c>
      <c r="P37" s="202">
        <f>P36/K36-1</f>
        <v>0.10447513708129996</v>
      </c>
      <c r="Q37" s="202">
        <f>Q36/L36-1</f>
        <v>7.4999999999999956E-2</v>
      </c>
      <c r="R37" s="202">
        <f t="shared" ref="R37" si="53">R36/M36-1</f>
        <v>6.25E-2</v>
      </c>
      <c r="S37" s="202">
        <f t="shared" ref="S37" si="54">S36/N36-1</f>
        <v>5.2999999999999936E-2</v>
      </c>
      <c r="T37" s="250">
        <f>T36/O36-1</f>
        <v>7.4126873197683407E-2</v>
      </c>
      <c r="U37" s="250">
        <f>U36/T36-1</f>
        <v>2.4999999999999911E-2</v>
      </c>
      <c r="V37" s="250">
        <f t="shared" ref="V37" si="55">V36/U36-1</f>
        <v>2.200000000000002E-2</v>
      </c>
      <c r="W37" s="250">
        <f t="shared" ref="W37" si="56">W36/V36-1</f>
        <v>2.0000000000000018E-2</v>
      </c>
      <c r="X37" s="250">
        <f t="shared" ref="X37" si="57">X36/W36-1</f>
        <v>1.8999999999999906E-2</v>
      </c>
    </row>
    <row r="38" spans="1:24" s="14" customFormat="1" x14ac:dyDescent="0.25">
      <c r="A38" s="76"/>
      <c r="B38" s="11"/>
      <c r="C38" s="166"/>
      <c r="D38" s="251"/>
      <c r="E38" s="251"/>
      <c r="F38" s="251"/>
      <c r="G38" s="251"/>
      <c r="H38" s="251"/>
      <c r="I38" s="251"/>
      <c r="J38" s="251"/>
      <c r="K38" s="194"/>
      <c r="L38" s="194"/>
      <c r="M38" s="194"/>
      <c r="N38" s="194"/>
      <c r="O38" s="251"/>
      <c r="P38" s="194"/>
      <c r="Q38" s="194"/>
      <c r="R38" s="194"/>
      <c r="S38" s="194"/>
      <c r="T38" s="251"/>
      <c r="U38" s="251"/>
      <c r="V38" s="251"/>
      <c r="W38" s="251"/>
      <c r="X38" s="251"/>
    </row>
    <row r="39" spans="1:24" s="14" customFormat="1" x14ac:dyDescent="0.25">
      <c r="A39" s="76"/>
      <c r="B39" s="11" t="s">
        <v>235</v>
      </c>
      <c r="C39" s="169">
        <f t="shared" ref="C39:P39" si="58">C17/C5</f>
        <v>0.77559811705870307</v>
      </c>
      <c r="D39" s="255">
        <f t="shared" si="58"/>
        <v>0.80620463174190082</v>
      </c>
      <c r="E39" s="255">
        <f t="shared" si="58"/>
        <v>0.8746230796294634</v>
      </c>
      <c r="F39" s="255">
        <f t="shared" si="58"/>
        <v>4.4220115050784718</v>
      </c>
      <c r="G39" s="255">
        <f t="shared" si="58"/>
        <v>3.4053984367112071</v>
      </c>
      <c r="H39" s="255">
        <f t="shared" si="58"/>
        <v>3.2062795545007701</v>
      </c>
      <c r="I39" s="255">
        <f t="shared" si="58"/>
        <v>4.5155965035704746</v>
      </c>
      <c r="J39" s="255">
        <f t="shared" si="58"/>
        <v>0.95669527158178314</v>
      </c>
      <c r="K39" s="196">
        <f t="shared" si="58"/>
        <v>4.7088277100795572</v>
      </c>
      <c r="L39" s="196">
        <f t="shared" si="58"/>
        <v>4.446841445569409</v>
      </c>
      <c r="M39" s="196">
        <f t="shared" si="58"/>
        <v>3.9992368353587047</v>
      </c>
      <c r="N39" s="196">
        <f t="shared" si="58"/>
        <v>4.859825944556019</v>
      </c>
      <c r="O39" s="255">
        <f t="shared" si="58"/>
        <v>1.1262149003676816</v>
      </c>
      <c r="P39" s="196">
        <f t="shared" si="58"/>
        <v>6.0104938271604942</v>
      </c>
      <c r="Q39" s="196">
        <f>L39*1.065</f>
        <v>4.73588613953142</v>
      </c>
      <c r="R39" s="196">
        <f>M39*1.03</f>
        <v>4.1192139404194661</v>
      </c>
      <c r="S39" s="196">
        <f>N39*1.02</f>
        <v>4.9570224634471396</v>
      </c>
      <c r="T39" s="255">
        <f>T17/T5</f>
        <v>1.2207674827006365</v>
      </c>
      <c r="U39" s="255">
        <f>T39*0.99</f>
        <v>1.2085598078736302</v>
      </c>
      <c r="V39" s="255">
        <f>U39*0.995</f>
        <v>1.202517008834262</v>
      </c>
      <c r="W39" s="255">
        <f>V39*0.996</f>
        <v>1.1977069407989249</v>
      </c>
      <c r="X39" s="255">
        <f>W39*0.998</f>
        <v>1.1953115269173271</v>
      </c>
    </row>
    <row r="40" spans="1:24" s="14" customFormat="1" x14ac:dyDescent="0.25">
      <c r="A40" s="76"/>
      <c r="B40" s="11" t="s">
        <v>230</v>
      </c>
      <c r="C40" s="166"/>
      <c r="D40" s="251">
        <f>D39/C39-1</f>
        <v>3.9461821799241514E-2</v>
      </c>
      <c r="E40" s="251">
        <f>E39/D39-1</f>
        <v>8.4864865809238132E-2</v>
      </c>
      <c r="F40" s="251"/>
      <c r="G40" s="251"/>
      <c r="H40" s="251"/>
      <c r="I40" s="251"/>
      <c r="J40" s="251">
        <f>J39/E39-1</f>
        <v>9.3837212696342043E-2</v>
      </c>
      <c r="K40" s="194">
        <f>K39/F39-1</f>
        <v>6.4861026406577649E-2</v>
      </c>
      <c r="L40" s="194">
        <f t="shared" ref="L40" si="59">L39/G39-1</f>
        <v>0.30582119191432544</v>
      </c>
      <c r="M40" s="194">
        <f t="shared" ref="M40" si="60">M39/H39-1</f>
        <v>0.24731383130483175</v>
      </c>
      <c r="N40" s="194">
        <f t="shared" ref="N40" si="61">N39/I39-1</f>
        <v>7.6231222323199788E-2</v>
      </c>
      <c r="O40" s="251">
        <f>O39/J39-1</f>
        <v>0.17719292006703213</v>
      </c>
      <c r="P40" s="194">
        <f>P39/K39-1</f>
        <v>0.27643103490379017</v>
      </c>
      <c r="Q40" s="194">
        <f t="shared" ref="Q40" si="62">Q39/L39-1</f>
        <v>6.4999999999999947E-2</v>
      </c>
      <c r="R40" s="194">
        <f t="shared" ref="R40" si="63">R39/M39-1</f>
        <v>3.0000000000000027E-2</v>
      </c>
      <c r="S40" s="194">
        <f t="shared" ref="S40" si="64">S39/N39-1</f>
        <v>2.0000000000000018E-2</v>
      </c>
      <c r="T40" s="251">
        <f>T39/O39-1</f>
        <v>8.3956074726134311E-2</v>
      </c>
      <c r="U40" s="251">
        <f>U39/T39-1</f>
        <v>-1.0000000000000009E-2</v>
      </c>
      <c r="V40" s="251">
        <f t="shared" ref="V40" si="65">V39/U39-1</f>
        <v>-5.0000000000000044E-3</v>
      </c>
      <c r="W40" s="251">
        <f t="shared" ref="W40" si="66">W39/V39-1</f>
        <v>-4.0000000000001146E-3</v>
      </c>
      <c r="X40" s="251">
        <f t="shared" ref="X40" si="67">X39/W39-1</f>
        <v>-2.0000000000000018E-3</v>
      </c>
    </row>
    <row r="41" spans="1:24" s="14" customFormat="1" x14ac:dyDescent="0.25">
      <c r="A41" s="76"/>
      <c r="B41" s="11"/>
      <c r="C41" s="166"/>
      <c r="D41" s="251"/>
      <c r="E41" s="251"/>
      <c r="F41" s="251"/>
      <c r="G41" s="251"/>
      <c r="H41" s="251"/>
      <c r="I41" s="251"/>
      <c r="J41" s="251"/>
      <c r="K41" s="194"/>
      <c r="L41" s="194"/>
      <c r="M41" s="194"/>
      <c r="N41" s="194"/>
      <c r="O41" s="251"/>
      <c r="P41" s="194"/>
      <c r="Q41" s="194"/>
      <c r="R41" s="194"/>
      <c r="S41" s="194"/>
      <c r="T41" s="251"/>
      <c r="U41" s="251"/>
      <c r="V41" s="251"/>
      <c r="W41" s="251"/>
      <c r="X41" s="251"/>
    </row>
    <row r="42" spans="1:24" s="14" customFormat="1" hidden="1" x14ac:dyDescent="0.25">
      <c r="A42" s="76"/>
      <c r="B42" s="11" t="s">
        <v>233</v>
      </c>
      <c r="C42" s="169">
        <f t="shared" ref="C42:P42" si="68">C20/C5</f>
        <v>0.30070799308268575</v>
      </c>
      <c r="D42" s="255">
        <f t="shared" si="68"/>
        <v>0.43441160176390919</v>
      </c>
      <c r="E42" s="255">
        <f t="shared" si="68"/>
        <v>0.62073764008158661</v>
      </c>
      <c r="F42" s="255">
        <f t="shared" si="68"/>
        <v>2.0977471059726378</v>
      </c>
      <c r="G42" s="255">
        <f t="shared" si="68"/>
        <v>1.4102216561163323</v>
      </c>
      <c r="H42" s="255">
        <f t="shared" si="68"/>
        <v>1.3032952679334664</v>
      </c>
      <c r="I42" s="255">
        <f t="shared" si="68"/>
        <v>1.7743047048197058</v>
      </c>
      <c r="J42" s="255">
        <f t="shared" si="68"/>
        <v>0.39934648360038122</v>
      </c>
      <c r="K42" s="196">
        <f t="shared" si="68"/>
        <v>2.5739737420500157</v>
      </c>
      <c r="L42" s="196">
        <f t="shared" si="68"/>
        <v>1.4927185801252405</v>
      </c>
      <c r="M42" s="196">
        <f t="shared" si="68"/>
        <v>1.3394318194160644</v>
      </c>
      <c r="N42" s="196">
        <f t="shared" si="68"/>
        <v>4.0888862678079487</v>
      </c>
      <c r="O42" s="255">
        <f t="shared" si="68"/>
        <v>0.55907943129467763</v>
      </c>
      <c r="P42" s="196">
        <f t="shared" si="68"/>
        <v>2.3481481481481481</v>
      </c>
      <c r="Q42" s="194"/>
      <c r="R42" s="194"/>
      <c r="S42" s="194"/>
      <c r="T42" s="251"/>
      <c r="U42" s="251"/>
      <c r="V42" s="251"/>
      <c r="W42" s="251"/>
      <c r="X42" s="251"/>
    </row>
    <row r="43" spans="1:24" s="14" customFormat="1" hidden="1" x14ac:dyDescent="0.25">
      <c r="A43" s="76"/>
      <c r="B43" s="11" t="s">
        <v>230</v>
      </c>
      <c r="C43" s="166"/>
      <c r="D43" s="251">
        <f>D42/C42-1</f>
        <v>0.44462938051819245</v>
      </c>
      <c r="E43" s="251">
        <f>E42/D42-1</f>
        <v>0.42891588889686361</v>
      </c>
      <c r="F43" s="251"/>
      <c r="G43" s="251"/>
      <c r="H43" s="251"/>
      <c r="I43" s="251"/>
      <c r="J43" s="251">
        <f>J42/E42-1</f>
        <v>-0.35665817921417953</v>
      </c>
      <c r="K43" s="194">
        <f>K42/F42-1</f>
        <v>0.2270181351801086</v>
      </c>
      <c r="L43" s="194">
        <f t="shared" ref="L43" si="69">L42/G42-1</f>
        <v>5.8499260489375704E-2</v>
      </c>
      <c r="M43" s="194">
        <f t="shared" ref="M43" si="70">M42/H42-1</f>
        <v>2.7727064136354063E-2</v>
      </c>
      <c r="N43" s="194">
        <f t="shared" ref="N43" si="71">N42/I42-1</f>
        <v>1.3045006061816404</v>
      </c>
      <c r="O43" s="251">
        <f>O42/J42-1</f>
        <v>0.39998586253770108</v>
      </c>
      <c r="P43" s="194">
        <f>P42/K42-1</f>
        <v>-8.7734225960677814E-2</v>
      </c>
      <c r="Q43" s="194">
        <f t="shared" ref="Q43" si="72">Q42/L42-1</f>
        <v>-1</v>
      </c>
      <c r="R43" s="194">
        <f t="shared" ref="R43" si="73">R42/M42-1</f>
        <v>-1</v>
      </c>
      <c r="S43" s="194">
        <f t="shared" ref="S43" si="74">S42/N42-1</f>
        <v>-1</v>
      </c>
      <c r="T43" s="251">
        <f>T42/O42-1</f>
        <v>-1</v>
      </c>
      <c r="U43" s="251" t="e">
        <f>U42/T42-1</f>
        <v>#DIV/0!</v>
      </c>
      <c r="V43" s="251" t="e">
        <f t="shared" ref="V43" si="75">V42/U42-1</f>
        <v>#DIV/0!</v>
      </c>
      <c r="W43" s="251" t="e">
        <f t="shared" ref="W43" si="76">W42/V42-1</f>
        <v>#DIV/0!</v>
      </c>
      <c r="X43" s="251" t="e">
        <f t="shared" ref="X43" si="77">X42/W42-1</f>
        <v>#DIV/0!</v>
      </c>
    </row>
    <row r="44" spans="1:24" s="14" customFormat="1" hidden="1" x14ac:dyDescent="0.25">
      <c r="A44" s="76"/>
      <c r="B44" s="76"/>
      <c r="C44" s="76"/>
      <c r="D44" s="247"/>
      <c r="E44" s="247"/>
      <c r="F44" s="247"/>
      <c r="G44" s="247"/>
      <c r="H44" s="247"/>
      <c r="I44" s="247"/>
      <c r="J44" s="247"/>
      <c r="N44" s="197"/>
      <c r="O44" s="247"/>
      <c r="T44" s="247"/>
      <c r="U44" s="247"/>
      <c r="V44" s="247"/>
      <c r="W44" s="247"/>
      <c r="X44" s="247"/>
    </row>
    <row r="45" spans="1:24" s="14" customFormat="1" x14ac:dyDescent="0.25">
      <c r="A45" s="76"/>
      <c r="B45" s="76"/>
      <c r="C45" s="76"/>
      <c r="D45" s="247"/>
      <c r="E45" s="247"/>
      <c r="F45" s="247"/>
      <c r="G45" s="247"/>
      <c r="H45" s="247"/>
      <c r="I45" s="247"/>
      <c r="J45" s="247"/>
      <c r="N45" s="197"/>
      <c r="O45" s="247"/>
      <c r="T45" s="247"/>
      <c r="U45" s="247"/>
      <c r="V45" s="247"/>
      <c r="W45" s="247"/>
      <c r="X45" s="247"/>
    </row>
    <row r="46" spans="1:24" s="14" customFormat="1" x14ac:dyDescent="0.25">
      <c r="A46" s="76"/>
      <c r="B46" s="76"/>
      <c r="C46" s="76"/>
      <c r="D46" s="247"/>
      <c r="E46" s="247"/>
      <c r="F46" s="247"/>
      <c r="G46" s="247"/>
      <c r="H46" s="247"/>
      <c r="I46" s="247"/>
      <c r="J46" s="247"/>
      <c r="N46" s="197"/>
      <c r="O46" s="247"/>
      <c r="T46" s="247"/>
      <c r="U46" s="247"/>
      <c r="V46" s="247"/>
      <c r="W46" s="247"/>
      <c r="X46" s="247"/>
    </row>
    <row r="47" spans="1:24" s="17" customFormat="1" x14ac:dyDescent="0.25">
      <c r="A47" s="76"/>
      <c r="B47" s="76" t="s">
        <v>211</v>
      </c>
      <c r="C47" s="76"/>
      <c r="D47" s="257">
        <f t="shared" ref="D47:S47" si="78">D8*D5</f>
        <v>13009.099999999999</v>
      </c>
      <c r="E47" s="257">
        <f t="shared" si="78"/>
        <v>11723.8</v>
      </c>
      <c r="F47" s="257">
        <f t="shared" si="78"/>
        <v>2256.1000000000004</v>
      </c>
      <c r="G47" s="257">
        <f t="shared" si="78"/>
        <v>3564</v>
      </c>
      <c r="H47" s="257">
        <f t="shared" si="78"/>
        <v>3435.4</v>
      </c>
      <c r="I47" s="257">
        <f t="shared" si="78"/>
        <v>3194.4</v>
      </c>
      <c r="J47" s="257">
        <f t="shared" si="78"/>
        <v>12449.900000000001</v>
      </c>
      <c r="K47" s="198">
        <f t="shared" si="78"/>
        <v>2643.2999999999997</v>
      </c>
      <c r="L47" s="198">
        <f t="shared" si="78"/>
        <v>3501.4</v>
      </c>
      <c r="M47" s="198">
        <f t="shared" si="78"/>
        <v>3517.4</v>
      </c>
      <c r="N47" s="198">
        <f t="shared" si="78"/>
        <v>3145.4</v>
      </c>
      <c r="O47" s="257">
        <f t="shared" si="78"/>
        <v>12807.499999999998</v>
      </c>
      <c r="P47" s="198">
        <f t="shared" si="78"/>
        <v>2777.9759999999997</v>
      </c>
      <c r="Q47" s="198">
        <f t="shared" si="78"/>
        <v>3620.1998059220009</v>
      </c>
      <c r="R47" s="198">
        <f t="shared" si="78"/>
        <v>3544.3520774999997</v>
      </c>
      <c r="S47" s="198">
        <f t="shared" si="78"/>
        <v>3041.8816776920007</v>
      </c>
      <c r="T47" s="257">
        <f>SUM(P47:S47)</f>
        <v>12984.409561114002</v>
      </c>
      <c r="U47" s="257">
        <f>U8*U5</f>
        <v>12773.062342001274</v>
      </c>
      <c r="V47" s="257">
        <f>V8*V5</f>
        <v>12665.384787805089</v>
      </c>
      <c r="W47" s="257">
        <f>W8*W5</f>
        <v>12584.989738018323</v>
      </c>
      <c r="X47" s="257">
        <f>X8*X5</f>
        <v>12568.904862634157</v>
      </c>
    </row>
    <row r="48" spans="1:24" s="17" customFormat="1" x14ac:dyDescent="0.25">
      <c r="A48" s="76"/>
      <c r="B48" s="76" t="s">
        <v>363</v>
      </c>
      <c r="C48" s="76"/>
      <c r="D48" s="257">
        <f t="shared" ref="D48:S48" si="79">D11*D5</f>
        <v>2429.6999999999998</v>
      </c>
      <c r="E48" s="257">
        <f t="shared" si="79"/>
        <v>2069.8000000000002</v>
      </c>
      <c r="F48" s="257">
        <f t="shared" si="79"/>
        <v>357.7</v>
      </c>
      <c r="G48" s="257">
        <f t="shared" si="79"/>
        <v>624.6</v>
      </c>
      <c r="H48" s="257">
        <f t="shared" si="79"/>
        <v>612.70000000000005</v>
      </c>
      <c r="I48" s="257">
        <f t="shared" si="79"/>
        <v>575.20000000000005</v>
      </c>
      <c r="J48" s="257">
        <f t="shared" si="79"/>
        <v>2170.1999999999998</v>
      </c>
      <c r="K48" s="198">
        <f t="shared" si="79"/>
        <v>428.7</v>
      </c>
      <c r="L48" s="198">
        <f t="shared" si="79"/>
        <v>579.70000000000005</v>
      </c>
      <c r="M48" s="198">
        <f t="shared" si="79"/>
        <v>582.20000000000005</v>
      </c>
      <c r="N48" s="198">
        <f t="shared" si="79"/>
        <v>515.9</v>
      </c>
      <c r="O48" s="257">
        <f t="shared" si="79"/>
        <v>2106.5</v>
      </c>
      <c r="P48" s="198">
        <f t="shared" si="79"/>
        <v>428.976</v>
      </c>
      <c r="Q48" s="198">
        <f t="shared" si="79"/>
        <v>585.25274177450046</v>
      </c>
      <c r="R48" s="198">
        <f t="shared" si="79"/>
        <v>579.68542124999976</v>
      </c>
      <c r="S48" s="198">
        <f t="shared" si="79"/>
        <v>479.4535647980004</v>
      </c>
      <c r="T48" s="257">
        <f>SUM(P48:S48)</f>
        <v>2073.3677278225009</v>
      </c>
      <c r="U48" s="257">
        <f>U11*U5</f>
        <v>2100.8359026684111</v>
      </c>
      <c r="V48" s="257">
        <f>V11*V5</f>
        <v>2083.1257509671204</v>
      </c>
      <c r="W48" s="257">
        <f>W11*W5</f>
        <v>2069.9028602877684</v>
      </c>
      <c r="X48" s="257">
        <f>X11*X5</f>
        <v>2067.257317442034</v>
      </c>
    </row>
    <row r="49" spans="1:24" s="17" customFormat="1" x14ac:dyDescent="0.25">
      <c r="A49" s="76"/>
      <c r="B49" s="76" t="s">
        <v>207</v>
      </c>
      <c r="C49" s="76"/>
      <c r="D49" s="257">
        <f t="shared" ref="D49:S49" si="80">D5*D14</f>
        <v>10579.4</v>
      </c>
      <c r="E49" s="257">
        <f t="shared" si="80"/>
        <v>9654</v>
      </c>
      <c r="F49" s="257">
        <f t="shared" si="80"/>
        <v>1898.4</v>
      </c>
      <c r="G49" s="257">
        <f t="shared" si="80"/>
        <v>2939.4</v>
      </c>
      <c r="H49" s="257">
        <f t="shared" si="80"/>
        <v>2822.7</v>
      </c>
      <c r="I49" s="257">
        <f t="shared" si="80"/>
        <v>2619.1999999999994</v>
      </c>
      <c r="J49" s="257">
        <f t="shared" si="80"/>
        <v>10279.700000000001</v>
      </c>
      <c r="K49" s="198">
        <f t="shared" si="80"/>
        <v>2214.6</v>
      </c>
      <c r="L49" s="198">
        <f t="shared" si="80"/>
        <v>2921.7000000000003</v>
      </c>
      <c r="M49" s="198">
        <f t="shared" si="80"/>
        <v>2935.2000000000003</v>
      </c>
      <c r="N49" s="198">
        <f t="shared" si="80"/>
        <v>2629.5</v>
      </c>
      <c r="O49" s="257">
        <f t="shared" si="80"/>
        <v>10700.999999999998</v>
      </c>
      <c r="P49" s="198">
        <f t="shared" si="80"/>
        <v>2349</v>
      </c>
      <c r="Q49" s="198">
        <f>Q5*Q14</f>
        <v>3034.9470641475004</v>
      </c>
      <c r="R49" s="198">
        <f t="shared" si="80"/>
        <v>2964.66665625</v>
      </c>
      <c r="S49" s="198">
        <f t="shared" si="80"/>
        <v>2562.4281128940002</v>
      </c>
      <c r="T49" s="257">
        <f>SUM(P49:S49)</f>
        <v>10911.0418332915</v>
      </c>
      <c r="U49" s="257">
        <f>U5*U14</f>
        <v>10672.226439332864</v>
      </c>
      <c r="V49" s="257">
        <f>V5*V14</f>
        <v>10582.259036837968</v>
      </c>
      <c r="W49" s="257">
        <f>W5*W14</f>
        <v>10515.086877730553</v>
      </c>
      <c r="X49" s="257">
        <f>X5*X14</f>
        <v>10501.647545192123</v>
      </c>
    </row>
    <row r="50" spans="1:24" s="17" customFormat="1" x14ac:dyDescent="0.25">
      <c r="A50" s="76"/>
      <c r="B50" s="76" t="s">
        <v>82</v>
      </c>
      <c r="C50" s="76"/>
      <c r="D50" s="257">
        <f t="shared" ref="D50:S50" si="81">D17*D5</f>
        <v>6378.1999999999989</v>
      </c>
      <c r="E50" s="257">
        <f t="shared" si="81"/>
        <v>5885.7</v>
      </c>
      <c r="F50" s="257">
        <f t="shared" si="81"/>
        <v>1167.4000000000001</v>
      </c>
      <c r="G50" s="257">
        <f t="shared" si="81"/>
        <v>1667.9</v>
      </c>
      <c r="H50" s="257">
        <f t="shared" si="81"/>
        <v>1629.1</v>
      </c>
      <c r="I50" s="257">
        <f t="shared" si="81"/>
        <v>1761.8999999999999</v>
      </c>
      <c r="J50" s="257">
        <f t="shared" si="81"/>
        <v>6226.3000000000011</v>
      </c>
      <c r="K50" s="198">
        <f t="shared" si="81"/>
        <v>1286.8</v>
      </c>
      <c r="L50" s="198">
        <f t="shared" si="81"/>
        <v>2101.6999999999998</v>
      </c>
      <c r="M50" s="198">
        <f t="shared" si="81"/>
        <v>1951.5</v>
      </c>
      <c r="N50" s="198">
        <f t="shared" si="81"/>
        <v>1705.8</v>
      </c>
      <c r="O50" s="257">
        <f t="shared" si="81"/>
        <v>7045.8</v>
      </c>
      <c r="P50" s="198">
        <f t="shared" si="81"/>
        <v>1577.394</v>
      </c>
      <c r="Q50" s="198">
        <f t="shared" si="81"/>
        <v>2162.8548147345</v>
      </c>
      <c r="R50" s="198">
        <f t="shared" si="81"/>
        <v>1910.7990281249999</v>
      </c>
      <c r="S50" s="198">
        <f t="shared" si="81"/>
        <v>1610.1948227040004</v>
      </c>
      <c r="T50" s="257">
        <f>SUM(P50:S50)</f>
        <v>7261.2426655634999</v>
      </c>
      <c r="U50" s="257">
        <f>U17*U5</f>
        <v>6849.0196024580464</v>
      </c>
      <c r="V50" s="257">
        <f>V17*V5</f>
        <v>6611.8645935758841</v>
      </c>
      <c r="W50" s="257">
        <f>W17*W5</f>
        <v>6415.309225182189</v>
      </c>
      <c r="X50" s="257">
        <f>X17*X5</f>
        <v>6275.0692824578609</v>
      </c>
    </row>
    <row r="51" spans="1:24" s="17" customFormat="1" x14ac:dyDescent="0.25">
      <c r="A51" s="76"/>
      <c r="B51" s="52"/>
      <c r="C51" s="52"/>
      <c r="D51" s="216"/>
      <c r="E51" s="216"/>
      <c r="F51" s="216"/>
      <c r="G51" s="216"/>
      <c r="H51" s="216"/>
      <c r="I51" s="216"/>
      <c r="J51" s="216"/>
      <c r="K51" s="216"/>
      <c r="L51" s="216"/>
      <c r="M51" s="216"/>
      <c r="N51" s="216"/>
      <c r="O51" s="216"/>
      <c r="P51" s="216"/>
      <c r="Q51" s="217"/>
      <c r="R51" s="217"/>
      <c r="S51" s="217"/>
      <c r="T51" s="217"/>
      <c r="U51" s="217"/>
      <c r="V51" s="217"/>
      <c r="W51" s="217"/>
      <c r="X51" s="217"/>
    </row>
    <row r="52" spans="1:24" s="17" customFormat="1" hidden="1" x14ac:dyDescent="0.25">
      <c r="A52" s="76"/>
      <c r="B52" s="76" t="s">
        <v>215</v>
      </c>
      <c r="C52" s="76"/>
      <c r="D52" s="216">
        <f t="shared" ref="D52:P52" si="82">D20*D5</f>
        <v>3436.8000000000006</v>
      </c>
      <c r="E52" s="216">
        <f t="shared" si="82"/>
        <v>4177.2</v>
      </c>
      <c r="F52" s="216">
        <f t="shared" si="82"/>
        <v>553.79999999999995</v>
      </c>
      <c r="G52" s="216">
        <f t="shared" si="82"/>
        <v>690.7</v>
      </c>
      <c r="H52" s="216">
        <f t="shared" si="82"/>
        <v>662.2</v>
      </c>
      <c r="I52" s="216">
        <f t="shared" si="82"/>
        <v>692.3</v>
      </c>
      <c r="J52" s="216">
        <f t="shared" si="82"/>
        <v>2598.9999999999995</v>
      </c>
      <c r="K52" s="216">
        <f t="shared" si="82"/>
        <v>703.4</v>
      </c>
      <c r="L52" s="216">
        <f t="shared" si="82"/>
        <v>705.5</v>
      </c>
      <c r="M52" s="216">
        <f t="shared" si="82"/>
        <v>653.6</v>
      </c>
      <c r="N52" s="216">
        <f t="shared" si="82"/>
        <v>1435.2</v>
      </c>
      <c r="O52" s="216">
        <f t="shared" si="82"/>
        <v>3497.7</v>
      </c>
      <c r="P52" s="216">
        <f t="shared" si="82"/>
        <v>616.24799999999993</v>
      </c>
      <c r="Q52" s="217"/>
      <c r="R52" s="217"/>
      <c r="S52" s="217"/>
      <c r="T52" s="217"/>
      <c r="U52" s="217"/>
      <c r="V52" s="217"/>
      <c r="W52" s="217"/>
      <c r="X52" s="217"/>
    </row>
    <row r="53" spans="1:24" s="17" customFormat="1" hidden="1" x14ac:dyDescent="0.25">
      <c r="A53" s="76"/>
      <c r="B53" s="76"/>
      <c r="C53" s="7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7"/>
      <c r="R53" s="217"/>
      <c r="S53" s="217"/>
      <c r="T53" s="217"/>
      <c r="U53" s="217"/>
      <c r="V53" s="217"/>
      <c r="W53" s="217"/>
      <c r="X53" s="217"/>
    </row>
    <row r="54" spans="1:24" s="17" customFormat="1" hidden="1" x14ac:dyDescent="0.25">
      <c r="A54" s="76"/>
      <c r="B54" s="76" t="s">
        <v>191</v>
      </c>
      <c r="C54" s="76"/>
      <c r="D54" s="216">
        <f>IS!C18</f>
        <v>2332.1999999999998</v>
      </c>
      <c r="E54" s="216">
        <f>IS!D18</f>
        <v>2253.3000000000002</v>
      </c>
      <c r="F54" s="216">
        <f>F23*F5</f>
        <v>379.5</v>
      </c>
      <c r="G54" s="216">
        <f>G23*G5</f>
        <v>782.4</v>
      </c>
      <c r="H54" s="216">
        <f>H23*H5</f>
        <v>731.7</v>
      </c>
      <c r="I54" s="216">
        <f>I23*I5</f>
        <v>346.9</v>
      </c>
      <c r="J54" s="216">
        <f>SUM(F54:I54)</f>
        <v>2240.5</v>
      </c>
      <c r="K54" s="216">
        <f>K23*K5</f>
        <v>398.1</v>
      </c>
      <c r="L54" s="216">
        <f>L23*L5</f>
        <v>286.2</v>
      </c>
      <c r="M54" s="216">
        <f>M23*M5</f>
        <v>500.3</v>
      </c>
      <c r="N54" s="216">
        <f>N23*N5</f>
        <v>-342.3</v>
      </c>
      <c r="O54" s="216">
        <f>SUM(K54:N54)</f>
        <v>842.3</v>
      </c>
      <c r="P54" s="216">
        <f>P23*P5</f>
        <v>327.07800000000003</v>
      </c>
      <c r="Q54" s="217"/>
      <c r="R54" s="218"/>
      <c r="S54" s="217"/>
      <c r="T54" s="217"/>
      <c r="U54" s="217"/>
      <c r="V54" s="217"/>
      <c r="W54" s="217"/>
      <c r="X54" s="217"/>
    </row>
    <row r="55" spans="1:24" s="17" customFormat="1" hidden="1" x14ac:dyDescent="0.25">
      <c r="A55" s="76"/>
      <c r="B55" s="76"/>
      <c r="C55" s="76"/>
      <c r="D55" s="216"/>
      <c r="E55" s="216"/>
      <c r="F55" s="216"/>
      <c r="G55" s="216"/>
      <c r="H55" s="216"/>
      <c r="I55" s="216"/>
      <c r="J55" s="216"/>
      <c r="K55" s="216"/>
      <c r="L55" s="216"/>
      <c r="M55" s="216"/>
      <c r="N55" s="216"/>
      <c r="O55" s="216"/>
      <c r="P55" s="216"/>
      <c r="Q55" s="217"/>
      <c r="R55" s="217"/>
      <c r="S55" s="217"/>
      <c r="T55" s="217"/>
      <c r="U55" s="217"/>
      <c r="V55" s="217"/>
      <c r="W55" s="217"/>
      <c r="X55" s="217"/>
    </row>
    <row r="56" spans="1:24" s="17" customFormat="1" hidden="1" x14ac:dyDescent="0.25">
      <c r="A56" s="76"/>
      <c r="B56" s="76" t="s">
        <v>209</v>
      </c>
      <c r="C56" s="76"/>
      <c r="D56" s="216">
        <f t="shared" ref="D56:P56" si="83">D26*D5</f>
        <v>241.69999999999996</v>
      </c>
      <c r="E56" s="216">
        <f t="shared" si="83"/>
        <v>-949</v>
      </c>
      <c r="F56" s="216">
        <f t="shared" si="83"/>
        <v>84.1</v>
      </c>
      <c r="G56" s="216">
        <f t="shared" si="83"/>
        <v>388.6</v>
      </c>
      <c r="H56" s="216">
        <f t="shared" si="83"/>
        <v>452.99999999999994</v>
      </c>
      <c r="I56" s="216">
        <f t="shared" si="83"/>
        <v>80</v>
      </c>
      <c r="J56" s="216">
        <f t="shared" si="83"/>
        <v>1005.7</v>
      </c>
      <c r="K56" s="216">
        <f t="shared" si="83"/>
        <v>151.5</v>
      </c>
      <c r="L56" s="216">
        <f t="shared" si="83"/>
        <v>47.3</v>
      </c>
      <c r="M56" s="216">
        <f t="shared" si="83"/>
        <v>216.4</v>
      </c>
      <c r="N56" s="216">
        <f t="shared" si="83"/>
        <v>-590.5</v>
      </c>
      <c r="O56" s="216">
        <f t="shared" si="83"/>
        <v>-175.3</v>
      </c>
      <c r="P56" s="216">
        <f t="shared" si="83"/>
        <v>72.576000000000008</v>
      </c>
      <c r="Q56" s="217"/>
      <c r="R56" s="217"/>
      <c r="S56" s="217"/>
      <c r="T56" s="217"/>
      <c r="U56" s="217"/>
      <c r="V56" s="217"/>
      <c r="W56" s="217"/>
      <c r="X56" s="217"/>
    </row>
    <row r="57" spans="1:24" s="17" customFormat="1" hidden="1" x14ac:dyDescent="0.25">
      <c r="A57" s="76"/>
      <c r="B57" s="76"/>
      <c r="C57" s="76"/>
      <c r="D57" s="218"/>
      <c r="E57" s="217"/>
      <c r="F57" s="217"/>
      <c r="G57" s="217"/>
      <c r="H57" s="217"/>
      <c r="I57" s="217"/>
      <c r="J57" s="217"/>
      <c r="K57" s="217"/>
      <c r="L57" s="217"/>
      <c r="M57" s="217"/>
      <c r="N57" s="217"/>
      <c r="O57" s="217"/>
      <c r="P57" s="217"/>
      <c r="Q57" s="217"/>
      <c r="R57" s="217"/>
      <c r="S57" s="217"/>
      <c r="T57" s="217"/>
      <c r="U57" s="217"/>
      <c r="V57" s="217"/>
      <c r="W57" s="217"/>
      <c r="X57" s="217"/>
    </row>
    <row r="58" spans="1:24" s="17" customFormat="1" x14ac:dyDescent="0.25">
      <c r="A58" s="76"/>
      <c r="B58" s="76"/>
      <c r="C58" s="76"/>
      <c r="D58" s="218"/>
      <c r="E58" s="217"/>
      <c r="F58" s="217"/>
      <c r="G58" s="217"/>
      <c r="H58" s="217"/>
      <c r="I58" s="217"/>
      <c r="J58" s="217"/>
      <c r="K58" s="217"/>
      <c r="L58" s="217"/>
      <c r="M58" s="217"/>
      <c r="N58" s="217"/>
      <c r="O58" s="217"/>
      <c r="P58" s="217"/>
      <c r="Q58" s="217"/>
      <c r="R58" s="217"/>
      <c r="S58" s="217"/>
      <c r="T58" s="217"/>
      <c r="U58" s="217"/>
      <c r="V58" s="217"/>
      <c r="W58" s="217"/>
      <c r="X58" s="217"/>
    </row>
    <row r="59" spans="1:24" s="14" customFormat="1" x14ac:dyDescent="0.25">
      <c r="A59" s="76"/>
      <c r="B59" s="11"/>
      <c r="C59" s="11"/>
      <c r="D59" s="153"/>
      <c r="E59" s="153"/>
      <c r="F59" s="153"/>
      <c r="G59" s="153"/>
      <c r="H59" s="153"/>
      <c r="I59" s="154"/>
      <c r="J59" s="153"/>
      <c r="K59" s="153"/>
      <c r="L59" s="153"/>
      <c r="M59" s="153"/>
      <c r="N59" s="154"/>
      <c r="O59" s="153"/>
      <c r="P59" s="219"/>
      <c r="Q59" s="153"/>
      <c r="R59" s="153"/>
      <c r="S59" s="153"/>
      <c r="T59" s="153"/>
      <c r="U59" s="153"/>
      <c r="V59" s="153"/>
      <c r="W59" s="153"/>
      <c r="X59" s="153"/>
    </row>
    <row r="60" spans="1:24" s="17" customFormat="1" x14ac:dyDescent="0.25">
      <c r="A60" s="76"/>
      <c r="B60" s="11"/>
      <c r="C60" s="11"/>
      <c r="D60" s="218"/>
      <c r="E60" s="217"/>
      <c r="F60" s="217"/>
      <c r="G60" s="217"/>
      <c r="H60" s="217"/>
      <c r="I60" s="217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</row>
    <row r="61" spans="1:24" s="17" customFormat="1" x14ac:dyDescent="0.25">
      <c r="A61" s="76"/>
      <c r="B61" s="10"/>
      <c r="C61" s="10"/>
      <c r="D61" s="217"/>
      <c r="E61" s="217"/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</row>
    <row r="62" spans="1:24" s="14" customFormat="1" x14ac:dyDescent="0.25">
      <c r="A62" s="76"/>
      <c r="B62" s="10"/>
      <c r="C62" s="10"/>
      <c r="D62" s="153"/>
      <c r="E62" s="153"/>
      <c r="F62" s="153"/>
      <c r="G62" s="153"/>
      <c r="H62" s="153"/>
      <c r="I62" s="153"/>
      <c r="J62" s="153"/>
      <c r="K62" s="153"/>
      <c r="L62" s="153"/>
      <c r="M62" s="153"/>
      <c r="N62" s="153"/>
      <c r="O62" s="153"/>
      <c r="P62" s="153"/>
      <c r="Q62" s="153"/>
      <c r="R62" s="153"/>
      <c r="S62" s="153"/>
      <c r="T62" s="153"/>
      <c r="U62" s="153"/>
      <c r="V62" s="153"/>
      <c r="W62" s="153"/>
      <c r="X62" s="153"/>
    </row>
    <row r="63" spans="1:24" s="14" customFormat="1" x14ac:dyDescent="0.25">
      <c r="A63" s="76"/>
      <c r="B63" s="13"/>
      <c r="C63" s="13"/>
      <c r="D63" s="153"/>
      <c r="E63" s="153"/>
      <c r="F63" s="153"/>
      <c r="G63" s="153"/>
      <c r="H63" s="153"/>
      <c r="I63" s="153"/>
      <c r="J63" s="153"/>
      <c r="K63" s="153"/>
      <c r="L63" s="153"/>
      <c r="M63" s="153"/>
      <c r="N63" s="153"/>
      <c r="O63" s="153"/>
      <c r="P63" s="153"/>
      <c r="Q63" s="153"/>
      <c r="R63" s="153"/>
      <c r="S63" s="153"/>
      <c r="T63" s="153"/>
      <c r="U63" s="153"/>
      <c r="V63" s="153"/>
      <c r="W63" s="153"/>
      <c r="X63" s="153"/>
    </row>
    <row r="64" spans="1:24" s="14" customFormat="1" x14ac:dyDescent="0.25">
      <c r="A64" s="76"/>
      <c r="B64" s="13"/>
      <c r="C64" s="13"/>
      <c r="D64" s="153"/>
      <c r="E64" s="153"/>
      <c r="F64" s="153"/>
      <c r="G64" s="153"/>
      <c r="H64" s="153"/>
      <c r="I64" s="153"/>
      <c r="J64" s="153"/>
      <c r="K64" s="153"/>
      <c r="L64" s="153"/>
      <c r="M64" s="153"/>
      <c r="N64" s="153"/>
      <c r="O64" s="153"/>
      <c r="P64" s="153"/>
      <c r="Q64" s="153"/>
      <c r="R64" s="153"/>
      <c r="S64" s="153"/>
      <c r="T64" s="153"/>
      <c r="U64" s="153"/>
      <c r="V64" s="153"/>
      <c r="W64" s="153"/>
      <c r="X64" s="153"/>
    </row>
    <row r="65" spans="1:24" s="14" customFormat="1" x14ac:dyDescent="0.25">
      <c r="A65" s="76"/>
      <c r="B65" s="13"/>
      <c r="C65" s="13"/>
      <c r="D65" s="153"/>
      <c r="E65" s="153"/>
      <c r="F65" s="153"/>
      <c r="G65" s="153"/>
      <c r="H65" s="153"/>
      <c r="I65" s="153"/>
      <c r="J65" s="153"/>
      <c r="K65" s="153"/>
      <c r="L65" s="153"/>
      <c r="M65" s="153"/>
      <c r="N65" s="153"/>
      <c r="O65" s="153"/>
      <c r="P65" s="153"/>
      <c r="Q65" s="153"/>
      <c r="R65" s="153"/>
      <c r="S65" s="153"/>
      <c r="T65" s="153"/>
      <c r="U65" s="153"/>
      <c r="V65" s="153"/>
      <c r="W65" s="153"/>
      <c r="X65" s="153"/>
    </row>
    <row r="66" spans="1:24" s="14" customFormat="1" x14ac:dyDescent="0.25">
      <c r="A66" s="76"/>
      <c r="B66" s="13"/>
      <c r="C66" s="13"/>
      <c r="D66" s="153"/>
      <c r="E66" s="153"/>
      <c r="F66" s="153"/>
      <c r="G66" s="153"/>
      <c r="H66" s="153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153"/>
      <c r="V66" s="153"/>
      <c r="W66" s="153"/>
      <c r="X66" s="153"/>
    </row>
    <row r="67" spans="1:24" s="14" customFormat="1" x14ac:dyDescent="0.25">
      <c r="A67" s="76"/>
      <c r="B67" s="13"/>
      <c r="C67" s="13"/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3"/>
      <c r="R67" s="153"/>
      <c r="S67" s="153"/>
      <c r="T67" s="153"/>
      <c r="U67" s="153"/>
      <c r="V67" s="153"/>
      <c r="W67" s="153"/>
      <c r="X67" s="153"/>
    </row>
    <row r="68" spans="1:24" s="17" customFormat="1" x14ac:dyDescent="0.25">
      <c r="B68" s="16"/>
      <c r="C68" s="16"/>
      <c r="D68" s="217"/>
      <c r="E68" s="217"/>
      <c r="F68" s="217"/>
      <c r="G68" s="217"/>
      <c r="H68" s="217"/>
      <c r="I68" s="217"/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</row>
    <row r="69" spans="1:24" s="14" customFormat="1" x14ac:dyDescent="0.25">
      <c r="B69" s="13"/>
      <c r="C69" s="1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3"/>
      <c r="R69" s="153"/>
      <c r="S69" s="153"/>
      <c r="T69" s="153"/>
      <c r="U69" s="153"/>
      <c r="V69" s="153"/>
      <c r="W69" s="153"/>
      <c r="X69" s="153"/>
    </row>
    <row r="70" spans="1:24" s="14" customFormat="1" x14ac:dyDescent="0.25">
      <c r="B70" s="13"/>
      <c r="C70" s="13"/>
      <c r="D70" s="153"/>
      <c r="E70" s="153"/>
      <c r="F70" s="153"/>
      <c r="G70" s="153"/>
      <c r="H70" s="153"/>
      <c r="I70" s="153"/>
      <c r="J70" s="153"/>
      <c r="K70" s="153"/>
      <c r="L70" s="153"/>
      <c r="M70" s="153"/>
      <c r="N70" s="153"/>
      <c r="O70" s="153"/>
      <c r="P70" s="153"/>
      <c r="Q70" s="153"/>
      <c r="R70" s="153"/>
      <c r="S70" s="153"/>
      <c r="T70" s="153"/>
      <c r="U70" s="153"/>
      <c r="V70" s="153"/>
      <c r="W70" s="153"/>
      <c r="X70" s="153"/>
    </row>
    <row r="71" spans="1:24" s="14" customFormat="1" x14ac:dyDescent="0.25">
      <c r="B71" s="13"/>
      <c r="C71" s="13"/>
      <c r="D71" s="153"/>
      <c r="E71" s="153"/>
      <c r="F71" s="153"/>
      <c r="G71" s="153"/>
      <c r="H71" s="153"/>
      <c r="I71" s="153"/>
      <c r="J71" s="153"/>
      <c r="K71" s="153"/>
      <c r="L71" s="153"/>
      <c r="M71" s="153"/>
      <c r="N71" s="153"/>
      <c r="O71" s="153"/>
      <c r="P71" s="153"/>
      <c r="Q71" s="153"/>
      <c r="R71" s="153"/>
      <c r="S71" s="153"/>
      <c r="T71" s="153"/>
      <c r="U71" s="153"/>
      <c r="V71" s="153"/>
      <c r="W71" s="153"/>
      <c r="X71" s="153"/>
    </row>
    <row r="72" spans="1:24" s="17" customFormat="1" x14ac:dyDescent="0.25">
      <c r="B72" s="16"/>
      <c r="C72" s="16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</row>
    <row r="73" spans="1:24" s="17" customFormat="1" x14ac:dyDescent="0.25">
      <c r="B73" s="16"/>
      <c r="C73" s="16"/>
      <c r="D73" s="217"/>
      <c r="E73" s="217"/>
      <c r="F73" s="217"/>
      <c r="G73" s="217"/>
      <c r="H73" s="217"/>
      <c r="I73" s="217"/>
      <c r="J73" s="217"/>
      <c r="K73" s="217"/>
      <c r="L73" s="217"/>
      <c r="M73" s="217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</row>
    <row r="74" spans="1:24" s="14" customFormat="1" x14ac:dyDescent="0.25">
      <c r="B74" s="13"/>
      <c r="C74" s="13"/>
      <c r="D74" s="153"/>
      <c r="E74" s="153"/>
      <c r="F74" s="153"/>
      <c r="G74" s="153"/>
      <c r="H74" s="153"/>
      <c r="I74" s="153"/>
      <c r="J74" s="153"/>
      <c r="K74" s="153"/>
      <c r="L74" s="153"/>
      <c r="M74" s="153"/>
      <c r="N74" s="153"/>
      <c r="O74" s="153"/>
      <c r="P74" s="153"/>
      <c r="Q74" s="153"/>
      <c r="R74" s="153"/>
      <c r="S74" s="153"/>
      <c r="T74" s="153"/>
      <c r="U74" s="153"/>
      <c r="V74" s="153"/>
      <c r="W74" s="153"/>
      <c r="X74" s="153"/>
    </row>
    <row r="75" spans="1:24" s="17" customFormat="1" x14ac:dyDescent="0.25">
      <c r="B75" s="16"/>
      <c r="C75" s="16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217"/>
      <c r="T75" s="217"/>
      <c r="U75" s="217"/>
      <c r="V75" s="217"/>
      <c r="W75" s="217"/>
      <c r="X75" s="217"/>
    </row>
    <row r="76" spans="1:24" s="14" customFormat="1" x14ac:dyDescent="0.25">
      <c r="B76" s="13"/>
      <c r="C76" s="13"/>
      <c r="D76" s="153"/>
      <c r="E76" s="153"/>
      <c r="F76" s="153"/>
      <c r="G76" s="153"/>
      <c r="H76" s="153"/>
      <c r="I76" s="153"/>
      <c r="J76" s="153"/>
      <c r="K76" s="153"/>
      <c r="L76" s="153"/>
      <c r="M76" s="153"/>
      <c r="N76" s="153"/>
      <c r="O76" s="153"/>
      <c r="P76" s="153"/>
      <c r="Q76" s="153"/>
      <c r="R76" s="153"/>
      <c r="S76" s="153"/>
      <c r="T76" s="153"/>
      <c r="U76" s="153"/>
      <c r="V76" s="153"/>
      <c r="W76" s="153"/>
      <c r="X76" s="153"/>
    </row>
    <row r="77" spans="1:24" s="14" customFormat="1" x14ac:dyDescent="0.25">
      <c r="B77" s="13"/>
      <c r="C77" s="1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  <c r="U77" s="153"/>
      <c r="V77" s="153"/>
      <c r="W77" s="153"/>
      <c r="X77" s="153"/>
    </row>
    <row r="78" spans="1:24" s="14" customFormat="1" x14ac:dyDescent="0.25">
      <c r="B78" s="13"/>
      <c r="C78" s="13"/>
      <c r="D78" s="153"/>
      <c r="E78" s="153"/>
      <c r="F78" s="153"/>
      <c r="G78" s="153"/>
      <c r="H78" s="153"/>
      <c r="I78" s="153"/>
      <c r="J78" s="153"/>
      <c r="K78" s="153"/>
      <c r="L78" s="153"/>
      <c r="M78" s="153"/>
      <c r="N78" s="153"/>
      <c r="O78" s="153"/>
      <c r="P78" s="153"/>
      <c r="Q78" s="153"/>
      <c r="R78" s="153"/>
      <c r="S78" s="153"/>
      <c r="T78" s="153"/>
      <c r="U78" s="153"/>
      <c r="V78" s="153"/>
      <c r="W78" s="153"/>
      <c r="X78" s="153"/>
    </row>
    <row r="79" spans="1:24" s="14" customFormat="1" x14ac:dyDescent="0.25">
      <c r="B79" s="13"/>
      <c r="C79" s="13"/>
      <c r="D79" s="153"/>
      <c r="E79" s="153"/>
      <c r="F79" s="153"/>
      <c r="G79" s="153"/>
      <c r="H79" s="153"/>
      <c r="I79" s="153"/>
      <c r="J79" s="153"/>
      <c r="K79" s="153"/>
      <c r="L79" s="153"/>
      <c r="M79" s="153"/>
      <c r="N79" s="153"/>
      <c r="O79" s="153"/>
      <c r="P79" s="153"/>
      <c r="Q79" s="153"/>
      <c r="R79" s="153"/>
      <c r="S79" s="153"/>
      <c r="T79" s="153"/>
      <c r="U79" s="153"/>
      <c r="V79" s="153"/>
      <c r="W79" s="153"/>
      <c r="X79" s="153"/>
    </row>
    <row r="80" spans="1:24" s="14" customFormat="1" x14ac:dyDescent="0.25">
      <c r="B80" s="13"/>
      <c r="C80" s="13"/>
    </row>
    <row r="81" spans="2:3" s="14" customFormat="1" x14ac:dyDescent="0.25">
      <c r="B81" s="13"/>
      <c r="C81" s="13"/>
    </row>
    <row r="82" spans="2:3" s="14" customFormat="1" x14ac:dyDescent="0.25">
      <c r="B82" s="13"/>
      <c r="C82" s="13"/>
    </row>
    <row r="83" spans="2:3" s="14" customFormat="1" x14ac:dyDescent="0.25">
      <c r="B83" s="13"/>
      <c r="C83" s="13"/>
    </row>
    <row r="84" spans="2:3" s="14" customFormat="1" x14ac:dyDescent="0.25">
      <c r="B84" s="13"/>
      <c r="C84" s="13"/>
    </row>
    <row r="85" spans="2:3" s="11" customFormat="1" x14ac:dyDescent="0.25">
      <c r="B85" s="21"/>
      <c r="C85" s="21"/>
    </row>
    <row r="86" spans="2:3" s="11" customFormat="1" x14ac:dyDescent="0.25">
      <c r="B86" s="10"/>
      <c r="C86" s="10"/>
    </row>
    <row r="87" spans="2:3" s="11" customFormat="1" x14ac:dyDescent="0.25">
      <c r="B87" s="10"/>
      <c r="C87" s="10"/>
    </row>
    <row r="88" spans="2:3" s="11" customFormat="1" x14ac:dyDescent="0.25">
      <c r="B88" s="10"/>
      <c r="C88" s="10"/>
    </row>
    <row r="89" spans="2:3" s="22" customFormat="1" x14ac:dyDescent="0.25"/>
    <row r="90" spans="2:3" s="14" customFormat="1" x14ac:dyDescent="0.25">
      <c r="B90" s="13"/>
      <c r="C90" s="13"/>
    </row>
    <row r="91" spans="2:3" s="14" customFormat="1" x14ac:dyDescent="0.25">
      <c r="B91" s="13"/>
      <c r="C91" s="13"/>
    </row>
    <row r="92" spans="2:3" s="14" customFormat="1" x14ac:dyDescent="0.25">
      <c r="B92" s="13"/>
      <c r="C92" s="13"/>
    </row>
    <row r="93" spans="2:3" s="14" customFormat="1" x14ac:dyDescent="0.25">
      <c r="B93" s="13"/>
      <c r="C93" s="13"/>
    </row>
    <row r="94" spans="2:3" s="14" customFormat="1" x14ac:dyDescent="0.25">
      <c r="B94" s="13"/>
      <c r="C94" s="13"/>
    </row>
    <row r="95" spans="2:3" s="14" customFormat="1" x14ac:dyDescent="0.25">
      <c r="B95" s="13"/>
      <c r="C95" s="13"/>
    </row>
    <row r="96" spans="2:3" s="14" customFormat="1" x14ac:dyDescent="0.25">
      <c r="B96" s="13"/>
      <c r="C96" s="13"/>
    </row>
    <row r="97" spans="2:3" s="14" customFormat="1" x14ac:dyDescent="0.25">
      <c r="B97" s="13"/>
      <c r="C97" s="13"/>
    </row>
    <row r="98" spans="2:3" s="14" customFormat="1" x14ac:dyDescent="0.25">
      <c r="B98" s="13"/>
      <c r="C98" s="13"/>
    </row>
    <row r="99" spans="2:3" s="14" customFormat="1" x14ac:dyDescent="0.25">
      <c r="B99" s="13"/>
      <c r="C99" s="13"/>
    </row>
    <row r="100" spans="2:3" s="14" customFormat="1" x14ac:dyDescent="0.25">
      <c r="B100" s="13"/>
      <c r="C100" s="13"/>
    </row>
    <row r="101" spans="2:3" s="14" customFormat="1" x14ac:dyDescent="0.25">
      <c r="B101" s="13"/>
      <c r="C101" s="13"/>
    </row>
    <row r="102" spans="2:3" s="14" customFormat="1" x14ac:dyDescent="0.25">
      <c r="B102" s="13"/>
      <c r="C102" s="13"/>
    </row>
    <row r="103" spans="2:3" s="14" customFormat="1" x14ac:dyDescent="0.25">
      <c r="B103" s="13"/>
      <c r="C103" s="13"/>
    </row>
    <row r="104" spans="2:3" s="14" customFormat="1" x14ac:dyDescent="0.25">
      <c r="B104" s="13"/>
      <c r="C104" s="13"/>
    </row>
    <row r="105" spans="2:3" s="14" customFormat="1" x14ac:dyDescent="0.25">
      <c r="B105" s="13"/>
      <c r="C105" s="13"/>
    </row>
    <row r="106" spans="2:3" s="14" customFormat="1" x14ac:dyDescent="0.25">
      <c r="B106" s="13"/>
      <c r="C106" s="13"/>
    </row>
    <row r="107" spans="2:3" s="14" customFormat="1" x14ac:dyDescent="0.25">
      <c r="B107" s="13"/>
      <c r="C107" s="13"/>
    </row>
    <row r="108" spans="2:3" s="14" customFormat="1" x14ac:dyDescent="0.25">
      <c r="B108" s="13"/>
      <c r="C108" s="13"/>
    </row>
    <row r="109" spans="2:3" s="14" customFormat="1" x14ac:dyDescent="0.25">
      <c r="B109" s="13"/>
      <c r="C109" s="13"/>
    </row>
    <row r="110" spans="2:3" s="14" customFormat="1" x14ac:dyDescent="0.25">
      <c r="B110" s="13"/>
      <c r="C110" s="13"/>
    </row>
    <row r="111" spans="2:3" s="14" customFormat="1" x14ac:dyDescent="0.25">
      <c r="B111" s="13"/>
      <c r="C111" s="13"/>
    </row>
    <row r="112" spans="2:3" s="14" customFormat="1" x14ac:dyDescent="0.25">
      <c r="B112" s="13"/>
      <c r="C112" s="13"/>
    </row>
    <row r="113" spans="2:3" s="14" customFormat="1" x14ac:dyDescent="0.25">
      <c r="B113" s="13"/>
      <c r="C113" s="13"/>
    </row>
    <row r="114" spans="2:3" s="14" customFormat="1" x14ac:dyDescent="0.25">
      <c r="B114" s="13"/>
      <c r="C114" s="13"/>
    </row>
    <row r="115" spans="2:3" s="14" customFormat="1" x14ac:dyDescent="0.25">
      <c r="B115" s="13"/>
      <c r="C115" s="13"/>
    </row>
    <row r="116" spans="2:3" s="14" customFormat="1" x14ac:dyDescent="0.25">
      <c r="B116" s="13"/>
      <c r="C116" s="13"/>
    </row>
    <row r="117" spans="2:3" s="14" customFormat="1" x14ac:dyDescent="0.25">
      <c r="B117" s="13"/>
      <c r="C117" s="13"/>
    </row>
    <row r="118" spans="2:3" s="14" customFormat="1" x14ac:dyDescent="0.25">
      <c r="B118" s="13"/>
      <c r="C118" s="13"/>
    </row>
    <row r="119" spans="2:3" s="14" customFormat="1" x14ac:dyDescent="0.25">
      <c r="B119" s="13"/>
      <c r="C119" s="13"/>
    </row>
    <row r="120" spans="2:3" s="14" customFormat="1" x14ac:dyDescent="0.25">
      <c r="B120" s="13"/>
      <c r="C120" s="13"/>
    </row>
    <row r="121" spans="2:3" s="14" customFormat="1" x14ac:dyDescent="0.25">
      <c r="B121" s="13"/>
      <c r="C121" s="13"/>
    </row>
    <row r="122" spans="2:3" s="14" customFormat="1" x14ac:dyDescent="0.25">
      <c r="B122" s="13"/>
      <c r="C122" s="13"/>
    </row>
    <row r="123" spans="2:3" s="14" customFormat="1" x14ac:dyDescent="0.25">
      <c r="B123" s="13"/>
      <c r="C123" s="13"/>
    </row>
    <row r="124" spans="2:3" s="14" customFormat="1" x14ac:dyDescent="0.25">
      <c r="B124" s="13"/>
      <c r="C124" s="13"/>
    </row>
    <row r="125" spans="2:3" s="14" customFormat="1" x14ac:dyDescent="0.25">
      <c r="B125" s="13"/>
      <c r="C125" s="13"/>
    </row>
    <row r="126" spans="2:3" s="14" customFormat="1" x14ac:dyDescent="0.25">
      <c r="B126" s="13"/>
      <c r="C126" s="13"/>
    </row>
    <row r="127" spans="2:3" s="14" customFormat="1" x14ac:dyDescent="0.25">
      <c r="B127" s="13"/>
      <c r="C127" s="13"/>
    </row>
    <row r="128" spans="2:3" s="14" customFormat="1" x14ac:dyDescent="0.25">
      <c r="B128" s="13"/>
      <c r="C128" s="13"/>
    </row>
    <row r="129" spans="2:20" s="14" customFormat="1" x14ac:dyDescent="0.25">
      <c r="B129" s="13"/>
      <c r="C129" s="13"/>
    </row>
    <row r="130" spans="2:20" s="14" customFormat="1" x14ac:dyDescent="0.25">
      <c r="B130" s="13"/>
      <c r="C130" s="13"/>
    </row>
    <row r="131" spans="2:20" s="14" customFormat="1" x14ac:dyDescent="0.25">
      <c r="B131" s="13"/>
      <c r="C131" s="13"/>
    </row>
    <row r="132" spans="2:20" s="14" customFormat="1" x14ac:dyDescent="0.25">
      <c r="B132" s="13"/>
      <c r="C132" s="13"/>
    </row>
    <row r="133" spans="2:20" s="14" customFormat="1" x14ac:dyDescent="0.25">
      <c r="B133" s="13"/>
      <c r="C133" s="13"/>
    </row>
    <row r="134" spans="2:20" s="14" customFormat="1" x14ac:dyDescent="0.25">
      <c r="B134" s="13"/>
      <c r="C134" s="13"/>
    </row>
    <row r="135" spans="2:20" s="14" customFormat="1" x14ac:dyDescent="0.25">
      <c r="B135" s="13"/>
      <c r="C135" s="13"/>
    </row>
    <row r="136" spans="2:20" s="14" customFormat="1" x14ac:dyDescent="0.25">
      <c r="B136" s="13"/>
      <c r="C136" s="13"/>
    </row>
    <row r="137" spans="2:20" s="14" customFormat="1" x14ac:dyDescent="0.25">
      <c r="B137" s="13"/>
      <c r="C137" s="13"/>
    </row>
    <row r="138" spans="2:20" s="14" customFormat="1" x14ac:dyDescent="0.25">
      <c r="B138" s="13"/>
      <c r="C138" s="13"/>
    </row>
    <row r="139" spans="2:20" s="14" customFormat="1" x14ac:dyDescent="0.25">
      <c r="B139" s="13"/>
      <c r="C139" s="13"/>
    </row>
    <row r="140" spans="2:20" s="14" customFormat="1" x14ac:dyDescent="0.25">
      <c r="B140" s="13"/>
      <c r="C140" s="13"/>
    </row>
    <row r="141" spans="2:20" s="14" customFormat="1" x14ac:dyDescent="0.25">
      <c r="B141" s="13"/>
      <c r="C141" s="13"/>
    </row>
    <row r="142" spans="2:20" s="14" customFormat="1" x14ac:dyDescent="0.25">
      <c r="B142" s="13"/>
      <c r="C142" s="13"/>
    </row>
    <row r="143" spans="2:20" s="14" customFormat="1" x14ac:dyDescent="0.25">
      <c r="B143" s="13"/>
      <c r="C143" s="13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</row>
    <row r="144" spans="2:20" s="14" customFormat="1" x14ac:dyDescent="0.25">
      <c r="B144" s="13"/>
      <c r="C144" s="13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</row>
    <row r="145" spans="2:20" s="14" customFormat="1" x14ac:dyDescent="0.25">
      <c r="B145" s="13"/>
      <c r="C145" s="13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</row>
    <row r="146" spans="2:20" s="14" customFormat="1" x14ac:dyDescent="0.25">
      <c r="B146" s="13"/>
      <c r="C146" s="13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</row>
    <row r="147" spans="2:20" s="14" customFormat="1" x14ac:dyDescent="0.25">
      <c r="B147" s="13"/>
      <c r="C147" s="13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</row>
    <row r="148" spans="2:20" s="14" customFormat="1" x14ac:dyDescent="0.25">
      <c r="B148" s="13"/>
      <c r="C148" s="13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</row>
    <row r="149" spans="2:20" s="14" customFormat="1" x14ac:dyDescent="0.25">
      <c r="B149" s="13"/>
      <c r="C149" s="13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</row>
    <row r="150" spans="2:20" s="14" customFormat="1" x14ac:dyDescent="0.25">
      <c r="B150" s="13"/>
      <c r="C150" s="13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</row>
    <row r="151" spans="2:20" s="14" customFormat="1" x14ac:dyDescent="0.25">
      <c r="B151" s="13"/>
      <c r="C151" s="13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</row>
    <row r="152" spans="2:20" s="14" customFormat="1" x14ac:dyDescent="0.25">
      <c r="B152" s="13"/>
      <c r="C152" s="13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</row>
    <row r="153" spans="2:20" s="14" customFormat="1" x14ac:dyDescent="0.25">
      <c r="B153" s="13"/>
      <c r="C153" s="13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</row>
    <row r="154" spans="2:20" s="14" customFormat="1" x14ac:dyDescent="0.25">
      <c r="B154" s="13"/>
      <c r="C154" s="13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</row>
    <row r="155" spans="2:20" s="14" customFormat="1" x14ac:dyDescent="0.25">
      <c r="B155" s="13"/>
      <c r="C155" s="13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</row>
    <row r="156" spans="2:20" s="14" customFormat="1" x14ac:dyDescent="0.25">
      <c r="B156" s="13"/>
      <c r="C156" s="13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</row>
    <row r="157" spans="2:20" s="14" customFormat="1" x14ac:dyDescent="0.25">
      <c r="B157" s="13"/>
      <c r="C157" s="13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</row>
    <row r="158" spans="2:20" s="14" customFormat="1" x14ac:dyDescent="0.25">
      <c r="B158" s="13"/>
      <c r="C158" s="13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</row>
    <row r="159" spans="2:20" s="14" customFormat="1" x14ac:dyDescent="0.25">
      <c r="B159" s="13"/>
      <c r="C159" s="13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</row>
    <row r="160" spans="2:20" s="14" customFormat="1" x14ac:dyDescent="0.25">
      <c r="B160" s="13"/>
      <c r="C160" s="13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</row>
    <row r="161" spans="2:20" s="14" customFormat="1" x14ac:dyDescent="0.25">
      <c r="B161" s="13"/>
      <c r="C161" s="13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</row>
    <row r="162" spans="2:20" s="14" customFormat="1" x14ac:dyDescent="0.25">
      <c r="B162" s="13"/>
      <c r="C162" s="13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</row>
    <row r="163" spans="2:20" s="14" customFormat="1" x14ac:dyDescent="0.25">
      <c r="B163" s="13"/>
      <c r="C163" s="13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</row>
    <row r="164" spans="2:20" s="14" customFormat="1" x14ac:dyDescent="0.25">
      <c r="B164" s="13"/>
      <c r="C164" s="13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</row>
    <row r="165" spans="2:20" s="14" customFormat="1" x14ac:dyDescent="0.25">
      <c r="B165" s="13"/>
      <c r="C165" s="13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</row>
    <row r="166" spans="2:20" s="14" customFormat="1" x14ac:dyDescent="0.25">
      <c r="B166" s="13"/>
      <c r="C166" s="13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</row>
    <row r="167" spans="2:20" s="14" customFormat="1" x14ac:dyDescent="0.25">
      <c r="B167" s="13"/>
      <c r="C167" s="13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</row>
    <row r="168" spans="2:20" s="14" customFormat="1" x14ac:dyDescent="0.25">
      <c r="B168" s="13"/>
      <c r="C168" s="13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</row>
    <row r="169" spans="2:20" s="14" customFormat="1" x14ac:dyDescent="0.25">
      <c r="B169" s="13"/>
      <c r="C169" s="13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</row>
    <row r="170" spans="2:20" s="14" customFormat="1" x14ac:dyDescent="0.25">
      <c r="B170" s="13"/>
      <c r="C170" s="13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</row>
    <row r="171" spans="2:20" s="14" customFormat="1" x14ac:dyDescent="0.25">
      <c r="B171" s="13"/>
      <c r="C171" s="13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</row>
    <row r="172" spans="2:20" s="14" customFormat="1" x14ac:dyDescent="0.25">
      <c r="B172" s="13"/>
      <c r="C172" s="13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</row>
    <row r="173" spans="2:20" s="14" customFormat="1" x14ac:dyDescent="0.25">
      <c r="B173" s="13"/>
      <c r="C173" s="13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</row>
    <row r="174" spans="2:20" s="14" customFormat="1" x14ac:dyDescent="0.25">
      <c r="B174" s="13"/>
      <c r="C174" s="13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</row>
    <row r="175" spans="2:20" s="14" customFormat="1" x14ac:dyDescent="0.25">
      <c r="B175" s="13"/>
      <c r="C175" s="13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</row>
    <row r="176" spans="2:20" s="14" customFormat="1" x14ac:dyDescent="0.25">
      <c r="B176" s="13"/>
      <c r="C176" s="13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</row>
    <row r="177" spans="2:20" s="14" customFormat="1" x14ac:dyDescent="0.25">
      <c r="B177" s="13"/>
      <c r="C177" s="13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</row>
    <row r="178" spans="2:20" s="14" customFormat="1" x14ac:dyDescent="0.25">
      <c r="B178" s="13"/>
      <c r="C178" s="13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</row>
    <row r="179" spans="2:20" s="14" customFormat="1" x14ac:dyDescent="0.25">
      <c r="B179" s="13"/>
      <c r="C179" s="13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</row>
    <row r="180" spans="2:20" s="14" customFormat="1" x14ac:dyDescent="0.25">
      <c r="B180" s="13"/>
      <c r="C180" s="13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</row>
    <row r="181" spans="2:20" s="14" customFormat="1" x14ac:dyDescent="0.25">
      <c r="B181" s="13"/>
      <c r="C181" s="13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</row>
    <row r="182" spans="2:20" s="14" customFormat="1" x14ac:dyDescent="0.25">
      <c r="B182" s="13"/>
      <c r="C182" s="13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</row>
    <row r="183" spans="2:20" s="14" customFormat="1" x14ac:dyDescent="0.25">
      <c r="B183" s="13"/>
      <c r="C183" s="13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</row>
    <row r="184" spans="2:20" s="14" customFormat="1" x14ac:dyDescent="0.25">
      <c r="B184" s="13"/>
      <c r="C184" s="13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</row>
    <row r="185" spans="2:20" s="14" customFormat="1" x14ac:dyDescent="0.25">
      <c r="B185" s="13"/>
      <c r="C185" s="13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</row>
    <row r="186" spans="2:20" s="14" customFormat="1" x14ac:dyDescent="0.25">
      <c r="B186" s="13"/>
      <c r="C186" s="13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</row>
    <row r="187" spans="2:20" s="14" customFormat="1" x14ac:dyDescent="0.25">
      <c r="B187" s="13"/>
      <c r="C187" s="13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</row>
    <row r="188" spans="2:20" s="14" customFormat="1" x14ac:dyDescent="0.25">
      <c r="B188" s="13"/>
      <c r="C188" s="13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</row>
    <row r="189" spans="2:20" s="14" customFormat="1" x14ac:dyDescent="0.25">
      <c r="B189" s="13"/>
      <c r="C189" s="13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</row>
    <row r="190" spans="2:20" s="14" customFormat="1" x14ac:dyDescent="0.25">
      <c r="B190" s="13"/>
      <c r="C190" s="13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</row>
    <row r="191" spans="2:20" s="14" customFormat="1" x14ac:dyDescent="0.25">
      <c r="B191" s="13"/>
      <c r="C191" s="13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</row>
    <row r="192" spans="2:20" s="14" customFormat="1" x14ac:dyDescent="0.25">
      <c r="B192" s="13"/>
      <c r="C192" s="13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</row>
    <row r="193" spans="2:20" s="14" customFormat="1" x14ac:dyDescent="0.25">
      <c r="B193" s="13"/>
      <c r="C193" s="13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</row>
    <row r="194" spans="2:20" s="14" customFormat="1" x14ac:dyDescent="0.25">
      <c r="B194" s="13"/>
      <c r="C194" s="13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</row>
    <row r="195" spans="2:20" s="14" customFormat="1" x14ac:dyDescent="0.25">
      <c r="B195" s="13"/>
      <c r="C195" s="13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</row>
    <row r="196" spans="2:20" s="14" customFormat="1" x14ac:dyDescent="0.25">
      <c r="B196" s="13"/>
      <c r="C196" s="13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</row>
    <row r="197" spans="2:20" s="14" customFormat="1" x14ac:dyDescent="0.25">
      <c r="B197" s="13"/>
      <c r="C197" s="13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</row>
    <row r="198" spans="2:20" s="14" customFormat="1" x14ac:dyDescent="0.25">
      <c r="B198" s="13"/>
      <c r="C198" s="13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</row>
    <row r="199" spans="2:20" s="14" customFormat="1" x14ac:dyDescent="0.25">
      <c r="B199" s="13"/>
      <c r="C199" s="13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</row>
    <row r="200" spans="2:20" s="14" customFormat="1" x14ac:dyDescent="0.25">
      <c r="B200" s="13"/>
      <c r="C200" s="13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</row>
    <row r="201" spans="2:20" s="14" customFormat="1" x14ac:dyDescent="0.25">
      <c r="B201" s="13"/>
      <c r="C201" s="13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</row>
    <row r="202" spans="2:20" s="14" customFormat="1" x14ac:dyDescent="0.25">
      <c r="B202" s="13"/>
      <c r="C202" s="13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</row>
    <row r="203" spans="2:20" s="14" customFormat="1" x14ac:dyDescent="0.25">
      <c r="B203" s="13"/>
      <c r="C203" s="13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</row>
    <row r="204" spans="2:20" s="14" customFormat="1" x14ac:dyDescent="0.25">
      <c r="B204" s="13"/>
      <c r="C204" s="13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</row>
    <row r="205" spans="2:20" s="14" customFormat="1" x14ac:dyDescent="0.25">
      <c r="B205" s="13"/>
      <c r="C205" s="13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</row>
    <row r="206" spans="2:20" s="14" customFormat="1" x14ac:dyDescent="0.25">
      <c r="B206" s="13"/>
      <c r="C206" s="13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</row>
    <row r="207" spans="2:20" s="14" customFormat="1" x14ac:dyDescent="0.25">
      <c r="B207" s="13"/>
      <c r="C207" s="13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</row>
    <row r="208" spans="2:20" s="14" customFormat="1" x14ac:dyDescent="0.25">
      <c r="B208" s="13"/>
      <c r="C208" s="13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</row>
    <row r="209" spans="2:20" s="14" customFormat="1" x14ac:dyDescent="0.25">
      <c r="B209" s="13"/>
      <c r="C209" s="13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</row>
    <row r="210" spans="2:20" s="14" customFormat="1" x14ac:dyDescent="0.25">
      <c r="B210" s="13"/>
      <c r="C210" s="13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</row>
    <row r="211" spans="2:20" s="14" customFormat="1" x14ac:dyDescent="0.25">
      <c r="B211" s="13"/>
      <c r="C211" s="13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</row>
    <row r="212" spans="2:20" s="14" customFormat="1" x14ac:dyDescent="0.25">
      <c r="B212" s="13"/>
      <c r="C212" s="13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</row>
    <row r="213" spans="2:20" s="14" customFormat="1" x14ac:dyDescent="0.25">
      <c r="B213" s="13"/>
      <c r="C213" s="13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</row>
    <row r="214" spans="2:20" s="14" customFormat="1" x14ac:dyDescent="0.25">
      <c r="B214" s="13"/>
      <c r="C214" s="13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</row>
    <row r="215" spans="2:20" s="14" customFormat="1" x14ac:dyDescent="0.25">
      <c r="B215" s="13"/>
      <c r="C215" s="13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</row>
    <row r="216" spans="2:20" s="14" customFormat="1" x14ac:dyDescent="0.25">
      <c r="B216" s="13"/>
      <c r="C216" s="13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</row>
    <row r="217" spans="2:20" s="14" customFormat="1" x14ac:dyDescent="0.25">
      <c r="B217" s="13"/>
      <c r="C217" s="13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</row>
    <row r="218" spans="2:20" s="14" customFormat="1" x14ac:dyDescent="0.25">
      <c r="B218" s="13"/>
      <c r="C218" s="13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</row>
    <row r="219" spans="2:20" s="14" customFormat="1" x14ac:dyDescent="0.25">
      <c r="B219" s="13"/>
      <c r="C219" s="13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</row>
    <row r="220" spans="2:20" s="14" customFormat="1" x14ac:dyDescent="0.25">
      <c r="B220" s="13"/>
      <c r="C220" s="13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</row>
    <row r="221" spans="2:20" s="14" customFormat="1" x14ac:dyDescent="0.25">
      <c r="B221" s="13"/>
      <c r="C221" s="13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</row>
    <row r="222" spans="2:20" s="14" customFormat="1" x14ac:dyDescent="0.25">
      <c r="B222" s="13"/>
      <c r="C222" s="13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</row>
    <row r="223" spans="2:20" s="14" customFormat="1" x14ac:dyDescent="0.25">
      <c r="B223" s="13"/>
      <c r="C223" s="13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</row>
    <row r="224" spans="2:20" s="14" customFormat="1" x14ac:dyDescent="0.25">
      <c r="B224" s="13"/>
      <c r="C224" s="13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</row>
    <row r="225" spans="2:20" s="14" customFormat="1" x14ac:dyDescent="0.25">
      <c r="B225" s="13"/>
      <c r="C225" s="13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</row>
    <row r="226" spans="2:20" s="14" customFormat="1" x14ac:dyDescent="0.25">
      <c r="B226" s="13"/>
      <c r="C226" s="13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</row>
    <row r="227" spans="2:20" s="14" customFormat="1" x14ac:dyDescent="0.25">
      <c r="B227" s="13"/>
      <c r="C227" s="13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</row>
    <row r="228" spans="2:20" s="14" customFormat="1" x14ac:dyDescent="0.25">
      <c r="B228" s="13"/>
      <c r="C228" s="13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</row>
    <row r="229" spans="2:20" s="14" customFormat="1" x14ac:dyDescent="0.25">
      <c r="B229" s="13"/>
      <c r="C229" s="13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</row>
    <row r="230" spans="2:20" s="14" customFormat="1" x14ac:dyDescent="0.25">
      <c r="B230" s="13"/>
      <c r="C230" s="13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</row>
    <row r="231" spans="2:20" s="14" customFormat="1" x14ac:dyDescent="0.25">
      <c r="B231" s="13"/>
      <c r="C231" s="13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</row>
    <row r="232" spans="2:20" s="14" customFormat="1" x14ac:dyDescent="0.25">
      <c r="B232" s="13"/>
      <c r="C232" s="13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</row>
    <row r="233" spans="2:20" s="14" customFormat="1" x14ac:dyDescent="0.25">
      <c r="B233" s="13"/>
      <c r="C233" s="13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</row>
    <row r="234" spans="2:20" s="14" customFormat="1" x14ac:dyDescent="0.25">
      <c r="B234" s="13"/>
      <c r="C234" s="13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</row>
    <row r="235" spans="2:20" s="14" customFormat="1" x14ac:dyDescent="0.25">
      <c r="B235" s="13"/>
      <c r="C235" s="13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</row>
    <row r="236" spans="2:20" s="14" customFormat="1" x14ac:dyDescent="0.25">
      <c r="B236" s="13"/>
      <c r="C236" s="13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</row>
    <row r="237" spans="2:20" s="14" customFormat="1" x14ac:dyDescent="0.25">
      <c r="B237" s="13"/>
      <c r="C237" s="13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</row>
    <row r="238" spans="2:20" s="14" customFormat="1" x14ac:dyDescent="0.25">
      <c r="B238" s="13"/>
      <c r="C238" s="13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</row>
    <row r="239" spans="2:20" s="14" customFormat="1" x14ac:dyDescent="0.25">
      <c r="B239" s="13"/>
      <c r="C239" s="13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</row>
    <row r="240" spans="2:20" s="14" customFormat="1" x14ac:dyDescent="0.25">
      <c r="B240" s="13"/>
      <c r="C240" s="13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</row>
    <row r="241" spans="2:20" s="14" customFormat="1" x14ac:dyDescent="0.25">
      <c r="B241" s="13"/>
      <c r="C241" s="13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</row>
    <row r="242" spans="2:20" s="14" customFormat="1" x14ac:dyDescent="0.25">
      <c r="B242" s="13"/>
      <c r="C242" s="13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</row>
    <row r="243" spans="2:20" s="14" customFormat="1" x14ac:dyDescent="0.25">
      <c r="B243" s="13"/>
      <c r="C243" s="13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</row>
    <row r="244" spans="2:20" s="14" customFormat="1" x14ac:dyDescent="0.25">
      <c r="B244" s="13"/>
      <c r="C244" s="13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</row>
    <row r="245" spans="2:20" s="14" customFormat="1" x14ac:dyDescent="0.25">
      <c r="B245" s="13"/>
      <c r="C245" s="13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</row>
    <row r="246" spans="2:20" s="14" customFormat="1" x14ac:dyDescent="0.25">
      <c r="B246" s="13"/>
      <c r="C246" s="13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</row>
    <row r="247" spans="2:20" s="14" customFormat="1" x14ac:dyDescent="0.25">
      <c r="B247" s="13"/>
      <c r="C247" s="13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</row>
    <row r="248" spans="2:20" s="14" customFormat="1" x14ac:dyDescent="0.25">
      <c r="B248" s="13"/>
      <c r="C248" s="13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</row>
    <row r="249" spans="2:20" s="14" customFormat="1" x14ac:dyDescent="0.25">
      <c r="B249" s="13"/>
      <c r="C249" s="13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</row>
    <row r="250" spans="2:20" s="14" customFormat="1" x14ac:dyDescent="0.25">
      <c r="B250" s="13"/>
      <c r="C250" s="13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</row>
    <row r="251" spans="2:20" s="14" customFormat="1" x14ac:dyDescent="0.25">
      <c r="B251" s="13"/>
      <c r="C251" s="13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</row>
    <row r="252" spans="2:20" s="14" customFormat="1" x14ac:dyDescent="0.25">
      <c r="B252" s="13"/>
      <c r="C252" s="13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</row>
    <row r="253" spans="2:20" s="14" customFormat="1" x14ac:dyDescent="0.25">
      <c r="B253" s="13"/>
      <c r="C253" s="13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</row>
    <row r="254" spans="2:20" s="14" customFormat="1" x14ac:dyDescent="0.25">
      <c r="B254" s="13"/>
      <c r="C254" s="13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</row>
    <row r="255" spans="2:20" s="14" customFormat="1" x14ac:dyDescent="0.25">
      <c r="B255" s="13"/>
      <c r="C255" s="13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</row>
    <row r="256" spans="2:20" s="14" customFormat="1" x14ac:dyDescent="0.25">
      <c r="B256" s="13"/>
      <c r="C256" s="13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</row>
    <row r="257" spans="2:20" s="14" customFormat="1" x14ac:dyDescent="0.25">
      <c r="B257" s="13"/>
      <c r="C257" s="13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</row>
    <row r="258" spans="2:20" s="14" customFormat="1" x14ac:dyDescent="0.25">
      <c r="B258" s="13"/>
      <c r="C258" s="13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</row>
    <row r="259" spans="2:20" s="14" customFormat="1" x14ac:dyDescent="0.25">
      <c r="B259" s="13"/>
      <c r="C259" s="13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</row>
    <row r="260" spans="2:20" s="14" customFormat="1" x14ac:dyDescent="0.25">
      <c r="B260" s="13"/>
      <c r="C260" s="13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</row>
    <row r="261" spans="2:20" s="14" customFormat="1" x14ac:dyDescent="0.25">
      <c r="B261" s="13"/>
      <c r="C261" s="13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</row>
    <row r="262" spans="2:20" s="14" customFormat="1" x14ac:dyDescent="0.25">
      <c r="B262" s="13"/>
      <c r="C262" s="13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</row>
    <row r="263" spans="2:20" s="14" customFormat="1" x14ac:dyDescent="0.25">
      <c r="B263" s="13"/>
      <c r="C263" s="13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</row>
    <row r="264" spans="2:20" s="14" customFormat="1" x14ac:dyDescent="0.25">
      <c r="B264" s="13"/>
      <c r="C264" s="13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</row>
    <row r="265" spans="2:20" s="14" customFormat="1" x14ac:dyDescent="0.25">
      <c r="B265" s="13"/>
      <c r="C265" s="13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</row>
    <row r="266" spans="2:20" s="14" customFormat="1" x14ac:dyDescent="0.25">
      <c r="B266" s="13"/>
      <c r="C266" s="13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</row>
    <row r="267" spans="2:20" s="14" customFormat="1" x14ac:dyDescent="0.25">
      <c r="B267" s="13"/>
      <c r="C267" s="13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</row>
    <row r="268" spans="2:20" s="14" customFormat="1" x14ac:dyDescent="0.25">
      <c r="B268" s="13"/>
      <c r="C268" s="13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</row>
    <row r="269" spans="2:20" s="14" customFormat="1" x14ac:dyDescent="0.25">
      <c r="B269" s="13"/>
      <c r="C269" s="13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</row>
    <row r="270" spans="2:20" s="14" customFormat="1" x14ac:dyDescent="0.25">
      <c r="B270" s="13"/>
      <c r="C270" s="13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</row>
    <row r="271" spans="2:20" s="14" customFormat="1" x14ac:dyDescent="0.25">
      <c r="B271" s="13"/>
      <c r="C271" s="13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</row>
    <row r="272" spans="2:20" s="14" customFormat="1" x14ac:dyDescent="0.25">
      <c r="B272" s="13"/>
      <c r="C272" s="13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</row>
    <row r="273" spans="2:20" s="14" customFormat="1" x14ac:dyDescent="0.25">
      <c r="B273" s="13"/>
      <c r="C273" s="13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</row>
    <row r="274" spans="2:20" s="14" customFormat="1" x14ac:dyDescent="0.25">
      <c r="B274" s="13"/>
      <c r="C274" s="13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</row>
    <row r="275" spans="2:20" s="14" customFormat="1" x14ac:dyDescent="0.25">
      <c r="B275" s="13"/>
      <c r="C275" s="13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</row>
    <row r="276" spans="2:20" s="14" customFormat="1" x14ac:dyDescent="0.25">
      <c r="B276" s="13"/>
      <c r="C276" s="13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</row>
    <row r="277" spans="2:20" s="14" customFormat="1" x14ac:dyDescent="0.25">
      <c r="B277" s="13"/>
      <c r="C277" s="13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</row>
    <row r="278" spans="2:20" s="14" customFormat="1" x14ac:dyDescent="0.25">
      <c r="B278" s="13"/>
      <c r="C278" s="13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</row>
    <row r="279" spans="2:20" s="14" customFormat="1" x14ac:dyDescent="0.25">
      <c r="B279" s="13"/>
      <c r="C279" s="13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</row>
    <row r="280" spans="2:20" s="14" customFormat="1" x14ac:dyDescent="0.25">
      <c r="B280" s="13"/>
      <c r="C280" s="13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</row>
    <row r="281" spans="2:20" s="14" customFormat="1" x14ac:dyDescent="0.25">
      <c r="B281" s="13"/>
      <c r="C281" s="13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</row>
    <row r="282" spans="2:20" s="14" customFormat="1" x14ac:dyDescent="0.25">
      <c r="B282" s="13"/>
      <c r="C282" s="13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</row>
    <row r="283" spans="2:20" s="14" customFormat="1" x14ac:dyDescent="0.25">
      <c r="B283" s="13"/>
      <c r="C283" s="13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</row>
    <row r="284" spans="2:20" s="14" customFormat="1" x14ac:dyDescent="0.25">
      <c r="B284" s="13"/>
      <c r="C284" s="13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</row>
    <row r="285" spans="2:20" s="14" customFormat="1" x14ac:dyDescent="0.25">
      <c r="B285" s="13"/>
      <c r="C285" s="13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</row>
    <row r="286" spans="2:20" s="14" customFormat="1" x14ac:dyDescent="0.25">
      <c r="B286" s="13"/>
      <c r="C286" s="13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</row>
    <row r="287" spans="2:20" s="14" customFormat="1" x14ac:dyDescent="0.25">
      <c r="B287" s="13"/>
      <c r="C287" s="13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</row>
    <row r="288" spans="2:20" s="14" customFormat="1" x14ac:dyDescent="0.25">
      <c r="B288" s="13"/>
      <c r="C288" s="13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</row>
    <row r="289" spans="2:20" s="14" customFormat="1" x14ac:dyDescent="0.25">
      <c r="B289" s="13"/>
      <c r="C289" s="13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</row>
    <row r="290" spans="2:20" s="14" customFormat="1" x14ac:dyDescent="0.25">
      <c r="B290" s="13"/>
      <c r="C290" s="13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</row>
    <row r="291" spans="2:20" s="14" customFormat="1" x14ac:dyDescent="0.25">
      <c r="B291" s="13"/>
      <c r="C291" s="13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</row>
    <row r="292" spans="2:20" s="14" customFormat="1" x14ac:dyDescent="0.25">
      <c r="B292" s="13"/>
      <c r="C292" s="13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</row>
    <row r="293" spans="2:20" s="14" customFormat="1" x14ac:dyDescent="0.25">
      <c r="B293" s="13"/>
      <c r="C293" s="13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</row>
    <row r="294" spans="2:20" s="14" customFormat="1" x14ac:dyDescent="0.25">
      <c r="B294" s="13"/>
      <c r="C294" s="13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</row>
    <row r="295" spans="2:20" s="14" customFormat="1" x14ac:dyDescent="0.25">
      <c r="B295" s="13"/>
      <c r="C295" s="13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</row>
    <row r="296" spans="2:20" s="14" customFormat="1" x14ac:dyDescent="0.25">
      <c r="B296" s="13"/>
      <c r="C296" s="13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</row>
    <row r="297" spans="2:20" s="14" customFormat="1" x14ac:dyDescent="0.25">
      <c r="B297" s="13"/>
      <c r="C297" s="13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</row>
    <row r="298" spans="2:20" s="14" customFormat="1" x14ac:dyDescent="0.25">
      <c r="B298" s="13"/>
      <c r="C298" s="13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</row>
    <row r="299" spans="2:20" s="14" customFormat="1" x14ac:dyDescent="0.25">
      <c r="B299" s="13"/>
      <c r="C299" s="13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</row>
    <row r="300" spans="2:20" s="14" customFormat="1" x14ac:dyDescent="0.25">
      <c r="B300" s="13"/>
      <c r="C300" s="13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</row>
    <row r="301" spans="2:20" s="14" customFormat="1" x14ac:dyDescent="0.25">
      <c r="B301" s="13"/>
      <c r="C301" s="13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</row>
    <row r="302" spans="2:20" s="14" customFormat="1" x14ac:dyDescent="0.25">
      <c r="B302" s="13"/>
      <c r="C302" s="13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</row>
    <row r="303" spans="2:20" s="14" customFormat="1" x14ac:dyDescent="0.25">
      <c r="B303" s="13"/>
      <c r="C303" s="13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</row>
    <row r="304" spans="2:20" s="14" customFormat="1" x14ac:dyDescent="0.25">
      <c r="B304" s="13"/>
      <c r="C304" s="13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</row>
    <row r="305" spans="2:20" s="14" customFormat="1" x14ac:dyDescent="0.25">
      <c r="B305" s="13"/>
      <c r="C305" s="13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</row>
    <row r="306" spans="2:20" s="14" customFormat="1" x14ac:dyDescent="0.25">
      <c r="B306" s="13"/>
      <c r="C306" s="13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</row>
    <row r="307" spans="2:20" s="14" customFormat="1" x14ac:dyDescent="0.25">
      <c r="B307" s="13"/>
      <c r="C307" s="13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</row>
    <row r="308" spans="2:20" s="14" customFormat="1" x14ac:dyDescent="0.25">
      <c r="B308" s="13"/>
      <c r="C308" s="13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</row>
    <row r="309" spans="2:20" s="14" customFormat="1" x14ac:dyDescent="0.25">
      <c r="B309" s="13"/>
      <c r="C309" s="13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</row>
    <row r="310" spans="2:20" s="14" customFormat="1" x14ac:dyDescent="0.25">
      <c r="B310" s="13"/>
      <c r="C310" s="13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</row>
    <row r="311" spans="2:20" s="14" customFormat="1" x14ac:dyDescent="0.25">
      <c r="B311" s="13"/>
      <c r="C311" s="13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</row>
    <row r="312" spans="2:20" s="14" customFormat="1" x14ac:dyDescent="0.25">
      <c r="B312" s="13"/>
      <c r="C312" s="13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</row>
    <row r="313" spans="2:20" s="14" customFormat="1" x14ac:dyDescent="0.25">
      <c r="B313" s="13"/>
      <c r="C313" s="13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</row>
    <row r="314" spans="2:20" s="14" customFormat="1" x14ac:dyDescent="0.25">
      <c r="B314" s="13"/>
      <c r="C314" s="13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</row>
    <row r="315" spans="2:20" s="14" customFormat="1" x14ac:dyDescent="0.25">
      <c r="B315" s="13"/>
      <c r="C315" s="13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</row>
    <row r="316" spans="2:20" s="14" customFormat="1" x14ac:dyDescent="0.25">
      <c r="B316" s="13"/>
      <c r="C316" s="13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</row>
    <row r="317" spans="2:20" s="14" customFormat="1" x14ac:dyDescent="0.25">
      <c r="B317" s="13"/>
      <c r="C317" s="13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</row>
    <row r="318" spans="2:20" s="14" customFormat="1" x14ac:dyDescent="0.25">
      <c r="B318" s="13"/>
      <c r="C318" s="13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</row>
    <row r="319" spans="2:20" s="14" customFormat="1" x14ac:dyDescent="0.25">
      <c r="B319" s="13"/>
      <c r="C319" s="13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</row>
    <row r="320" spans="2:20" s="14" customFormat="1" x14ac:dyDescent="0.25">
      <c r="B320" s="13"/>
      <c r="C320" s="13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</row>
    <row r="321" spans="2:20" s="14" customFormat="1" x14ac:dyDescent="0.25">
      <c r="B321" s="13"/>
      <c r="C321" s="13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</row>
    <row r="322" spans="2:20" s="14" customFormat="1" x14ac:dyDescent="0.25">
      <c r="B322" s="13"/>
      <c r="C322" s="13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</row>
    <row r="323" spans="2:20" s="14" customFormat="1" x14ac:dyDescent="0.25">
      <c r="B323" s="13"/>
      <c r="C323" s="13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</row>
    <row r="324" spans="2:20" s="14" customFormat="1" x14ac:dyDescent="0.25">
      <c r="B324" s="13"/>
      <c r="C324" s="13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</row>
    <row r="325" spans="2:20" s="14" customFormat="1" x14ac:dyDescent="0.25">
      <c r="B325" s="13"/>
      <c r="C325" s="13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</row>
    <row r="326" spans="2:20" s="14" customFormat="1" x14ac:dyDescent="0.25">
      <c r="B326" s="13"/>
      <c r="C326" s="13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</row>
    <row r="327" spans="2:20" s="14" customFormat="1" x14ac:dyDescent="0.25">
      <c r="B327" s="13"/>
      <c r="C327" s="13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</row>
    <row r="328" spans="2:20" s="14" customFormat="1" x14ac:dyDescent="0.25">
      <c r="B328" s="13"/>
      <c r="C328" s="13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</row>
    <row r="329" spans="2:20" s="14" customFormat="1" x14ac:dyDescent="0.25">
      <c r="B329" s="13"/>
      <c r="C329" s="13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</row>
    <row r="330" spans="2:20" s="14" customFormat="1" x14ac:dyDescent="0.25">
      <c r="B330" s="13"/>
      <c r="C330" s="13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</row>
    <row r="331" spans="2:20" s="14" customFormat="1" x14ac:dyDescent="0.25">
      <c r="B331" s="13"/>
      <c r="C331" s="13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</row>
    <row r="332" spans="2:20" s="14" customFormat="1" x14ac:dyDescent="0.25">
      <c r="B332" s="13"/>
      <c r="C332" s="13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</row>
    <row r="333" spans="2:20" s="14" customFormat="1" x14ac:dyDescent="0.25">
      <c r="B333" s="13"/>
      <c r="C333" s="13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</row>
    <row r="334" spans="2:20" s="14" customFormat="1" x14ac:dyDescent="0.25">
      <c r="B334" s="13"/>
      <c r="C334" s="13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</row>
    <row r="335" spans="2:20" s="14" customFormat="1" x14ac:dyDescent="0.25">
      <c r="B335" s="13"/>
      <c r="C335" s="13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</row>
    <row r="336" spans="2:20" s="14" customFormat="1" x14ac:dyDescent="0.25">
      <c r="B336" s="13"/>
      <c r="C336" s="13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</row>
    <row r="337" spans="2:20" s="14" customFormat="1" x14ac:dyDescent="0.25">
      <c r="B337" s="13"/>
      <c r="C337" s="13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</row>
    <row r="338" spans="2:20" s="14" customFormat="1" x14ac:dyDescent="0.25">
      <c r="B338" s="13"/>
      <c r="C338" s="13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</row>
    <row r="339" spans="2:20" s="14" customFormat="1" x14ac:dyDescent="0.25">
      <c r="B339" s="13"/>
      <c r="C339" s="13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</row>
    <row r="340" spans="2:20" s="14" customFormat="1" x14ac:dyDescent="0.25">
      <c r="B340" s="13"/>
      <c r="C340" s="13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</row>
    <row r="341" spans="2:20" s="14" customFormat="1" x14ac:dyDescent="0.25">
      <c r="B341" s="13"/>
      <c r="C341" s="13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</row>
    <row r="342" spans="2:20" s="14" customFormat="1" x14ac:dyDescent="0.25">
      <c r="B342" s="13"/>
      <c r="C342" s="13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</row>
    <row r="343" spans="2:20" s="14" customFormat="1" x14ac:dyDescent="0.25">
      <c r="B343" s="13"/>
      <c r="C343" s="13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</row>
    <row r="344" spans="2:20" s="14" customFormat="1" x14ac:dyDescent="0.25">
      <c r="B344" s="13"/>
      <c r="C344" s="13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</row>
    <row r="345" spans="2:20" s="14" customFormat="1" x14ac:dyDescent="0.25">
      <c r="B345" s="13"/>
      <c r="C345" s="13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</row>
    <row r="346" spans="2:20" s="14" customFormat="1" x14ac:dyDescent="0.25">
      <c r="B346" s="13"/>
      <c r="C346" s="13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</row>
    <row r="347" spans="2:20" s="14" customFormat="1" x14ac:dyDescent="0.25">
      <c r="B347" s="13"/>
      <c r="C347" s="13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</row>
    <row r="348" spans="2:20" s="14" customFormat="1" x14ac:dyDescent="0.25">
      <c r="B348" s="13"/>
      <c r="C348" s="13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</row>
    <row r="349" spans="2:20" s="14" customFormat="1" x14ac:dyDescent="0.25">
      <c r="B349" s="13"/>
      <c r="C349" s="13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</row>
    <row r="350" spans="2:20" s="14" customFormat="1" x14ac:dyDescent="0.25">
      <c r="B350" s="13"/>
      <c r="C350" s="13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</row>
    <row r="351" spans="2:20" s="14" customFormat="1" x14ac:dyDescent="0.25">
      <c r="B351" s="13"/>
      <c r="C351" s="13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</row>
    <row r="352" spans="2:20" s="14" customFormat="1" x14ac:dyDescent="0.25">
      <c r="B352" s="13"/>
      <c r="C352" s="13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</row>
    <row r="353" spans="2:20" s="14" customFormat="1" x14ac:dyDescent="0.25">
      <c r="B353" s="13"/>
      <c r="C353" s="13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</row>
    <row r="354" spans="2:20" s="14" customFormat="1" x14ac:dyDescent="0.25">
      <c r="B354" s="13"/>
      <c r="C354" s="13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</row>
    <row r="355" spans="2:20" s="14" customFormat="1" x14ac:dyDescent="0.25">
      <c r="B355" s="13"/>
      <c r="C355" s="13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</row>
    <row r="356" spans="2:20" s="14" customFormat="1" x14ac:dyDescent="0.25">
      <c r="B356" s="13"/>
      <c r="C356" s="13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</row>
    <row r="357" spans="2:20" s="14" customFormat="1" x14ac:dyDescent="0.25">
      <c r="B357" s="13"/>
      <c r="C357" s="13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</row>
    <row r="358" spans="2:20" s="14" customFormat="1" x14ac:dyDescent="0.25">
      <c r="B358" s="13"/>
      <c r="C358" s="13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</row>
    <row r="359" spans="2:20" s="14" customFormat="1" x14ac:dyDescent="0.25">
      <c r="B359" s="13"/>
      <c r="C359" s="13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</row>
    <row r="360" spans="2:20" s="14" customFormat="1" x14ac:dyDescent="0.25">
      <c r="B360" s="13"/>
      <c r="C360" s="13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</row>
    <row r="361" spans="2:20" s="14" customFormat="1" x14ac:dyDescent="0.25">
      <c r="B361" s="13"/>
      <c r="C361" s="13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</row>
    <row r="362" spans="2:20" s="14" customFormat="1" x14ac:dyDescent="0.25">
      <c r="B362" s="13"/>
      <c r="C362" s="13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</row>
    <row r="363" spans="2:20" s="14" customFormat="1" x14ac:dyDescent="0.25">
      <c r="B363" s="13"/>
      <c r="C363" s="13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</row>
    <row r="364" spans="2:20" s="14" customFormat="1" x14ac:dyDescent="0.25">
      <c r="B364" s="13"/>
      <c r="C364" s="13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</row>
    <row r="365" spans="2:20" s="14" customFormat="1" x14ac:dyDescent="0.25">
      <c r="B365" s="13"/>
      <c r="C365" s="13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</row>
    <row r="366" spans="2:20" s="14" customFormat="1" x14ac:dyDescent="0.25">
      <c r="B366" s="13"/>
      <c r="C366" s="13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</row>
    <row r="367" spans="2:20" s="14" customFormat="1" x14ac:dyDescent="0.25">
      <c r="B367" s="13"/>
      <c r="C367" s="13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</row>
    <row r="368" spans="2:20" s="14" customFormat="1" x14ac:dyDescent="0.25">
      <c r="B368" s="13"/>
      <c r="C368" s="13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</row>
    <row r="369" spans="2:20" s="14" customFormat="1" x14ac:dyDescent="0.25">
      <c r="B369" s="13"/>
      <c r="C369" s="13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</row>
    <row r="370" spans="2:20" s="14" customFormat="1" x14ac:dyDescent="0.25">
      <c r="B370" s="13"/>
      <c r="C370" s="13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</row>
    <row r="371" spans="2:20" s="14" customFormat="1" x14ac:dyDescent="0.25">
      <c r="B371" s="13"/>
      <c r="C371" s="13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</row>
    <row r="372" spans="2:20" s="14" customFormat="1" x14ac:dyDescent="0.25">
      <c r="B372" s="13"/>
      <c r="C372" s="13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</row>
    <row r="373" spans="2:20" s="14" customFormat="1" x14ac:dyDescent="0.25">
      <c r="B373" s="13"/>
      <c r="C373" s="13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</row>
    <row r="374" spans="2:20" s="14" customFormat="1" x14ac:dyDescent="0.25">
      <c r="B374" s="13"/>
      <c r="C374" s="13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</row>
    <row r="375" spans="2:20" s="14" customFormat="1" x14ac:dyDescent="0.25">
      <c r="B375" s="13"/>
      <c r="C375" s="13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</row>
    <row r="376" spans="2:20" s="14" customFormat="1" x14ac:dyDescent="0.25">
      <c r="B376" s="13"/>
      <c r="C376" s="13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</row>
    <row r="377" spans="2:20" s="14" customFormat="1" x14ac:dyDescent="0.25">
      <c r="B377" s="13"/>
      <c r="C377" s="13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</row>
    <row r="378" spans="2:20" s="14" customFormat="1" x14ac:dyDescent="0.25">
      <c r="B378" s="13"/>
      <c r="C378" s="13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</row>
    <row r="379" spans="2:20" s="14" customFormat="1" x14ac:dyDescent="0.25">
      <c r="B379" s="13"/>
      <c r="C379" s="13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</row>
    <row r="380" spans="2:20" s="14" customFormat="1" x14ac:dyDescent="0.25">
      <c r="B380" s="13"/>
      <c r="C380" s="13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</row>
    <row r="381" spans="2:20" s="14" customFormat="1" x14ac:dyDescent="0.25">
      <c r="B381" s="13"/>
      <c r="C381" s="13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</row>
    <row r="382" spans="2:20" s="14" customFormat="1" x14ac:dyDescent="0.25">
      <c r="B382" s="13"/>
      <c r="C382" s="13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</row>
    <row r="383" spans="2:20" s="14" customFormat="1" x14ac:dyDescent="0.25">
      <c r="B383" s="13"/>
      <c r="C383" s="13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</row>
    <row r="384" spans="2:20" s="14" customFormat="1" x14ac:dyDescent="0.25">
      <c r="B384" s="13"/>
      <c r="C384" s="13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</row>
    <row r="385" spans="2:20" s="14" customFormat="1" x14ac:dyDescent="0.25">
      <c r="B385" s="13"/>
      <c r="C385" s="13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</row>
    <row r="386" spans="2:20" s="14" customFormat="1" x14ac:dyDescent="0.25">
      <c r="B386" s="13"/>
      <c r="C386" s="13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</row>
    <row r="387" spans="2:20" s="14" customFormat="1" x14ac:dyDescent="0.25">
      <c r="B387" s="13"/>
      <c r="C387" s="13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</row>
    <row r="388" spans="2:20" s="14" customFormat="1" x14ac:dyDescent="0.25">
      <c r="B388" s="13"/>
      <c r="C388" s="13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</row>
    <row r="389" spans="2:20" s="14" customFormat="1" x14ac:dyDescent="0.25">
      <c r="B389" s="13"/>
      <c r="C389" s="13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</row>
    <row r="390" spans="2:20" s="14" customFormat="1" x14ac:dyDescent="0.25">
      <c r="B390" s="13"/>
      <c r="C390" s="13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</row>
    <row r="391" spans="2:20" s="14" customFormat="1" x14ac:dyDescent="0.25">
      <c r="B391" s="13"/>
      <c r="C391" s="13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</row>
    <row r="392" spans="2:20" s="14" customFormat="1" x14ac:dyDescent="0.25">
      <c r="B392" s="13"/>
      <c r="C392" s="13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</row>
    <row r="393" spans="2:20" s="14" customFormat="1" x14ac:dyDescent="0.25">
      <c r="B393" s="13"/>
      <c r="C393" s="13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</row>
    <row r="394" spans="2:20" s="14" customFormat="1" x14ac:dyDescent="0.25">
      <c r="B394" s="13"/>
      <c r="C394" s="13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</row>
    <row r="395" spans="2:20" s="14" customFormat="1" x14ac:dyDescent="0.25">
      <c r="B395" s="13"/>
      <c r="C395" s="13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</row>
    <row r="396" spans="2:20" s="14" customFormat="1" x14ac:dyDescent="0.25">
      <c r="B396" s="13"/>
      <c r="C396" s="13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</row>
    <row r="397" spans="2:20" s="14" customFormat="1" x14ac:dyDescent="0.25">
      <c r="B397" s="13"/>
      <c r="C397" s="13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</row>
    <row r="398" spans="2:20" s="14" customFormat="1" x14ac:dyDescent="0.25">
      <c r="B398" s="13"/>
      <c r="C398" s="13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</row>
    <row r="399" spans="2:20" s="14" customFormat="1" x14ac:dyDescent="0.25">
      <c r="B399" s="13"/>
      <c r="C399" s="13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</row>
    <row r="400" spans="2:20" s="14" customFormat="1" x14ac:dyDescent="0.25">
      <c r="B400" s="13"/>
      <c r="C400" s="13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</row>
    <row r="401" spans="2:20" s="14" customFormat="1" x14ac:dyDescent="0.25">
      <c r="B401" s="13"/>
      <c r="C401" s="13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</row>
    <row r="402" spans="2:20" s="14" customFormat="1" x14ac:dyDescent="0.25">
      <c r="B402" s="13"/>
      <c r="C402" s="13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</row>
    <row r="403" spans="2:20" s="14" customFormat="1" x14ac:dyDescent="0.25">
      <c r="B403" s="13"/>
      <c r="C403" s="13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</row>
    <row r="404" spans="2:20" s="14" customFormat="1" x14ac:dyDescent="0.25">
      <c r="B404" s="13"/>
      <c r="C404" s="13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</row>
    <row r="405" spans="2:20" s="14" customFormat="1" x14ac:dyDescent="0.25">
      <c r="B405" s="13"/>
      <c r="C405" s="13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</row>
    <row r="406" spans="2:20" s="14" customFormat="1" x14ac:dyDescent="0.25">
      <c r="B406" s="13"/>
      <c r="C406" s="13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</row>
    <row r="407" spans="2:20" s="14" customFormat="1" x14ac:dyDescent="0.25">
      <c r="B407" s="13"/>
      <c r="C407" s="13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</row>
    <row r="408" spans="2:20" s="14" customFormat="1" x14ac:dyDescent="0.25">
      <c r="B408" s="13"/>
      <c r="C408" s="13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</row>
    <row r="409" spans="2:20" s="14" customFormat="1" x14ac:dyDescent="0.25">
      <c r="B409" s="13"/>
      <c r="C409" s="13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</row>
    <row r="410" spans="2:20" s="14" customFormat="1" x14ac:dyDescent="0.25">
      <c r="B410" s="13"/>
      <c r="C410" s="13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</row>
    <row r="411" spans="2:20" s="14" customFormat="1" x14ac:dyDescent="0.25">
      <c r="B411" s="13"/>
      <c r="C411" s="13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</row>
    <row r="412" spans="2:20" s="14" customFormat="1" x14ac:dyDescent="0.25">
      <c r="B412" s="13"/>
      <c r="C412" s="13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</row>
    <row r="413" spans="2:20" s="14" customFormat="1" x14ac:dyDescent="0.25">
      <c r="B413" s="13"/>
      <c r="C413" s="13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</row>
    <row r="414" spans="2:20" s="14" customFormat="1" x14ac:dyDescent="0.25">
      <c r="B414" s="13"/>
      <c r="C414" s="13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</row>
    <row r="415" spans="2:20" s="14" customFormat="1" x14ac:dyDescent="0.25">
      <c r="B415" s="13"/>
      <c r="C415" s="13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</row>
    <row r="416" spans="2:20" s="14" customFormat="1" x14ac:dyDescent="0.25">
      <c r="B416" s="13"/>
      <c r="C416" s="13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</row>
    <row r="417" spans="2:20" s="14" customFormat="1" x14ac:dyDescent="0.25">
      <c r="B417" s="13"/>
      <c r="C417" s="13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</row>
    <row r="418" spans="2:20" s="14" customFormat="1" x14ac:dyDescent="0.25">
      <c r="B418" s="13"/>
      <c r="C418" s="13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</row>
    <row r="419" spans="2:20" s="14" customFormat="1" x14ac:dyDescent="0.25">
      <c r="B419" s="13"/>
      <c r="C419" s="13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</row>
    <row r="420" spans="2:20" s="14" customFormat="1" x14ac:dyDescent="0.25">
      <c r="B420" s="13"/>
      <c r="C420" s="13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</row>
    <row r="421" spans="2:20" s="14" customFormat="1" x14ac:dyDescent="0.25">
      <c r="B421" s="13"/>
      <c r="C421" s="13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</row>
    <row r="422" spans="2:20" s="14" customFormat="1" x14ac:dyDescent="0.25">
      <c r="B422" s="13"/>
      <c r="C422" s="13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</row>
    <row r="423" spans="2:20" s="14" customFormat="1" x14ac:dyDescent="0.25">
      <c r="B423" s="13"/>
      <c r="C423" s="13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</row>
    <row r="424" spans="2:20" s="14" customFormat="1" x14ac:dyDescent="0.25">
      <c r="B424" s="13"/>
      <c r="C424" s="13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</row>
    <row r="425" spans="2:20" s="14" customFormat="1" x14ac:dyDescent="0.25">
      <c r="B425" s="13"/>
      <c r="C425" s="13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</row>
    <row r="426" spans="2:20" s="14" customFormat="1" x14ac:dyDescent="0.25">
      <c r="B426" s="13"/>
      <c r="C426" s="13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</row>
    <row r="427" spans="2:20" s="14" customFormat="1" x14ac:dyDescent="0.25">
      <c r="B427" s="13"/>
      <c r="C427" s="13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</row>
    <row r="428" spans="2:20" s="14" customFormat="1" x14ac:dyDescent="0.25">
      <c r="B428" s="13"/>
      <c r="C428" s="13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</row>
    <row r="429" spans="2:20" s="14" customFormat="1" x14ac:dyDescent="0.25">
      <c r="B429" s="13"/>
      <c r="C429" s="13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</row>
    <row r="430" spans="2:20" s="14" customFormat="1" x14ac:dyDescent="0.25">
      <c r="B430" s="13"/>
      <c r="C430" s="13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</row>
    <row r="431" spans="2:20" s="14" customFormat="1" x14ac:dyDescent="0.25">
      <c r="B431" s="13"/>
      <c r="C431" s="13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</row>
    <row r="432" spans="2:20" s="14" customFormat="1" x14ac:dyDescent="0.25">
      <c r="B432" s="13"/>
      <c r="C432" s="13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</row>
    <row r="433" spans="2:20" s="14" customFormat="1" x14ac:dyDescent="0.25">
      <c r="B433" s="13"/>
      <c r="C433" s="13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</row>
    <row r="434" spans="2:20" s="14" customFormat="1" x14ac:dyDescent="0.25">
      <c r="B434" s="13"/>
      <c r="C434" s="13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</row>
    <row r="435" spans="2:20" s="14" customFormat="1" x14ac:dyDescent="0.25">
      <c r="B435" s="13"/>
      <c r="C435" s="13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</row>
    <row r="436" spans="2:20" s="14" customFormat="1" x14ac:dyDescent="0.25">
      <c r="B436" s="13"/>
      <c r="C436" s="13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</row>
    <row r="437" spans="2:20" s="14" customFormat="1" x14ac:dyDescent="0.25">
      <c r="B437" s="13"/>
      <c r="C437" s="13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</row>
    <row r="438" spans="2:20" s="14" customFormat="1" x14ac:dyDescent="0.25">
      <c r="B438" s="13"/>
      <c r="C438" s="13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</row>
    <row r="439" spans="2:20" s="14" customFormat="1" x14ac:dyDescent="0.25">
      <c r="B439" s="13"/>
      <c r="C439" s="13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</row>
    <row r="440" spans="2:20" s="14" customFormat="1" x14ac:dyDescent="0.25">
      <c r="B440" s="13"/>
      <c r="C440" s="13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</row>
    <row r="441" spans="2:20" s="14" customFormat="1" x14ac:dyDescent="0.25">
      <c r="B441" s="13"/>
      <c r="C441" s="13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</row>
    <row r="442" spans="2:20" s="14" customFormat="1" x14ac:dyDescent="0.25">
      <c r="B442" s="13"/>
      <c r="C442" s="13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</row>
    <row r="443" spans="2:20" s="14" customFormat="1" x14ac:dyDescent="0.25">
      <c r="B443" s="13"/>
      <c r="C443" s="13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</row>
    <row r="444" spans="2:20" s="14" customFormat="1" x14ac:dyDescent="0.25">
      <c r="B444" s="13"/>
      <c r="C444" s="13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</row>
    <row r="445" spans="2:20" s="14" customFormat="1" x14ac:dyDescent="0.25">
      <c r="B445" s="13"/>
      <c r="C445" s="13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</row>
    <row r="446" spans="2:20" s="14" customFormat="1" x14ac:dyDescent="0.25">
      <c r="B446" s="13"/>
      <c r="C446" s="13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</row>
    <row r="447" spans="2:20" s="14" customFormat="1" x14ac:dyDescent="0.25">
      <c r="B447" s="13"/>
      <c r="C447" s="13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</row>
    <row r="448" spans="2:20" s="14" customFormat="1" x14ac:dyDescent="0.25">
      <c r="B448" s="13"/>
      <c r="C448" s="13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</row>
    <row r="449" spans="2:20" s="14" customFormat="1" x14ac:dyDescent="0.25">
      <c r="B449" s="13"/>
      <c r="C449" s="13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</row>
    <row r="450" spans="2:20" s="14" customFormat="1" x14ac:dyDescent="0.25">
      <c r="B450" s="13"/>
      <c r="C450" s="13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</row>
    <row r="451" spans="2:20" s="14" customFormat="1" x14ac:dyDescent="0.25">
      <c r="B451" s="13"/>
      <c r="C451" s="13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</row>
    <row r="452" spans="2:20" s="14" customFormat="1" x14ac:dyDescent="0.25">
      <c r="B452" s="13"/>
      <c r="C452" s="13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</row>
    <row r="453" spans="2:20" s="14" customFormat="1" x14ac:dyDescent="0.25">
      <c r="B453" s="13"/>
      <c r="C453" s="13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</row>
    <row r="454" spans="2:20" s="14" customFormat="1" x14ac:dyDescent="0.25">
      <c r="B454" s="13"/>
      <c r="C454" s="13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</row>
    <row r="455" spans="2:20" s="14" customFormat="1" x14ac:dyDescent="0.25">
      <c r="B455" s="13"/>
      <c r="C455" s="13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</row>
    <row r="456" spans="2:20" s="14" customFormat="1" x14ac:dyDescent="0.25">
      <c r="B456" s="13"/>
      <c r="C456" s="13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</row>
    <row r="457" spans="2:20" s="14" customFormat="1" x14ac:dyDescent="0.25">
      <c r="B457" s="13"/>
      <c r="C457" s="13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</row>
    <row r="458" spans="2:20" s="14" customFormat="1" x14ac:dyDescent="0.25">
      <c r="B458" s="13"/>
      <c r="C458" s="13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</row>
    <row r="459" spans="2:20" s="14" customFormat="1" x14ac:dyDescent="0.25">
      <c r="B459" s="13"/>
      <c r="C459" s="13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</row>
    <row r="460" spans="2:20" s="14" customFormat="1" x14ac:dyDescent="0.25">
      <c r="B460" s="13"/>
      <c r="C460" s="13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</row>
    <row r="461" spans="2:20" s="14" customFormat="1" x14ac:dyDescent="0.25">
      <c r="B461" s="13"/>
      <c r="C461" s="13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</row>
    <row r="462" spans="2:20" s="14" customFormat="1" x14ac:dyDescent="0.25">
      <c r="B462" s="13"/>
      <c r="C462" s="13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</row>
    <row r="463" spans="2:20" s="14" customFormat="1" x14ac:dyDescent="0.25">
      <c r="B463" s="13"/>
      <c r="C463" s="13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</row>
    <row r="464" spans="2:20" s="14" customFormat="1" x14ac:dyDescent="0.25">
      <c r="B464" s="13"/>
      <c r="C464" s="13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</row>
    <row r="465" spans="2:20" s="14" customFormat="1" x14ac:dyDescent="0.25">
      <c r="B465" s="13"/>
      <c r="C465" s="13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</row>
    <row r="466" spans="2:20" s="14" customFormat="1" x14ac:dyDescent="0.25">
      <c r="B466" s="13"/>
      <c r="C466" s="13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</row>
    <row r="467" spans="2:20" s="14" customFormat="1" x14ac:dyDescent="0.25">
      <c r="B467" s="13"/>
      <c r="C467" s="13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</row>
    <row r="468" spans="2:20" s="14" customFormat="1" x14ac:dyDescent="0.25">
      <c r="B468" s="13"/>
      <c r="C468" s="13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</row>
    <row r="469" spans="2:20" s="14" customFormat="1" x14ac:dyDescent="0.25">
      <c r="B469" s="13"/>
      <c r="C469" s="13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</row>
    <row r="470" spans="2:20" s="14" customFormat="1" x14ac:dyDescent="0.25">
      <c r="B470" s="13"/>
      <c r="C470" s="13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</row>
    <row r="471" spans="2:20" s="14" customFormat="1" x14ac:dyDescent="0.25">
      <c r="B471" s="13"/>
      <c r="C471" s="13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</row>
    <row r="472" spans="2:20" s="14" customFormat="1" x14ac:dyDescent="0.25">
      <c r="B472" s="13"/>
      <c r="C472" s="13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</row>
    <row r="473" spans="2:20" s="14" customFormat="1" x14ac:dyDescent="0.25">
      <c r="B473" s="13"/>
      <c r="C473" s="13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</row>
    <row r="474" spans="2:20" s="14" customFormat="1" x14ac:dyDescent="0.25">
      <c r="B474" s="13"/>
      <c r="C474" s="13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</row>
    <row r="475" spans="2:20" s="14" customFormat="1" x14ac:dyDescent="0.25">
      <c r="B475" s="13"/>
      <c r="C475" s="13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</row>
    <row r="476" spans="2:20" s="14" customFormat="1" x14ac:dyDescent="0.25">
      <c r="B476" s="13"/>
      <c r="C476" s="13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</row>
    <row r="477" spans="2:20" s="14" customFormat="1" x14ac:dyDescent="0.25">
      <c r="B477" s="13"/>
      <c r="C477" s="13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</row>
    <row r="478" spans="2:20" s="14" customFormat="1" x14ac:dyDescent="0.25">
      <c r="B478" s="13"/>
      <c r="C478" s="13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</row>
    <row r="479" spans="2:20" s="14" customFormat="1" x14ac:dyDescent="0.25">
      <c r="B479" s="13"/>
      <c r="C479" s="13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</row>
    <row r="480" spans="2:20" s="14" customFormat="1" x14ac:dyDescent="0.25">
      <c r="B480" s="13"/>
      <c r="C480" s="13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</row>
    <row r="481" spans="2:20" s="14" customFormat="1" x14ac:dyDescent="0.25">
      <c r="B481" s="13"/>
      <c r="C481" s="13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</row>
    <row r="482" spans="2:20" s="14" customFormat="1" x14ac:dyDescent="0.25">
      <c r="B482" s="13"/>
      <c r="C482" s="13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</row>
    <row r="483" spans="2:20" s="14" customFormat="1" x14ac:dyDescent="0.25">
      <c r="B483" s="13"/>
      <c r="C483" s="13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</row>
    <row r="484" spans="2:20" s="14" customFormat="1" x14ac:dyDescent="0.25">
      <c r="B484" s="13"/>
      <c r="C484" s="13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</row>
    <row r="485" spans="2:20" s="14" customFormat="1" x14ac:dyDescent="0.25">
      <c r="B485" s="13"/>
      <c r="C485" s="13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</row>
    <row r="486" spans="2:20" s="14" customFormat="1" x14ac:dyDescent="0.25">
      <c r="B486" s="13"/>
      <c r="C486" s="13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</row>
    <row r="487" spans="2:20" s="14" customFormat="1" x14ac:dyDescent="0.25">
      <c r="B487" s="13"/>
      <c r="C487" s="13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</row>
    <row r="488" spans="2:20" s="14" customFormat="1" x14ac:dyDescent="0.25">
      <c r="B488" s="13"/>
      <c r="C488" s="13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</row>
    <row r="489" spans="2:20" s="14" customFormat="1" x14ac:dyDescent="0.25">
      <c r="B489" s="13"/>
      <c r="C489" s="13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</row>
    <row r="490" spans="2:20" s="14" customFormat="1" x14ac:dyDescent="0.25">
      <c r="B490" s="13"/>
      <c r="C490" s="13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</row>
    <row r="491" spans="2:20" s="14" customFormat="1" x14ac:dyDescent="0.25">
      <c r="B491" s="13"/>
      <c r="C491" s="13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</row>
    <row r="492" spans="2:20" s="14" customFormat="1" x14ac:dyDescent="0.25">
      <c r="B492" s="13"/>
      <c r="C492" s="13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</row>
    <row r="493" spans="2:20" s="14" customFormat="1" x14ac:dyDescent="0.25">
      <c r="B493" s="13"/>
      <c r="C493" s="13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</row>
    <row r="494" spans="2:20" s="14" customFormat="1" x14ac:dyDescent="0.25">
      <c r="B494" s="13"/>
      <c r="C494" s="13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</row>
    <row r="495" spans="2:20" s="14" customFormat="1" x14ac:dyDescent="0.25">
      <c r="B495" s="13"/>
      <c r="C495" s="13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</row>
    <row r="496" spans="2:20" s="14" customFormat="1" x14ac:dyDescent="0.25">
      <c r="B496" s="13"/>
      <c r="C496" s="13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</row>
    <row r="497" spans="2:20" s="14" customFormat="1" x14ac:dyDescent="0.25">
      <c r="B497" s="13"/>
      <c r="C497" s="13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</row>
    <row r="498" spans="2:20" s="14" customFormat="1" x14ac:dyDescent="0.25">
      <c r="B498" s="13"/>
      <c r="C498" s="13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</row>
    <row r="499" spans="2:20" s="14" customFormat="1" x14ac:dyDescent="0.25">
      <c r="B499" s="13"/>
      <c r="C499" s="13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</row>
    <row r="500" spans="2:20" s="14" customFormat="1" x14ac:dyDescent="0.25">
      <c r="B500" s="13"/>
      <c r="C500" s="13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</row>
    <row r="501" spans="2:20" s="14" customFormat="1" x14ac:dyDescent="0.25">
      <c r="B501" s="13"/>
      <c r="C501" s="13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</row>
    <row r="502" spans="2:20" s="14" customFormat="1" x14ac:dyDescent="0.25">
      <c r="B502" s="13"/>
      <c r="C502" s="13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</row>
    <row r="503" spans="2:20" s="14" customFormat="1" x14ac:dyDescent="0.25">
      <c r="B503" s="13"/>
      <c r="C503" s="13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</row>
    <row r="504" spans="2:20" s="14" customFormat="1" x14ac:dyDescent="0.25">
      <c r="B504" s="13"/>
      <c r="C504" s="13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</row>
    <row r="505" spans="2:20" s="14" customFormat="1" x14ac:dyDescent="0.25">
      <c r="B505" s="13"/>
      <c r="C505" s="13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</row>
    <row r="506" spans="2:20" s="14" customFormat="1" x14ac:dyDescent="0.25">
      <c r="B506" s="13"/>
      <c r="C506" s="13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</row>
    <row r="507" spans="2:20" s="14" customFormat="1" x14ac:dyDescent="0.25">
      <c r="B507" s="13"/>
      <c r="C507" s="13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</row>
    <row r="508" spans="2:20" s="14" customFormat="1" x14ac:dyDescent="0.25">
      <c r="B508" s="13"/>
      <c r="C508" s="13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</row>
    <row r="509" spans="2:20" s="14" customFormat="1" x14ac:dyDescent="0.25">
      <c r="B509" s="13"/>
      <c r="C509" s="13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</row>
    <row r="510" spans="2:20" s="14" customFormat="1" x14ac:dyDescent="0.25">
      <c r="B510" s="13"/>
      <c r="C510" s="13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</row>
    <row r="511" spans="2:20" s="14" customFormat="1" x14ac:dyDescent="0.25">
      <c r="B511" s="13"/>
      <c r="C511" s="13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</row>
    <row r="512" spans="2:20" s="14" customFormat="1" x14ac:dyDescent="0.25">
      <c r="B512" s="13"/>
      <c r="C512" s="13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</row>
    <row r="513" spans="2:20" s="14" customFormat="1" x14ac:dyDescent="0.25">
      <c r="B513" s="13"/>
      <c r="C513" s="13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</row>
    <row r="514" spans="2:20" s="14" customFormat="1" x14ac:dyDescent="0.25">
      <c r="B514" s="13"/>
      <c r="C514" s="13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</row>
    <row r="515" spans="2:20" s="14" customFormat="1" x14ac:dyDescent="0.25">
      <c r="B515" s="13"/>
      <c r="C515" s="13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</row>
    <row r="516" spans="2:20" s="14" customFormat="1" x14ac:dyDescent="0.25">
      <c r="B516" s="13"/>
      <c r="C516" s="13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</row>
    <row r="517" spans="2:20" s="14" customFormat="1" x14ac:dyDescent="0.25">
      <c r="B517" s="13"/>
      <c r="C517" s="13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</row>
    <row r="518" spans="2:20" s="14" customFormat="1" x14ac:dyDescent="0.25">
      <c r="B518" s="13"/>
      <c r="C518" s="13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</row>
    <row r="519" spans="2:20" s="14" customFormat="1" x14ac:dyDescent="0.25">
      <c r="B519" s="13"/>
      <c r="C519" s="13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</row>
    <row r="520" spans="2:20" s="14" customFormat="1" x14ac:dyDescent="0.25">
      <c r="B520" s="13"/>
      <c r="C520" s="13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</row>
    <row r="521" spans="2:20" s="14" customFormat="1" x14ac:dyDescent="0.25">
      <c r="B521" s="13"/>
      <c r="C521" s="13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</row>
    <row r="522" spans="2:20" s="14" customFormat="1" x14ac:dyDescent="0.25">
      <c r="B522" s="13"/>
      <c r="C522" s="13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</row>
    <row r="523" spans="2:20" s="14" customFormat="1" x14ac:dyDescent="0.25">
      <c r="B523" s="13"/>
      <c r="C523" s="13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</row>
    <row r="524" spans="2:20" s="14" customFormat="1" x14ac:dyDescent="0.25">
      <c r="B524" s="13"/>
      <c r="C524" s="13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</row>
    <row r="525" spans="2:20" s="14" customFormat="1" x14ac:dyDescent="0.25">
      <c r="B525" s="13"/>
      <c r="C525" s="13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</row>
    <row r="526" spans="2:20" s="14" customFormat="1" x14ac:dyDescent="0.25">
      <c r="B526" s="13"/>
      <c r="C526" s="13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</row>
    <row r="527" spans="2:20" s="14" customFormat="1" x14ac:dyDescent="0.25">
      <c r="B527" s="13"/>
      <c r="C527" s="13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</row>
    <row r="528" spans="2:20" s="14" customFormat="1" x14ac:dyDescent="0.25">
      <c r="B528" s="13"/>
      <c r="C528" s="13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</row>
    <row r="529" spans="2:20" s="14" customFormat="1" x14ac:dyDescent="0.25">
      <c r="B529" s="13"/>
      <c r="C529" s="13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</row>
    <row r="530" spans="2:20" s="14" customFormat="1" x14ac:dyDescent="0.25">
      <c r="B530" s="13"/>
      <c r="C530" s="13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</row>
    <row r="531" spans="2:20" s="14" customFormat="1" x14ac:dyDescent="0.25">
      <c r="B531" s="13"/>
      <c r="C531" s="13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</row>
    <row r="532" spans="2:20" s="14" customFormat="1" x14ac:dyDescent="0.25">
      <c r="B532" s="13"/>
      <c r="C532" s="13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</row>
    <row r="533" spans="2:20" s="14" customFormat="1" x14ac:dyDescent="0.25">
      <c r="B533" s="13"/>
      <c r="C533" s="13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</row>
    <row r="534" spans="2:20" s="14" customFormat="1" x14ac:dyDescent="0.25">
      <c r="B534" s="13"/>
      <c r="C534" s="13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</row>
    <row r="535" spans="2:20" s="14" customFormat="1" x14ac:dyDescent="0.25">
      <c r="B535" s="13"/>
      <c r="C535" s="13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</row>
    <row r="536" spans="2:20" s="14" customFormat="1" x14ac:dyDescent="0.25">
      <c r="B536" s="13"/>
      <c r="C536" s="13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</row>
    <row r="537" spans="2:20" s="14" customFormat="1" x14ac:dyDescent="0.25">
      <c r="B537" s="13"/>
      <c r="C537" s="13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</row>
    <row r="538" spans="2:20" s="14" customFormat="1" x14ac:dyDescent="0.25">
      <c r="B538" s="13"/>
      <c r="C538" s="13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</row>
    <row r="539" spans="2:20" s="14" customFormat="1" x14ac:dyDescent="0.25">
      <c r="B539" s="13"/>
      <c r="C539" s="13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</row>
    <row r="540" spans="2:20" s="14" customFormat="1" x14ac:dyDescent="0.25">
      <c r="B540" s="13"/>
      <c r="C540" s="13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</row>
    <row r="541" spans="2:20" s="14" customFormat="1" x14ac:dyDescent="0.25">
      <c r="B541" s="13"/>
      <c r="C541" s="13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</row>
    <row r="542" spans="2:20" s="14" customFormat="1" x14ac:dyDescent="0.25">
      <c r="B542" s="13"/>
      <c r="C542" s="13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</row>
    <row r="543" spans="2:20" s="14" customFormat="1" x14ac:dyDescent="0.25">
      <c r="B543" s="13"/>
      <c r="C543" s="13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</row>
    <row r="544" spans="2:20" s="14" customFormat="1" x14ac:dyDescent="0.25">
      <c r="B544" s="13"/>
      <c r="C544" s="13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</row>
    <row r="545" spans="2:20" s="14" customFormat="1" x14ac:dyDescent="0.25">
      <c r="B545" s="13"/>
      <c r="C545" s="13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</row>
    <row r="546" spans="2:20" s="14" customFormat="1" x14ac:dyDescent="0.25">
      <c r="B546" s="13"/>
      <c r="C546" s="13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</row>
    <row r="547" spans="2:20" s="14" customFormat="1" x14ac:dyDescent="0.25">
      <c r="B547" s="13"/>
      <c r="C547" s="13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</row>
    <row r="548" spans="2:20" s="14" customFormat="1" x14ac:dyDescent="0.25">
      <c r="B548" s="13"/>
      <c r="C548" s="13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</row>
    <row r="549" spans="2:20" s="14" customFormat="1" x14ac:dyDescent="0.25">
      <c r="B549" s="13"/>
      <c r="C549" s="13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</row>
    <row r="550" spans="2:20" s="14" customFormat="1" x14ac:dyDescent="0.25">
      <c r="B550" s="13"/>
      <c r="C550" s="13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</row>
    <row r="551" spans="2:20" s="14" customFormat="1" x14ac:dyDescent="0.25">
      <c r="B551" s="13"/>
      <c r="C551" s="13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</row>
    <row r="552" spans="2:20" s="14" customFormat="1" x14ac:dyDescent="0.25">
      <c r="B552" s="13"/>
      <c r="C552" s="13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</row>
    <row r="553" spans="2:20" s="14" customFormat="1" x14ac:dyDescent="0.25">
      <c r="B553" s="13"/>
      <c r="C553" s="13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</row>
    <row r="554" spans="2:20" s="14" customFormat="1" x14ac:dyDescent="0.25">
      <c r="B554" s="13"/>
      <c r="C554" s="13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</row>
    <row r="555" spans="2:20" s="14" customFormat="1" x14ac:dyDescent="0.25">
      <c r="B555" s="13"/>
      <c r="C555" s="13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</row>
    <row r="556" spans="2:20" s="14" customFormat="1" x14ac:dyDescent="0.25">
      <c r="B556" s="13"/>
      <c r="C556" s="13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</row>
    <row r="557" spans="2:20" s="14" customFormat="1" x14ac:dyDescent="0.25">
      <c r="B557" s="13"/>
      <c r="C557" s="13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</row>
    <row r="558" spans="2:20" s="14" customFormat="1" x14ac:dyDescent="0.25">
      <c r="B558" s="13"/>
      <c r="C558" s="13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</row>
    <row r="559" spans="2:20" s="14" customFormat="1" x14ac:dyDescent="0.25">
      <c r="B559" s="13"/>
      <c r="C559" s="13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</row>
    <row r="560" spans="2:20" s="14" customFormat="1" x14ac:dyDescent="0.25">
      <c r="B560" s="13"/>
      <c r="C560" s="13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</row>
    <row r="561" spans="2:20" s="14" customFormat="1" x14ac:dyDescent="0.25">
      <c r="B561" s="13"/>
      <c r="C561" s="13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</row>
    <row r="562" spans="2:20" s="14" customFormat="1" x14ac:dyDescent="0.25">
      <c r="B562" s="13"/>
      <c r="C562" s="13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</row>
    <row r="563" spans="2:20" s="14" customFormat="1" x14ac:dyDescent="0.25">
      <c r="B563" s="13"/>
      <c r="C563" s="13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</row>
    <row r="564" spans="2:20" s="14" customFormat="1" x14ac:dyDescent="0.25">
      <c r="B564" s="13"/>
      <c r="C564" s="13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</row>
    <row r="565" spans="2:20" s="14" customFormat="1" x14ac:dyDescent="0.25">
      <c r="B565" s="13"/>
      <c r="C565" s="13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</row>
    <row r="566" spans="2:20" s="14" customFormat="1" x14ac:dyDescent="0.25">
      <c r="B566" s="13"/>
      <c r="C566" s="13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</row>
    <row r="567" spans="2:20" s="14" customFormat="1" x14ac:dyDescent="0.25">
      <c r="B567" s="13"/>
      <c r="C567" s="13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</row>
    <row r="568" spans="2:20" s="14" customFormat="1" x14ac:dyDescent="0.25">
      <c r="B568" s="13"/>
      <c r="C568" s="13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</row>
    <row r="569" spans="2:20" s="14" customFormat="1" x14ac:dyDescent="0.25">
      <c r="B569" s="13"/>
      <c r="C569" s="13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</row>
    <row r="570" spans="2:20" s="14" customFormat="1" x14ac:dyDescent="0.25">
      <c r="B570" s="13"/>
      <c r="C570" s="13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</row>
    <row r="571" spans="2:20" s="14" customFormat="1" x14ac:dyDescent="0.25">
      <c r="B571" s="13"/>
      <c r="C571" s="13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</row>
    <row r="572" spans="2:20" s="14" customFormat="1" x14ac:dyDescent="0.25">
      <c r="B572" s="13"/>
      <c r="C572" s="13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</row>
    <row r="573" spans="2:20" s="14" customFormat="1" x14ac:dyDescent="0.25">
      <c r="B573" s="13"/>
      <c r="C573" s="13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</row>
    <row r="574" spans="2:20" s="14" customFormat="1" x14ac:dyDescent="0.25">
      <c r="B574" s="13"/>
      <c r="C574" s="13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</row>
    <row r="575" spans="2:20" s="14" customFormat="1" x14ac:dyDescent="0.25">
      <c r="B575" s="13"/>
      <c r="C575" s="13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</row>
    <row r="576" spans="2:20" s="14" customFormat="1" x14ac:dyDescent="0.25">
      <c r="B576" s="13"/>
      <c r="C576" s="13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</row>
    <row r="577" spans="2:20" s="14" customFormat="1" x14ac:dyDescent="0.25">
      <c r="B577" s="13"/>
      <c r="C577" s="13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</row>
    <row r="578" spans="2:20" s="14" customFormat="1" x14ac:dyDescent="0.25">
      <c r="B578" s="13"/>
      <c r="C578" s="13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</row>
    <row r="579" spans="2:20" s="14" customFormat="1" x14ac:dyDescent="0.25">
      <c r="B579" s="13"/>
      <c r="C579" s="13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</row>
    <row r="580" spans="2:20" s="14" customFormat="1" x14ac:dyDescent="0.25">
      <c r="B580" s="13"/>
      <c r="C580" s="13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</row>
    <row r="581" spans="2:20" s="14" customFormat="1" x14ac:dyDescent="0.25">
      <c r="B581" s="13"/>
      <c r="C581" s="13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</row>
    <row r="582" spans="2:20" s="14" customFormat="1" x14ac:dyDescent="0.25">
      <c r="B582" s="13"/>
      <c r="C582" s="13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</row>
    <row r="583" spans="2:20" s="14" customFormat="1" x14ac:dyDescent="0.25">
      <c r="B583" s="13"/>
      <c r="C583" s="13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</row>
    <row r="584" spans="2:20" s="14" customFormat="1" x14ac:dyDescent="0.25">
      <c r="B584" s="13"/>
      <c r="C584" s="13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</row>
    <row r="585" spans="2:20" s="14" customFormat="1" x14ac:dyDescent="0.25">
      <c r="B585" s="13"/>
      <c r="C585" s="13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</row>
    <row r="586" spans="2:20" s="14" customFormat="1" x14ac:dyDescent="0.25">
      <c r="B586" s="13"/>
      <c r="C586" s="13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</row>
    <row r="587" spans="2:20" s="14" customFormat="1" x14ac:dyDescent="0.25">
      <c r="B587" s="13"/>
      <c r="C587" s="13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</row>
    <row r="588" spans="2:20" s="14" customFormat="1" x14ac:dyDescent="0.25">
      <c r="B588" s="13"/>
      <c r="C588" s="13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</row>
    <row r="589" spans="2:20" s="14" customFormat="1" x14ac:dyDescent="0.25">
      <c r="B589" s="13"/>
      <c r="C589" s="13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</row>
    <row r="590" spans="2:20" s="14" customFormat="1" x14ac:dyDescent="0.25">
      <c r="B590" s="13"/>
      <c r="C590" s="13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</row>
    <row r="591" spans="2:20" s="14" customFormat="1" x14ac:dyDescent="0.25">
      <c r="B591" s="13"/>
      <c r="C591" s="13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</row>
    <row r="592" spans="2:20" s="14" customFormat="1" x14ac:dyDescent="0.25">
      <c r="B592" s="13"/>
      <c r="C592" s="13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</row>
    <row r="593" spans="2:20" s="14" customFormat="1" x14ac:dyDescent="0.25">
      <c r="B593" s="13"/>
      <c r="C593" s="13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</row>
    <row r="594" spans="2:20" s="14" customFormat="1" x14ac:dyDescent="0.25">
      <c r="B594" s="13"/>
      <c r="C594" s="13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</row>
    <row r="595" spans="2:20" s="14" customFormat="1" x14ac:dyDescent="0.25">
      <c r="B595" s="13"/>
      <c r="C595" s="13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</row>
    <row r="596" spans="2:20" s="14" customFormat="1" x14ac:dyDescent="0.25">
      <c r="B596" s="13"/>
      <c r="C596" s="13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</row>
    <row r="597" spans="2:20" s="14" customFormat="1" x14ac:dyDescent="0.25">
      <c r="B597" s="13"/>
      <c r="C597" s="13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</row>
    <row r="598" spans="2:20" s="14" customFormat="1" x14ac:dyDescent="0.25">
      <c r="B598" s="13"/>
      <c r="C598" s="13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</row>
    <row r="599" spans="2:20" s="14" customFormat="1" x14ac:dyDescent="0.25">
      <c r="B599" s="13"/>
      <c r="C599" s="13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</row>
    <row r="600" spans="2:20" s="14" customFormat="1" x14ac:dyDescent="0.25">
      <c r="B600" s="13"/>
      <c r="C600" s="13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</row>
    <row r="601" spans="2:20" s="14" customFormat="1" x14ac:dyDescent="0.25">
      <c r="B601" s="13"/>
      <c r="C601" s="13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</row>
    <row r="602" spans="2:20" s="14" customFormat="1" x14ac:dyDescent="0.25">
      <c r="B602" s="13"/>
      <c r="C602" s="13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</row>
    <row r="603" spans="2:20" s="14" customFormat="1" x14ac:dyDescent="0.25">
      <c r="B603" s="13"/>
      <c r="C603" s="13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</row>
    <row r="604" spans="2:20" s="14" customFormat="1" x14ac:dyDescent="0.25">
      <c r="B604" s="13"/>
      <c r="C604" s="13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</row>
    <row r="605" spans="2:20" s="14" customFormat="1" x14ac:dyDescent="0.25">
      <c r="B605" s="13"/>
      <c r="C605" s="13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</row>
    <row r="606" spans="2:20" s="14" customFormat="1" x14ac:dyDescent="0.25">
      <c r="B606" s="13"/>
      <c r="C606" s="13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</row>
    <row r="607" spans="2:20" s="14" customFormat="1" x14ac:dyDescent="0.25">
      <c r="B607" s="13"/>
      <c r="C607" s="13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</row>
    <row r="608" spans="2:20" s="14" customFormat="1" x14ac:dyDescent="0.25">
      <c r="B608" s="13"/>
      <c r="C608" s="13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</row>
    <row r="609" spans="2:20" s="14" customFormat="1" x14ac:dyDescent="0.25">
      <c r="B609" s="13"/>
      <c r="C609" s="13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</row>
    <row r="610" spans="2:20" s="14" customFormat="1" x14ac:dyDescent="0.25">
      <c r="B610" s="13"/>
      <c r="C610" s="13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</row>
    <row r="611" spans="2:20" s="14" customFormat="1" x14ac:dyDescent="0.25">
      <c r="B611" s="13"/>
      <c r="C611" s="13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</row>
    <row r="612" spans="2:20" s="14" customFormat="1" x14ac:dyDescent="0.25">
      <c r="B612" s="13"/>
      <c r="C612" s="13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</row>
    <row r="613" spans="2:20" s="14" customFormat="1" x14ac:dyDescent="0.25">
      <c r="B613" s="13"/>
      <c r="C613" s="13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</row>
    <row r="614" spans="2:20" s="14" customFormat="1" x14ac:dyDescent="0.25">
      <c r="B614" s="13"/>
      <c r="C614" s="13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</row>
    <row r="615" spans="2:20" s="14" customFormat="1" x14ac:dyDescent="0.25">
      <c r="B615" s="13"/>
      <c r="C615" s="13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</row>
    <row r="616" spans="2:20" s="14" customFormat="1" x14ac:dyDescent="0.25">
      <c r="B616" s="13"/>
      <c r="C616" s="13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</row>
    <row r="617" spans="2:20" s="14" customFormat="1" x14ac:dyDescent="0.25">
      <c r="B617" s="13"/>
      <c r="C617" s="13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</row>
    <row r="618" spans="2:20" s="14" customFormat="1" x14ac:dyDescent="0.25">
      <c r="B618" s="13"/>
      <c r="C618" s="13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</row>
    <row r="619" spans="2:20" s="14" customFormat="1" x14ac:dyDescent="0.25">
      <c r="B619" s="13"/>
      <c r="C619" s="13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</row>
    <row r="620" spans="2:20" s="14" customFormat="1" x14ac:dyDescent="0.25">
      <c r="B620" s="13"/>
      <c r="C620" s="13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</row>
    <row r="621" spans="2:20" s="14" customFormat="1" x14ac:dyDescent="0.25">
      <c r="B621" s="13"/>
      <c r="C621" s="13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</row>
    <row r="622" spans="2:20" s="14" customFormat="1" x14ac:dyDescent="0.25">
      <c r="B622" s="13"/>
      <c r="C622" s="13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</row>
    <row r="623" spans="2:20" s="14" customFormat="1" x14ac:dyDescent="0.25">
      <c r="B623" s="13"/>
      <c r="C623" s="13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</row>
    <row r="624" spans="2:20" s="14" customFormat="1" x14ac:dyDescent="0.25">
      <c r="B624" s="13"/>
      <c r="C624" s="13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</row>
    <row r="625" spans="2:20" s="14" customFormat="1" x14ac:dyDescent="0.25">
      <c r="B625" s="13"/>
      <c r="C625" s="13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</row>
    <row r="626" spans="2:20" s="14" customFormat="1" x14ac:dyDescent="0.25">
      <c r="B626" s="13"/>
      <c r="C626" s="13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</row>
    <row r="627" spans="2:20" s="14" customFormat="1" x14ac:dyDescent="0.25">
      <c r="B627" s="13"/>
      <c r="C627" s="13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</row>
    <row r="628" spans="2:20" s="14" customFormat="1" x14ac:dyDescent="0.25">
      <c r="B628" s="13"/>
      <c r="C628" s="13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</row>
    <row r="629" spans="2:20" s="14" customFormat="1" x14ac:dyDescent="0.25">
      <c r="B629" s="13"/>
      <c r="C629" s="13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</row>
    <row r="630" spans="2:20" s="14" customFormat="1" x14ac:dyDescent="0.25">
      <c r="B630" s="13"/>
      <c r="C630" s="13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</row>
    <row r="631" spans="2:20" s="14" customFormat="1" x14ac:dyDescent="0.25">
      <c r="B631" s="13"/>
      <c r="C631" s="13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</row>
    <row r="632" spans="2:20" s="14" customFormat="1" x14ac:dyDescent="0.25">
      <c r="B632" s="13"/>
      <c r="C632" s="13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</row>
    <row r="633" spans="2:20" s="14" customFormat="1" x14ac:dyDescent="0.25">
      <c r="B633" s="13"/>
      <c r="C633" s="13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</row>
    <row r="634" spans="2:20" s="14" customFormat="1" x14ac:dyDescent="0.25">
      <c r="B634" s="13"/>
      <c r="C634" s="13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</row>
    <row r="635" spans="2:20" s="14" customFormat="1" x14ac:dyDescent="0.25">
      <c r="B635" s="13"/>
      <c r="C635" s="13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</row>
    <row r="636" spans="2:20" s="14" customFormat="1" x14ac:dyDescent="0.25">
      <c r="B636" s="13"/>
      <c r="C636" s="13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</row>
    <row r="637" spans="2:20" s="14" customFormat="1" x14ac:dyDescent="0.25">
      <c r="B637" s="13"/>
      <c r="C637" s="13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</row>
    <row r="638" spans="2:20" s="14" customFormat="1" x14ac:dyDescent="0.25">
      <c r="B638" s="13"/>
      <c r="C638" s="13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</row>
    <row r="639" spans="2:20" s="14" customFormat="1" x14ac:dyDescent="0.25">
      <c r="B639" s="13"/>
      <c r="C639" s="13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</row>
    <row r="640" spans="2:20" s="14" customFormat="1" x14ac:dyDescent="0.25">
      <c r="B640" s="13"/>
      <c r="C640" s="13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</row>
    <row r="641" spans="2:20" s="14" customFormat="1" x14ac:dyDescent="0.25">
      <c r="B641" s="13"/>
      <c r="C641" s="13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</row>
    <row r="642" spans="2:20" s="14" customFormat="1" x14ac:dyDescent="0.25">
      <c r="B642" s="13"/>
      <c r="C642" s="13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</row>
    <row r="643" spans="2:20" s="14" customFormat="1" x14ac:dyDescent="0.25">
      <c r="B643" s="13"/>
      <c r="C643" s="13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</row>
    <row r="644" spans="2:20" s="14" customFormat="1" x14ac:dyDescent="0.25">
      <c r="B644" s="13"/>
      <c r="C644" s="13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</row>
    <row r="645" spans="2:20" s="14" customFormat="1" x14ac:dyDescent="0.25">
      <c r="B645" s="13"/>
      <c r="C645" s="13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</row>
    <row r="646" spans="2:20" s="14" customFormat="1" x14ac:dyDescent="0.25">
      <c r="B646" s="13"/>
      <c r="C646" s="13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</row>
    <row r="647" spans="2:20" s="14" customFormat="1" x14ac:dyDescent="0.25">
      <c r="B647" s="13"/>
      <c r="C647" s="13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</row>
    <row r="648" spans="2:20" s="14" customFormat="1" x14ac:dyDescent="0.25">
      <c r="B648" s="13"/>
      <c r="C648" s="13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</row>
    <row r="649" spans="2:20" s="14" customFormat="1" x14ac:dyDescent="0.25">
      <c r="B649" s="13"/>
      <c r="C649" s="13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</row>
    <row r="650" spans="2:20" s="14" customFormat="1" x14ac:dyDescent="0.25">
      <c r="B650" s="13"/>
      <c r="C650" s="13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</row>
    <row r="651" spans="2:20" s="14" customFormat="1" x14ac:dyDescent="0.25">
      <c r="B651" s="13"/>
      <c r="C651" s="13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</row>
    <row r="652" spans="2:20" s="14" customFormat="1" x14ac:dyDescent="0.25">
      <c r="B652" s="13"/>
      <c r="C652" s="13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</row>
    <row r="653" spans="2:20" s="14" customFormat="1" x14ac:dyDescent="0.25">
      <c r="B653" s="13"/>
      <c r="C653" s="13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</row>
    <row r="654" spans="2:20" s="14" customFormat="1" x14ac:dyDescent="0.25">
      <c r="B654" s="13"/>
      <c r="C654" s="13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</row>
    <row r="655" spans="2:20" s="14" customFormat="1" x14ac:dyDescent="0.25">
      <c r="B655" s="13"/>
      <c r="C655" s="13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</row>
    <row r="656" spans="2:20" s="14" customFormat="1" x14ac:dyDescent="0.25">
      <c r="B656" s="13"/>
      <c r="C656" s="13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</row>
    <row r="657" spans="2:20" s="14" customFormat="1" x14ac:dyDescent="0.25">
      <c r="B657" s="13"/>
      <c r="C657" s="13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</row>
    <row r="658" spans="2:20" s="14" customFormat="1" x14ac:dyDescent="0.25">
      <c r="B658" s="13"/>
      <c r="C658" s="13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</row>
    <row r="659" spans="2:20" s="14" customFormat="1" x14ac:dyDescent="0.25">
      <c r="B659" s="13"/>
      <c r="C659" s="13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</row>
    <row r="660" spans="2:20" s="14" customFormat="1" x14ac:dyDescent="0.25">
      <c r="B660" s="13"/>
      <c r="C660" s="13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</row>
    <row r="661" spans="2:20" s="14" customFormat="1" x14ac:dyDescent="0.25">
      <c r="B661" s="13"/>
      <c r="C661" s="13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</row>
    <row r="662" spans="2:20" s="14" customFormat="1" x14ac:dyDescent="0.25">
      <c r="B662" s="13"/>
      <c r="C662" s="13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</row>
    <row r="663" spans="2:20" s="14" customFormat="1" x14ac:dyDescent="0.25">
      <c r="B663" s="13"/>
      <c r="C663" s="13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</row>
    <row r="664" spans="2:20" s="14" customFormat="1" x14ac:dyDescent="0.25">
      <c r="B664" s="13"/>
      <c r="C664" s="13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</row>
    <row r="665" spans="2:20" s="14" customFormat="1" x14ac:dyDescent="0.25">
      <c r="B665" s="13"/>
      <c r="C665" s="13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</row>
    <row r="666" spans="2:20" s="14" customFormat="1" x14ac:dyDescent="0.25">
      <c r="B666" s="13"/>
      <c r="C666" s="13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</row>
    <row r="667" spans="2:20" s="14" customFormat="1" x14ac:dyDescent="0.25">
      <c r="B667" s="13"/>
      <c r="C667" s="13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</row>
    <row r="668" spans="2:20" s="14" customFormat="1" x14ac:dyDescent="0.25">
      <c r="B668" s="13"/>
      <c r="C668" s="13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</row>
    <row r="669" spans="2:20" s="14" customFormat="1" x14ac:dyDescent="0.25">
      <c r="B669" s="13"/>
      <c r="C669" s="13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</row>
    <row r="670" spans="2:20" s="14" customFormat="1" x14ac:dyDescent="0.25">
      <c r="B670" s="13"/>
      <c r="C670" s="13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</row>
    <row r="671" spans="2:20" s="14" customFormat="1" x14ac:dyDescent="0.25">
      <c r="B671" s="13"/>
      <c r="C671" s="13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</row>
    <row r="672" spans="2:20" s="14" customFormat="1" x14ac:dyDescent="0.25">
      <c r="B672" s="13"/>
      <c r="C672" s="13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</row>
    <row r="673" spans="2:20" s="14" customFormat="1" x14ac:dyDescent="0.25">
      <c r="B673" s="13"/>
      <c r="C673" s="13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</row>
    <row r="674" spans="2:20" s="14" customFormat="1" x14ac:dyDescent="0.25">
      <c r="B674" s="13"/>
      <c r="C674" s="13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</row>
    <row r="675" spans="2:20" s="14" customFormat="1" x14ac:dyDescent="0.25">
      <c r="B675" s="13"/>
      <c r="C675" s="13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</row>
    <row r="676" spans="2:20" s="14" customFormat="1" x14ac:dyDescent="0.25">
      <c r="B676" s="13"/>
      <c r="C676" s="13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</row>
    <row r="677" spans="2:20" s="14" customFormat="1" x14ac:dyDescent="0.25">
      <c r="B677" s="13"/>
      <c r="C677" s="13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</row>
    <row r="678" spans="2:20" s="14" customFormat="1" x14ac:dyDescent="0.25">
      <c r="B678" s="13"/>
      <c r="C678" s="13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</row>
    <row r="679" spans="2:20" s="14" customFormat="1" x14ac:dyDescent="0.25">
      <c r="B679" s="13"/>
      <c r="C679" s="13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</row>
    <row r="680" spans="2:20" s="14" customFormat="1" x14ac:dyDescent="0.25">
      <c r="B680" s="13"/>
      <c r="C680" s="13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</row>
    <row r="681" spans="2:20" s="14" customFormat="1" x14ac:dyDescent="0.25">
      <c r="B681" s="13"/>
      <c r="C681" s="13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</row>
    <row r="682" spans="2:20" s="14" customFormat="1" x14ac:dyDescent="0.25">
      <c r="B682" s="13"/>
      <c r="C682" s="13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</row>
    <row r="683" spans="2:20" s="14" customFormat="1" x14ac:dyDescent="0.25">
      <c r="B683" s="13"/>
      <c r="C683" s="13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</row>
    <row r="684" spans="2:20" s="14" customFormat="1" x14ac:dyDescent="0.25">
      <c r="B684" s="13"/>
      <c r="C684" s="13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</row>
    <row r="685" spans="2:20" s="14" customFormat="1" x14ac:dyDescent="0.25">
      <c r="B685" s="13"/>
      <c r="C685" s="13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</row>
    <row r="686" spans="2:20" s="14" customFormat="1" x14ac:dyDescent="0.25">
      <c r="B686" s="13"/>
      <c r="C686" s="13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</row>
    <row r="687" spans="2:20" s="14" customFormat="1" x14ac:dyDescent="0.25">
      <c r="B687" s="13"/>
      <c r="C687" s="13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</row>
    <row r="688" spans="2:20" s="14" customFormat="1" x14ac:dyDescent="0.25">
      <c r="B688" s="13"/>
      <c r="C688" s="13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</row>
    <row r="689" spans="2:20" s="14" customFormat="1" x14ac:dyDescent="0.25">
      <c r="B689" s="13"/>
      <c r="C689" s="13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</row>
    <row r="690" spans="2:20" s="14" customFormat="1" x14ac:dyDescent="0.25">
      <c r="B690" s="13"/>
      <c r="C690" s="13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</row>
    <row r="691" spans="2:20" s="14" customFormat="1" x14ac:dyDescent="0.25">
      <c r="B691" s="13"/>
      <c r="C691" s="13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</row>
    <row r="692" spans="2:20" s="14" customFormat="1" x14ac:dyDescent="0.25">
      <c r="B692" s="13"/>
      <c r="C692" s="13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</row>
    <row r="693" spans="2:20" s="14" customFormat="1" x14ac:dyDescent="0.25">
      <c r="B693" s="13"/>
      <c r="C693" s="13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</row>
    <row r="694" spans="2:20" s="14" customFormat="1" x14ac:dyDescent="0.25">
      <c r="B694" s="13"/>
      <c r="C694" s="13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</row>
    <row r="695" spans="2:20" s="14" customFormat="1" x14ac:dyDescent="0.25">
      <c r="B695" s="13"/>
      <c r="C695" s="13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</row>
    <row r="696" spans="2:20" s="14" customFormat="1" x14ac:dyDescent="0.25">
      <c r="B696" s="13"/>
      <c r="C696" s="13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</row>
    <row r="697" spans="2:20" s="14" customFormat="1" x14ac:dyDescent="0.25">
      <c r="B697" s="13"/>
      <c r="C697" s="13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</row>
    <row r="698" spans="2:20" s="14" customFormat="1" x14ac:dyDescent="0.25">
      <c r="B698" s="13"/>
      <c r="C698" s="13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</row>
    <row r="699" spans="2:20" s="14" customFormat="1" x14ac:dyDescent="0.25">
      <c r="B699" s="13"/>
      <c r="C699" s="13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</row>
    <row r="700" spans="2:20" s="14" customFormat="1" x14ac:dyDescent="0.25">
      <c r="B700" s="13"/>
      <c r="C700" s="13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</row>
    <row r="701" spans="2:20" s="14" customFormat="1" x14ac:dyDescent="0.25">
      <c r="B701" s="13"/>
      <c r="C701" s="13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</row>
    <row r="702" spans="2:20" s="14" customFormat="1" x14ac:dyDescent="0.25">
      <c r="B702" s="13"/>
      <c r="C702" s="13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</row>
    <row r="703" spans="2:20" s="14" customFormat="1" x14ac:dyDescent="0.25">
      <c r="B703" s="13"/>
      <c r="C703" s="13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</row>
    <row r="704" spans="2:20" s="14" customFormat="1" x14ac:dyDescent="0.25">
      <c r="B704" s="13"/>
      <c r="C704" s="13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</row>
    <row r="705" spans="2:20" s="14" customFormat="1" x14ac:dyDescent="0.25">
      <c r="B705" s="13"/>
      <c r="C705" s="13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</row>
    <row r="706" spans="2:20" s="14" customFormat="1" x14ac:dyDescent="0.25">
      <c r="B706" s="13"/>
      <c r="C706" s="13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</row>
    <row r="707" spans="2:20" s="14" customFormat="1" x14ac:dyDescent="0.25">
      <c r="B707" s="13"/>
      <c r="C707" s="13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</row>
    <row r="708" spans="2:20" s="14" customFormat="1" x14ac:dyDescent="0.25">
      <c r="B708" s="13"/>
      <c r="C708" s="13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</row>
    <row r="709" spans="2:20" s="14" customFormat="1" x14ac:dyDescent="0.25">
      <c r="B709" s="13"/>
      <c r="C709" s="13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</row>
    <row r="710" spans="2:20" s="14" customFormat="1" x14ac:dyDescent="0.25">
      <c r="B710" s="13"/>
      <c r="C710" s="13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</row>
    <row r="711" spans="2:20" s="14" customFormat="1" x14ac:dyDescent="0.25">
      <c r="B711" s="13"/>
      <c r="C711" s="13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</row>
    <row r="712" spans="2:20" s="14" customFormat="1" x14ac:dyDescent="0.25">
      <c r="B712" s="13"/>
      <c r="C712" s="13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</row>
    <row r="713" spans="2:20" s="14" customFormat="1" x14ac:dyDescent="0.25">
      <c r="B713" s="13"/>
      <c r="C713" s="13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</row>
    <row r="714" spans="2:20" s="14" customFormat="1" x14ac:dyDescent="0.25">
      <c r="B714" s="13"/>
      <c r="C714" s="13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</row>
    <row r="715" spans="2:20" s="14" customFormat="1" x14ac:dyDescent="0.25">
      <c r="B715" s="13"/>
      <c r="C715" s="13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</row>
    <row r="716" spans="2:20" s="14" customFormat="1" x14ac:dyDescent="0.25">
      <c r="B716" s="13"/>
      <c r="C716" s="13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</row>
    <row r="717" spans="2:20" s="14" customFormat="1" x14ac:dyDescent="0.25">
      <c r="B717" s="13"/>
      <c r="C717" s="13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</row>
    <row r="718" spans="2:20" s="14" customFormat="1" x14ac:dyDescent="0.25">
      <c r="B718" s="13"/>
      <c r="C718" s="13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</row>
    <row r="719" spans="2:20" s="14" customFormat="1" x14ac:dyDescent="0.25">
      <c r="B719" s="13"/>
      <c r="C719" s="13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</row>
    <row r="720" spans="2:20" s="14" customFormat="1" x14ac:dyDescent="0.25">
      <c r="B720" s="13"/>
      <c r="C720" s="13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</row>
    <row r="721" spans="2:20" s="14" customFormat="1" x14ac:dyDescent="0.25">
      <c r="B721" s="13"/>
      <c r="C721" s="13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</row>
    <row r="722" spans="2:20" s="14" customFormat="1" x14ac:dyDescent="0.25">
      <c r="B722" s="13"/>
      <c r="C722" s="13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</row>
    <row r="723" spans="2:20" s="14" customFormat="1" x14ac:dyDescent="0.25">
      <c r="B723" s="13"/>
      <c r="C723" s="13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</row>
    <row r="724" spans="2:20" s="14" customFormat="1" x14ac:dyDescent="0.25">
      <c r="B724" s="13"/>
      <c r="C724" s="13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</row>
    <row r="725" spans="2:20" s="14" customFormat="1" x14ac:dyDescent="0.25">
      <c r="B725" s="13"/>
      <c r="C725" s="13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</row>
    <row r="726" spans="2:20" s="14" customFormat="1" x14ac:dyDescent="0.25">
      <c r="B726" s="13"/>
      <c r="C726" s="13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</row>
    <row r="727" spans="2:20" s="14" customFormat="1" x14ac:dyDescent="0.25">
      <c r="B727" s="13"/>
      <c r="C727" s="13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</row>
    <row r="728" spans="2:20" s="14" customFormat="1" x14ac:dyDescent="0.25">
      <c r="B728" s="13"/>
      <c r="C728" s="13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</row>
    <row r="729" spans="2:20" s="14" customFormat="1" x14ac:dyDescent="0.25">
      <c r="B729" s="13"/>
      <c r="C729" s="13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</row>
    <row r="730" spans="2:20" s="14" customFormat="1" x14ac:dyDescent="0.25">
      <c r="B730" s="13"/>
      <c r="C730" s="13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</row>
    <row r="731" spans="2:20" s="14" customFormat="1" x14ac:dyDescent="0.25">
      <c r="B731" s="13"/>
      <c r="C731" s="13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</row>
    <row r="732" spans="2:20" s="14" customFormat="1" x14ac:dyDescent="0.25">
      <c r="B732" s="13"/>
      <c r="C732" s="13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</row>
    <row r="733" spans="2:20" s="14" customFormat="1" x14ac:dyDescent="0.25">
      <c r="B733" s="13"/>
      <c r="C733" s="13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</row>
    <row r="734" spans="2:20" s="14" customFormat="1" x14ac:dyDescent="0.25">
      <c r="B734" s="13"/>
      <c r="C734" s="13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</row>
    <row r="735" spans="2:20" s="14" customFormat="1" x14ac:dyDescent="0.25">
      <c r="B735" s="13"/>
      <c r="C735" s="13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</row>
    <row r="736" spans="2:20" s="14" customFormat="1" x14ac:dyDescent="0.25">
      <c r="B736" s="13"/>
      <c r="C736" s="13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</row>
    <row r="737" spans="2:20" s="14" customFormat="1" x14ac:dyDescent="0.25">
      <c r="B737" s="13"/>
      <c r="C737" s="13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</row>
    <row r="738" spans="2:20" s="14" customFormat="1" x14ac:dyDescent="0.25">
      <c r="B738" s="13"/>
      <c r="C738" s="13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</row>
    <row r="739" spans="2:20" s="14" customFormat="1" x14ac:dyDescent="0.25">
      <c r="B739" s="13"/>
      <c r="C739" s="13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</row>
    <row r="740" spans="2:20" s="14" customFormat="1" x14ac:dyDescent="0.25">
      <c r="B740" s="13"/>
      <c r="C740" s="13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</row>
    <row r="741" spans="2:20" s="14" customFormat="1" x14ac:dyDescent="0.25">
      <c r="B741" s="13"/>
      <c r="C741" s="13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</row>
    <row r="742" spans="2:20" s="14" customFormat="1" x14ac:dyDescent="0.25">
      <c r="B742" s="13"/>
      <c r="C742" s="13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</row>
    <row r="743" spans="2:20" s="14" customFormat="1" x14ac:dyDescent="0.25">
      <c r="B743" s="13"/>
      <c r="C743" s="13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</row>
    <row r="744" spans="2:20" s="14" customFormat="1" x14ac:dyDescent="0.25">
      <c r="B744" s="13"/>
      <c r="C744" s="13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</row>
    <row r="745" spans="2:20" s="14" customFormat="1" x14ac:dyDescent="0.25">
      <c r="B745" s="13"/>
      <c r="C745" s="13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</row>
    <row r="746" spans="2:20" s="14" customFormat="1" x14ac:dyDescent="0.25">
      <c r="B746" s="13"/>
      <c r="C746" s="13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</row>
    <row r="747" spans="2:20" s="14" customFormat="1" x14ac:dyDescent="0.25">
      <c r="B747" s="13"/>
      <c r="C747" s="13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</row>
    <row r="748" spans="2:20" s="14" customFormat="1" x14ac:dyDescent="0.25">
      <c r="B748" s="13"/>
      <c r="C748" s="13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</row>
    <row r="749" spans="2:20" s="14" customFormat="1" x14ac:dyDescent="0.25">
      <c r="B749" s="13"/>
      <c r="C749" s="13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</row>
    <row r="750" spans="2:20" s="14" customFormat="1" x14ac:dyDescent="0.25">
      <c r="B750" s="13"/>
      <c r="C750" s="13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</row>
    <row r="751" spans="2:20" s="14" customFormat="1" x14ac:dyDescent="0.25">
      <c r="B751" s="13"/>
      <c r="C751" s="13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</row>
    <row r="752" spans="2:20" s="14" customFormat="1" x14ac:dyDescent="0.25">
      <c r="B752" s="13"/>
      <c r="C752" s="13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</row>
    <row r="753" spans="2:20" s="14" customFormat="1" x14ac:dyDescent="0.25">
      <c r="B753" s="13"/>
      <c r="C753" s="13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</row>
    <row r="754" spans="2:20" s="14" customFormat="1" x14ac:dyDescent="0.25">
      <c r="B754" s="13"/>
      <c r="C754" s="13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</row>
    <row r="755" spans="2:20" s="14" customFormat="1" x14ac:dyDescent="0.25">
      <c r="B755" s="13"/>
      <c r="C755" s="13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</row>
    <row r="756" spans="2:20" s="14" customFormat="1" x14ac:dyDescent="0.25">
      <c r="B756" s="13"/>
      <c r="C756" s="13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</row>
    <row r="757" spans="2:20" s="14" customFormat="1" x14ac:dyDescent="0.25">
      <c r="B757" s="13"/>
      <c r="C757" s="13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</row>
    <row r="758" spans="2:20" s="14" customFormat="1" x14ac:dyDescent="0.25">
      <c r="B758" s="13"/>
      <c r="C758" s="13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</row>
    <row r="759" spans="2:20" s="14" customFormat="1" x14ac:dyDescent="0.25">
      <c r="B759" s="13"/>
      <c r="C759" s="13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</row>
    <row r="760" spans="2:20" s="14" customFormat="1" x14ac:dyDescent="0.25">
      <c r="B760" s="13"/>
      <c r="C760" s="13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</row>
    <row r="761" spans="2:20" s="14" customFormat="1" x14ac:dyDescent="0.25">
      <c r="B761" s="13"/>
      <c r="C761" s="13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</row>
    <row r="762" spans="2:20" s="14" customFormat="1" x14ac:dyDescent="0.25">
      <c r="B762" s="13"/>
      <c r="C762" s="13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</row>
    <row r="763" spans="2:20" s="14" customFormat="1" x14ac:dyDescent="0.25">
      <c r="B763" s="13"/>
      <c r="C763" s="13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</row>
    <row r="764" spans="2:20" s="14" customFormat="1" x14ac:dyDescent="0.25">
      <c r="B764" s="13"/>
      <c r="C764" s="13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</row>
    <row r="765" spans="2:20" s="14" customFormat="1" x14ac:dyDescent="0.25">
      <c r="B765" s="13"/>
      <c r="C765" s="13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</row>
    <row r="766" spans="2:20" s="14" customFormat="1" x14ac:dyDescent="0.25">
      <c r="B766" s="13"/>
      <c r="C766" s="13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</row>
    <row r="767" spans="2:20" s="14" customFormat="1" x14ac:dyDescent="0.25">
      <c r="B767" s="13"/>
      <c r="C767" s="13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</row>
    <row r="768" spans="2:20" s="14" customFormat="1" x14ac:dyDescent="0.25">
      <c r="B768" s="13"/>
      <c r="C768" s="13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</row>
    <row r="769" spans="2:20" s="14" customFormat="1" x14ac:dyDescent="0.25">
      <c r="B769" s="13"/>
      <c r="C769" s="13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</row>
    <row r="770" spans="2:20" s="14" customFormat="1" x14ac:dyDescent="0.25">
      <c r="B770" s="13"/>
      <c r="C770" s="13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</row>
    <row r="771" spans="2:20" s="14" customFormat="1" x14ac:dyDescent="0.25">
      <c r="B771" s="13"/>
      <c r="C771" s="13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</row>
    <row r="772" spans="2:20" s="14" customFormat="1" x14ac:dyDescent="0.25">
      <c r="B772" s="13"/>
      <c r="C772" s="13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</row>
    <row r="773" spans="2:20" s="14" customFormat="1" x14ac:dyDescent="0.25">
      <c r="B773" s="13"/>
      <c r="C773" s="13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</row>
    <row r="774" spans="2:20" s="14" customFormat="1" x14ac:dyDescent="0.25">
      <c r="B774" s="13"/>
      <c r="C774" s="13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</row>
    <row r="775" spans="2:20" s="14" customFormat="1" x14ac:dyDescent="0.25">
      <c r="B775" s="13"/>
      <c r="C775" s="13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</row>
    <row r="776" spans="2:20" s="14" customFormat="1" x14ac:dyDescent="0.25">
      <c r="B776" s="13"/>
      <c r="C776" s="13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</row>
    <row r="777" spans="2:20" s="14" customFormat="1" x14ac:dyDescent="0.25">
      <c r="B777" s="13"/>
      <c r="C777" s="13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</row>
    <row r="778" spans="2:20" s="14" customFormat="1" x14ac:dyDescent="0.25">
      <c r="B778" s="13"/>
      <c r="C778" s="13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</row>
    <row r="779" spans="2:20" s="14" customFormat="1" x14ac:dyDescent="0.25">
      <c r="B779" s="13"/>
      <c r="C779" s="13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</row>
    <row r="780" spans="2:20" s="14" customFormat="1" x14ac:dyDescent="0.25">
      <c r="B780" s="13"/>
      <c r="C780" s="13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</row>
    <row r="781" spans="2:20" s="14" customFormat="1" x14ac:dyDescent="0.25">
      <c r="B781" s="13"/>
      <c r="C781" s="13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</row>
    <row r="782" spans="2:20" s="14" customFormat="1" x14ac:dyDescent="0.25">
      <c r="B782" s="13"/>
      <c r="C782" s="13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</row>
    <row r="783" spans="2:20" s="14" customFormat="1" x14ac:dyDescent="0.25">
      <c r="B783" s="13"/>
      <c r="C783" s="13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</row>
    <row r="784" spans="2:20" s="14" customFormat="1" x14ac:dyDescent="0.25">
      <c r="B784" s="13"/>
      <c r="C784" s="13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</row>
    <row r="785" spans="2:20" s="14" customFormat="1" x14ac:dyDescent="0.25">
      <c r="B785" s="13"/>
      <c r="C785" s="13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</row>
    <row r="786" spans="2:20" s="14" customFormat="1" x14ac:dyDescent="0.25">
      <c r="B786" s="13"/>
      <c r="C786" s="13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</row>
    <row r="787" spans="2:20" s="14" customFormat="1" x14ac:dyDescent="0.25">
      <c r="B787" s="13"/>
      <c r="C787" s="13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</row>
    <row r="788" spans="2:20" s="14" customFormat="1" x14ac:dyDescent="0.25">
      <c r="B788" s="13"/>
      <c r="C788" s="13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</row>
    <row r="789" spans="2:20" s="14" customFormat="1" x14ac:dyDescent="0.25">
      <c r="B789" s="13"/>
      <c r="C789" s="13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</row>
    <row r="790" spans="2:20" s="14" customFormat="1" x14ac:dyDescent="0.25">
      <c r="B790" s="13"/>
      <c r="C790" s="13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</row>
    <row r="791" spans="2:20" s="14" customFormat="1" x14ac:dyDescent="0.25">
      <c r="B791" s="13"/>
      <c r="C791" s="13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</row>
    <row r="792" spans="2:20" s="14" customFormat="1" x14ac:dyDescent="0.25">
      <c r="B792" s="13"/>
      <c r="C792" s="13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</row>
    <row r="793" spans="2:20" s="14" customFormat="1" x14ac:dyDescent="0.25">
      <c r="B793" s="13"/>
      <c r="C793" s="13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</row>
    <row r="794" spans="2:20" s="14" customFormat="1" x14ac:dyDescent="0.25">
      <c r="B794" s="13"/>
      <c r="C794" s="13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</row>
    <row r="795" spans="2:20" s="14" customFormat="1" x14ac:dyDescent="0.25">
      <c r="B795" s="13"/>
      <c r="C795" s="13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</row>
    <row r="796" spans="2:20" s="14" customFormat="1" x14ac:dyDescent="0.25">
      <c r="B796" s="13"/>
      <c r="C796" s="13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</row>
    <row r="797" spans="2:20" s="14" customFormat="1" x14ac:dyDescent="0.25">
      <c r="B797" s="13"/>
      <c r="C797" s="13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</row>
    <row r="798" spans="2:20" s="14" customFormat="1" x14ac:dyDescent="0.25">
      <c r="B798" s="13"/>
      <c r="C798" s="13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</row>
    <row r="799" spans="2:20" s="14" customFormat="1" x14ac:dyDescent="0.25">
      <c r="B799" s="13"/>
      <c r="C799" s="13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</row>
    <row r="800" spans="2:20" s="14" customFormat="1" x14ac:dyDescent="0.25">
      <c r="B800" s="13"/>
      <c r="C800" s="13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</row>
    <row r="801" spans="2:20" s="14" customFormat="1" x14ac:dyDescent="0.25">
      <c r="B801" s="13"/>
      <c r="C801" s="13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</row>
    <row r="802" spans="2:20" s="14" customFormat="1" x14ac:dyDescent="0.25">
      <c r="B802" s="13"/>
      <c r="C802" s="13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</row>
    <row r="803" spans="2:20" s="14" customFormat="1" x14ac:dyDescent="0.25">
      <c r="B803" s="13"/>
      <c r="C803" s="13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</row>
    <row r="804" spans="2:20" s="14" customFormat="1" x14ac:dyDescent="0.25">
      <c r="B804" s="13"/>
      <c r="C804" s="13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</row>
    <row r="805" spans="2:20" s="14" customFormat="1" x14ac:dyDescent="0.25">
      <c r="B805" s="13"/>
      <c r="C805" s="13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</row>
    <row r="806" spans="2:20" s="14" customFormat="1" x14ac:dyDescent="0.25">
      <c r="B806" s="13"/>
      <c r="C806" s="13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</row>
    <row r="807" spans="2:20" s="14" customFormat="1" x14ac:dyDescent="0.25">
      <c r="B807" s="13"/>
      <c r="C807" s="13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</row>
    <row r="808" spans="2:20" s="14" customFormat="1" x14ac:dyDescent="0.25">
      <c r="B808" s="13"/>
      <c r="C808" s="13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</row>
    <row r="809" spans="2:20" s="14" customFormat="1" x14ac:dyDescent="0.25">
      <c r="B809" s="13"/>
      <c r="C809" s="13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</row>
    <row r="810" spans="2:20" s="14" customFormat="1" x14ac:dyDescent="0.25">
      <c r="B810" s="13"/>
      <c r="C810" s="13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</row>
    <row r="811" spans="2:20" s="14" customFormat="1" x14ac:dyDescent="0.25">
      <c r="B811" s="13"/>
      <c r="C811" s="13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</row>
    <row r="812" spans="2:20" s="14" customFormat="1" x14ac:dyDescent="0.25">
      <c r="B812" s="13"/>
      <c r="C812" s="13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</row>
    <row r="813" spans="2:20" s="14" customFormat="1" x14ac:dyDescent="0.25">
      <c r="B813" s="13"/>
      <c r="C813" s="13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</row>
    <row r="814" spans="2:20" s="14" customFormat="1" x14ac:dyDescent="0.25">
      <c r="B814" s="13"/>
      <c r="C814" s="13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</row>
    <row r="815" spans="2:20" s="14" customFormat="1" x14ac:dyDescent="0.25">
      <c r="B815" s="13"/>
      <c r="C815" s="13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</row>
    <row r="816" spans="2:20" s="14" customFormat="1" x14ac:dyDescent="0.25">
      <c r="B816" s="13"/>
      <c r="C816" s="13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</row>
    <row r="817" spans="2:20" s="14" customFormat="1" x14ac:dyDescent="0.25">
      <c r="B817" s="13"/>
      <c r="C817" s="13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</row>
    <row r="818" spans="2:20" s="14" customFormat="1" x14ac:dyDescent="0.25">
      <c r="B818" s="13"/>
      <c r="C818" s="13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</row>
    <row r="819" spans="2:20" s="14" customFormat="1" x14ac:dyDescent="0.25">
      <c r="B819" s="13"/>
      <c r="C819" s="13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</row>
    <row r="820" spans="2:20" s="14" customFormat="1" x14ac:dyDescent="0.25">
      <c r="B820" s="13"/>
      <c r="C820" s="13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</row>
    <row r="821" spans="2:20" s="14" customFormat="1" x14ac:dyDescent="0.25">
      <c r="B821" s="13"/>
      <c r="C821" s="13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</row>
    <row r="822" spans="2:20" s="14" customFormat="1" x14ac:dyDescent="0.25">
      <c r="B822" s="13"/>
      <c r="C822" s="13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</row>
    <row r="823" spans="2:20" s="14" customFormat="1" x14ac:dyDescent="0.25">
      <c r="B823" s="13"/>
      <c r="C823" s="13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</row>
    <row r="824" spans="2:20" s="14" customFormat="1" x14ac:dyDescent="0.25">
      <c r="B824" s="13"/>
      <c r="C824" s="13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</row>
    <row r="825" spans="2:20" s="14" customFormat="1" x14ac:dyDescent="0.25">
      <c r="B825" s="13"/>
      <c r="C825" s="13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</row>
    <row r="826" spans="2:20" s="14" customFormat="1" x14ac:dyDescent="0.25">
      <c r="B826" s="13"/>
      <c r="C826" s="13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</row>
    <row r="827" spans="2:20" s="14" customFormat="1" x14ac:dyDescent="0.25">
      <c r="B827" s="13"/>
      <c r="C827" s="13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</row>
    <row r="828" spans="2:20" s="14" customFormat="1" x14ac:dyDescent="0.25">
      <c r="B828" s="13"/>
      <c r="C828" s="13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</row>
    <row r="829" spans="2:20" s="14" customFormat="1" x14ac:dyDescent="0.25">
      <c r="B829" s="13"/>
      <c r="C829" s="13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</row>
    <row r="830" spans="2:20" s="14" customFormat="1" x14ac:dyDescent="0.25">
      <c r="B830" s="13"/>
      <c r="C830" s="13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</row>
    <row r="831" spans="2:20" s="14" customFormat="1" x14ac:dyDescent="0.25">
      <c r="B831" s="13"/>
      <c r="C831" s="13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</row>
    <row r="832" spans="2:20" s="14" customFormat="1" x14ac:dyDescent="0.25">
      <c r="B832" s="13"/>
      <c r="C832" s="13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</row>
    <row r="833" spans="2:20" s="14" customFormat="1" x14ac:dyDescent="0.25">
      <c r="B833" s="13"/>
      <c r="C833" s="13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</row>
    <row r="834" spans="2:20" s="14" customFormat="1" x14ac:dyDescent="0.25">
      <c r="B834" s="13"/>
      <c r="C834" s="13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</row>
    <row r="835" spans="2:20" s="14" customFormat="1" x14ac:dyDescent="0.25">
      <c r="B835" s="13"/>
      <c r="C835" s="13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</row>
    <row r="836" spans="2:20" s="14" customFormat="1" x14ac:dyDescent="0.25">
      <c r="B836" s="13"/>
      <c r="C836" s="13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</row>
    <row r="837" spans="2:20" s="14" customFormat="1" x14ac:dyDescent="0.25">
      <c r="B837" s="13"/>
      <c r="C837" s="13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</row>
    <row r="838" spans="2:20" s="14" customFormat="1" x14ac:dyDescent="0.25">
      <c r="B838" s="13"/>
      <c r="C838" s="13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</row>
    <row r="839" spans="2:20" s="14" customFormat="1" x14ac:dyDescent="0.25">
      <c r="B839" s="13"/>
      <c r="C839" s="13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</row>
    <row r="840" spans="2:20" s="14" customFormat="1" x14ac:dyDescent="0.25">
      <c r="B840" s="13"/>
      <c r="C840" s="13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</row>
    <row r="841" spans="2:20" s="14" customFormat="1" x14ac:dyDescent="0.25">
      <c r="B841" s="13"/>
      <c r="C841" s="13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</row>
    <row r="842" spans="2:20" s="14" customFormat="1" x14ac:dyDescent="0.25">
      <c r="B842" s="13"/>
      <c r="C842" s="13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</row>
    <row r="843" spans="2:20" s="14" customFormat="1" x14ac:dyDescent="0.25">
      <c r="B843" s="13"/>
      <c r="C843" s="13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</row>
    <row r="844" spans="2:20" s="14" customFormat="1" x14ac:dyDescent="0.25">
      <c r="B844" s="13"/>
      <c r="C844" s="13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</row>
    <row r="845" spans="2:20" s="14" customFormat="1" x14ac:dyDescent="0.25">
      <c r="B845" s="13"/>
      <c r="C845" s="13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</row>
    <row r="846" spans="2:20" s="14" customFormat="1" x14ac:dyDescent="0.25">
      <c r="B846" s="13"/>
      <c r="C846" s="13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</row>
    <row r="847" spans="2:20" s="14" customFormat="1" x14ac:dyDescent="0.25">
      <c r="B847" s="13"/>
      <c r="C847" s="13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</row>
    <row r="848" spans="2:20" s="14" customFormat="1" x14ac:dyDescent="0.25">
      <c r="B848" s="13"/>
      <c r="C848" s="13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</row>
    <row r="849" spans="2:20" s="14" customFormat="1" x14ac:dyDescent="0.25">
      <c r="B849" s="13"/>
      <c r="C849" s="13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</row>
    <row r="850" spans="2:20" s="14" customFormat="1" x14ac:dyDescent="0.25">
      <c r="B850" s="13"/>
      <c r="C850" s="13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</row>
    <row r="851" spans="2:20" s="14" customFormat="1" x14ac:dyDescent="0.25">
      <c r="B851" s="13"/>
      <c r="C851" s="13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</row>
    <row r="852" spans="2:20" s="14" customFormat="1" x14ac:dyDescent="0.25">
      <c r="B852" s="13"/>
      <c r="C852" s="13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</row>
    <row r="853" spans="2:20" s="14" customFormat="1" x14ac:dyDescent="0.25">
      <c r="B853" s="13"/>
      <c r="C853" s="13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</row>
    <row r="854" spans="2:20" s="14" customFormat="1" x14ac:dyDescent="0.25">
      <c r="B854" s="13"/>
      <c r="C854" s="13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</row>
    <row r="855" spans="2:20" s="14" customFormat="1" x14ac:dyDescent="0.25">
      <c r="B855" s="13"/>
      <c r="C855" s="13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</row>
    <row r="856" spans="2:20" s="14" customFormat="1" x14ac:dyDescent="0.25">
      <c r="B856" s="13"/>
      <c r="C856" s="13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</row>
    <row r="857" spans="2:20" s="14" customFormat="1" x14ac:dyDescent="0.25">
      <c r="B857" s="13"/>
      <c r="C857" s="13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</row>
    <row r="858" spans="2:20" s="14" customFormat="1" x14ac:dyDescent="0.25">
      <c r="B858" s="13"/>
      <c r="C858" s="13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</row>
    <row r="859" spans="2:20" s="14" customFormat="1" x14ac:dyDescent="0.25">
      <c r="B859" s="13"/>
      <c r="C859" s="13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</row>
    <row r="860" spans="2:20" s="14" customFormat="1" x14ac:dyDescent="0.25">
      <c r="B860" s="13"/>
      <c r="C860" s="13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</row>
    <row r="861" spans="2:20" s="14" customFormat="1" x14ac:dyDescent="0.25">
      <c r="B861" s="13"/>
      <c r="C861" s="13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</row>
    <row r="862" spans="2:20" s="14" customFormat="1" x14ac:dyDescent="0.25">
      <c r="B862" s="13"/>
      <c r="C862" s="13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</row>
    <row r="863" spans="2:20" s="14" customFormat="1" x14ac:dyDescent="0.25">
      <c r="B863" s="13"/>
      <c r="C863" s="13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</row>
    <row r="864" spans="2:20" s="14" customFormat="1" x14ac:dyDescent="0.25">
      <c r="B864" s="13"/>
      <c r="C864" s="13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</row>
    <row r="865" spans="2:20" s="14" customFormat="1" x14ac:dyDescent="0.25">
      <c r="B865" s="13"/>
      <c r="C865" s="13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</row>
    <row r="866" spans="2:20" s="14" customFormat="1" x14ac:dyDescent="0.25">
      <c r="B866" s="13"/>
      <c r="C866" s="13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</row>
    <row r="867" spans="2:20" s="14" customFormat="1" x14ac:dyDescent="0.25">
      <c r="B867" s="13"/>
      <c r="C867" s="13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</row>
    <row r="868" spans="2:20" s="14" customFormat="1" x14ac:dyDescent="0.25">
      <c r="B868" s="13"/>
      <c r="C868" s="13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</row>
    <row r="869" spans="2:20" s="14" customFormat="1" x14ac:dyDescent="0.25">
      <c r="B869" s="13"/>
      <c r="C869" s="13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</row>
    <row r="870" spans="2:20" s="14" customFormat="1" x14ac:dyDescent="0.25">
      <c r="B870" s="13"/>
      <c r="C870" s="13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</row>
    <row r="871" spans="2:20" s="14" customFormat="1" x14ac:dyDescent="0.25">
      <c r="B871" s="13"/>
      <c r="C871" s="13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</row>
    <row r="872" spans="2:20" s="14" customFormat="1" x14ac:dyDescent="0.25">
      <c r="B872" s="13"/>
      <c r="C872" s="13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</row>
    <row r="873" spans="2:20" s="14" customFormat="1" x14ac:dyDescent="0.25">
      <c r="B873" s="13"/>
      <c r="C873" s="13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</row>
    <row r="874" spans="2:20" s="14" customFormat="1" x14ac:dyDescent="0.25">
      <c r="B874" s="13"/>
      <c r="C874" s="13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</row>
    <row r="875" spans="2:20" s="14" customFormat="1" x14ac:dyDescent="0.25">
      <c r="B875" s="13"/>
      <c r="C875" s="13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</row>
    <row r="876" spans="2:20" s="14" customFormat="1" x14ac:dyDescent="0.25">
      <c r="B876" s="13"/>
      <c r="C876" s="13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</row>
    <row r="877" spans="2:20" s="14" customFormat="1" x14ac:dyDescent="0.25">
      <c r="B877" s="13"/>
      <c r="C877" s="13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</row>
    <row r="878" spans="2:20" s="14" customFormat="1" x14ac:dyDescent="0.25">
      <c r="B878" s="13"/>
      <c r="C878" s="13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</row>
    <row r="879" spans="2:20" s="14" customFormat="1" x14ac:dyDescent="0.25">
      <c r="B879" s="13"/>
      <c r="C879" s="13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</row>
    <row r="880" spans="2:20" s="14" customFormat="1" x14ac:dyDescent="0.25">
      <c r="B880" s="13"/>
      <c r="C880" s="13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</row>
    <row r="881" spans="2:20" s="14" customFormat="1" x14ac:dyDescent="0.25">
      <c r="B881" s="13"/>
      <c r="C881" s="13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</row>
    <row r="882" spans="2:20" s="14" customFormat="1" x14ac:dyDescent="0.25">
      <c r="B882" s="13"/>
      <c r="C882" s="13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</row>
    <row r="883" spans="2:20" s="14" customFormat="1" x14ac:dyDescent="0.25">
      <c r="B883" s="13"/>
      <c r="C883" s="13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</row>
    <row r="884" spans="2:20" s="14" customFormat="1" x14ac:dyDescent="0.25">
      <c r="B884" s="13"/>
      <c r="C884" s="13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</row>
    <row r="885" spans="2:20" s="14" customFormat="1" x14ac:dyDescent="0.25">
      <c r="B885" s="13"/>
      <c r="C885" s="13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</row>
    <row r="886" spans="2:20" s="14" customFormat="1" x14ac:dyDescent="0.25">
      <c r="B886" s="13"/>
      <c r="C886" s="13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</row>
    <row r="887" spans="2:20" s="14" customFormat="1" x14ac:dyDescent="0.25">
      <c r="B887" s="13"/>
      <c r="C887" s="13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</row>
    <row r="888" spans="2:20" s="14" customFormat="1" x14ac:dyDescent="0.25">
      <c r="B888" s="13"/>
      <c r="C888" s="13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</row>
    <row r="889" spans="2:20" s="14" customFormat="1" x14ac:dyDescent="0.25">
      <c r="B889" s="13"/>
      <c r="C889" s="13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</row>
    <row r="890" spans="2:20" s="14" customFormat="1" x14ac:dyDescent="0.25">
      <c r="B890" s="13"/>
      <c r="C890" s="13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</row>
    <row r="891" spans="2:20" s="14" customFormat="1" x14ac:dyDescent="0.25">
      <c r="B891" s="13"/>
      <c r="C891" s="13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</row>
    <row r="892" spans="2:20" s="14" customFormat="1" x14ac:dyDescent="0.25">
      <c r="B892" s="13"/>
      <c r="C892" s="13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</row>
    <row r="893" spans="2:20" s="14" customFormat="1" x14ac:dyDescent="0.25">
      <c r="B893" s="13"/>
      <c r="C893" s="13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</row>
    <row r="894" spans="2:20" s="14" customFormat="1" x14ac:dyDescent="0.25">
      <c r="B894" s="13"/>
      <c r="C894" s="13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</row>
    <row r="895" spans="2:20" s="14" customFormat="1" x14ac:dyDescent="0.25">
      <c r="B895" s="13"/>
      <c r="C895" s="13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</row>
    <row r="896" spans="2:20" s="14" customFormat="1" x14ac:dyDescent="0.25">
      <c r="B896" s="13"/>
      <c r="C896" s="13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</row>
    <row r="897" spans="2:20" s="14" customFormat="1" x14ac:dyDescent="0.25">
      <c r="B897" s="13"/>
      <c r="C897" s="13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</row>
    <row r="898" spans="2:20" s="14" customFormat="1" x14ac:dyDescent="0.25">
      <c r="B898" s="13"/>
      <c r="C898" s="13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</row>
    <row r="899" spans="2:20" s="14" customFormat="1" x14ac:dyDescent="0.25">
      <c r="B899" s="13"/>
      <c r="C899" s="13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</row>
    <row r="900" spans="2:20" s="14" customFormat="1" x14ac:dyDescent="0.25">
      <c r="B900" s="13"/>
      <c r="C900" s="13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</row>
    <row r="901" spans="2:20" s="14" customFormat="1" x14ac:dyDescent="0.25">
      <c r="B901" s="13"/>
      <c r="C901" s="13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</row>
    <row r="902" spans="2:20" s="14" customFormat="1" x14ac:dyDescent="0.25">
      <c r="B902" s="13"/>
      <c r="C902" s="13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</row>
    <row r="903" spans="2:20" s="14" customFormat="1" x14ac:dyDescent="0.25">
      <c r="B903" s="13"/>
      <c r="C903" s="13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</row>
    <row r="904" spans="2:20" s="14" customFormat="1" x14ac:dyDescent="0.25">
      <c r="B904" s="13"/>
      <c r="C904" s="13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</row>
    <row r="905" spans="2:20" s="14" customFormat="1" x14ac:dyDescent="0.25">
      <c r="B905" s="13"/>
      <c r="C905" s="13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</row>
    <row r="906" spans="2:20" s="14" customFormat="1" x14ac:dyDescent="0.25">
      <c r="B906" s="13"/>
      <c r="C906" s="13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</row>
    <row r="907" spans="2:20" s="14" customFormat="1" x14ac:dyDescent="0.25">
      <c r="B907" s="13"/>
      <c r="C907" s="13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</row>
    <row r="908" spans="2:20" s="14" customFormat="1" x14ac:dyDescent="0.25">
      <c r="B908" s="13"/>
      <c r="C908" s="13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</row>
    <row r="909" spans="2:20" s="14" customFormat="1" x14ac:dyDescent="0.25">
      <c r="B909" s="13"/>
      <c r="C909" s="13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</row>
    <row r="910" spans="2:20" s="14" customFormat="1" x14ac:dyDescent="0.25">
      <c r="B910" s="13"/>
      <c r="C910" s="13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</row>
    <row r="911" spans="2:20" s="14" customFormat="1" x14ac:dyDescent="0.25">
      <c r="B911" s="13"/>
      <c r="C911" s="13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</row>
    <row r="912" spans="2:20" s="14" customFormat="1" x14ac:dyDescent="0.25">
      <c r="B912" s="13"/>
      <c r="C912" s="13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</row>
    <row r="913" spans="2:20" s="14" customFormat="1" x14ac:dyDescent="0.25">
      <c r="B913" s="13"/>
      <c r="C913" s="13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</row>
    <row r="914" spans="2:20" s="14" customFormat="1" x14ac:dyDescent="0.25">
      <c r="B914" s="13"/>
      <c r="C914" s="13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</row>
    <row r="915" spans="2:20" s="14" customFormat="1" x14ac:dyDescent="0.25">
      <c r="B915" s="13"/>
      <c r="C915" s="13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</row>
    <row r="916" spans="2:20" s="14" customFormat="1" x14ac:dyDescent="0.25">
      <c r="B916" s="13"/>
      <c r="C916" s="13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</row>
    <row r="917" spans="2:20" s="14" customFormat="1" x14ac:dyDescent="0.25">
      <c r="B917" s="13"/>
      <c r="C917" s="13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</row>
    <row r="918" spans="2:20" s="14" customFormat="1" x14ac:dyDescent="0.25">
      <c r="B918" s="13"/>
      <c r="C918" s="13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</row>
    <row r="919" spans="2:20" s="14" customFormat="1" x14ac:dyDescent="0.25">
      <c r="B919" s="13"/>
      <c r="C919" s="13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</row>
    <row r="920" spans="2:20" s="14" customFormat="1" x14ac:dyDescent="0.25">
      <c r="B920" s="13"/>
      <c r="C920" s="13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</row>
    <row r="921" spans="2:20" s="14" customFormat="1" x14ac:dyDescent="0.25">
      <c r="B921" s="13"/>
      <c r="C921" s="13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</row>
    <row r="922" spans="2:20" s="14" customFormat="1" x14ac:dyDescent="0.25">
      <c r="B922" s="13"/>
      <c r="C922" s="13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</row>
    <row r="923" spans="2:20" s="14" customFormat="1" x14ac:dyDescent="0.25">
      <c r="B923" s="13"/>
      <c r="C923" s="13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</row>
    <row r="924" spans="2:20" s="14" customFormat="1" x14ac:dyDescent="0.25">
      <c r="B924" s="13"/>
      <c r="C924" s="13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</row>
    <row r="925" spans="2:20" s="14" customFormat="1" x14ac:dyDescent="0.25">
      <c r="B925" s="13"/>
      <c r="C925" s="13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</row>
    <row r="926" spans="2:20" s="14" customFormat="1" x14ac:dyDescent="0.25">
      <c r="B926" s="13"/>
      <c r="C926" s="13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</row>
    <row r="927" spans="2:20" s="14" customFormat="1" x14ac:dyDescent="0.25">
      <c r="B927" s="13"/>
      <c r="C927" s="13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</row>
    <row r="928" spans="2:20" s="14" customFormat="1" x14ac:dyDescent="0.25">
      <c r="B928" s="13"/>
      <c r="C928" s="13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</row>
    <row r="929" spans="2:20" s="14" customFormat="1" x14ac:dyDescent="0.25">
      <c r="B929" s="13"/>
      <c r="C929" s="13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</row>
    <row r="930" spans="2:20" s="14" customFormat="1" x14ac:dyDescent="0.25">
      <c r="B930" s="13"/>
      <c r="C930" s="13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</row>
    <row r="931" spans="2:20" s="14" customFormat="1" x14ac:dyDescent="0.25">
      <c r="B931" s="13"/>
      <c r="C931" s="13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</row>
    <row r="932" spans="2:20" s="14" customFormat="1" x14ac:dyDescent="0.25">
      <c r="B932" s="13"/>
      <c r="C932" s="13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</row>
    <row r="933" spans="2:20" s="14" customFormat="1" x14ac:dyDescent="0.25">
      <c r="B933" s="13"/>
      <c r="C933" s="13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</row>
    <row r="934" spans="2:20" s="14" customFormat="1" x14ac:dyDescent="0.25">
      <c r="B934" s="13"/>
      <c r="C934" s="13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</row>
    <row r="935" spans="2:20" s="14" customFormat="1" x14ac:dyDescent="0.25">
      <c r="B935" s="13"/>
      <c r="C935" s="13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</row>
    <row r="936" spans="2:20" s="14" customFormat="1" x14ac:dyDescent="0.25">
      <c r="B936" s="13"/>
      <c r="C936" s="13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</row>
    <row r="937" spans="2:20" s="14" customFormat="1" x14ac:dyDescent="0.25">
      <c r="B937" s="13"/>
      <c r="C937" s="13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</row>
    <row r="938" spans="2:20" s="14" customFormat="1" x14ac:dyDescent="0.25">
      <c r="B938" s="13"/>
      <c r="C938" s="13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</row>
    <row r="939" spans="2:20" s="14" customFormat="1" x14ac:dyDescent="0.25">
      <c r="B939" s="13"/>
      <c r="C939" s="13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</row>
    <row r="940" spans="2:20" s="14" customFormat="1" x14ac:dyDescent="0.25">
      <c r="B940" s="13"/>
      <c r="C940" s="13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</row>
    <row r="941" spans="2:20" s="14" customFormat="1" x14ac:dyDescent="0.25">
      <c r="B941" s="13"/>
      <c r="C941" s="13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</row>
    <row r="942" spans="2:20" s="14" customFormat="1" x14ac:dyDescent="0.25">
      <c r="B942" s="13"/>
      <c r="C942" s="13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</row>
    <row r="943" spans="2:20" s="14" customFormat="1" x14ac:dyDescent="0.25">
      <c r="B943" s="13"/>
      <c r="C943" s="13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</row>
    <row r="944" spans="2:20" s="14" customFormat="1" x14ac:dyDescent="0.25">
      <c r="B944" s="13"/>
      <c r="C944" s="13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</row>
    <row r="945" spans="2:20" s="14" customFormat="1" x14ac:dyDescent="0.25">
      <c r="B945" s="13"/>
      <c r="C945" s="13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</row>
    <row r="946" spans="2:20" s="14" customFormat="1" x14ac:dyDescent="0.25">
      <c r="B946" s="13"/>
      <c r="C946" s="13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</row>
    <row r="947" spans="2:20" s="14" customFormat="1" x14ac:dyDescent="0.25">
      <c r="B947" s="13"/>
      <c r="C947" s="13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</row>
    <row r="948" spans="2:20" s="14" customFormat="1" x14ac:dyDescent="0.25">
      <c r="B948" s="13"/>
      <c r="C948" s="13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</row>
    <row r="949" spans="2:20" s="14" customFormat="1" x14ac:dyDescent="0.25">
      <c r="B949" s="13"/>
      <c r="C949" s="13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</row>
    <row r="950" spans="2:20" s="14" customFormat="1" x14ac:dyDescent="0.25">
      <c r="B950" s="13"/>
      <c r="C950" s="13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</row>
    <row r="951" spans="2:20" s="14" customFormat="1" x14ac:dyDescent="0.25">
      <c r="B951" s="13"/>
      <c r="C951" s="13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</row>
    <row r="952" spans="2:20" s="14" customFormat="1" x14ac:dyDescent="0.25">
      <c r="B952" s="13"/>
      <c r="C952" s="13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</row>
    <row r="953" spans="2:20" s="14" customFormat="1" x14ac:dyDescent="0.25">
      <c r="B953" s="13"/>
      <c r="C953" s="13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</row>
    <row r="954" spans="2:20" s="14" customFormat="1" x14ac:dyDescent="0.25">
      <c r="B954" s="13"/>
      <c r="C954" s="13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</row>
    <row r="955" spans="2:20" s="14" customFormat="1" x14ac:dyDescent="0.25">
      <c r="B955" s="13"/>
      <c r="C955" s="13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</row>
    <row r="956" spans="2:20" s="14" customFormat="1" x14ac:dyDescent="0.25">
      <c r="B956" s="13"/>
      <c r="C956" s="13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</row>
    <row r="957" spans="2:20" s="14" customFormat="1" x14ac:dyDescent="0.25">
      <c r="B957" s="13"/>
      <c r="C957" s="13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</row>
    <row r="958" spans="2:20" s="14" customFormat="1" x14ac:dyDescent="0.25">
      <c r="B958" s="13"/>
      <c r="C958" s="13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</row>
    <row r="959" spans="2:20" s="14" customFormat="1" x14ac:dyDescent="0.25">
      <c r="B959" s="13"/>
      <c r="C959" s="13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</row>
    <row r="960" spans="2:20" s="14" customFormat="1" x14ac:dyDescent="0.25">
      <c r="B960" s="13"/>
      <c r="C960" s="13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</row>
    <row r="961" spans="2:20" s="14" customFormat="1" x14ac:dyDescent="0.25">
      <c r="B961" s="13"/>
      <c r="C961" s="13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</row>
    <row r="962" spans="2:20" s="14" customFormat="1" x14ac:dyDescent="0.25">
      <c r="B962" s="13"/>
      <c r="C962" s="13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</row>
    <row r="963" spans="2:20" s="14" customFormat="1" x14ac:dyDescent="0.25">
      <c r="B963" s="13"/>
      <c r="C963" s="13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</row>
    <row r="964" spans="2:20" s="14" customFormat="1" x14ac:dyDescent="0.25">
      <c r="B964" s="13"/>
      <c r="C964" s="13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</row>
    <row r="965" spans="2:20" s="14" customFormat="1" x14ac:dyDescent="0.25">
      <c r="B965" s="13"/>
      <c r="C965" s="13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</row>
    <row r="966" spans="2:20" s="14" customFormat="1" x14ac:dyDescent="0.25">
      <c r="B966" s="13"/>
      <c r="C966" s="13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</row>
    <row r="967" spans="2:20" s="14" customFormat="1" x14ac:dyDescent="0.25">
      <c r="B967" s="13"/>
      <c r="C967" s="13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</row>
    <row r="968" spans="2:20" s="14" customFormat="1" x14ac:dyDescent="0.25">
      <c r="B968" s="13"/>
      <c r="C968" s="13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</row>
    <row r="969" spans="2:20" s="14" customFormat="1" x14ac:dyDescent="0.25">
      <c r="B969" s="13"/>
      <c r="C969" s="13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</row>
    <row r="970" spans="2:20" s="14" customFormat="1" x14ac:dyDescent="0.25">
      <c r="B970" s="13"/>
      <c r="C970" s="13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</row>
    <row r="971" spans="2:20" s="14" customFormat="1" x14ac:dyDescent="0.25">
      <c r="B971" s="13"/>
      <c r="C971" s="13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</row>
    <row r="972" spans="2:20" s="14" customFormat="1" x14ac:dyDescent="0.25">
      <c r="B972" s="13"/>
      <c r="C972" s="13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</row>
    <row r="973" spans="2:20" s="14" customFormat="1" x14ac:dyDescent="0.25">
      <c r="B973" s="13"/>
      <c r="C973" s="13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</row>
    <row r="974" spans="2:20" s="14" customFormat="1" x14ac:dyDescent="0.25">
      <c r="B974" s="13"/>
      <c r="C974" s="13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</row>
    <row r="975" spans="2:20" s="14" customFormat="1" x14ac:dyDescent="0.25">
      <c r="B975" s="13"/>
      <c r="C975" s="13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</row>
    <row r="976" spans="2:20" s="14" customFormat="1" x14ac:dyDescent="0.25">
      <c r="B976" s="13"/>
      <c r="C976" s="13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</row>
    <row r="977" spans="2:20" s="14" customFormat="1" x14ac:dyDescent="0.25">
      <c r="B977" s="13"/>
      <c r="C977" s="13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</row>
    <row r="978" spans="2:20" s="14" customFormat="1" x14ac:dyDescent="0.25">
      <c r="B978" s="13"/>
      <c r="C978" s="13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</row>
    <row r="979" spans="2:20" s="14" customFormat="1" x14ac:dyDescent="0.25">
      <c r="B979" s="13"/>
      <c r="C979" s="13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</row>
    <row r="980" spans="2:20" s="14" customFormat="1" x14ac:dyDescent="0.25">
      <c r="B980" s="13"/>
      <c r="C980" s="13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</row>
    <row r="981" spans="2:20" s="14" customFormat="1" x14ac:dyDescent="0.25">
      <c r="B981" s="13"/>
      <c r="C981" s="13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</row>
    <row r="982" spans="2:20" s="14" customFormat="1" x14ac:dyDescent="0.25">
      <c r="B982" s="13"/>
      <c r="C982" s="13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</row>
    <row r="983" spans="2:20" s="14" customFormat="1" x14ac:dyDescent="0.25">
      <c r="B983" s="13"/>
      <c r="C983" s="13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</row>
    <row r="984" spans="2:20" s="14" customFormat="1" x14ac:dyDescent="0.25">
      <c r="B984" s="13"/>
      <c r="C984" s="13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</row>
    <row r="985" spans="2:20" s="14" customFormat="1" x14ac:dyDescent="0.25">
      <c r="B985" s="13"/>
      <c r="C985" s="13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</row>
    <row r="986" spans="2:20" s="14" customFormat="1" x14ac:dyDescent="0.25">
      <c r="B986" s="13"/>
      <c r="C986" s="13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</row>
    <row r="987" spans="2:20" s="14" customFormat="1" x14ac:dyDescent="0.25">
      <c r="B987" s="13"/>
      <c r="C987" s="13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</row>
    <row r="988" spans="2:20" s="14" customFormat="1" x14ac:dyDescent="0.25">
      <c r="B988" s="13"/>
      <c r="C988" s="13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</row>
    <row r="989" spans="2:20" s="14" customFormat="1" x14ac:dyDescent="0.25">
      <c r="B989" s="13"/>
      <c r="C989" s="13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</row>
    <row r="990" spans="2:20" s="14" customFormat="1" x14ac:dyDescent="0.25">
      <c r="B990" s="13"/>
      <c r="C990" s="13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</row>
    <row r="991" spans="2:20" s="14" customFormat="1" x14ac:dyDescent="0.25">
      <c r="B991" s="13"/>
      <c r="C991" s="13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</row>
    <row r="992" spans="2:20" s="14" customFormat="1" x14ac:dyDescent="0.25">
      <c r="B992" s="13"/>
      <c r="C992" s="13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</row>
    <row r="993" spans="2:20" s="14" customFormat="1" x14ac:dyDescent="0.25">
      <c r="B993" s="13"/>
      <c r="C993" s="13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</row>
    <row r="994" spans="2:20" s="14" customFormat="1" x14ac:dyDescent="0.25">
      <c r="B994" s="13"/>
      <c r="C994" s="13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</row>
    <row r="995" spans="2:20" s="14" customFormat="1" x14ac:dyDescent="0.25">
      <c r="B995" s="13"/>
      <c r="C995" s="13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</row>
    <row r="996" spans="2:20" s="14" customFormat="1" x14ac:dyDescent="0.25">
      <c r="B996" s="13"/>
      <c r="C996" s="13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</row>
    <row r="997" spans="2:20" s="14" customFormat="1" x14ac:dyDescent="0.25">
      <c r="B997" s="13"/>
      <c r="C997" s="13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</row>
    <row r="998" spans="2:20" s="14" customFormat="1" x14ac:dyDescent="0.25">
      <c r="B998" s="13"/>
      <c r="C998" s="13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</row>
    <row r="999" spans="2:20" s="14" customFormat="1" x14ac:dyDescent="0.25">
      <c r="B999" s="13"/>
      <c r="C999" s="13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</row>
    <row r="1000" spans="2:20" s="14" customFormat="1" x14ac:dyDescent="0.25">
      <c r="B1000" s="13"/>
      <c r="C1000" s="13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</row>
    <row r="1001" spans="2:20" s="14" customFormat="1" x14ac:dyDescent="0.25">
      <c r="B1001" s="13"/>
      <c r="C1001" s="13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</row>
    <row r="1002" spans="2:20" s="14" customFormat="1" x14ac:dyDescent="0.25">
      <c r="B1002" s="13"/>
      <c r="C1002" s="13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</row>
    <row r="1003" spans="2:20" s="14" customFormat="1" x14ac:dyDescent="0.25">
      <c r="B1003" s="13"/>
      <c r="C1003" s="13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</row>
    <row r="1004" spans="2:20" s="14" customFormat="1" x14ac:dyDescent="0.25">
      <c r="B1004" s="13"/>
      <c r="C1004" s="13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</row>
    <row r="1005" spans="2:20" s="14" customFormat="1" x14ac:dyDescent="0.25">
      <c r="B1005" s="13"/>
      <c r="C1005" s="13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</row>
    <row r="1006" spans="2:20" s="14" customFormat="1" x14ac:dyDescent="0.25">
      <c r="B1006" s="13"/>
      <c r="C1006" s="13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</row>
    <row r="1007" spans="2:20" s="14" customFormat="1" x14ac:dyDescent="0.25">
      <c r="B1007" s="13"/>
      <c r="C1007" s="13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</row>
    <row r="1008" spans="2:20" s="14" customFormat="1" x14ac:dyDescent="0.25">
      <c r="B1008" s="13"/>
      <c r="C1008" s="13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</row>
    <row r="1009" spans="2:20" s="14" customFormat="1" x14ac:dyDescent="0.25">
      <c r="B1009" s="13"/>
      <c r="C1009" s="13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</row>
    <row r="1010" spans="2:20" s="14" customFormat="1" x14ac:dyDescent="0.25">
      <c r="B1010" s="13"/>
      <c r="C1010" s="13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</row>
    <row r="1011" spans="2:20" s="14" customFormat="1" x14ac:dyDescent="0.25">
      <c r="B1011" s="13"/>
      <c r="C1011" s="13"/>
      <c r="D1011" s="30"/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</row>
    <row r="1012" spans="2:20" s="14" customFormat="1" x14ac:dyDescent="0.25">
      <c r="B1012" s="13"/>
      <c r="C1012" s="13"/>
      <c r="D1012" s="30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</row>
    <row r="1013" spans="2:20" s="14" customFormat="1" x14ac:dyDescent="0.25">
      <c r="B1013" s="13"/>
      <c r="C1013" s="13"/>
      <c r="D1013" s="30"/>
      <c r="E1013" s="30"/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</row>
    <row r="1014" spans="2:20" s="14" customFormat="1" x14ac:dyDescent="0.25">
      <c r="B1014" s="13"/>
      <c r="C1014" s="13"/>
      <c r="D1014" s="30"/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</row>
    <row r="1015" spans="2:20" s="14" customFormat="1" x14ac:dyDescent="0.25">
      <c r="B1015" s="13"/>
      <c r="C1015" s="13"/>
      <c r="D1015" s="30"/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</row>
    <row r="1016" spans="2:20" s="14" customFormat="1" x14ac:dyDescent="0.25">
      <c r="B1016" s="13"/>
      <c r="C1016" s="13"/>
      <c r="D1016" s="30"/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</row>
    <row r="1017" spans="2:20" s="14" customFormat="1" x14ac:dyDescent="0.25">
      <c r="B1017" s="13"/>
      <c r="C1017" s="13"/>
      <c r="D1017" s="30"/>
      <c r="E1017" s="30"/>
      <c r="F1017" s="30"/>
      <c r="G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</row>
    <row r="1018" spans="2:20" s="14" customFormat="1" x14ac:dyDescent="0.25">
      <c r="B1018" s="13"/>
      <c r="C1018" s="13"/>
      <c r="D1018" s="30"/>
      <c r="E1018" s="30"/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</row>
    <row r="1019" spans="2:20" s="14" customFormat="1" x14ac:dyDescent="0.25">
      <c r="B1019" s="13"/>
      <c r="C1019" s="13"/>
      <c r="D1019" s="30"/>
      <c r="E1019" s="30"/>
      <c r="F1019" s="30"/>
      <c r="G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</row>
    <row r="1020" spans="2:20" s="14" customFormat="1" x14ac:dyDescent="0.25">
      <c r="B1020" s="13"/>
      <c r="C1020" s="13"/>
      <c r="D1020" s="30"/>
      <c r="E1020" s="30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</row>
    <row r="1021" spans="2:20" s="14" customFormat="1" x14ac:dyDescent="0.25">
      <c r="B1021" s="13"/>
      <c r="C1021" s="13"/>
      <c r="D1021" s="30"/>
      <c r="E1021" s="30"/>
      <c r="F1021" s="30"/>
      <c r="G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</row>
    <row r="1022" spans="2:20" s="14" customFormat="1" x14ac:dyDescent="0.25">
      <c r="B1022" s="13"/>
      <c r="C1022" s="13"/>
      <c r="D1022" s="30"/>
      <c r="E1022" s="30"/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</row>
    <row r="1023" spans="2:20" s="14" customFormat="1" x14ac:dyDescent="0.25">
      <c r="B1023" s="13"/>
      <c r="C1023" s="13"/>
      <c r="D1023" s="30"/>
      <c r="E1023" s="30"/>
      <c r="F1023" s="30"/>
      <c r="G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</row>
    <row r="1024" spans="2:20" s="14" customFormat="1" x14ac:dyDescent="0.25">
      <c r="B1024" s="13"/>
      <c r="C1024" s="13"/>
      <c r="D1024" s="30"/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</row>
    <row r="1025" spans="2:20" s="14" customFormat="1" x14ac:dyDescent="0.25">
      <c r="B1025" s="13"/>
      <c r="C1025" s="13"/>
      <c r="D1025" s="30"/>
      <c r="E1025" s="30"/>
      <c r="F1025" s="30"/>
      <c r="G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</row>
    <row r="1026" spans="2:20" s="14" customFormat="1" x14ac:dyDescent="0.25">
      <c r="B1026" s="13"/>
      <c r="C1026" s="13"/>
      <c r="D1026" s="30"/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</row>
    <row r="1027" spans="2:20" s="14" customFormat="1" x14ac:dyDescent="0.25">
      <c r="B1027" s="13"/>
      <c r="C1027" s="13"/>
      <c r="D1027" s="30"/>
      <c r="E1027" s="30"/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</row>
    <row r="1028" spans="2:20" s="14" customFormat="1" x14ac:dyDescent="0.25">
      <c r="B1028" s="13"/>
      <c r="C1028" s="13"/>
      <c r="D1028" s="30"/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</row>
    <row r="1029" spans="2:20" s="14" customFormat="1" x14ac:dyDescent="0.25">
      <c r="B1029" s="13"/>
      <c r="C1029" s="13"/>
      <c r="D1029" s="30"/>
      <c r="E1029" s="30"/>
      <c r="F1029" s="30"/>
      <c r="G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</row>
    <row r="1030" spans="2:20" s="14" customFormat="1" x14ac:dyDescent="0.25">
      <c r="B1030" s="13"/>
      <c r="C1030" s="13"/>
      <c r="D1030" s="30"/>
      <c r="E1030" s="30"/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</row>
    <row r="1031" spans="2:20" s="14" customFormat="1" x14ac:dyDescent="0.25">
      <c r="B1031" s="13"/>
      <c r="C1031" s="13"/>
      <c r="D1031" s="30"/>
      <c r="E1031" s="30"/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</row>
    <row r="1032" spans="2:20" s="14" customFormat="1" x14ac:dyDescent="0.25">
      <c r="B1032" s="13"/>
      <c r="C1032" s="13"/>
      <c r="D1032" s="30"/>
      <c r="E1032" s="30"/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</row>
    <row r="1033" spans="2:20" s="14" customFormat="1" x14ac:dyDescent="0.25">
      <c r="B1033" s="13"/>
      <c r="C1033" s="13"/>
      <c r="D1033" s="30"/>
      <c r="E1033" s="30"/>
      <c r="F1033" s="30"/>
      <c r="G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</row>
    <row r="1034" spans="2:20" s="14" customFormat="1" x14ac:dyDescent="0.25">
      <c r="B1034" s="13"/>
      <c r="C1034" s="13"/>
      <c r="D1034" s="30"/>
      <c r="E1034" s="30"/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</row>
    <row r="1035" spans="2:20" s="14" customFormat="1" x14ac:dyDescent="0.25">
      <c r="B1035" s="13"/>
      <c r="C1035" s="13"/>
      <c r="D1035" s="30"/>
      <c r="E1035" s="30"/>
      <c r="F1035" s="30"/>
      <c r="G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</row>
    <row r="1036" spans="2:20" s="14" customFormat="1" x14ac:dyDescent="0.25">
      <c r="B1036" s="13"/>
      <c r="C1036" s="13"/>
      <c r="D1036" s="30"/>
      <c r="E1036" s="30"/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</row>
    <row r="1037" spans="2:20" s="14" customFormat="1" x14ac:dyDescent="0.25">
      <c r="B1037" s="13"/>
      <c r="C1037" s="13"/>
      <c r="D1037" s="30"/>
      <c r="E1037" s="30"/>
      <c r="F1037" s="30"/>
      <c r="G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</row>
    <row r="1038" spans="2:20" s="14" customFormat="1" x14ac:dyDescent="0.25">
      <c r="B1038" s="13"/>
      <c r="C1038" s="13"/>
      <c r="D1038" s="30"/>
      <c r="E1038" s="30"/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</row>
    <row r="1039" spans="2:20" s="14" customFormat="1" x14ac:dyDescent="0.25">
      <c r="B1039" s="13"/>
      <c r="C1039" s="13"/>
      <c r="D1039" s="30"/>
      <c r="E1039" s="30"/>
      <c r="F1039" s="30"/>
      <c r="G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</row>
    <row r="1040" spans="2:20" s="14" customFormat="1" x14ac:dyDescent="0.25">
      <c r="B1040" s="13"/>
      <c r="C1040" s="13"/>
      <c r="D1040" s="30"/>
      <c r="E1040" s="30"/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</row>
    <row r="1041" spans="2:20" s="14" customFormat="1" x14ac:dyDescent="0.25">
      <c r="B1041" s="13"/>
      <c r="C1041" s="13"/>
      <c r="D1041" s="30"/>
      <c r="E1041" s="30"/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</row>
    <row r="1042" spans="2:20" s="14" customFormat="1" x14ac:dyDescent="0.25">
      <c r="B1042" s="13"/>
      <c r="C1042" s="13"/>
      <c r="D1042" s="30"/>
      <c r="E1042" s="30"/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</row>
    <row r="1043" spans="2:20" s="14" customFormat="1" x14ac:dyDescent="0.25">
      <c r="B1043" s="13"/>
      <c r="C1043" s="13"/>
      <c r="D1043" s="30"/>
      <c r="E1043" s="30"/>
      <c r="F1043" s="30"/>
      <c r="G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</row>
    <row r="1044" spans="2:20" s="14" customFormat="1" x14ac:dyDescent="0.25">
      <c r="B1044" s="13"/>
      <c r="C1044" s="13"/>
      <c r="D1044" s="30"/>
      <c r="E1044" s="30"/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</row>
    <row r="1045" spans="2:20" s="14" customFormat="1" x14ac:dyDescent="0.25">
      <c r="B1045" s="13"/>
      <c r="C1045" s="13"/>
      <c r="D1045" s="30"/>
      <c r="E1045" s="30"/>
      <c r="F1045" s="30"/>
      <c r="G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</row>
    <row r="1046" spans="2:20" s="14" customFormat="1" x14ac:dyDescent="0.25">
      <c r="B1046" s="13"/>
      <c r="C1046" s="13"/>
      <c r="D1046" s="30"/>
      <c r="E1046" s="30"/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</row>
    <row r="1047" spans="2:20" s="14" customFormat="1" x14ac:dyDescent="0.25">
      <c r="B1047" s="13"/>
      <c r="C1047" s="13"/>
      <c r="D1047" s="30"/>
      <c r="E1047" s="30"/>
      <c r="F1047" s="30"/>
      <c r="G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</row>
    <row r="1048" spans="2:20" s="14" customFormat="1" x14ac:dyDescent="0.25">
      <c r="B1048" s="13"/>
      <c r="C1048" s="13"/>
      <c r="D1048" s="30"/>
      <c r="E1048" s="30"/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</row>
    <row r="1049" spans="2:20" s="14" customFormat="1" x14ac:dyDescent="0.25">
      <c r="B1049" s="13"/>
      <c r="C1049" s="13"/>
      <c r="D1049" s="30"/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</row>
    <row r="1050" spans="2:20" s="14" customFormat="1" x14ac:dyDescent="0.25">
      <c r="B1050" s="13"/>
      <c r="C1050" s="13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</row>
    <row r="1051" spans="2:20" s="14" customFormat="1" x14ac:dyDescent="0.25">
      <c r="B1051" s="13"/>
      <c r="C1051" s="13"/>
      <c r="D1051" s="30"/>
      <c r="E1051" s="30"/>
      <c r="F1051" s="30"/>
      <c r="G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</row>
    <row r="1052" spans="2:20" s="14" customFormat="1" x14ac:dyDescent="0.25">
      <c r="B1052" s="13"/>
      <c r="C1052" s="13"/>
      <c r="D1052" s="30"/>
      <c r="E1052" s="30"/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</row>
    <row r="1053" spans="2:20" s="14" customFormat="1" x14ac:dyDescent="0.25">
      <c r="B1053" s="13"/>
      <c r="C1053" s="13"/>
      <c r="D1053" s="30"/>
      <c r="E1053" s="30"/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</row>
    <row r="1054" spans="2:20" s="14" customFormat="1" x14ac:dyDescent="0.25">
      <c r="B1054" s="13"/>
      <c r="C1054" s="13"/>
      <c r="D1054" s="30"/>
      <c r="E1054" s="30"/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</row>
    <row r="1055" spans="2:20" s="14" customFormat="1" x14ac:dyDescent="0.25">
      <c r="B1055" s="13"/>
      <c r="C1055" s="13"/>
      <c r="D1055" s="30"/>
      <c r="E1055" s="30"/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</row>
    <row r="1056" spans="2:20" s="14" customFormat="1" x14ac:dyDescent="0.25">
      <c r="B1056" s="13"/>
      <c r="C1056" s="13"/>
      <c r="D1056" s="30"/>
      <c r="E1056" s="30"/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</row>
    <row r="1057" spans="2:20" s="14" customFormat="1" x14ac:dyDescent="0.25">
      <c r="B1057" s="13"/>
      <c r="C1057" s="13"/>
      <c r="D1057" s="30"/>
      <c r="E1057" s="30"/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</row>
    <row r="1058" spans="2:20" s="14" customFormat="1" x14ac:dyDescent="0.25">
      <c r="B1058" s="13"/>
      <c r="C1058" s="13"/>
      <c r="D1058" s="30"/>
      <c r="E1058" s="30"/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</row>
    <row r="1059" spans="2:20" s="14" customFormat="1" x14ac:dyDescent="0.25">
      <c r="B1059" s="13"/>
      <c r="C1059" s="13"/>
      <c r="D1059" s="30"/>
      <c r="E1059" s="30"/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</row>
    <row r="1060" spans="2:20" s="14" customFormat="1" x14ac:dyDescent="0.25">
      <c r="B1060" s="13"/>
      <c r="C1060" s="13"/>
      <c r="D1060" s="30"/>
      <c r="E1060" s="30"/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</row>
    <row r="1061" spans="2:20" s="14" customFormat="1" x14ac:dyDescent="0.25">
      <c r="B1061" s="13"/>
      <c r="C1061" s="13"/>
      <c r="D1061" s="30"/>
      <c r="E1061" s="30"/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</row>
    <row r="1062" spans="2:20" s="14" customFormat="1" x14ac:dyDescent="0.25">
      <c r="B1062" s="13"/>
      <c r="C1062" s="13"/>
      <c r="D1062" s="30"/>
      <c r="E1062" s="30"/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</row>
    <row r="1063" spans="2:20" s="14" customFormat="1" x14ac:dyDescent="0.25">
      <c r="B1063" s="13"/>
      <c r="C1063" s="13"/>
      <c r="D1063" s="30"/>
      <c r="E1063" s="30"/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</row>
    <row r="1064" spans="2:20" s="14" customFormat="1" x14ac:dyDescent="0.25">
      <c r="B1064" s="13"/>
      <c r="C1064" s="13"/>
      <c r="D1064" s="30"/>
      <c r="E1064" s="30"/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</row>
    <row r="1065" spans="2:20" s="14" customFormat="1" x14ac:dyDescent="0.25">
      <c r="B1065" s="13"/>
      <c r="C1065" s="13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</row>
    <row r="1066" spans="2:20" s="14" customFormat="1" x14ac:dyDescent="0.25">
      <c r="B1066" s="13"/>
      <c r="C1066" s="13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</row>
    <row r="1067" spans="2:20" s="14" customFormat="1" x14ac:dyDescent="0.25">
      <c r="B1067" s="13"/>
      <c r="C1067" s="13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</row>
    <row r="1068" spans="2:20" s="14" customFormat="1" x14ac:dyDescent="0.25">
      <c r="B1068" s="13"/>
      <c r="C1068" s="13"/>
      <c r="D1068" s="30"/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</row>
    <row r="1069" spans="2:20" s="14" customFormat="1" x14ac:dyDescent="0.25">
      <c r="B1069" s="13"/>
      <c r="C1069" s="13"/>
      <c r="D1069" s="30"/>
      <c r="E1069" s="30"/>
      <c r="F1069" s="30"/>
      <c r="G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</row>
    <row r="1070" spans="2:20" s="14" customFormat="1" x14ac:dyDescent="0.25">
      <c r="B1070" s="13"/>
      <c r="C1070" s="13"/>
      <c r="D1070" s="30"/>
      <c r="E1070" s="30"/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</row>
    <row r="1071" spans="2:20" s="14" customFormat="1" x14ac:dyDescent="0.25">
      <c r="B1071" s="13"/>
      <c r="C1071" s="13"/>
      <c r="D1071" s="30"/>
      <c r="E1071" s="30"/>
      <c r="F1071" s="30"/>
      <c r="G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</row>
    <row r="1072" spans="2:20" s="14" customFormat="1" x14ac:dyDescent="0.25">
      <c r="B1072" s="13"/>
      <c r="C1072" s="13"/>
      <c r="D1072" s="30"/>
      <c r="E1072" s="30"/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</row>
    <row r="1073" spans="2:20" s="14" customFormat="1" x14ac:dyDescent="0.25">
      <c r="B1073" s="13"/>
      <c r="C1073" s="13"/>
      <c r="D1073" s="30"/>
      <c r="E1073" s="30"/>
      <c r="F1073" s="30"/>
      <c r="G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</row>
    <row r="1074" spans="2:20" s="14" customFormat="1" x14ac:dyDescent="0.25">
      <c r="B1074" s="13"/>
      <c r="C1074" s="13"/>
      <c r="D1074" s="30"/>
      <c r="E1074" s="30"/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</row>
    <row r="1075" spans="2:20" s="14" customFormat="1" x14ac:dyDescent="0.25">
      <c r="B1075" s="13"/>
      <c r="C1075" s="13"/>
      <c r="D1075" s="30"/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</row>
    <row r="1076" spans="2:20" s="14" customFormat="1" x14ac:dyDescent="0.25">
      <c r="B1076" s="13"/>
      <c r="C1076" s="13"/>
      <c r="D1076" s="30"/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</row>
    <row r="1077" spans="2:20" s="14" customFormat="1" x14ac:dyDescent="0.25">
      <c r="B1077" s="13"/>
      <c r="C1077" s="13"/>
      <c r="D1077" s="30"/>
      <c r="E1077" s="30"/>
      <c r="F1077" s="30"/>
      <c r="G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</row>
    <row r="1078" spans="2:20" s="14" customFormat="1" x14ac:dyDescent="0.25">
      <c r="B1078" s="13"/>
      <c r="C1078" s="13"/>
      <c r="D1078" s="30"/>
      <c r="E1078" s="30"/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</row>
    <row r="1079" spans="2:20" s="14" customFormat="1" x14ac:dyDescent="0.25">
      <c r="B1079" s="13"/>
      <c r="C1079" s="13"/>
      <c r="D1079" s="30"/>
      <c r="E1079" s="30"/>
      <c r="F1079" s="30"/>
      <c r="G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</row>
    <row r="1080" spans="2:20" s="14" customFormat="1" x14ac:dyDescent="0.25">
      <c r="B1080" s="13"/>
      <c r="C1080" s="13"/>
      <c r="D1080" s="30"/>
      <c r="E1080" s="30"/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</row>
    <row r="1081" spans="2:20" s="14" customFormat="1" x14ac:dyDescent="0.25">
      <c r="B1081" s="13"/>
      <c r="C1081" s="13"/>
      <c r="D1081" s="30"/>
      <c r="E1081" s="30"/>
      <c r="F1081" s="30"/>
      <c r="G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</row>
    <row r="1082" spans="2:20" s="14" customFormat="1" x14ac:dyDescent="0.25">
      <c r="B1082" s="13"/>
      <c r="C1082" s="13"/>
      <c r="D1082" s="30"/>
      <c r="E1082" s="30"/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</row>
    <row r="1083" spans="2:20" s="14" customFormat="1" x14ac:dyDescent="0.25">
      <c r="B1083" s="13"/>
      <c r="C1083" s="13"/>
      <c r="D1083" s="30"/>
      <c r="E1083" s="30"/>
      <c r="F1083" s="30"/>
      <c r="G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</row>
    <row r="1084" spans="2:20" s="14" customFormat="1" x14ac:dyDescent="0.25">
      <c r="B1084" s="13"/>
      <c r="C1084" s="13"/>
      <c r="D1084" s="30"/>
      <c r="E1084" s="30"/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</row>
    <row r="1085" spans="2:20" s="14" customFormat="1" x14ac:dyDescent="0.25">
      <c r="B1085" s="13"/>
      <c r="C1085" s="13"/>
      <c r="D1085" s="30"/>
      <c r="E1085" s="30"/>
      <c r="F1085" s="30"/>
      <c r="G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</row>
    <row r="1086" spans="2:20" s="14" customFormat="1" x14ac:dyDescent="0.25">
      <c r="B1086" s="13"/>
      <c r="C1086" s="13"/>
      <c r="D1086" s="30"/>
      <c r="E1086" s="30"/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</row>
    <row r="1087" spans="2:20" s="14" customFormat="1" x14ac:dyDescent="0.25">
      <c r="B1087" s="13"/>
      <c r="C1087" s="13"/>
      <c r="D1087" s="30"/>
      <c r="E1087" s="30"/>
      <c r="F1087" s="30"/>
      <c r="G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</row>
    <row r="1088" spans="2:20" s="14" customFormat="1" x14ac:dyDescent="0.25">
      <c r="B1088" s="13"/>
      <c r="C1088" s="13"/>
      <c r="D1088" s="30"/>
      <c r="E1088" s="30"/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</row>
    <row r="1089" spans="2:20" s="14" customFormat="1" x14ac:dyDescent="0.25">
      <c r="B1089" s="13"/>
      <c r="C1089" s="13"/>
      <c r="D1089" s="30"/>
      <c r="E1089" s="30"/>
      <c r="F1089" s="30"/>
      <c r="G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</row>
    <row r="1090" spans="2:20" s="14" customFormat="1" x14ac:dyDescent="0.25">
      <c r="B1090" s="13"/>
      <c r="C1090" s="13"/>
      <c r="D1090" s="30"/>
      <c r="E1090" s="30"/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</row>
    <row r="1091" spans="2:20" s="14" customFormat="1" x14ac:dyDescent="0.25">
      <c r="B1091" s="13"/>
      <c r="C1091" s="13"/>
      <c r="D1091" s="30"/>
      <c r="E1091" s="30"/>
      <c r="F1091" s="30"/>
      <c r="G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</row>
    <row r="1092" spans="2:20" s="14" customFormat="1" x14ac:dyDescent="0.25">
      <c r="B1092" s="13"/>
      <c r="C1092" s="13"/>
      <c r="D1092" s="30"/>
      <c r="E1092" s="30"/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</row>
    <row r="1093" spans="2:20" s="14" customFormat="1" x14ac:dyDescent="0.25">
      <c r="B1093" s="13"/>
      <c r="C1093" s="13"/>
      <c r="D1093" s="30"/>
      <c r="E1093" s="30"/>
      <c r="F1093" s="30"/>
      <c r="G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</row>
    <row r="1094" spans="2:20" s="14" customFormat="1" x14ac:dyDescent="0.25">
      <c r="B1094" s="13"/>
      <c r="C1094" s="13"/>
      <c r="D1094" s="30"/>
      <c r="E1094" s="30"/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</row>
    <row r="1095" spans="2:20" s="14" customFormat="1" x14ac:dyDescent="0.25">
      <c r="B1095" s="13"/>
      <c r="C1095" s="13"/>
      <c r="D1095" s="30"/>
      <c r="E1095" s="30"/>
      <c r="F1095" s="30"/>
      <c r="G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</row>
    <row r="1096" spans="2:20" s="14" customFormat="1" x14ac:dyDescent="0.25">
      <c r="B1096" s="13"/>
      <c r="C1096" s="13"/>
      <c r="D1096" s="30"/>
      <c r="E1096" s="30"/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</row>
    <row r="1097" spans="2:20" s="14" customFormat="1" x14ac:dyDescent="0.25">
      <c r="B1097" s="13"/>
      <c r="C1097" s="13"/>
      <c r="D1097" s="30"/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</row>
    <row r="1098" spans="2:20" s="14" customFormat="1" x14ac:dyDescent="0.25">
      <c r="B1098" s="13"/>
      <c r="C1098" s="13"/>
      <c r="D1098" s="30"/>
      <c r="E1098" s="30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</row>
    <row r="1099" spans="2:20" s="14" customFormat="1" x14ac:dyDescent="0.25">
      <c r="B1099" s="13"/>
      <c r="C1099" s="13"/>
      <c r="D1099" s="30"/>
      <c r="E1099" s="30"/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</row>
    <row r="1100" spans="2:20" s="14" customFormat="1" x14ac:dyDescent="0.25">
      <c r="B1100" s="13"/>
      <c r="C1100" s="13"/>
      <c r="D1100" s="30"/>
      <c r="E1100" s="30"/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</row>
    <row r="1101" spans="2:20" s="14" customFormat="1" x14ac:dyDescent="0.25">
      <c r="B1101" s="13"/>
      <c r="C1101" s="13"/>
      <c r="D1101" s="30"/>
      <c r="E1101" s="30"/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</row>
    <row r="1102" spans="2:20" s="14" customFormat="1" x14ac:dyDescent="0.25">
      <c r="B1102" s="13"/>
      <c r="C1102" s="13"/>
      <c r="D1102" s="30"/>
      <c r="E1102" s="30"/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</row>
    <row r="1103" spans="2:20" s="14" customFormat="1" x14ac:dyDescent="0.25">
      <c r="B1103" s="13"/>
      <c r="C1103" s="13"/>
      <c r="D1103" s="30"/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</row>
    <row r="1104" spans="2:20" s="14" customFormat="1" x14ac:dyDescent="0.25">
      <c r="B1104" s="13"/>
      <c r="C1104" s="13"/>
      <c r="D1104" s="30"/>
      <c r="E1104" s="30"/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</row>
    <row r="1105" spans="2:20" s="14" customFormat="1" x14ac:dyDescent="0.25">
      <c r="B1105" s="13"/>
      <c r="C1105" s="13"/>
      <c r="D1105" s="30"/>
      <c r="E1105" s="30"/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</row>
    <row r="1106" spans="2:20" s="14" customFormat="1" x14ac:dyDescent="0.25">
      <c r="B1106" s="13"/>
      <c r="C1106" s="13"/>
      <c r="D1106" s="30"/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</row>
    <row r="1107" spans="2:20" s="14" customFormat="1" x14ac:dyDescent="0.25">
      <c r="B1107" s="13"/>
      <c r="C1107" s="13"/>
      <c r="D1107" s="30"/>
      <c r="E1107" s="30"/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</row>
    <row r="1108" spans="2:20" s="14" customFormat="1" x14ac:dyDescent="0.25">
      <c r="B1108" s="13"/>
      <c r="C1108" s="13"/>
      <c r="D1108" s="30"/>
      <c r="E1108" s="30"/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</row>
    <row r="1109" spans="2:20" s="14" customFormat="1" x14ac:dyDescent="0.25">
      <c r="B1109" s="13"/>
      <c r="C1109" s="13"/>
      <c r="D1109" s="30"/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</row>
    <row r="1110" spans="2:20" s="14" customFormat="1" x14ac:dyDescent="0.25">
      <c r="B1110" s="13"/>
      <c r="C1110" s="13"/>
      <c r="D1110" s="30"/>
      <c r="E1110" s="30"/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</row>
    <row r="1111" spans="2:20" s="14" customFormat="1" x14ac:dyDescent="0.25">
      <c r="B1111" s="13"/>
      <c r="C1111" s="13"/>
      <c r="D1111" s="30"/>
      <c r="E1111" s="30"/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</row>
    <row r="1112" spans="2:20" s="14" customFormat="1" x14ac:dyDescent="0.25">
      <c r="B1112" s="13"/>
      <c r="C1112" s="13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</row>
    <row r="1113" spans="2:20" s="14" customFormat="1" x14ac:dyDescent="0.25">
      <c r="B1113" s="13"/>
      <c r="C1113" s="13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</row>
    <row r="1114" spans="2:20" s="14" customFormat="1" x14ac:dyDescent="0.25">
      <c r="B1114" s="13"/>
      <c r="C1114" s="13"/>
      <c r="D1114" s="30"/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</row>
    <row r="1115" spans="2:20" s="14" customFormat="1" x14ac:dyDescent="0.25">
      <c r="B1115" s="13"/>
      <c r="C1115" s="13"/>
      <c r="D1115" s="30"/>
      <c r="E1115" s="30"/>
      <c r="F1115" s="30"/>
      <c r="G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</row>
    <row r="1116" spans="2:20" s="14" customFormat="1" x14ac:dyDescent="0.25">
      <c r="B1116" s="13"/>
      <c r="C1116" s="13"/>
      <c r="D1116" s="30"/>
      <c r="E1116" s="30"/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</row>
    <row r="1117" spans="2:20" s="14" customFormat="1" x14ac:dyDescent="0.25">
      <c r="B1117" s="13"/>
      <c r="C1117" s="13"/>
      <c r="D1117" s="30"/>
      <c r="E1117" s="30"/>
      <c r="F1117" s="30"/>
      <c r="G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</row>
    <row r="1118" spans="2:20" s="14" customFormat="1" x14ac:dyDescent="0.25">
      <c r="B1118" s="13"/>
      <c r="C1118" s="13"/>
      <c r="D1118" s="30"/>
      <c r="E1118" s="30"/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</row>
    <row r="1119" spans="2:20" s="14" customFormat="1" x14ac:dyDescent="0.25">
      <c r="B1119" s="13"/>
      <c r="C1119" s="13"/>
      <c r="D1119" s="30"/>
      <c r="E1119" s="30"/>
      <c r="F1119" s="30"/>
      <c r="G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</row>
    <row r="1120" spans="2:20" s="14" customFormat="1" x14ac:dyDescent="0.25">
      <c r="B1120" s="13"/>
      <c r="C1120" s="13"/>
      <c r="D1120" s="30"/>
      <c r="E1120" s="30"/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</row>
    <row r="1121" spans="2:20" s="14" customFormat="1" x14ac:dyDescent="0.25">
      <c r="B1121" s="13"/>
      <c r="C1121" s="13"/>
      <c r="D1121" s="30"/>
      <c r="E1121" s="30"/>
      <c r="F1121" s="30"/>
      <c r="G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</row>
    <row r="1122" spans="2:20" s="14" customFormat="1" x14ac:dyDescent="0.25">
      <c r="B1122" s="13"/>
      <c r="C1122" s="13"/>
      <c r="D1122" s="30"/>
      <c r="E1122" s="30"/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</row>
    <row r="1123" spans="2:20" s="14" customFormat="1" x14ac:dyDescent="0.25">
      <c r="B1123" s="13"/>
      <c r="C1123" s="13"/>
      <c r="D1123" s="30"/>
      <c r="E1123" s="30"/>
      <c r="F1123" s="30"/>
      <c r="G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</row>
    <row r="1124" spans="2:20" s="14" customFormat="1" x14ac:dyDescent="0.25">
      <c r="B1124" s="13"/>
      <c r="C1124" s="13"/>
      <c r="D1124" s="30"/>
      <c r="E1124" s="30"/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</row>
    <row r="1125" spans="2:20" s="14" customFormat="1" x14ac:dyDescent="0.25">
      <c r="B1125" s="13"/>
      <c r="C1125" s="13"/>
      <c r="D1125" s="30"/>
      <c r="E1125" s="30"/>
      <c r="F1125" s="30"/>
      <c r="G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</row>
    <row r="1126" spans="2:20" s="14" customFormat="1" x14ac:dyDescent="0.25">
      <c r="B1126" s="13"/>
      <c r="C1126" s="13"/>
      <c r="D1126" s="30"/>
      <c r="E1126" s="30"/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</row>
    <row r="1127" spans="2:20" s="14" customFormat="1" x14ac:dyDescent="0.25">
      <c r="B1127" s="13"/>
      <c r="C1127" s="13"/>
      <c r="D1127" s="30"/>
      <c r="E1127" s="30"/>
      <c r="F1127" s="30"/>
      <c r="G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</row>
    <row r="1128" spans="2:20" s="14" customFormat="1" x14ac:dyDescent="0.25">
      <c r="B1128" s="13"/>
      <c r="C1128" s="13"/>
      <c r="D1128" s="30"/>
      <c r="E1128" s="30"/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</row>
    <row r="1129" spans="2:20" s="14" customFormat="1" x14ac:dyDescent="0.25">
      <c r="B1129" s="13"/>
      <c r="C1129" s="13"/>
      <c r="D1129" s="30"/>
      <c r="E1129" s="30"/>
      <c r="F1129" s="30"/>
      <c r="G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</row>
    <row r="1130" spans="2:20" s="14" customFormat="1" x14ac:dyDescent="0.25">
      <c r="B1130" s="13"/>
      <c r="C1130" s="13"/>
      <c r="D1130" s="30"/>
      <c r="E1130" s="30"/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</row>
    <row r="1131" spans="2:20" s="14" customFormat="1" x14ac:dyDescent="0.25">
      <c r="B1131" s="13"/>
      <c r="C1131" s="13"/>
      <c r="D1131" s="30"/>
      <c r="E1131" s="30"/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</row>
    <row r="1132" spans="2:20" s="14" customFormat="1" x14ac:dyDescent="0.25">
      <c r="B1132" s="13"/>
      <c r="C1132" s="13"/>
      <c r="D1132" s="30"/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</row>
    <row r="1133" spans="2:20" s="14" customFormat="1" x14ac:dyDescent="0.25">
      <c r="B1133" s="13"/>
      <c r="C1133" s="13"/>
      <c r="D1133" s="30"/>
      <c r="E1133" s="30"/>
      <c r="F1133" s="30"/>
      <c r="G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</row>
    <row r="1134" spans="2:20" s="14" customFormat="1" x14ac:dyDescent="0.25">
      <c r="B1134" s="13"/>
      <c r="C1134" s="13"/>
      <c r="D1134" s="30"/>
      <c r="E1134" s="30"/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</row>
    <row r="1135" spans="2:20" s="14" customFormat="1" x14ac:dyDescent="0.25">
      <c r="B1135" s="13"/>
      <c r="C1135" s="13"/>
      <c r="D1135" s="30"/>
      <c r="E1135" s="30"/>
      <c r="F1135" s="30"/>
      <c r="G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</row>
    <row r="1136" spans="2:20" s="14" customFormat="1" x14ac:dyDescent="0.25">
      <c r="B1136" s="13"/>
      <c r="C1136" s="13"/>
      <c r="D1136" s="30"/>
      <c r="E1136" s="30"/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</row>
    <row r="1137" spans="2:20" s="14" customFormat="1" x14ac:dyDescent="0.25">
      <c r="B1137" s="13"/>
      <c r="C1137" s="13"/>
      <c r="D1137" s="30"/>
      <c r="E1137" s="30"/>
      <c r="F1137" s="30"/>
      <c r="G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</row>
  </sheetData>
  <pageMargins left="0.7" right="0.7" top="0.75" bottom="0.75" header="0.3" footer="0.3"/>
  <pageSetup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AW1092"/>
  <sheetViews>
    <sheetView showGridLines="0" workbookViewId="0">
      <pane xSplit="2" ySplit="4" topLeftCell="C5" activePane="bottomRight" state="frozen"/>
      <selection activeCell="R14" sqref="R14"/>
      <selection pane="topRight" activeCell="R14" sqref="R14"/>
      <selection pane="bottomLeft" activeCell="R14" sqref="R14"/>
      <selection pane="bottomRight" activeCell="S20" sqref="S20"/>
    </sheetView>
  </sheetViews>
  <sheetFormatPr defaultColWidth="9.140625" defaultRowHeight="15" outlineLevelCol="1" x14ac:dyDescent="0.25"/>
  <cols>
    <col min="1" max="1" width="31.7109375" style="2" hidden="1" customWidth="1"/>
    <col min="2" max="2" width="44.42578125" style="23" bestFit="1" customWidth="1"/>
    <col min="3" max="4" width="10.5703125" style="158" customWidth="1"/>
    <col min="5" max="8" width="10.5703125" style="158" hidden="1" customWidth="1" outlineLevel="1"/>
    <col min="9" max="9" width="10.5703125" style="158" customWidth="1" collapsed="1"/>
    <col min="10" max="13" width="10.5703125" style="159" customWidth="1" outlineLevel="1"/>
    <col min="14" max="14" width="11.28515625" style="160" customWidth="1"/>
    <col min="15" max="18" width="10.5703125" style="160" customWidth="1" outlineLevel="1"/>
    <col min="19" max="19" width="10.7109375" style="160" customWidth="1"/>
    <col min="20" max="20" width="11.28515625" style="160" customWidth="1"/>
    <col min="21" max="21" width="11.140625" style="160" customWidth="1"/>
    <col min="22" max="23" width="10.28515625" style="160" customWidth="1"/>
    <col min="24" max="49" width="9.140625" style="24"/>
    <col min="50" max="16384" width="9.140625" style="2"/>
  </cols>
  <sheetData>
    <row r="1" spans="1:49" s="5" customFormat="1" x14ac:dyDescent="0.25">
      <c r="A1" s="5" t="s">
        <v>101</v>
      </c>
      <c r="B1" s="83" t="str">
        <f>Inputs!A1</f>
        <v>Molson Coors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</row>
    <row r="2" spans="1:49" s="5" customFormat="1" x14ac:dyDescent="0.25">
      <c r="B2" s="84" t="s">
        <v>0</v>
      </c>
      <c r="C2" s="25"/>
      <c r="D2" s="129"/>
      <c r="E2" s="132" t="s">
        <v>220</v>
      </c>
      <c r="F2" s="132" t="s">
        <v>221</v>
      </c>
      <c r="G2" s="132" t="s">
        <v>222</v>
      </c>
      <c r="H2" s="132" t="s">
        <v>223</v>
      </c>
      <c r="I2" s="25"/>
      <c r="J2" s="132" t="s">
        <v>220</v>
      </c>
      <c r="K2" s="132" t="s">
        <v>221</v>
      </c>
      <c r="L2" s="132" t="s">
        <v>222</v>
      </c>
      <c r="M2" s="132" t="s">
        <v>223</v>
      </c>
      <c r="N2" s="132"/>
    </row>
    <row r="3" spans="1:49" s="8" customFormat="1" x14ac:dyDescent="0.25">
      <c r="B3" s="75"/>
      <c r="C3" s="27"/>
      <c r="D3" s="27"/>
      <c r="E3" s="133">
        <v>2021</v>
      </c>
      <c r="F3" s="133">
        <v>2021</v>
      </c>
      <c r="G3" s="133">
        <v>2021</v>
      </c>
      <c r="H3" s="133">
        <v>2021</v>
      </c>
      <c r="I3" s="27"/>
      <c r="J3" s="133">
        <v>2022</v>
      </c>
      <c r="K3" s="133">
        <v>2022</v>
      </c>
      <c r="L3" s="133">
        <v>2022</v>
      </c>
      <c r="M3" s="133">
        <v>2022</v>
      </c>
      <c r="N3" s="133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</row>
    <row r="4" spans="1:49" s="49" customFormat="1" ht="15.75" thickBot="1" x14ac:dyDescent="0.3">
      <c r="B4" s="82" t="str">
        <f>CONCATENATE("Fiscal Years Ending ",Inputs!B7)</f>
        <v>Fiscal Years Ending Dec. 31</v>
      </c>
      <c r="C4" s="49">
        <v>2019</v>
      </c>
      <c r="D4" s="49">
        <v>2020</v>
      </c>
      <c r="E4" s="49" t="s">
        <v>224</v>
      </c>
      <c r="F4" s="49" t="s">
        <v>225</v>
      </c>
      <c r="G4" s="49" t="s">
        <v>226</v>
      </c>
      <c r="H4" s="49" t="s">
        <v>227</v>
      </c>
      <c r="I4" s="49">
        <v>2021</v>
      </c>
      <c r="J4" s="49" t="s">
        <v>216</v>
      </c>
      <c r="K4" s="49" t="s">
        <v>217</v>
      </c>
      <c r="L4" s="49" t="s">
        <v>218</v>
      </c>
      <c r="M4" s="49" t="s">
        <v>219</v>
      </c>
      <c r="N4" s="49">
        <v>2022</v>
      </c>
      <c r="O4" s="49" t="s">
        <v>92</v>
      </c>
      <c r="P4" s="49" t="s">
        <v>93</v>
      </c>
      <c r="Q4" s="49" t="s">
        <v>94</v>
      </c>
      <c r="R4" s="49" t="s">
        <v>95</v>
      </c>
      <c r="S4" s="49" t="s">
        <v>15</v>
      </c>
      <c r="T4" s="49" t="s">
        <v>18</v>
      </c>
      <c r="U4" s="49" t="s">
        <v>20</v>
      </c>
      <c r="V4" s="49" t="s">
        <v>21</v>
      </c>
      <c r="W4" s="49" t="s">
        <v>23</v>
      </c>
    </row>
    <row r="5" spans="1:49" x14ac:dyDescent="0.25">
      <c r="B5" s="11" t="s">
        <v>211</v>
      </c>
      <c r="C5" s="239">
        <f>Rev!D47</f>
        <v>13009.099999999999</v>
      </c>
      <c r="D5" s="239">
        <f>Rev!E47</f>
        <v>11723.8</v>
      </c>
      <c r="E5" s="239">
        <f>Rev!F47</f>
        <v>2256.1000000000004</v>
      </c>
      <c r="F5" s="239">
        <f>Rev!G47</f>
        <v>3564</v>
      </c>
      <c r="G5" s="239">
        <f>Rev!H47</f>
        <v>3435.4</v>
      </c>
      <c r="H5" s="239">
        <f>Rev!I47</f>
        <v>3194.4</v>
      </c>
      <c r="I5" s="239">
        <f>Rev!J47</f>
        <v>12449.900000000001</v>
      </c>
      <c r="J5" s="145">
        <f>Rev!K47</f>
        <v>2643.2999999999997</v>
      </c>
      <c r="K5" s="145">
        <f>Rev!L47</f>
        <v>3501.4</v>
      </c>
      <c r="L5" s="145">
        <f>Rev!M47</f>
        <v>3517.4</v>
      </c>
      <c r="M5" s="145">
        <f>Rev!N47</f>
        <v>3145.4</v>
      </c>
      <c r="N5" s="239">
        <f>Rev!O47</f>
        <v>12807.499999999998</v>
      </c>
      <c r="O5" s="145">
        <f>Rev!P47</f>
        <v>2777.9759999999997</v>
      </c>
      <c r="P5" s="145">
        <f>Rev!Q47</f>
        <v>3620.1998059220009</v>
      </c>
      <c r="Q5" s="145">
        <f>Rev!R47</f>
        <v>3544.3520774999997</v>
      </c>
      <c r="R5" s="145">
        <f>Rev!S47</f>
        <v>3041.8816776920007</v>
      </c>
      <c r="S5" s="239">
        <f>Rev!T47</f>
        <v>12984.409561114002</v>
      </c>
      <c r="T5" s="239">
        <f>Rev!U47</f>
        <v>12773.062342001274</v>
      </c>
      <c r="U5" s="239">
        <f>Rev!V47</f>
        <v>12665.384787805089</v>
      </c>
      <c r="V5" s="239">
        <f>Rev!W47</f>
        <v>12584.989738018323</v>
      </c>
      <c r="W5" s="239">
        <f>Rev!X47</f>
        <v>12568.904862634157</v>
      </c>
      <c r="X5" s="134"/>
      <c r="Y5" s="134"/>
    </row>
    <row r="6" spans="1:49" s="51" customFormat="1" x14ac:dyDescent="0.25">
      <c r="A6" s="79"/>
      <c r="B6" s="11" t="s">
        <v>208</v>
      </c>
      <c r="C6" s="239">
        <f>Rev!D48</f>
        <v>2429.6999999999998</v>
      </c>
      <c r="D6" s="239">
        <f>Rev!E48</f>
        <v>2069.8000000000002</v>
      </c>
      <c r="E6" s="239">
        <f>Rev!F48</f>
        <v>357.7</v>
      </c>
      <c r="F6" s="239">
        <f>Rev!G48</f>
        <v>624.6</v>
      </c>
      <c r="G6" s="239">
        <f>Rev!H48</f>
        <v>612.70000000000005</v>
      </c>
      <c r="H6" s="239">
        <f>Rev!I48</f>
        <v>575.20000000000005</v>
      </c>
      <c r="I6" s="239">
        <f>Rev!J48</f>
        <v>2170.1999999999998</v>
      </c>
      <c r="J6" s="145">
        <f>Rev!K48</f>
        <v>428.7</v>
      </c>
      <c r="K6" s="145">
        <f>Rev!L48</f>
        <v>579.70000000000005</v>
      </c>
      <c r="L6" s="145">
        <f>Rev!M48</f>
        <v>582.20000000000005</v>
      </c>
      <c r="M6" s="145">
        <f>Rev!N48</f>
        <v>515.9</v>
      </c>
      <c r="N6" s="239">
        <f>Rev!O48</f>
        <v>2106.5</v>
      </c>
      <c r="O6" s="145">
        <f>Rev!P48</f>
        <v>428.976</v>
      </c>
      <c r="P6" s="145">
        <f>Rev!Q48</f>
        <v>585.25274177450046</v>
      </c>
      <c r="Q6" s="145">
        <f>Rev!R48</f>
        <v>579.68542124999976</v>
      </c>
      <c r="R6" s="145">
        <f>Rev!S48</f>
        <v>479.4535647980004</v>
      </c>
      <c r="S6" s="239">
        <f>Rev!T48</f>
        <v>2073.3677278225009</v>
      </c>
      <c r="T6" s="239">
        <f>Rev!U48</f>
        <v>2100.8359026684111</v>
      </c>
      <c r="U6" s="239">
        <f>Rev!V48</f>
        <v>2083.1257509671204</v>
      </c>
      <c r="V6" s="239">
        <f>Rev!W48</f>
        <v>2069.9028602877684</v>
      </c>
      <c r="W6" s="239">
        <f>Rev!X48</f>
        <v>2067.257317442034</v>
      </c>
      <c r="X6" s="134"/>
      <c r="Y6" s="134"/>
      <c r="Z6" s="97"/>
    </row>
    <row r="7" spans="1:49" s="87" customFormat="1" x14ac:dyDescent="0.25">
      <c r="A7" s="98" t="s">
        <v>80</v>
      </c>
      <c r="B7" s="130" t="s">
        <v>210</v>
      </c>
      <c r="C7" s="240">
        <f>_xll.BDP($A$1, $A7, "EQY_FUND_RELATIVE_PERIOD", C$4)</f>
        <v>10579.4</v>
      </c>
      <c r="D7" s="240">
        <f>_xll.BDP($A$1, $A7, "EQY_FUND_RELATIVE_PERIOD", D$4)</f>
        <v>9654</v>
      </c>
      <c r="E7" s="240" cm="1">
        <f t="array" ref="E7">_xll.BDP($A$1, $A7, "EQY_FUND_YEAR", E$3, "FUND_PER", E$2)</f>
        <v>1898.4</v>
      </c>
      <c r="F7" s="240" cm="1">
        <f t="array" ref="F7">_xll.BDP($A$1, $A7, "EQY_FUND_YEAR", F$3, "FUND_PER", F$2)</f>
        <v>2939.4</v>
      </c>
      <c r="G7" s="240" cm="1">
        <f t="array" ref="G7">_xll.BDP($A$1, $A7, "EQY_FUND_YEAR", G$3, "FUND_PER", G$2)</f>
        <v>2822.7</v>
      </c>
      <c r="H7" s="240" cm="1">
        <f t="array" ref="H7">_xll.BDP($A$1, $A7, "EQY_FUND_YEAR", H$3, "FUND_PER", H$2)</f>
        <v>2619.1999999999998</v>
      </c>
      <c r="I7" s="240">
        <f>_xll.BDP($A$1, $A7, "EQY_FUND_RELATIVE_PERIOD", I$4)</f>
        <v>10279.700000000001</v>
      </c>
      <c r="J7" s="146" cm="1">
        <f t="array" ref="J7">_xll.BDP($A$1, $A7, "EQY_FUND_YEAR", J$3, "FUND_PER", J$2)</f>
        <v>2214.6</v>
      </c>
      <c r="K7" s="146" cm="1">
        <f t="array" ref="K7">_xll.BDP($A$1, $A7, "EQY_FUND_YEAR", K$3, "FUND_PER", K$2)</f>
        <v>2921.7</v>
      </c>
      <c r="L7" s="146" cm="1">
        <f t="array" ref="L7">_xll.BDP($A$1, $A7, "EQY_FUND_YEAR", L$3, "FUND_PER", L$2)</f>
        <v>2935.2</v>
      </c>
      <c r="M7" s="146" cm="1">
        <f t="array" ref="M7">_xll.BDP($A$1, $A7, "EQY_FUND_YEAR", M$3, "FUND_PER", M$2)</f>
        <v>2629.5</v>
      </c>
      <c r="N7" s="240">
        <f>_xll.BDP($A$1, $A7, "EQY_FUND_RELATIVE_PERIOD", N$4)</f>
        <v>10701</v>
      </c>
      <c r="O7" s="146">
        <v>2346</v>
      </c>
      <c r="P7" s="146">
        <f>Rev!Q49</f>
        <v>3034.9470641475004</v>
      </c>
      <c r="Q7" s="146">
        <f>Rev!R49</f>
        <v>2964.66665625</v>
      </c>
      <c r="R7" s="146">
        <f>Rev!S49</f>
        <v>2562.4281128940002</v>
      </c>
      <c r="S7" s="240">
        <f>Rev!T49</f>
        <v>10911.0418332915</v>
      </c>
      <c r="T7" s="240">
        <f>Rev!U49</f>
        <v>10672.226439332864</v>
      </c>
      <c r="U7" s="240">
        <f>Rev!V49</f>
        <v>10582.259036837968</v>
      </c>
      <c r="V7" s="240">
        <f>Rev!W49</f>
        <v>10515.086877730553</v>
      </c>
      <c r="W7" s="240">
        <f>Rev!X49</f>
        <v>10501.647545192123</v>
      </c>
      <c r="X7" s="135"/>
      <c r="Y7" s="135"/>
      <c r="Z7" s="91"/>
    </row>
    <row r="8" spans="1:49" s="11" customFormat="1" x14ac:dyDescent="0.25">
      <c r="A8" s="78" t="s">
        <v>81</v>
      </c>
      <c r="B8" s="11" t="s">
        <v>82</v>
      </c>
      <c r="C8" s="239">
        <f>_xll.BDP($A$1, $A8, "EQY_FUND_RELATIVE_PERIOD", C$4)</f>
        <v>6378.2</v>
      </c>
      <c r="D8" s="239">
        <f>_xll.BDP($A$1, $A8, "EQY_FUND_RELATIVE_PERIOD", D$4)</f>
        <v>5885.7</v>
      </c>
      <c r="E8" s="241" cm="1">
        <f t="array" ref="E8">_xll.BDP($A$1, $A8, "EQY_FUND_YEAR", E$3, "FUND_PER", E$2)</f>
        <v>1167.3999999999999</v>
      </c>
      <c r="F8" s="241" cm="1">
        <f t="array" ref="F8">_xll.BDP($A$1, $A8, "EQY_FUND_YEAR", F$3, "FUND_PER", F$2)</f>
        <v>1667.8999999999999</v>
      </c>
      <c r="G8" s="241" cm="1">
        <f t="array" ref="G8">_xll.BDP($A$1, $A8, "EQY_FUND_YEAR", G$3, "FUND_PER", G$2)</f>
        <v>1629.1</v>
      </c>
      <c r="H8" s="241" cm="1">
        <f t="array" ref="H8">_xll.BDP($A$1, $A8, "EQY_FUND_YEAR", H$3, "FUND_PER", H$2)</f>
        <v>1761.8999999999999</v>
      </c>
      <c r="I8" s="241">
        <f>_xll.BDP($A$1, $A8, "EQY_FUND_RELATIVE_PERIOD", I$4)</f>
        <v>6226.2999999999993</v>
      </c>
      <c r="J8" s="148" cm="1">
        <f t="array" ref="J8">_xll.BDP($A$1, $A8, "EQY_FUND_YEAR", J$3, "FUND_PER", J$2)</f>
        <v>1286.8</v>
      </c>
      <c r="K8" s="148" cm="1">
        <f t="array" ref="K8">_xll.BDP($A$1, $A8, "EQY_FUND_YEAR", K$3, "FUND_PER", K$2)</f>
        <v>2101.6999999999998</v>
      </c>
      <c r="L8" s="148" cm="1">
        <f t="array" ref="L8">_xll.BDP($A$1, $A8, "EQY_FUND_YEAR", L$3, "FUND_PER", L$2)</f>
        <v>1951.5</v>
      </c>
      <c r="M8" s="148" cm="1">
        <f t="array" ref="M8">_xll.BDP($A$1, $A8, "EQY_FUND_YEAR", M$3, "FUND_PER", M$2)</f>
        <v>1705.8</v>
      </c>
      <c r="N8" s="241">
        <f>_xll.BDP($A$1, $A8, "EQY_FUND_RELATIVE_PERIOD", N$4)</f>
        <v>7045.7999999999993</v>
      </c>
      <c r="O8" s="145">
        <v>1575.6</v>
      </c>
      <c r="P8" s="145">
        <f>Rev!Q50</f>
        <v>2162.8548147345</v>
      </c>
      <c r="Q8" s="145">
        <f>Rev!R50</f>
        <v>1910.7990281249999</v>
      </c>
      <c r="R8" s="145">
        <f>Rev!S50</f>
        <v>1610.1948227040004</v>
      </c>
      <c r="S8" s="239">
        <f>Rev!T50</f>
        <v>7261.2426655634999</v>
      </c>
      <c r="T8" s="239">
        <f>Rev!U50</f>
        <v>6849.0196024580464</v>
      </c>
      <c r="U8" s="239">
        <f>Rev!V50</f>
        <v>6611.8645935758841</v>
      </c>
      <c r="V8" s="239">
        <f>Rev!W50</f>
        <v>6415.309225182189</v>
      </c>
      <c r="W8" s="239">
        <f>Rev!X50</f>
        <v>6275.0692824578609</v>
      </c>
      <c r="X8" s="143"/>
      <c r="Y8" s="143"/>
      <c r="Z8" s="89"/>
    </row>
    <row r="9" spans="1:49" s="87" customFormat="1" x14ac:dyDescent="0.25">
      <c r="A9" s="98"/>
      <c r="B9" s="87" t="s">
        <v>83</v>
      </c>
      <c r="C9" s="242">
        <f t="shared" ref="C9:W9" si="0">C7-C8</f>
        <v>4201.2</v>
      </c>
      <c r="D9" s="242">
        <f t="shared" si="0"/>
        <v>3768.3</v>
      </c>
      <c r="E9" s="242">
        <f t="shared" si="0"/>
        <v>731.00000000000023</v>
      </c>
      <c r="F9" s="242">
        <f t="shared" si="0"/>
        <v>1271.5000000000002</v>
      </c>
      <c r="G9" s="242">
        <f t="shared" si="0"/>
        <v>1193.5999999999999</v>
      </c>
      <c r="H9" s="242">
        <f t="shared" si="0"/>
        <v>857.3</v>
      </c>
      <c r="I9" s="242">
        <f t="shared" si="0"/>
        <v>4053.4000000000015</v>
      </c>
      <c r="J9" s="147">
        <f t="shared" si="0"/>
        <v>927.8</v>
      </c>
      <c r="K9" s="147">
        <f t="shared" si="0"/>
        <v>820</v>
      </c>
      <c r="L9" s="147">
        <f t="shared" si="0"/>
        <v>983.69999999999982</v>
      </c>
      <c r="M9" s="147">
        <f t="shared" si="0"/>
        <v>923.7</v>
      </c>
      <c r="N9" s="242">
        <f t="shared" si="0"/>
        <v>3655.2000000000007</v>
      </c>
      <c r="O9" s="147">
        <f t="shared" si="0"/>
        <v>770.40000000000009</v>
      </c>
      <c r="P9" s="147">
        <f t="shared" si="0"/>
        <v>872.09224941300045</v>
      </c>
      <c r="Q9" s="147">
        <f t="shared" si="0"/>
        <v>1053.867628125</v>
      </c>
      <c r="R9" s="147">
        <f t="shared" si="0"/>
        <v>952.23329018999971</v>
      </c>
      <c r="S9" s="242">
        <f t="shared" si="0"/>
        <v>3649.7991677279997</v>
      </c>
      <c r="T9" s="242">
        <f t="shared" si="0"/>
        <v>3823.2068368748178</v>
      </c>
      <c r="U9" s="242">
        <f t="shared" si="0"/>
        <v>3970.3944432620838</v>
      </c>
      <c r="V9" s="242">
        <f t="shared" si="0"/>
        <v>4099.7776525483641</v>
      </c>
      <c r="W9" s="242">
        <f t="shared" si="0"/>
        <v>4226.5782627342624</v>
      </c>
      <c r="X9" s="136"/>
      <c r="Y9" s="136"/>
      <c r="Z9" s="91"/>
    </row>
    <row r="10" spans="1:49" s="11" customFormat="1" x14ac:dyDescent="0.25">
      <c r="A10" s="78"/>
      <c r="C10" s="239"/>
      <c r="D10" s="239"/>
      <c r="E10" s="239"/>
      <c r="F10" s="239"/>
      <c r="G10" s="239"/>
      <c r="H10" s="239"/>
      <c r="I10" s="239"/>
      <c r="J10" s="145"/>
      <c r="K10" s="145"/>
      <c r="L10" s="145"/>
      <c r="M10" s="145"/>
      <c r="N10" s="239"/>
      <c r="O10" s="145"/>
      <c r="P10" s="145"/>
      <c r="Q10" s="145"/>
      <c r="R10" s="145"/>
      <c r="S10" s="239"/>
      <c r="T10" s="239"/>
      <c r="U10" s="239"/>
      <c r="V10" s="239"/>
      <c r="W10" s="239"/>
      <c r="X10" s="134"/>
      <c r="Y10" s="134"/>
      <c r="Z10" s="89"/>
    </row>
    <row r="11" spans="1:49" s="11" customFormat="1" x14ac:dyDescent="0.25">
      <c r="A11" s="78" t="s">
        <v>96</v>
      </c>
      <c r="B11" s="11" t="s">
        <v>84</v>
      </c>
      <c r="C11" s="239">
        <f>_xll.BDP($A$1, $A11, "EQY_FUND_RELATIVE_PERIOD", C$4)-C12</f>
        <v>1869</v>
      </c>
      <c r="D11" s="239">
        <f>_xll.BDP($A$1, $A11, "EQY_FUND_RELATIVE_PERIOD", D$4)-D12</f>
        <v>1515</v>
      </c>
      <c r="E11" s="239" cm="1">
        <f t="array" ref="E11">_xll.BDP($A$1, $A11, "EQY_FUND_YEAR", E$3, "FUND_PER", E$2)-E12</f>
        <v>340.6</v>
      </c>
      <c r="F11" s="239" cm="1">
        <f t="array" ref="F11">_xll.BDP($A$1, $A11, "EQY_FUND_YEAR", F$3, "FUND_PER", F$2)-F12</f>
        <v>480.1</v>
      </c>
      <c r="G11" s="239" cm="1">
        <f t="array" ref="G11">_xll.BDP($A$1, $A11, "EQY_FUND_YEAR", G$3, "FUND_PER", G$2)-G12</f>
        <v>464.5</v>
      </c>
      <c r="H11" s="239" cm="1">
        <f t="array" ref="H11">_xll.BDP($A$1, $A11, "EQY_FUND_YEAR", H$3, "FUND_PER", H$2)-H12</f>
        <v>483.20000000000005</v>
      </c>
      <c r="I11" s="239">
        <f>_xll.BDP($A$1, $A11, "EQY_FUND_RELATIVE_PERIOD", I$4)-I12</f>
        <v>1768.4</v>
      </c>
      <c r="J11" s="145" cm="1">
        <f t="array" ref="J11">_xll.BDP($A$1, $A11, "EQY_FUND_YEAR", J$3, "FUND_PER", J$2)-J12</f>
        <v>502.00000000000006</v>
      </c>
      <c r="K11" s="145" cm="1">
        <f t="array" ref="K11">_xll.BDP($A$1, $A11, "EQY_FUND_YEAR", K$3, "FUND_PER", K$2)-K12</f>
        <v>535.90000000000009</v>
      </c>
      <c r="L11" s="145" cm="1">
        <f t="array" ref="L11">_xll.BDP($A$1, $A11, "EQY_FUND_YEAR", L$3, "FUND_PER", L$2)-L12</f>
        <v>489.8</v>
      </c>
      <c r="M11" s="145" cm="1">
        <f t="array" ref="M11">_xll.BDP($A$1, $A11, "EQY_FUND_YEAR", M$3, "FUND_PER", M$2)-M12</f>
        <v>406.3</v>
      </c>
      <c r="N11" s="239">
        <f>_xll.BDP($A$1, $A11, "EQY_FUND_RELATIVE_PERIOD", N$4)-N12</f>
        <v>1934.0000000000002</v>
      </c>
      <c r="O11" s="145">
        <f>615-O12</f>
        <v>443.5</v>
      </c>
      <c r="P11" s="145">
        <f>P7*P36</f>
        <v>537.1856303541075</v>
      </c>
      <c r="Q11" s="145">
        <f t="shared" ref="Q11:R11" si="1">Q7*Q36</f>
        <v>480.27599831250001</v>
      </c>
      <c r="R11" s="145">
        <f t="shared" si="1"/>
        <v>392.05150127278199</v>
      </c>
      <c r="S11" s="239">
        <f>SUM(O11:R11)</f>
        <v>1853.0131299393895</v>
      </c>
      <c r="T11" s="239">
        <f>T7*T36</f>
        <v>1803.6062682472541</v>
      </c>
      <c r="U11" s="239">
        <f t="shared" ref="U11:W11" si="2">U7*U36</f>
        <v>1767.2372591519406</v>
      </c>
      <c r="V11" s="239">
        <f t="shared" si="2"/>
        <v>1734.9893348255414</v>
      </c>
      <c r="W11" s="239">
        <f t="shared" si="2"/>
        <v>1722.2701974115082</v>
      </c>
      <c r="X11" s="134"/>
      <c r="Y11" s="134"/>
      <c r="Z11" s="89"/>
    </row>
    <row r="12" spans="1:49" s="11" customFormat="1" x14ac:dyDescent="0.25">
      <c r="A12" s="78" t="s">
        <v>146</v>
      </c>
      <c r="B12" s="11" t="s">
        <v>145</v>
      </c>
      <c r="C12" s="239">
        <f>_xll.BDP($A$1, $A12, "EQY_FUND_RELATIVE_PERIOD", C$4)</f>
        <v>859</v>
      </c>
      <c r="D12" s="239">
        <f>_xll.BDP($A$1, $A12, "EQY_FUND_RELATIVE_PERIOD", D$4)</f>
        <v>922</v>
      </c>
      <c r="E12" s="239" cm="1">
        <f t="array" ref="E12">_xll.BDP($A$1, $A12, "EQY_FUND_YEAR", E$3, "FUND_PER", E$2)</f>
        <v>202.29999999999998</v>
      </c>
      <c r="F12" s="239" cm="1">
        <f t="array" ref="F12">_xll.BDP($A$1, $A12, "EQY_FUND_YEAR", F$3, "FUND_PER", F$2)</f>
        <v>201.6</v>
      </c>
      <c r="G12" s="239" cm="1">
        <f t="array" ref="G12">_xll.BDP($A$1, $A12, "EQY_FUND_YEAR", G$3, "FUND_PER", G$2)</f>
        <v>200.29999999999998</v>
      </c>
      <c r="H12" s="239" cm="1">
        <f t="array" ref="H12">_xll.BDP($A$1, $A12, "EQY_FUND_YEAR", H$3, "FUND_PER", H$2)</f>
        <v>181.9</v>
      </c>
      <c r="I12" s="239">
        <f>_xll.BDP($A$1, $A12, "EQY_FUND_RELATIVE_PERIOD", I$4)</f>
        <v>786.09999999999991</v>
      </c>
      <c r="J12" s="145" cm="1">
        <f t="array" ref="J12">_xll.BDP($A$1, $A12, "EQY_FUND_YEAR", J$3, "FUND_PER", J$2)</f>
        <v>173.7</v>
      </c>
      <c r="K12" s="145" cm="1">
        <f t="array" ref="K12">_xll.BDP($A$1, $A12, "EQY_FUND_YEAR", K$3, "FUND_PER", K$2)</f>
        <v>171.7</v>
      </c>
      <c r="L12" s="145" cm="1">
        <f t="array" ref="L12">_xll.BDP($A$1, $A12, "EQY_FUND_YEAR", L$3, "FUND_PER", L$2)</f>
        <v>170.2</v>
      </c>
      <c r="M12" s="145" cm="1">
        <f t="array" ref="M12">_xll.BDP($A$1, $A12, "EQY_FUND_YEAR", M$3, "FUND_PER", M$2)</f>
        <v>169.2</v>
      </c>
      <c r="N12" s="239">
        <f>_xll.BDP($A$1, $A12, "EQY_FUND_RELATIVE_PERIOD", N$4)</f>
        <v>684.8</v>
      </c>
      <c r="O12" s="145">
        <v>171.5</v>
      </c>
      <c r="P12" s="145">
        <f>K12*0.995</f>
        <v>170.8415</v>
      </c>
      <c r="Q12" s="145">
        <f t="shared" ref="Q12:R12" si="3">L12*0.995</f>
        <v>169.34899999999999</v>
      </c>
      <c r="R12" s="145">
        <f t="shared" si="3"/>
        <v>168.35399999999998</v>
      </c>
      <c r="S12" s="239">
        <f t="shared" ref="S12:S14" si="4">SUM(O12:R12)</f>
        <v>680.04449999999997</v>
      </c>
      <c r="T12" s="239">
        <f>S12*1.005</f>
        <v>683.4447224999999</v>
      </c>
      <c r="U12" s="239">
        <f t="shared" ref="U12:W12" si="5">T12*1.005</f>
        <v>686.86194611249982</v>
      </c>
      <c r="V12" s="239">
        <f t="shared" si="5"/>
        <v>690.29625584306223</v>
      </c>
      <c r="W12" s="239">
        <f t="shared" si="5"/>
        <v>693.7477371222775</v>
      </c>
      <c r="X12" s="134"/>
      <c r="Y12" s="134"/>
      <c r="Z12" s="89"/>
    </row>
    <row r="13" spans="1:49" s="11" customFormat="1" x14ac:dyDescent="0.25">
      <c r="A13" s="78" t="s">
        <v>142</v>
      </c>
      <c r="B13" s="11" t="s">
        <v>283</v>
      </c>
      <c r="C13" s="239">
        <f>_xll.BDP($A$1, $A13, "EQY_FUND_RELATIVE_PERIOD", C$4)</f>
        <v>708.8</v>
      </c>
      <c r="D13" s="239">
        <f>_xll.BDP($A$1, $A13, "EQY_FUND_RELATIVE_PERIOD", D$4)</f>
        <v>1740.2</v>
      </c>
      <c r="E13" s="239" cm="1">
        <f t="array" ref="E13">_xll.BDP($A$1, $A13, "EQY_FUND_YEAR", E$3, "FUND_PER", E$2)</f>
        <v>10.9</v>
      </c>
      <c r="F13" s="239" cm="1">
        <f t="array" ref="F13">_xll.BDP($A$1, $A13, "EQY_FUND_YEAR", F$3, "FUND_PER", F$2)</f>
        <v>9</v>
      </c>
      <c r="G13" s="239" cm="1">
        <f t="array" ref="G13">_xll.BDP($A$1, $A13, "EQY_FUND_YEAR", G$3, "FUND_PER", G$2)</f>
        <v>-2.6</v>
      </c>
      <c r="H13" s="239" cm="1">
        <f t="array" ref="H13">_xll.BDP($A$1, $A13, "EQY_FUND_YEAR", H$3, "FUND_PER", H$2)</f>
        <v>27.2</v>
      </c>
      <c r="I13" s="239">
        <f>_xll.BDP($A$1, $A13, "EQY_FUND_RELATIVE_PERIOD", I$4)</f>
        <v>44.5</v>
      </c>
      <c r="J13" s="145">
        <v>0</v>
      </c>
      <c r="K13" s="145">
        <v>0</v>
      </c>
      <c r="L13" s="145">
        <v>0</v>
      </c>
      <c r="M13" s="145" cm="1">
        <f t="array" ref="M13">_xll.BDP($A$1, $A13, "EQY_FUND_YEAR", M$3, "FUND_PER", M$2)-15</f>
        <v>844.7</v>
      </c>
      <c r="N13" s="239">
        <f>M13</f>
        <v>844.7</v>
      </c>
      <c r="O13" s="145">
        <v>0</v>
      </c>
      <c r="P13" s="145">
        <v>0</v>
      </c>
      <c r="Q13" s="145">
        <v>0</v>
      </c>
      <c r="R13" s="145">
        <v>0</v>
      </c>
      <c r="S13" s="239">
        <f t="shared" si="4"/>
        <v>0</v>
      </c>
      <c r="T13" s="239">
        <v>0</v>
      </c>
      <c r="U13" s="239">
        <v>0</v>
      </c>
      <c r="V13" s="239">
        <v>0</v>
      </c>
      <c r="W13" s="239">
        <v>0</v>
      </c>
      <c r="X13" s="134"/>
      <c r="Y13" s="134"/>
      <c r="Z13" s="89"/>
    </row>
    <row r="14" spans="1:49" x14ac:dyDescent="0.25">
      <c r="B14" s="38" t="s">
        <v>285</v>
      </c>
      <c r="C14" s="239">
        <v>0</v>
      </c>
      <c r="D14" s="239">
        <v>0</v>
      </c>
      <c r="E14" s="239">
        <v>0</v>
      </c>
      <c r="F14" s="239">
        <v>0</v>
      </c>
      <c r="G14" s="239">
        <v>0</v>
      </c>
      <c r="H14" s="239">
        <v>0</v>
      </c>
      <c r="I14" s="239">
        <v>0</v>
      </c>
      <c r="J14" s="145" cm="1">
        <f t="array" ref="J14">_xll.BDP($A$1, $A13, "EQY_FUND_YEAR", J$3, "FUND_PER", J$2)</f>
        <v>27.7</v>
      </c>
      <c r="K14" s="145" cm="1">
        <f t="array" ref="K14">_xll.BDP($A$1, $A13, "EQY_FUND_YEAR", K$3, "FUND_PER", K$2)</f>
        <v>-2.1</v>
      </c>
      <c r="L14" s="145" cm="1">
        <f t="array" ref="L14">_xll.BDP($A$1, $A13, "EQY_FUND_YEAR", L$3, "FUND_PER", L$2)</f>
        <v>-6.4</v>
      </c>
      <c r="M14" s="145">
        <f>N14-SUM(J14:L14)</f>
        <v>-53.099999999999994</v>
      </c>
      <c r="N14" s="239">
        <f>-38.6+4.7</f>
        <v>-33.9</v>
      </c>
      <c r="O14" s="145">
        <v>0</v>
      </c>
      <c r="P14" s="145">
        <v>0</v>
      </c>
      <c r="Q14" s="145">
        <v>0</v>
      </c>
      <c r="R14" s="145">
        <v>0</v>
      </c>
      <c r="S14" s="239">
        <f t="shared" si="4"/>
        <v>0</v>
      </c>
      <c r="T14" s="239">
        <v>0</v>
      </c>
      <c r="U14" s="239">
        <v>0</v>
      </c>
      <c r="V14" s="239">
        <v>0</v>
      </c>
      <c r="W14" s="239">
        <v>0</v>
      </c>
      <c r="X14" s="134"/>
      <c r="Y14" s="134"/>
    </row>
    <row r="15" spans="1:49" s="88" customFormat="1" x14ac:dyDescent="0.25">
      <c r="A15" s="98"/>
      <c r="B15" s="87" t="s">
        <v>85</v>
      </c>
      <c r="C15" s="243">
        <f t="shared" ref="C15:I15" si="6">C9-SUM(C11:C13)</f>
        <v>764.39999999999964</v>
      </c>
      <c r="D15" s="243">
        <f t="shared" si="6"/>
        <v>-408.89999999999964</v>
      </c>
      <c r="E15" s="243">
        <f t="shared" si="6"/>
        <v>177.20000000000027</v>
      </c>
      <c r="F15" s="243">
        <f t="shared" si="6"/>
        <v>580.80000000000018</v>
      </c>
      <c r="G15" s="243">
        <f t="shared" si="6"/>
        <v>531.4</v>
      </c>
      <c r="H15" s="243">
        <f t="shared" si="6"/>
        <v>164.99999999999989</v>
      </c>
      <c r="I15" s="243">
        <f t="shared" si="6"/>
        <v>1454.4000000000015</v>
      </c>
      <c r="J15" s="149">
        <f>J9-SUM(J11:J13)+J14</f>
        <v>279.7999999999999</v>
      </c>
      <c r="K15" s="149">
        <f t="shared" ref="K15:M15" si="7">K9-SUM(K11:K13)+K14</f>
        <v>110.29999999999987</v>
      </c>
      <c r="L15" s="149">
        <f t="shared" si="7"/>
        <v>317.29999999999984</v>
      </c>
      <c r="M15" s="149">
        <f t="shared" si="7"/>
        <v>-549.6</v>
      </c>
      <c r="N15" s="243">
        <f>SUM(J15:M15)</f>
        <v>157.79999999999961</v>
      </c>
      <c r="O15" s="149">
        <f>O9-SUM(O11:O13)+O14</f>
        <v>155.40000000000009</v>
      </c>
      <c r="P15" s="149">
        <f t="shared" ref="P15:R15" si="8">P9-SUM(P11:P13)+P14</f>
        <v>164.06511905889295</v>
      </c>
      <c r="Q15" s="149">
        <f t="shared" si="8"/>
        <v>404.24262981250001</v>
      </c>
      <c r="R15" s="149">
        <f t="shared" si="8"/>
        <v>391.82778891721773</v>
      </c>
      <c r="S15" s="243">
        <f>SUM(O15:R15)</f>
        <v>1115.5355377886108</v>
      </c>
      <c r="T15" s="243">
        <f>T9-SUM(T11:T13)+T14</f>
        <v>1336.1558461275636</v>
      </c>
      <c r="U15" s="243">
        <f>U9-SUM(U11:U13)+U14</f>
        <v>1516.2952379976432</v>
      </c>
      <c r="V15" s="243">
        <f t="shared" ref="V15:W15" si="9">V9-SUM(V11:V13)+V14</f>
        <v>1674.4920618797605</v>
      </c>
      <c r="W15" s="243">
        <f t="shared" si="9"/>
        <v>1810.5603282004768</v>
      </c>
      <c r="X15" s="137"/>
      <c r="Y15" s="137"/>
      <c r="Z15" s="96"/>
    </row>
    <row r="16" spans="1:49" s="17" customFormat="1" x14ac:dyDescent="0.25">
      <c r="A16" s="79"/>
      <c r="B16" s="51"/>
      <c r="C16" s="244"/>
      <c r="D16" s="244"/>
      <c r="E16" s="244"/>
      <c r="F16" s="244"/>
      <c r="G16" s="244"/>
      <c r="H16" s="244"/>
      <c r="I16" s="244"/>
      <c r="J16" s="150"/>
      <c r="K16" s="150"/>
      <c r="L16" s="150"/>
      <c r="M16" s="150"/>
      <c r="N16" s="244"/>
      <c r="O16" s="150"/>
      <c r="P16" s="150"/>
      <c r="Q16" s="150"/>
      <c r="R16" s="150"/>
      <c r="S16" s="244"/>
      <c r="T16" s="244"/>
      <c r="U16" s="244"/>
      <c r="V16" s="244"/>
      <c r="W16" s="244"/>
      <c r="X16" s="138"/>
      <c r="Y16" s="138"/>
      <c r="Z16" s="95"/>
    </row>
    <row r="17" spans="1:29" s="17" customFormat="1" x14ac:dyDescent="0.25">
      <c r="A17" s="79"/>
      <c r="B17" s="51" t="s">
        <v>191</v>
      </c>
      <c r="C17" s="244">
        <f t="shared" ref="C17:W17" si="10">C15+C12</f>
        <v>1623.3999999999996</v>
      </c>
      <c r="D17" s="244">
        <f t="shared" si="10"/>
        <v>513.10000000000036</v>
      </c>
      <c r="E17" s="244">
        <f t="shared" si="10"/>
        <v>379.50000000000023</v>
      </c>
      <c r="F17" s="244">
        <f t="shared" si="10"/>
        <v>782.4000000000002</v>
      </c>
      <c r="G17" s="244">
        <f t="shared" si="10"/>
        <v>731.69999999999993</v>
      </c>
      <c r="H17" s="244">
        <f t="shared" si="10"/>
        <v>346.89999999999986</v>
      </c>
      <c r="I17" s="244">
        <f t="shared" si="10"/>
        <v>2240.5000000000014</v>
      </c>
      <c r="J17" s="150">
        <f t="shared" si="10"/>
        <v>453.49999999999989</v>
      </c>
      <c r="K17" s="150">
        <f t="shared" si="10"/>
        <v>281.99999999999989</v>
      </c>
      <c r="L17" s="150">
        <f t="shared" si="10"/>
        <v>487.49999999999983</v>
      </c>
      <c r="M17" s="150">
        <f>M15+M12</f>
        <v>-380.40000000000003</v>
      </c>
      <c r="N17" s="244">
        <f t="shared" si="10"/>
        <v>842.59999999999957</v>
      </c>
      <c r="O17" s="150">
        <f t="shared" si="10"/>
        <v>326.90000000000009</v>
      </c>
      <c r="P17" s="150">
        <f t="shared" si="10"/>
        <v>334.90661905889294</v>
      </c>
      <c r="Q17" s="150">
        <f t="shared" si="10"/>
        <v>573.59162981250006</v>
      </c>
      <c r="R17" s="150">
        <f t="shared" si="10"/>
        <v>560.18178891721777</v>
      </c>
      <c r="S17" s="244">
        <f t="shared" si="10"/>
        <v>1795.5800377886108</v>
      </c>
      <c r="T17" s="244">
        <f t="shared" si="10"/>
        <v>2019.6005686275635</v>
      </c>
      <c r="U17" s="244">
        <f t="shared" si="10"/>
        <v>2203.1571841101431</v>
      </c>
      <c r="V17" s="244">
        <f t="shared" si="10"/>
        <v>2364.7883177228227</v>
      </c>
      <c r="W17" s="244">
        <f t="shared" si="10"/>
        <v>2504.3080653227544</v>
      </c>
      <c r="X17" s="138"/>
      <c r="Y17" s="138"/>
      <c r="Z17" s="95"/>
    </row>
    <row r="18" spans="1:29" s="17" customFormat="1" x14ac:dyDescent="0.25">
      <c r="A18" s="79"/>
      <c r="B18" s="51" t="s">
        <v>284</v>
      </c>
      <c r="C18" s="244">
        <f>C15+C12+C13</f>
        <v>2332.1999999999998</v>
      </c>
      <c r="D18" s="244">
        <f t="shared" ref="D18:I18" si="11">D15+D12+D13</f>
        <v>2253.3000000000002</v>
      </c>
      <c r="E18" s="244">
        <f t="shared" si="11"/>
        <v>390.4000000000002</v>
      </c>
      <c r="F18" s="244">
        <f t="shared" si="11"/>
        <v>791.4000000000002</v>
      </c>
      <c r="G18" s="244">
        <f t="shared" si="11"/>
        <v>729.09999999999991</v>
      </c>
      <c r="H18" s="244">
        <f t="shared" si="11"/>
        <v>374.09999999999985</v>
      </c>
      <c r="I18" s="244">
        <f t="shared" si="11"/>
        <v>2285.0000000000014</v>
      </c>
      <c r="J18" s="150">
        <f>J15+J12+J13</f>
        <v>453.49999999999989</v>
      </c>
      <c r="K18" s="150">
        <f t="shared" ref="K18:L18" si="12">K15+K12+K13</f>
        <v>281.99999999999989</v>
      </c>
      <c r="L18" s="150">
        <f t="shared" si="12"/>
        <v>487.49999999999983</v>
      </c>
      <c r="M18" s="150">
        <f>M15+M12+M13</f>
        <v>464.3</v>
      </c>
      <c r="N18" s="244">
        <f>SUM(J18:M18)</f>
        <v>1687.2999999999995</v>
      </c>
      <c r="O18" s="150">
        <f>O15+O12+O13</f>
        <v>326.90000000000009</v>
      </c>
      <c r="P18" s="150">
        <f t="shared" ref="P18:R18" si="13">P15+P12+P13</f>
        <v>334.90661905889294</v>
      </c>
      <c r="Q18" s="150">
        <f t="shared" si="13"/>
        <v>573.59162981250006</v>
      </c>
      <c r="R18" s="150">
        <f t="shared" si="13"/>
        <v>560.18178891721777</v>
      </c>
      <c r="S18" s="244">
        <f>S15+S12+S13</f>
        <v>1795.5800377886108</v>
      </c>
      <c r="T18" s="244">
        <f>T15+T12+T13</f>
        <v>2019.6005686275635</v>
      </c>
      <c r="U18" s="244">
        <f>U15+U12+U13</f>
        <v>2203.1571841101431</v>
      </c>
      <c r="V18" s="244">
        <f t="shared" ref="V18:W18" si="14">V15+V12+V13</f>
        <v>2364.7883177228227</v>
      </c>
      <c r="W18" s="244">
        <f t="shared" si="14"/>
        <v>2504.3080653227544</v>
      </c>
      <c r="X18" s="138"/>
      <c r="Y18" s="138"/>
      <c r="Z18" s="95"/>
    </row>
    <row r="19" spans="1:29" s="17" customFormat="1" x14ac:dyDescent="0.25">
      <c r="A19" s="78"/>
      <c r="B19" s="11"/>
      <c r="C19" s="244"/>
      <c r="D19" s="244"/>
      <c r="E19" s="244"/>
      <c r="F19" s="244"/>
      <c r="G19" s="244"/>
      <c r="H19" s="244"/>
      <c r="I19" s="244"/>
      <c r="J19" s="150"/>
      <c r="K19" s="150"/>
      <c r="L19" s="150"/>
      <c r="M19" s="150"/>
      <c r="N19" s="244"/>
      <c r="O19" s="150"/>
      <c r="P19" s="150"/>
      <c r="Q19" s="150"/>
      <c r="R19" s="150"/>
      <c r="S19" s="244"/>
      <c r="T19" s="244"/>
      <c r="U19" s="244"/>
      <c r="V19" s="244"/>
      <c r="W19" s="244"/>
      <c r="X19" s="138"/>
      <c r="Y19" s="138"/>
      <c r="Z19" s="95"/>
    </row>
    <row r="20" spans="1:29" s="17" customFormat="1" x14ac:dyDescent="0.25">
      <c r="A20" s="78" t="s">
        <v>97</v>
      </c>
      <c r="B20" s="11" t="s">
        <v>86</v>
      </c>
      <c r="C20" s="245">
        <f>_xll.BDP($A$1, $A20, "EQY_FUND_RELATIVE_PERIOD", C$4)-C21</f>
        <v>264.5</v>
      </c>
      <c r="D20" s="245">
        <f>_xll.BDP($A$1, $A20, "EQY_FUND_RELATIVE_PERIOD", D$4)-D21</f>
        <v>268</v>
      </c>
      <c r="E20" s="245" cm="1">
        <f t="array" ref="E20">_xll.BDP($A$1, $A20, "EQY_FUND_YEAR", E$3, "FUND_PER", E$2)</f>
        <v>65.3</v>
      </c>
      <c r="F20" s="245" cm="1">
        <f t="array" ref="F20">_xll.BDP($A$1, $A20, "EQY_FUND_YEAR", F$3, "FUND_PER", F$2)</f>
        <v>67.899999999999991</v>
      </c>
      <c r="G20" s="245" cm="1">
        <f t="array" ref="G20">_xll.BDP($A$1, $A20, "EQY_FUND_YEAR", G$3, "FUND_PER", G$2)</f>
        <v>63.3</v>
      </c>
      <c r="H20" s="245" cm="1">
        <f t="array" ref="H20">_xll.BDP($A$1, $A20, "EQY_FUND_YEAR", H$3, "FUND_PER", H$2)</f>
        <v>61.8</v>
      </c>
      <c r="I20" s="245">
        <f>_xll.BDP($A$1, $A20, "EQY_FUND_RELATIVE_PERIOD", I$4)-I21</f>
        <v>256.3</v>
      </c>
      <c r="J20" s="151" cm="1">
        <f t="array" ref="J20">_xll.BDP($A$1, $A20, "EQY_FUND_YEAR", J$3, "FUND_PER", J$2)</f>
        <v>63.3</v>
      </c>
      <c r="K20" s="151" cm="1">
        <f t="array" ref="K20">_xll.BDP($A$1, $A20, "EQY_FUND_YEAR", K$3, "FUND_PER", K$2)</f>
        <v>66.599999999999994</v>
      </c>
      <c r="L20" s="151" cm="1">
        <f t="array" ref="L20">_xll.BDP($A$1, $A20, "EQY_FUND_YEAR", L$3, "FUND_PER", L$2)</f>
        <v>58.699999999999996</v>
      </c>
      <c r="M20" s="151" cm="1">
        <f t="array" ref="M20">_xll.BDP($A$1, $A20, "EQY_FUND_YEAR", M$3, "FUND_PER", M$2)</f>
        <v>57.699999999999996</v>
      </c>
      <c r="N20" s="245">
        <f>_xll.BDP($A$1, $A20, "EQY_FUND_RELATIVE_PERIOD", N$4)</f>
        <v>246.29999999999998</v>
      </c>
      <c r="O20" s="150">
        <v>59.1</v>
      </c>
      <c r="P20" s="150">
        <f>$S$20/4</f>
        <v>63.1</v>
      </c>
      <c r="Q20" s="150">
        <f>$S$20/4</f>
        <v>63.1</v>
      </c>
      <c r="R20" s="150">
        <f>S20-SUM(O20:Q20)</f>
        <v>67.099999999999994</v>
      </c>
      <c r="S20" s="245">
        <f>'Opportunity Set'!P3</f>
        <v>252.4</v>
      </c>
      <c r="T20" s="245">
        <f>'Opportunity Set'!Q3</f>
        <v>267.8</v>
      </c>
      <c r="U20" s="245">
        <f>'Opportunity Set'!R3</f>
        <v>262.8</v>
      </c>
      <c r="V20" s="245">
        <f>'Opportunity Set'!S3</f>
        <v>224.20000000000002</v>
      </c>
      <c r="W20" s="245">
        <f>'Opportunity Set'!T3</f>
        <v>235.60000000000002</v>
      </c>
      <c r="X20" s="139"/>
      <c r="Y20" s="139"/>
      <c r="Z20" s="95"/>
    </row>
    <row r="21" spans="1:29" s="17" customFormat="1" ht="14.25" hidden="1" customHeight="1" x14ac:dyDescent="0.25">
      <c r="A21" s="78" t="s">
        <v>143</v>
      </c>
      <c r="B21" s="11"/>
      <c r="C21" s="245">
        <f>_xll.BDP($A$1, $A21, "EQY_FUND_RELATIVE_PERIOD", C$4)</f>
        <v>8.1999999999999993</v>
      </c>
      <c r="D21" s="245">
        <f>_xll.BDP($A$1, $A21, "EQY_FUND_RELATIVE_PERIOD", D$4)</f>
        <v>3.3</v>
      </c>
      <c r="E21" s="245" t="str" cm="1">
        <f t="array" ref="E21">_xll.BDP($A$1, $A21, "EQY_FUND_YEAR", E$3, "FUND_PER", E$2)</f>
        <v>#N/A N/A</v>
      </c>
      <c r="F21" s="245" t="str" cm="1">
        <f t="array" ref="F21">_xll.BDP($A$1, $A21, "EQY_FUND_YEAR", F$3, "FUND_PER", F$2)</f>
        <v>#N/A N/A</v>
      </c>
      <c r="G21" s="245" t="str" cm="1">
        <f t="array" ref="G21">_xll.BDP($A$1, $A21, "EQY_FUND_YEAR", G$3, "FUND_PER", G$2)</f>
        <v>#N/A N/A</v>
      </c>
      <c r="H21" s="245" t="str" cm="1">
        <f t="array" ref="H21">_xll.BDP($A$1, $A21, "EQY_FUND_YEAR", H$3, "FUND_PER", H$2)</f>
        <v>#N/A N/A</v>
      </c>
      <c r="I21" s="245">
        <f>_xll.BDP($A$1, $A21, "EQY_FUND_RELATIVE_PERIOD", I$4)</f>
        <v>2</v>
      </c>
      <c r="J21" s="151"/>
      <c r="K21" s="151"/>
      <c r="L21" s="151"/>
      <c r="M21" s="151"/>
      <c r="N21" s="245"/>
      <c r="O21" s="150"/>
      <c r="P21" s="150"/>
      <c r="Q21" s="150"/>
      <c r="R21" s="150"/>
      <c r="S21" s="245"/>
      <c r="T21" s="245"/>
      <c r="U21" s="245"/>
      <c r="V21" s="245"/>
      <c r="W21" s="245"/>
      <c r="X21" s="139"/>
      <c r="Y21" s="139"/>
      <c r="Z21" s="95"/>
    </row>
    <row r="22" spans="1:29" s="14" customFormat="1" x14ac:dyDescent="0.25">
      <c r="A22" s="78" t="s">
        <v>98</v>
      </c>
      <c r="B22" s="11" t="s">
        <v>87</v>
      </c>
      <c r="C22" s="245">
        <f>_xll.BDP($A$1, $A22, "EQY_FUND_RELATIVE_PERIOD", C$4)</f>
        <v>11.8</v>
      </c>
      <c r="D22" s="245">
        <f>_xll.BDP($A$1, $A22, "EQY_FUND_RELATIVE_PERIOD", D$4)</f>
        <v>-36.299999999999997</v>
      </c>
      <c r="E22" s="245" cm="1">
        <f t="array" ref="E22">_xll.BDP($A$1, $A22, "EQY_FUND_YEAR", E$3, "FUND_PER", E$2)</f>
        <v>-14.4</v>
      </c>
      <c r="F22" s="245" cm="1">
        <f t="array" ref="F22">_xll.BDP($A$1, $A22, "EQY_FUND_YEAR", F$3, "FUND_PER", F$2)</f>
        <v>-9.6999999999999993</v>
      </c>
      <c r="G22" s="245" cm="1">
        <f t="array" ref="G22">_xll.BDP($A$1, $A22, "EQY_FUND_YEAR", G$3, "FUND_PER", G$2)</f>
        <v>-12.5</v>
      </c>
      <c r="H22" s="245" cm="1">
        <f t="array" ref="H22">_xll.BDP($A$1, $A22, "EQY_FUND_YEAR", H$3, "FUND_PER", H$2)</f>
        <v>-6.3</v>
      </c>
      <c r="I22" s="245">
        <f>_xll.BDP($A$1, $A22, "EQY_FUND_RELATIVE_PERIOD", I$4)</f>
        <v>-42.9</v>
      </c>
      <c r="J22" s="151" cm="1">
        <f t="array" ref="J22">_xll.BDP($A$1, $A22, "EQY_FUND_YEAR", J$3, "FUND_PER", J$2)</f>
        <v>-12.6</v>
      </c>
      <c r="K22" s="151" cm="1">
        <f t="array" ref="K22">_xll.BDP($A$1, $A22, "EQY_FUND_YEAR", K$3, "FUND_PER", K$2)</f>
        <v>-7</v>
      </c>
      <c r="L22" s="151" cm="1">
        <f t="array" ref="L22">_xll.BDP($A$1, $A22, "EQY_FUND_YEAR", L$3, "FUND_PER", L$2)</f>
        <v>-1.6</v>
      </c>
      <c r="M22" s="151" cm="1">
        <f t="array" ref="M22">_xll.BDP($A$1, $A22, "EQY_FUND_YEAR", M$3, "FUND_PER", M$2)</f>
        <v>-5.0999999999999996</v>
      </c>
      <c r="N22" s="245">
        <f>_xll.BDP($A$1, $A22, "EQY_FUND_RELATIVE_PERIOD", N$4)</f>
        <v>-26.3</v>
      </c>
      <c r="O22" s="151">
        <v>-6</v>
      </c>
      <c r="P22" s="151">
        <v>0</v>
      </c>
      <c r="Q22" s="151">
        <v>0</v>
      </c>
      <c r="R22" s="151">
        <v>0</v>
      </c>
      <c r="S22" s="245">
        <f>SUM(O22:R22)</f>
        <v>-6</v>
      </c>
      <c r="T22" s="245">
        <v>0</v>
      </c>
      <c r="U22" s="245">
        <v>0</v>
      </c>
      <c r="V22" s="245">
        <v>0</v>
      </c>
      <c r="W22" s="245">
        <v>0</v>
      </c>
      <c r="X22" s="139"/>
      <c r="Y22" s="139"/>
      <c r="Z22" s="93"/>
    </row>
    <row r="23" spans="1:29" s="88" customFormat="1" x14ac:dyDescent="0.25">
      <c r="A23" s="98"/>
      <c r="B23" s="87" t="s">
        <v>88</v>
      </c>
      <c r="C23" s="243">
        <f t="shared" ref="C23:T23" si="15">C15-SUM(C20:C22)</f>
        <v>479.89999999999964</v>
      </c>
      <c r="D23" s="243">
        <f t="shared" si="15"/>
        <v>-643.89999999999964</v>
      </c>
      <c r="E23" s="243">
        <f t="shared" si="15"/>
        <v>126.30000000000027</v>
      </c>
      <c r="F23" s="243">
        <f t="shared" si="15"/>
        <v>522.60000000000014</v>
      </c>
      <c r="G23" s="243">
        <f t="shared" si="15"/>
        <v>480.59999999999997</v>
      </c>
      <c r="H23" s="243">
        <f t="shared" si="15"/>
        <v>109.49999999999989</v>
      </c>
      <c r="I23" s="243">
        <f t="shared" si="15"/>
        <v>1239.0000000000014</v>
      </c>
      <c r="J23" s="149">
        <f t="shared" si="15"/>
        <v>229.09999999999991</v>
      </c>
      <c r="K23" s="149">
        <f t="shared" si="15"/>
        <v>50.699999999999875</v>
      </c>
      <c r="L23" s="149">
        <f t="shared" si="15"/>
        <v>260.19999999999982</v>
      </c>
      <c r="M23" s="149">
        <f t="shared" si="15"/>
        <v>-602.20000000000005</v>
      </c>
      <c r="N23" s="243">
        <f t="shared" si="15"/>
        <v>-62.200000000000358</v>
      </c>
      <c r="O23" s="149">
        <f t="shared" si="15"/>
        <v>102.3000000000001</v>
      </c>
      <c r="P23" s="149">
        <f t="shared" si="15"/>
        <v>100.96511905889295</v>
      </c>
      <c r="Q23" s="149">
        <f t="shared" si="15"/>
        <v>341.14262981249999</v>
      </c>
      <c r="R23" s="149">
        <f t="shared" si="15"/>
        <v>324.72778891721771</v>
      </c>
      <c r="S23" s="243">
        <f t="shared" si="15"/>
        <v>869.1355377886108</v>
      </c>
      <c r="T23" s="243">
        <f t="shared" si="15"/>
        <v>1068.3558461275636</v>
      </c>
      <c r="U23" s="243">
        <f t="shared" ref="U23:W23" si="16">U15-SUM(U20:U22)</f>
        <v>1253.4952379976432</v>
      </c>
      <c r="V23" s="243">
        <f t="shared" si="16"/>
        <v>1450.2920618797605</v>
      </c>
      <c r="W23" s="243">
        <f t="shared" si="16"/>
        <v>1574.9603282004769</v>
      </c>
      <c r="X23" s="137"/>
      <c r="Y23" s="137"/>
      <c r="Z23" s="96"/>
    </row>
    <row r="24" spans="1:29" s="17" customFormat="1" x14ac:dyDescent="0.25">
      <c r="A24" s="78"/>
      <c r="B24" s="11"/>
      <c r="C24" s="244"/>
      <c r="D24" s="244"/>
      <c r="E24" s="244"/>
      <c r="F24" s="244"/>
      <c r="G24" s="244"/>
      <c r="H24" s="244"/>
      <c r="I24" s="244"/>
      <c r="J24" s="150"/>
      <c r="K24" s="150"/>
      <c r="L24" s="150"/>
      <c r="M24" s="150"/>
      <c r="N24" s="244"/>
      <c r="O24" s="150"/>
      <c r="P24" s="150"/>
      <c r="Q24" s="150"/>
      <c r="R24" s="150"/>
      <c r="S24" s="244"/>
      <c r="T24" s="244"/>
      <c r="U24" s="244"/>
      <c r="V24" s="244"/>
      <c r="W24" s="244"/>
      <c r="X24" s="138"/>
      <c r="Y24" s="138"/>
      <c r="Z24" s="95"/>
    </row>
    <row r="25" spans="1:29" s="14" customFormat="1" x14ac:dyDescent="0.25">
      <c r="A25" s="78" t="s">
        <v>99</v>
      </c>
      <c r="B25" s="11" t="s">
        <v>89</v>
      </c>
      <c r="C25" s="245">
        <f>_xll.BDP($A$1, $A25, "EQY_FUND_RELATIVE_PERIOD", C$4)</f>
        <v>233.7</v>
      </c>
      <c r="D25" s="245">
        <f>_xll.BDP($A$1, $A25, "EQY_FUND_RELATIVE_PERIOD", D$4)</f>
        <v>301.8</v>
      </c>
      <c r="E25" s="245" cm="1">
        <f t="array" ref="E25">_xll.BDP($A$1, $A25, "EQY_FUND_YEAR", E$3, "FUND_PER", E$2)</f>
        <v>44.3</v>
      </c>
      <c r="F25" s="245" cm="1">
        <f t="array" ref="F25">_xll.BDP($A$1, $A25, "EQY_FUND_YEAR", F$3, "FUND_PER", F$2)</f>
        <v>132.30000000000001</v>
      </c>
      <c r="G25" s="245" cm="1">
        <f t="array" ref="G25">_xll.BDP($A$1, $A25, "EQY_FUND_YEAR", G$3, "FUND_PER", G$2)</f>
        <v>26.799999999999997</v>
      </c>
      <c r="H25" s="245" cm="1">
        <f t="array" ref="H25">_xll.BDP($A$1, $A25, "EQY_FUND_YEAR", H$3, "FUND_PER", H$2)</f>
        <v>27.099999999999998</v>
      </c>
      <c r="I25" s="245">
        <f>_xll.BDP($A$1, $A25, "EQY_FUND_RELATIVE_PERIOD", I$4)</f>
        <v>230.5</v>
      </c>
      <c r="J25" s="151" cm="1">
        <f t="array" ref="J25">_xll.BDP($A$1, $A25, "EQY_FUND_YEAR", J$3, "FUND_PER", J$2)</f>
        <v>36.4</v>
      </c>
      <c r="K25" s="151" cm="1">
        <f t="array" ref="K25">_xll.BDP($A$1, $A25, "EQY_FUND_YEAR", K$3, "FUND_PER", K$2)</f>
        <v>7</v>
      </c>
      <c r="L25" s="151" cm="1">
        <f t="array" ref="L25">_xll.BDP($A$1, $A25, "EQY_FUND_YEAR", L$3, "FUND_PER", L$2)</f>
        <v>54.9</v>
      </c>
      <c r="M25" s="151" cm="1">
        <f t="array" ref="M25">_xll.BDP($A$1, $A25, "EQY_FUND_YEAR", M$3, "FUND_PER", M$2)</f>
        <v>25.7</v>
      </c>
      <c r="N25" s="245">
        <f>_xll.BDP($A$1, $A25, "EQY_FUND_RELATIVE_PERIOD", N$4)</f>
        <v>124</v>
      </c>
      <c r="O25" s="151">
        <v>29</v>
      </c>
      <c r="P25" s="151">
        <f>(P23*0.23)-(P20*0.23)</f>
        <v>8.7089773835453776</v>
      </c>
      <c r="Q25" s="151">
        <f t="shared" ref="Q25:R25" si="17">(Q23*0.23)-(Q20*0.23)</f>
        <v>63.949804856874991</v>
      </c>
      <c r="R25" s="151">
        <f t="shared" si="17"/>
        <v>59.254391450960078</v>
      </c>
      <c r="S25" s="245">
        <f>SUM(O25:R25)</f>
        <v>160.91317369138045</v>
      </c>
      <c r="T25" s="245">
        <f>(T23*0.23)-(T20*0.23)</f>
        <v>184.1278446093396</v>
      </c>
      <c r="U25" s="245">
        <f t="shared" ref="U25:W25" si="18">(U23*0.23)-(U20*0.23)</f>
        <v>227.85990473945793</v>
      </c>
      <c r="V25" s="245">
        <f t="shared" si="18"/>
        <v>282.00117423234491</v>
      </c>
      <c r="W25" s="245">
        <f t="shared" si="18"/>
        <v>308.05287548610971</v>
      </c>
      <c r="X25" s="139"/>
      <c r="Y25" s="139"/>
      <c r="Z25" s="93"/>
    </row>
    <row r="26" spans="1:29" s="14" customFormat="1" x14ac:dyDescent="0.25">
      <c r="A26" s="78" t="s">
        <v>100</v>
      </c>
      <c r="B26" s="11" t="s">
        <v>90</v>
      </c>
      <c r="C26" s="245">
        <f>_xll.BDP($A$1, $A26, "EQY_FUND_RELATIVE_PERIOD", C$4)</f>
        <v>4.5</v>
      </c>
      <c r="D26" s="245">
        <f>_xll.BDP($A$1, $A26, "EQY_FUND_RELATIVE_PERIOD", D$4)</f>
        <v>3.3</v>
      </c>
      <c r="E26" s="245" cm="1">
        <f t="array" ref="E26">_xll.BDP($A$1, $A26, "EQY_FUND_YEAR", E$3, "FUND_PER", E$2)</f>
        <v>-2.1</v>
      </c>
      <c r="F26" s="245" cm="1">
        <f t="array" ref="F26">_xll.BDP($A$1, $A26, "EQY_FUND_YEAR", F$3, "FUND_PER", F$2)</f>
        <v>1.7</v>
      </c>
      <c r="G26" s="245" cm="1">
        <f t="array" ref="G26">_xll.BDP($A$1, $A26, "EQY_FUND_YEAR", G$3, "FUND_PER", G$2)</f>
        <v>0.79999999999999993</v>
      </c>
      <c r="H26" s="245" cm="1">
        <f t="array" ref="H26">_xll.BDP($A$1, $A26, "EQY_FUND_YEAR", H$3, "FUND_PER", H$2)</f>
        <v>2.4</v>
      </c>
      <c r="I26" s="245">
        <f>_xll.BDP($A$1, $A26, "EQY_FUND_RELATIVE_PERIOD", I$4)</f>
        <v>2.8</v>
      </c>
      <c r="J26" s="151" cm="1">
        <f t="array" ref="J26">_xll.BDP($A$1, $A26, "EQY_FUND_YEAR", J$3, "FUND_PER", J$2)</f>
        <v>-14.2</v>
      </c>
      <c r="K26" s="151" cm="1">
        <f t="array" ref="K26">_xll.BDP($A$1, $A26, "EQY_FUND_YEAR", K$3, "FUND_PER", K$2)</f>
        <v>0.6</v>
      </c>
      <c r="L26" s="151" cm="1">
        <f t="array" ref="L26">_xll.BDP($A$1, $A26, "EQY_FUND_YEAR", L$3, "FUND_PER", L$2)</f>
        <v>1.7</v>
      </c>
      <c r="M26" s="151" cm="1">
        <f t="array" ref="M26">_xll.BDP($A$1, $A26, "EQY_FUND_YEAR", M$3, "FUND_PER", M$2)</f>
        <v>0.7</v>
      </c>
      <c r="N26" s="245">
        <f>_xll.BDP($A$1, $A26, "EQY_FUND_RELATIVE_PERIOD", N$4)</f>
        <v>-11.2</v>
      </c>
      <c r="O26" s="151">
        <v>1</v>
      </c>
      <c r="P26" s="151">
        <v>1</v>
      </c>
      <c r="Q26" s="151">
        <v>1</v>
      </c>
      <c r="R26" s="151">
        <v>1</v>
      </c>
      <c r="S26" s="245">
        <f>SUM(O26:R26)</f>
        <v>4</v>
      </c>
      <c r="T26" s="245">
        <f>S26</f>
        <v>4</v>
      </c>
      <c r="U26" s="245">
        <f t="shared" ref="U26:W26" si="19">T26</f>
        <v>4</v>
      </c>
      <c r="V26" s="245">
        <f t="shared" si="19"/>
        <v>4</v>
      </c>
      <c r="W26" s="245">
        <f t="shared" si="19"/>
        <v>4</v>
      </c>
      <c r="X26" s="139"/>
      <c r="Y26" s="139"/>
      <c r="Z26" s="93"/>
    </row>
    <row r="27" spans="1:29" s="88" customFormat="1" x14ac:dyDescent="0.25">
      <c r="A27" s="98"/>
      <c r="B27" s="87" t="s">
        <v>91</v>
      </c>
      <c r="C27" s="243">
        <f t="shared" ref="C27:R27" si="20">C23-SUM(C25:C26)</f>
        <v>241.69999999999965</v>
      </c>
      <c r="D27" s="243">
        <f t="shared" si="20"/>
        <v>-948.99999999999966</v>
      </c>
      <c r="E27" s="243">
        <f t="shared" si="20"/>
        <v>84.100000000000279</v>
      </c>
      <c r="F27" s="243">
        <f t="shared" si="20"/>
        <v>388.60000000000014</v>
      </c>
      <c r="G27" s="243">
        <f t="shared" si="20"/>
        <v>452.99999999999994</v>
      </c>
      <c r="H27" s="243">
        <f t="shared" si="20"/>
        <v>79.999999999999886</v>
      </c>
      <c r="I27" s="243">
        <f t="shared" si="20"/>
        <v>1005.7000000000014</v>
      </c>
      <c r="J27" s="149">
        <f t="shared" si="20"/>
        <v>206.89999999999992</v>
      </c>
      <c r="K27" s="149">
        <f t="shared" si="20"/>
        <v>43.099999999999874</v>
      </c>
      <c r="L27" s="149">
        <f t="shared" si="20"/>
        <v>203.59999999999982</v>
      </c>
      <c r="M27" s="149">
        <f t="shared" si="20"/>
        <v>-628.6</v>
      </c>
      <c r="N27" s="243">
        <f t="shared" si="20"/>
        <v>-175.00000000000034</v>
      </c>
      <c r="O27" s="149">
        <f t="shared" si="20"/>
        <v>72.300000000000097</v>
      </c>
      <c r="P27" s="149">
        <f>P23-SUM(P25:P26)</f>
        <v>91.256141675347578</v>
      </c>
      <c r="Q27" s="149">
        <f t="shared" si="20"/>
        <v>276.19282495562499</v>
      </c>
      <c r="R27" s="149">
        <f t="shared" si="20"/>
        <v>264.47339746625761</v>
      </c>
      <c r="S27" s="243">
        <f>S23-SUM(S25:S26)</f>
        <v>704.22236409723041</v>
      </c>
      <c r="T27" s="243">
        <f>T23-SUM(T25:T26)</f>
        <v>880.228001518224</v>
      </c>
      <c r="U27" s="243">
        <f t="shared" ref="U27:W27" si="21">U23-SUM(U25:U26)</f>
        <v>1021.6353332581853</v>
      </c>
      <c r="V27" s="243">
        <f t="shared" si="21"/>
        <v>1164.2908876474155</v>
      </c>
      <c r="W27" s="243">
        <f t="shared" si="21"/>
        <v>1262.9074527143671</v>
      </c>
      <c r="X27" s="137"/>
      <c r="Y27" s="137"/>
      <c r="Z27" s="96"/>
    </row>
    <row r="28" spans="1:29" s="17" customFormat="1" x14ac:dyDescent="0.25">
      <c r="A28" s="78"/>
      <c r="B28" s="77"/>
      <c r="C28" s="244"/>
      <c r="D28" s="244"/>
      <c r="E28" s="244"/>
      <c r="F28" s="244"/>
      <c r="G28" s="244"/>
      <c r="H28" s="244"/>
      <c r="I28" s="244"/>
      <c r="J28" s="150"/>
      <c r="K28" s="150"/>
      <c r="L28" s="150"/>
      <c r="M28" s="150"/>
      <c r="N28" s="244"/>
      <c r="O28" s="150"/>
      <c r="P28" s="150"/>
      <c r="Q28" s="150"/>
      <c r="R28" s="150"/>
      <c r="S28" s="244"/>
      <c r="T28" s="244"/>
      <c r="U28" s="244"/>
      <c r="V28" s="244"/>
      <c r="W28" s="244"/>
      <c r="X28" s="138"/>
      <c r="Y28" s="138"/>
      <c r="Z28" s="95"/>
    </row>
    <row r="29" spans="1:29" s="17" customFormat="1" x14ac:dyDescent="0.25">
      <c r="A29" s="78"/>
      <c r="B29" s="121" t="s">
        <v>186</v>
      </c>
      <c r="C29" s="244"/>
      <c r="D29" s="244"/>
      <c r="E29" s="244"/>
      <c r="F29" s="244"/>
      <c r="G29" s="244"/>
      <c r="H29" s="244"/>
      <c r="I29" s="244"/>
      <c r="J29" s="161"/>
      <c r="K29" s="150"/>
      <c r="L29" s="150"/>
      <c r="M29" s="150"/>
      <c r="N29" s="244"/>
      <c r="O29" s="150"/>
      <c r="P29" s="150"/>
      <c r="Q29" s="150"/>
      <c r="R29" s="150"/>
      <c r="S29" s="244"/>
      <c r="T29" s="244"/>
      <c r="U29" s="244"/>
      <c r="V29" s="244"/>
      <c r="W29" s="244"/>
      <c r="X29" s="138"/>
      <c r="Y29" s="138"/>
      <c r="Z29" s="95"/>
    </row>
    <row r="30" spans="1:29" s="17" customFormat="1" x14ac:dyDescent="0.25">
      <c r="A30" s="78"/>
      <c r="B30" s="121"/>
      <c r="C30" s="244"/>
      <c r="D30" s="244"/>
      <c r="E30" s="244"/>
      <c r="F30" s="244"/>
      <c r="G30" s="244"/>
      <c r="H30" s="244"/>
      <c r="I30" s="244"/>
      <c r="J30" s="150"/>
      <c r="K30" s="150"/>
      <c r="L30" s="150"/>
      <c r="M30" s="150"/>
      <c r="N30" s="244"/>
      <c r="O30" s="150"/>
      <c r="P30" s="150"/>
      <c r="Q30" s="150"/>
      <c r="R30" s="150"/>
      <c r="S30" s="244"/>
      <c r="T30" s="244"/>
      <c r="U30" s="244"/>
      <c r="V30" s="244"/>
      <c r="W30" s="244"/>
      <c r="X30" s="138"/>
      <c r="Y30" s="138"/>
      <c r="Z30" s="95"/>
    </row>
    <row r="31" spans="1:29" s="14" customFormat="1" x14ac:dyDescent="0.25">
      <c r="A31" s="78"/>
      <c r="B31" s="11" t="s">
        <v>187</v>
      </c>
      <c r="C31" s="246">
        <f>(C7-10769.6)/10769.6</f>
        <v>-1.7660823057495237E-2</v>
      </c>
      <c r="D31" s="246">
        <f>(D7-C7)/C7</f>
        <v>-8.7471879312626399E-2</v>
      </c>
      <c r="E31" s="246"/>
      <c r="F31" s="246"/>
      <c r="G31" s="246"/>
      <c r="H31" s="246"/>
      <c r="I31" s="246">
        <f>(I7-D7)/D7</f>
        <v>6.4812512948000903E-2</v>
      </c>
      <c r="J31" s="152">
        <f>J5/E5-1</f>
        <v>0.17162359824475826</v>
      </c>
      <c r="K31" s="152">
        <f>K5/F5-1</f>
        <v>-1.7564534231200857E-2</v>
      </c>
      <c r="L31" s="152">
        <f>L5/G5-1</f>
        <v>2.3869127321418215E-2</v>
      </c>
      <c r="M31" s="152">
        <f>M5/H5-1</f>
        <v>-1.5339343851740517E-2</v>
      </c>
      <c r="N31" s="246">
        <f>(N7-I7)/I7</f>
        <v>4.0983686294347038E-2</v>
      </c>
      <c r="O31" s="152">
        <f>(O7-2214.6)/2214.6</f>
        <v>5.9333513952858345E-2</v>
      </c>
      <c r="P31" s="152">
        <f>(P7-2921.7)/2921.7</f>
        <v>3.8760675000000216E-2</v>
      </c>
      <c r="Q31" s="152">
        <f>(Q7-2935.2)/2935.2</f>
        <v>1.003906250000005E-2</v>
      </c>
      <c r="R31" s="152">
        <f>(R7-2629.5)/2629.5</f>
        <v>-2.5507467999999943E-2</v>
      </c>
      <c r="S31" s="246">
        <f>(S7-N7)/N7</f>
        <v>1.9628243462433383E-2</v>
      </c>
      <c r="T31" s="246">
        <f>(T7-S7)/S7</f>
        <v>-2.1887496868536228E-2</v>
      </c>
      <c r="U31" s="246">
        <f>(U7-T7)/T7</f>
        <v>-8.4300499999998401E-3</v>
      </c>
      <c r="V31" s="246">
        <f>(V7-U7)/U7</f>
        <v>-6.3476200000001206E-3</v>
      </c>
      <c r="W31" s="246">
        <f>(W7-V7)/V7</f>
        <v>-1.2781000000002341E-3</v>
      </c>
      <c r="X31" s="140"/>
      <c r="Y31" s="140"/>
      <c r="Z31" s="123"/>
      <c r="AA31" s="123"/>
      <c r="AB31" s="123"/>
      <c r="AC31" s="123"/>
    </row>
    <row r="32" spans="1:29" s="14" customFormat="1" x14ac:dyDescent="0.25">
      <c r="A32" s="78"/>
      <c r="B32" s="11"/>
      <c r="C32" s="246"/>
      <c r="D32" s="246"/>
      <c r="E32" s="246"/>
      <c r="F32" s="246"/>
      <c r="G32" s="246"/>
      <c r="H32" s="246"/>
      <c r="I32" s="246"/>
      <c r="J32" s="152"/>
      <c r="K32" s="152"/>
      <c r="L32" s="152"/>
      <c r="M32" s="152"/>
      <c r="N32" s="246"/>
      <c r="O32" s="152"/>
      <c r="P32" s="152"/>
      <c r="Q32" s="152"/>
      <c r="R32" s="152"/>
      <c r="S32" s="246"/>
      <c r="T32" s="246"/>
      <c r="U32" s="246"/>
      <c r="V32" s="246"/>
      <c r="W32" s="246"/>
      <c r="X32" s="140"/>
      <c r="Y32" s="140"/>
      <c r="Z32" s="123"/>
      <c r="AA32" s="123"/>
      <c r="AB32" s="123"/>
      <c r="AC32" s="123"/>
    </row>
    <row r="33" spans="1:29" s="14" customFormat="1" x14ac:dyDescent="0.25">
      <c r="A33" s="78"/>
      <c r="B33" s="11" t="s">
        <v>188</v>
      </c>
      <c r="C33" s="246">
        <f>C9/C7</f>
        <v>0.39711136737433123</v>
      </c>
      <c r="D33" s="246">
        <f>D9/D7</f>
        <v>0.39033561218147922</v>
      </c>
      <c r="E33" s="246"/>
      <c r="F33" s="246"/>
      <c r="G33" s="246"/>
      <c r="H33" s="246"/>
      <c r="I33" s="246">
        <f t="shared" ref="I33:W33" si="22">I9/I7</f>
        <v>0.39431111802873636</v>
      </c>
      <c r="J33" s="152">
        <f t="shared" si="22"/>
        <v>0.41894698816942111</v>
      </c>
      <c r="K33" s="152">
        <f t="shared" si="22"/>
        <v>0.28065852072423592</v>
      </c>
      <c r="L33" s="152">
        <f t="shared" si="22"/>
        <v>0.33513900245298445</v>
      </c>
      <c r="M33" s="152">
        <f t="shared" si="22"/>
        <v>0.35128351397604107</v>
      </c>
      <c r="N33" s="246">
        <f t="shared" si="22"/>
        <v>0.34157555368657144</v>
      </c>
      <c r="O33" s="152">
        <f t="shared" si="22"/>
        <v>0.32838874680306906</v>
      </c>
      <c r="P33" s="152">
        <f t="shared" si="22"/>
        <v>0.2873500693686617</v>
      </c>
      <c r="Q33" s="152">
        <f t="shared" si="22"/>
        <v>0.35547592708383435</v>
      </c>
      <c r="R33" s="152">
        <f t="shared" si="22"/>
        <v>0.37161366026169207</v>
      </c>
      <c r="S33" s="246">
        <f t="shared" si="22"/>
        <v>0.33450510258258043</v>
      </c>
      <c r="T33" s="246">
        <f t="shared" si="22"/>
        <v>0.35823891655674162</v>
      </c>
      <c r="U33" s="246">
        <f t="shared" si="22"/>
        <v>0.37519346572794326</v>
      </c>
      <c r="V33" s="246">
        <f t="shared" si="22"/>
        <v>0.38989479594610915</v>
      </c>
      <c r="W33" s="246">
        <f t="shared" si="22"/>
        <v>0.40246811222199885</v>
      </c>
      <c r="X33" s="140"/>
      <c r="Y33" s="140"/>
      <c r="Z33" s="123"/>
      <c r="AA33" s="123"/>
      <c r="AB33" s="123"/>
      <c r="AC33" s="123"/>
    </row>
    <row r="34" spans="1:29" s="14" customFormat="1" x14ac:dyDescent="0.25">
      <c r="A34" s="78"/>
      <c r="B34" s="11" t="s">
        <v>189</v>
      </c>
      <c r="C34" s="246">
        <f>C15/C7</f>
        <v>7.2253624969279895E-2</v>
      </c>
      <c r="D34" s="246">
        <f>D15/D7</f>
        <v>-4.2355500310751984E-2</v>
      </c>
      <c r="E34" s="246"/>
      <c r="F34" s="246"/>
      <c r="G34" s="246"/>
      <c r="H34" s="246"/>
      <c r="I34" s="246">
        <f t="shared" ref="I34:W34" si="23">I15/I7</f>
        <v>0.14148272809517801</v>
      </c>
      <c r="J34" s="152">
        <f t="shared" si="23"/>
        <v>0.12634335771696917</v>
      </c>
      <c r="K34" s="152">
        <f t="shared" si="23"/>
        <v>3.7751993702296566E-2</v>
      </c>
      <c r="L34" s="152">
        <f t="shared" si="23"/>
        <v>0.10810166257835918</v>
      </c>
      <c r="M34" s="152">
        <f t="shared" si="23"/>
        <v>-0.20901312036508843</v>
      </c>
      <c r="N34" s="246">
        <f t="shared" si="23"/>
        <v>1.4746285393888385E-2</v>
      </c>
      <c r="O34" s="152">
        <f t="shared" si="23"/>
        <v>6.6240409207161163E-2</v>
      </c>
      <c r="P34" s="152">
        <f t="shared" si="23"/>
        <v>5.4058642734507764E-2</v>
      </c>
      <c r="Q34" s="152">
        <f t="shared" si="23"/>
        <v>0.13635348478733375</v>
      </c>
      <c r="R34" s="152">
        <f t="shared" si="23"/>
        <v>0.15291269516813424</v>
      </c>
      <c r="S34" s="246">
        <f t="shared" si="23"/>
        <v>0.10223914038940961</v>
      </c>
      <c r="T34" s="246">
        <f t="shared" si="23"/>
        <v>0.12519935307998287</v>
      </c>
      <c r="U34" s="246">
        <f t="shared" si="23"/>
        <v>0.14328653576889946</v>
      </c>
      <c r="V34" s="246">
        <f t="shared" si="23"/>
        <v>0.15924662167329257</v>
      </c>
      <c r="W34" s="246">
        <f t="shared" si="23"/>
        <v>0.17240726470861134</v>
      </c>
      <c r="X34" s="140"/>
      <c r="Y34" s="140"/>
      <c r="Z34" s="123"/>
      <c r="AA34" s="123"/>
      <c r="AB34" s="123"/>
      <c r="AC34" s="123"/>
    </row>
    <row r="35" spans="1:29" s="14" customFormat="1" x14ac:dyDescent="0.25">
      <c r="A35" s="78"/>
      <c r="B35" s="11"/>
      <c r="C35" s="246"/>
      <c r="D35" s="246"/>
      <c r="E35" s="246"/>
      <c r="F35" s="246"/>
      <c r="G35" s="246"/>
      <c r="H35" s="246"/>
      <c r="I35" s="246"/>
      <c r="J35" s="152"/>
      <c r="K35" s="152"/>
      <c r="L35" s="152"/>
      <c r="M35" s="152"/>
      <c r="N35" s="246"/>
      <c r="O35" s="152"/>
      <c r="P35" s="152"/>
      <c r="Q35" s="152"/>
      <c r="R35" s="152"/>
      <c r="S35" s="246"/>
      <c r="T35" s="246"/>
      <c r="U35" s="246"/>
      <c r="V35" s="246"/>
      <c r="W35" s="246"/>
      <c r="X35" s="140"/>
      <c r="Y35" s="140"/>
      <c r="Z35" s="123"/>
      <c r="AA35" s="123"/>
      <c r="AB35" s="123"/>
      <c r="AC35" s="123"/>
    </row>
    <row r="36" spans="1:29" s="14" customFormat="1" x14ac:dyDescent="0.25">
      <c r="A36" s="78"/>
      <c r="B36" s="11" t="s">
        <v>190</v>
      </c>
      <c r="C36" s="246">
        <f>C11/C7</f>
        <v>0.17666408302928333</v>
      </c>
      <c r="D36" s="246">
        <f>D11/D7</f>
        <v>0.15692977004350528</v>
      </c>
      <c r="E36" s="246"/>
      <c r="F36" s="246"/>
      <c r="G36" s="246"/>
      <c r="H36" s="246"/>
      <c r="I36" s="246">
        <f t="shared" ref="I36:O36" si="24">I11/I7</f>
        <v>0.17202836658657353</v>
      </c>
      <c r="J36" s="152">
        <f t="shared" si="24"/>
        <v>0.22667750383816493</v>
      </c>
      <c r="K36" s="152">
        <f t="shared" si="24"/>
        <v>0.18342061128794884</v>
      </c>
      <c r="L36" s="152">
        <f t="shared" si="24"/>
        <v>0.16687108203870266</v>
      </c>
      <c r="M36" s="152">
        <f t="shared" si="24"/>
        <v>0.15451606769347787</v>
      </c>
      <c r="N36" s="246">
        <f t="shared" si="24"/>
        <v>0.18073077282496966</v>
      </c>
      <c r="O36" s="152">
        <f t="shared" si="24"/>
        <v>0.18904518329070757</v>
      </c>
      <c r="P36" s="152">
        <v>0.17699999999999999</v>
      </c>
      <c r="Q36" s="152">
        <v>0.16200000000000001</v>
      </c>
      <c r="R36" s="152">
        <v>0.153</v>
      </c>
      <c r="S36" s="246">
        <f>AVERAGE(O36:R36)</f>
        <v>0.17026129582267691</v>
      </c>
      <c r="T36" s="246">
        <v>0.16900000000000001</v>
      </c>
      <c r="U36" s="246">
        <v>0.16700000000000001</v>
      </c>
      <c r="V36" s="246">
        <v>0.16500000000000001</v>
      </c>
      <c r="W36" s="246">
        <v>0.16400000000000001</v>
      </c>
      <c r="X36" s="140"/>
      <c r="Y36" s="140"/>
      <c r="Z36" s="123"/>
      <c r="AA36" s="123"/>
      <c r="AB36" s="123"/>
      <c r="AC36" s="123"/>
    </row>
    <row r="37" spans="1:29" s="14" customFormat="1" x14ac:dyDescent="0.25">
      <c r="A37" s="78"/>
      <c r="B37" s="11"/>
      <c r="C37" s="247"/>
      <c r="D37" s="247"/>
      <c r="E37" s="247"/>
      <c r="F37" s="247"/>
      <c r="G37" s="247"/>
      <c r="H37" s="247"/>
      <c r="I37" s="247"/>
      <c r="J37" s="153"/>
      <c r="K37" s="153"/>
      <c r="L37" s="153"/>
      <c r="M37" s="153"/>
      <c r="N37" s="247"/>
      <c r="O37" s="153"/>
      <c r="P37" s="153"/>
      <c r="Q37" s="153"/>
      <c r="R37" s="153"/>
      <c r="S37" s="247"/>
      <c r="T37" s="247"/>
      <c r="U37" s="247"/>
      <c r="V37" s="247"/>
      <c r="W37" s="247"/>
      <c r="X37" s="141"/>
      <c r="Y37" s="141"/>
    </row>
    <row r="38" spans="1:29" s="14" customFormat="1" x14ac:dyDescent="0.25">
      <c r="A38" s="78"/>
      <c r="B38" s="11" t="s">
        <v>310</v>
      </c>
      <c r="C38" s="246">
        <f t="shared" ref="C38:W38" si="25">C18/C7</f>
        <v>0.2204472843450479</v>
      </c>
      <c r="D38" s="246">
        <f t="shared" si="25"/>
        <v>0.23340584213797391</v>
      </c>
      <c r="E38" s="246">
        <f t="shared" si="25"/>
        <v>0.20564686051411724</v>
      </c>
      <c r="F38" s="246">
        <f t="shared" si="25"/>
        <v>0.26923862012655653</v>
      </c>
      <c r="G38" s="246">
        <f t="shared" si="25"/>
        <v>0.25829879193679811</v>
      </c>
      <c r="H38" s="246">
        <f t="shared" si="25"/>
        <v>0.14282987171655462</v>
      </c>
      <c r="I38" s="246">
        <f t="shared" si="25"/>
        <v>0.22228275144216283</v>
      </c>
      <c r="J38" s="152">
        <f t="shared" si="25"/>
        <v>0.20477738643547364</v>
      </c>
      <c r="K38" s="152">
        <f t="shared" si="25"/>
        <v>9.651914981004206E-2</v>
      </c>
      <c r="L38" s="152">
        <f t="shared" si="25"/>
        <v>0.16608748977923135</v>
      </c>
      <c r="M38" s="152">
        <f t="shared" si="25"/>
        <v>0.17657349305951703</v>
      </c>
      <c r="N38" s="246">
        <f t="shared" si="25"/>
        <v>0.15767685263059522</v>
      </c>
      <c r="O38" s="152">
        <f t="shared" si="25"/>
        <v>0.13934356351236152</v>
      </c>
      <c r="P38" s="152">
        <f t="shared" si="25"/>
        <v>0.11035006936866174</v>
      </c>
      <c r="Q38" s="152">
        <f t="shared" si="25"/>
        <v>0.19347592708383438</v>
      </c>
      <c r="R38" s="152">
        <f t="shared" si="25"/>
        <v>0.2186136602616921</v>
      </c>
      <c r="S38" s="246">
        <f t="shared" si="25"/>
        <v>0.16456540678910986</v>
      </c>
      <c r="T38" s="246">
        <f t="shared" si="25"/>
        <v>0.1892389165567416</v>
      </c>
      <c r="U38" s="246">
        <f t="shared" si="25"/>
        <v>0.20819346572794326</v>
      </c>
      <c r="V38" s="246">
        <f t="shared" si="25"/>
        <v>0.22489479594610914</v>
      </c>
      <c r="W38" s="246">
        <f t="shared" si="25"/>
        <v>0.23846811222199887</v>
      </c>
      <c r="X38" s="140"/>
      <c r="Y38" s="140"/>
    </row>
    <row r="39" spans="1:29" s="14" customFormat="1" x14ac:dyDescent="0.25">
      <c r="A39" s="78"/>
      <c r="B39" s="11"/>
      <c r="C39" s="247"/>
      <c r="D39" s="247"/>
      <c r="E39" s="247"/>
      <c r="F39" s="247"/>
      <c r="G39" s="247"/>
      <c r="H39" s="247"/>
      <c r="I39" s="247"/>
      <c r="J39" s="153"/>
      <c r="K39" s="153"/>
      <c r="L39" s="153"/>
      <c r="M39" s="153"/>
      <c r="N39" s="247"/>
      <c r="O39" s="153"/>
      <c r="P39" s="153"/>
      <c r="Q39" s="153"/>
      <c r="R39" s="153"/>
      <c r="S39" s="247"/>
      <c r="T39" s="247"/>
      <c r="U39" s="247"/>
      <c r="V39" s="247"/>
      <c r="W39" s="247"/>
      <c r="X39" s="141"/>
      <c r="Y39" s="141"/>
    </row>
    <row r="40" spans="1:29" s="14" customFormat="1" x14ac:dyDescent="0.25">
      <c r="A40" s="78"/>
      <c r="B40" s="11" t="s">
        <v>286</v>
      </c>
      <c r="C40" s="248">
        <f>C18</f>
        <v>2332.1999999999998</v>
      </c>
      <c r="D40" s="248">
        <f>D18</f>
        <v>2253.3000000000002</v>
      </c>
      <c r="E40" s="247"/>
      <c r="F40" s="247"/>
      <c r="G40" s="247"/>
      <c r="H40" s="247"/>
      <c r="I40" s="248">
        <f>I18</f>
        <v>2285.0000000000014</v>
      </c>
      <c r="J40" s="154">
        <f>J18+SUM(F18:H18)</f>
        <v>2348.1</v>
      </c>
      <c r="K40" s="154">
        <f>SUM(G18:H18)+SUM(J18:K18)</f>
        <v>1838.6999999999996</v>
      </c>
      <c r="L40" s="154">
        <f>SUM(J18:L18)+H18</f>
        <v>1597.0999999999995</v>
      </c>
      <c r="M40" s="154">
        <f>SUM(J18:M18)</f>
        <v>1687.2999999999995</v>
      </c>
      <c r="N40" s="248">
        <f>N18</f>
        <v>1687.2999999999995</v>
      </c>
      <c r="O40" s="154">
        <f>O18+SUM(K18:M18)</f>
        <v>1560.6999999999998</v>
      </c>
      <c r="P40" s="154">
        <f>SUM(L18:M18)+SUM(O18:P18)</f>
        <v>1613.6066190588929</v>
      </c>
      <c r="Q40" s="154">
        <f>SUM(O18:Q18)+M18</f>
        <v>1699.6982488713932</v>
      </c>
      <c r="R40" s="154">
        <f>SUM(O18:R18)</f>
        <v>1795.580037788611</v>
      </c>
      <c r="S40" s="248">
        <f>S18</f>
        <v>1795.5800377886108</v>
      </c>
      <c r="T40" s="248">
        <f t="shared" ref="T40:W40" si="26">T18</f>
        <v>2019.6005686275635</v>
      </c>
      <c r="U40" s="248">
        <f t="shared" si="26"/>
        <v>2203.1571841101431</v>
      </c>
      <c r="V40" s="248">
        <f t="shared" si="26"/>
        <v>2364.7883177228227</v>
      </c>
      <c r="W40" s="248">
        <f t="shared" si="26"/>
        <v>2504.3080653227544</v>
      </c>
      <c r="X40" s="141"/>
      <c r="Y40" s="144"/>
    </row>
    <row r="41" spans="1:29" s="11" customFormat="1" x14ac:dyDescent="0.25">
      <c r="A41" s="78"/>
      <c r="B41" s="11" t="s">
        <v>287</v>
      </c>
      <c r="C41" s="246">
        <f t="shared" ref="C41:I41" si="27">C40/C7</f>
        <v>0.2204472843450479</v>
      </c>
      <c r="D41" s="246">
        <f t="shared" si="27"/>
        <v>0.23340584213797391</v>
      </c>
      <c r="E41" s="246">
        <f t="shared" si="27"/>
        <v>0</v>
      </c>
      <c r="F41" s="246">
        <f t="shared" si="27"/>
        <v>0</v>
      </c>
      <c r="G41" s="246">
        <f t="shared" si="27"/>
        <v>0</v>
      </c>
      <c r="H41" s="246">
        <f t="shared" si="27"/>
        <v>0</v>
      </c>
      <c r="I41" s="246">
        <f t="shared" si="27"/>
        <v>0.22228275144216283</v>
      </c>
      <c r="J41" s="170">
        <f>J40/(SUM(F7:H7)+J7)</f>
        <v>0.22160458290470841</v>
      </c>
      <c r="K41" s="170">
        <f>K40/(SUM(J7:K7)+SUM(G7:H7))</f>
        <v>0.17381974248927037</v>
      </c>
      <c r="L41" s="170">
        <f>L40/(SUM(J7:L7)+H7)</f>
        <v>0.14939152721524313</v>
      </c>
      <c r="M41" s="170">
        <f>M40/SUM(J7:M7)</f>
        <v>0.15767685263059522</v>
      </c>
      <c r="N41" s="249">
        <f>N40/N7</f>
        <v>0.15767685263059522</v>
      </c>
      <c r="O41" s="170">
        <f>O40/(SUM(K7:M7)+O7)</f>
        <v>0.14407702817473506</v>
      </c>
      <c r="P41" s="170">
        <f>P40/(SUM(O7:P7)+SUM(L7:M7))</f>
        <v>0.14741993868450834</v>
      </c>
      <c r="Q41" s="170">
        <f>Q40/(SUM(O7:Q7)+M7)</f>
        <v>0.15486839518687312</v>
      </c>
      <c r="R41" s="170">
        <f>R40/SUM(O7:R7)</f>
        <v>0.1646106666284021</v>
      </c>
      <c r="S41" s="251">
        <f>S40/S7</f>
        <v>0.16456540678910986</v>
      </c>
      <c r="T41" s="251">
        <f>T40/T7</f>
        <v>0.1892389165567416</v>
      </c>
      <c r="U41" s="251">
        <f>U40/U7</f>
        <v>0.20819346572794326</v>
      </c>
      <c r="V41" s="251">
        <f>V40/V7</f>
        <v>0.22489479594610914</v>
      </c>
      <c r="W41" s="251">
        <f>W40/W7</f>
        <v>0.23846811222199887</v>
      </c>
      <c r="X41" s="142"/>
      <c r="Y41" s="142"/>
    </row>
    <row r="42" spans="1:29" s="11" customFormat="1" x14ac:dyDescent="0.25">
      <c r="A42" s="78"/>
      <c r="C42" s="155"/>
      <c r="D42" s="155"/>
      <c r="E42" s="155"/>
      <c r="F42" s="155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</row>
    <row r="43" spans="1:29" s="11" customFormat="1" hidden="1" x14ac:dyDescent="0.25">
      <c r="A43" s="78" t="s">
        <v>279</v>
      </c>
      <c r="B43" s="11" t="s">
        <v>276</v>
      </c>
      <c r="C43" s="170">
        <f>_xll.BDP($A$1, $A43, "EQY_FUND_RELATIVE_PERIOD", C$4)/100</f>
        <v>4.0723217303142996E-2</v>
      </c>
      <c r="D43" s="170">
        <f>_xll.BDP($A$1, $A43, "EQY_FUND_RELATIVE_PERIOD", D$4)/100</f>
        <v>7.8584185744439011E-2</v>
      </c>
      <c r="E43" s="170">
        <f>_xll.BDP($A$1, $A43, "EQY_FUND_RELATIVE_PERIOD", E$4)/100</f>
        <v>-1.4663849881943665E-2</v>
      </c>
      <c r="F43" s="170">
        <f>_xll.BDP($A$1, $A43, "EQY_FUND_RELATIVE_PERIOD", F$4)/100</f>
        <v>-1.4663849881943665E-2</v>
      </c>
      <c r="G43" s="170">
        <f>_xll.BDP($A$1, $A43, "EQY_FUND_RELATIVE_PERIOD", G$4)/100</f>
        <v>-1.4663849881943665E-2</v>
      </c>
      <c r="H43" s="170">
        <f>_xll.BDP($A$1, $A43, "EQY_FUND_RELATIVE_PERIOD", H$4)/100</f>
        <v>-1.4663849881943665E-2</v>
      </c>
      <c r="I43" s="170">
        <f>_xll.BDP($A$1, $A43, "EQY_FUND_RELATIVE_PERIOD", I$4)/100</f>
        <v>0.21135029354207449</v>
      </c>
      <c r="J43" s="152" cm="1">
        <f t="array" ref="J43">_xll.BDP($A$1, $A43, "EQY_FUND_YEAR", J$3, "FUND_PER", J$2)/100</f>
        <v>0.25375133976420144</v>
      </c>
      <c r="K43" s="152" cm="1">
        <f t="array" ref="K43">_xll.BDP($A$1, $A43, "EQY_FUND_YEAR", K$3, "FUND_PER", K$2)/100</f>
        <v>0.1639759839893262</v>
      </c>
      <c r="L43" s="152" cm="1">
        <f t="array" ref="L43">_xll.BDP($A$1, $A43, "EQY_FUND_YEAR", L$3, "FUND_PER", L$2)/100</f>
        <v>7.4767513949162992E-2</v>
      </c>
      <c r="M43" s="152" cm="1">
        <f t="array" ref="M43">_xll.BDP($A$1, $A43, "EQY_FUND_YEAR", M$3, "FUND_PER", M$2)/100</f>
        <v>-1.4663849881943665E-2</v>
      </c>
      <c r="N43" s="170">
        <f>_xll.BDP($A$1, $A26, "EQY_FUND_RELATIVE_PERIOD", N$4)/100</f>
        <v>-0.11199999999999999</v>
      </c>
      <c r="O43" s="152" cm="1">
        <f t="array" ref="O43">_xll.BDP($A$1, $A43, "EQY_FUND_YEAR", O$3, "FUND_PER", O$2)/100</f>
        <v>-2.1585808933532732E-2</v>
      </c>
      <c r="P43" s="170">
        <f>BS!P8/BS!K8-1</f>
        <v>-2.9573590096287905E-3</v>
      </c>
      <c r="Q43" s="170">
        <f>BS!Q8/BS!L8-1</f>
        <v>-5.6724965389940207E-2</v>
      </c>
      <c r="R43" s="170">
        <f>BS!R8/BS!M8-1</f>
        <v>-4.0993007945516635E-2</v>
      </c>
      <c r="S43" s="155"/>
      <c r="T43" s="155"/>
      <c r="U43" s="155"/>
      <c r="V43" s="155"/>
      <c r="W43" s="155"/>
      <c r="X43" s="155"/>
      <c r="Y43" s="155"/>
      <c r="Z43" s="155"/>
    </row>
    <row r="44" spans="1:29" s="22" customFormat="1" hidden="1" x14ac:dyDescent="0.25">
      <c r="A44" s="78" t="s">
        <v>280</v>
      </c>
      <c r="B44" s="11" t="s">
        <v>277</v>
      </c>
      <c r="C44" s="220">
        <f>_xll.BDP($A$1, $A44, "EQY_FUND_RELATIVE_PERIOD", C$4)</f>
        <v>10.562556926389005</v>
      </c>
      <c r="D44" s="220">
        <f>_xll.BDP($A$1, $A44, "EQY_FUND_RELATIVE_PERIOD", D$4)</f>
        <v>9.1949695360099994</v>
      </c>
      <c r="E44" s="220">
        <f>_xll.BDP($A$1, $A44, "EQY_FUND_RELATIVE_PERIOD", E$4)</f>
        <v>8.8204807210816227</v>
      </c>
      <c r="F44" s="220">
        <f>_xll.BDP($A$1, $A44, "EQY_FUND_RELATIVE_PERIOD", F$4)</f>
        <v>8.8204807210816227</v>
      </c>
      <c r="G44" s="220">
        <f>_xll.BDP($A$1, $A44, "EQY_FUND_RELATIVE_PERIOD", G$4)</f>
        <v>8.8204807210816227</v>
      </c>
      <c r="H44" s="220">
        <f>_xll.BDP($A$1, $A44, "EQY_FUND_RELATIVE_PERIOD", H$4)</f>
        <v>8.8204807210816227</v>
      </c>
      <c r="I44" s="220">
        <f>_xll.BDP($A$1, $A44, "EQY_FUND_RELATIVE_PERIOD", I$4)</f>
        <v>8.476923076923077</v>
      </c>
      <c r="J44" s="208" cm="1">
        <f t="array" ref="J44">_xll.BDP($A$1, $A44, "EQY_FUND_YEAR", J$3, "FUND_PER", J$2)</f>
        <v>7.5445250267506827</v>
      </c>
      <c r="K44" s="208" cm="1">
        <f t="array" ref="K44">_xll.BDP($A$1, $A44, "EQY_FUND_YEAR", K$3, "FUND_PER", K$2)</f>
        <v>8.3599482088908061</v>
      </c>
      <c r="L44" s="208" cm="1">
        <f t="array" ref="L44">_xll.BDP($A$1, $A44, "EQY_FUND_YEAR", L$3, "FUND_PER", L$2)</f>
        <v>8.4884957867686612</v>
      </c>
      <c r="M44" s="208" cm="1">
        <f t="array" ref="M44">_xll.BDP($A$1, $A44, "EQY_FUND_YEAR", M$3, "FUND_PER", M$2)</f>
        <v>8.8204807210816227</v>
      </c>
      <c r="N44" s="220">
        <f>M44</f>
        <v>8.8204807210816227</v>
      </c>
      <c r="O44" s="208" cm="1">
        <f t="array" ref="O44">_xll.BDP($A$1, $A44, "EQY_FUND_YEAR", O$3, "FUND_PER", O$2)</f>
        <v>7.9233012855136646</v>
      </c>
      <c r="P44" s="214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9" s="14" customFormat="1" hidden="1" x14ac:dyDescent="0.25">
      <c r="A45" s="78" t="s">
        <v>281</v>
      </c>
      <c r="B45" s="11" t="s">
        <v>278</v>
      </c>
      <c r="C45" s="210">
        <f>_xll.BDP($A$1, $A45, "EQY_FUND_RELATIVE_PERIOD", C$4)</f>
        <v>34.556026778714994</v>
      </c>
      <c r="D45" s="210">
        <f>_xll.BDP($A$1, $A45, "EQY_FUND_RELATIVE_PERIOD", D$4)</f>
        <v>39.804373311585707</v>
      </c>
      <c r="E45" s="210">
        <f>_xll.BDP($A$1, $A45, "EQY_FUND_RELATIVE_PERIOD", E$4)</f>
        <v>41.380964546254503</v>
      </c>
      <c r="F45" s="210">
        <f>_xll.BDP($A$1, $A45, "EQY_FUND_RELATIVE_PERIOD", F$4)</f>
        <v>41.380964546254503</v>
      </c>
      <c r="G45" s="210">
        <f>_xll.BDP($A$1, $A45, "EQY_FUND_RELATIVE_PERIOD", G$4)</f>
        <v>41.380964546254503</v>
      </c>
      <c r="H45" s="210">
        <f>_xll.BDP($A$1, $A45, "EQY_FUND_RELATIVE_PERIOD", H$4)</f>
        <v>41.380964546254503</v>
      </c>
      <c r="I45" s="210">
        <f>_xll.BDP($A$1, $A45, "EQY_FUND_RELATIVE_PERIOD", I$4)</f>
        <v>43.058076225045369</v>
      </c>
      <c r="J45" s="209" cm="1">
        <f t="array" ref="J45">_xll.BDP($A$1, $A45, "EQY_FUND_YEAR", J$3, "FUND_PER", J$2)</f>
        <v>48.379453803362914</v>
      </c>
      <c r="K45" s="209" cm="1">
        <f t="array" ref="K45">_xll.BDP($A$1, $A45, "EQY_FUND_YEAR", K$3, "FUND_PER", K$2)</f>
        <v>43.660557563242129</v>
      </c>
      <c r="L45" s="209" cm="1">
        <f t="array" ref="L45">_xll.BDP($A$1, $A45, "EQY_FUND_YEAR", L$3, "FUND_PER", L$2)</f>
        <v>42.999373407116401</v>
      </c>
      <c r="M45" s="209" cm="1">
        <f t="array" ref="M45">_xll.BDP($A$1, $A45, "EQY_FUND_YEAR", M$3, "FUND_PER", M$2)</f>
        <v>41.380964546254503</v>
      </c>
      <c r="N45" s="210">
        <f>M45</f>
        <v>41.380964546254503</v>
      </c>
      <c r="O45" s="209" cm="1">
        <f t="array" ref="O45">_xll.BDP($A$1, $A45, "EQY_FUND_YEAR", O$3, "FUND_PER", O$2)</f>
        <v>46.066656668393648</v>
      </c>
      <c r="P45" s="153"/>
      <c r="Q45" s="153"/>
      <c r="R45" s="153"/>
      <c r="S45" s="153"/>
      <c r="T45" s="153"/>
      <c r="U45" s="153"/>
      <c r="V45" s="153"/>
      <c r="W45" s="153"/>
      <c r="X45" s="153"/>
      <c r="Y45" s="153"/>
      <c r="Z45" s="153"/>
    </row>
    <row r="46" spans="1:29" s="14" customFormat="1" x14ac:dyDescent="0.25">
      <c r="A46" s="78"/>
      <c r="B46" s="11"/>
      <c r="C46" s="153"/>
      <c r="D46" s="153"/>
      <c r="E46" s="153"/>
      <c r="F46" s="153"/>
      <c r="G46" s="153"/>
      <c r="H46" s="153"/>
      <c r="I46" s="153"/>
      <c r="J46" s="157"/>
      <c r="K46" s="157"/>
      <c r="L46" s="157"/>
      <c r="M46" s="157"/>
      <c r="N46" s="153"/>
      <c r="O46" s="153"/>
      <c r="P46" s="153"/>
      <c r="Q46" s="153"/>
      <c r="R46" s="153"/>
      <c r="S46" s="153"/>
      <c r="T46" s="153"/>
      <c r="U46" s="153"/>
      <c r="V46" s="153"/>
      <c r="W46" s="153"/>
      <c r="X46" s="153"/>
      <c r="Y46" s="153"/>
      <c r="Z46" s="153"/>
    </row>
    <row r="47" spans="1:29" s="14" customFormat="1" x14ac:dyDescent="0.25">
      <c r="A47" s="78"/>
      <c r="B47" s="11"/>
      <c r="C47" s="153"/>
      <c r="D47" s="153"/>
      <c r="E47" s="153"/>
      <c r="F47" s="153"/>
      <c r="G47" s="153"/>
      <c r="H47" s="153"/>
      <c r="I47" s="153"/>
      <c r="J47" s="157"/>
      <c r="K47" s="157"/>
      <c r="L47" s="157"/>
      <c r="M47" s="157"/>
      <c r="N47" s="153"/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  <c r="Z47" s="153"/>
    </row>
    <row r="48" spans="1:29" s="14" customFormat="1" x14ac:dyDescent="0.25">
      <c r="A48" s="78"/>
      <c r="B48" s="11"/>
      <c r="C48" s="153"/>
      <c r="D48" s="153"/>
      <c r="E48" s="153"/>
      <c r="F48" s="153"/>
      <c r="G48" s="153"/>
      <c r="H48" s="153"/>
      <c r="I48" s="153"/>
      <c r="J48" s="157"/>
      <c r="K48" s="157"/>
      <c r="L48" s="157"/>
      <c r="M48" s="157"/>
      <c r="N48" s="153"/>
      <c r="O48" s="153"/>
      <c r="P48" s="153"/>
      <c r="Q48" s="153"/>
      <c r="R48" s="153"/>
      <c r="S48" s="153"/>
      <c r="T48" s="153"/>
      <c r="U48" s="153"/>
      <c r="V48" s="153"/>
      <c r="W48" s="153"/>
      <c r="X48" s="153"/>
      <c r="Y48" s="153"/>
      <c r="Z48" s="153"/>
    </row>
    <row r="49" spans="1:26" s="14" customFormat="1" x14ac:dyDescent="0.25">
      <c r="A49" s="78"/>
      <c r="B49" s="11"/>
      <c r="C49" s="153"/>
      <c r="D49" s="153"/>
      <c r="E49" s="153"/>
      <c r="F49" s="153"/>
      <c r="G49" s="153"/>
      <c r="H49" s="153"/>
      <c r="I49" s="153"/>
      <c r="J49" s="157"/>
      <c r="K49" s="157"/>
      <c r="L49" s="157"/>
      <c r="M49" s="157"/>
      <c r="N49" s="153"/>
      <c r="O49" s="153"/>
      <c r="P49" s="153"/>
      <c r="Q49" s="153"/>
      <c r="R49" s="153"/>
      <c r="S49" s="153"/>
      <c r="T49" s="153"/>
      <c r="U49" s="153"/>
      <c r="V49" s="153"/>
      <c r="W49" s="153"/>
      <c r="X49" s="153"/>
      <c r="Y49" s="153"/>
      <c r="Z49" s="153"/>
    </row>
    <row r="50" spans="1:26" s="14" customFormat="1" x14ac:dyDescent="0.25">
      <c r="A50" s="78"/>
      <c r="B50" s="11"/>
      <c r="C50" s="153"/>
      <c r="D50" s="153"/>
      <c r="E50" s="153"/>
      <c r="F50" s="153"/>
      <c r="G50" s="153"/>
      <c r="H50" s="153"/>
      <c r="I50" s="153"/>
      <c r="J50" s="157"/>
      <c r="K50" s="157"/>
      <c r="L50" s="157"/>
      <c r="M50" s="157"/>
      <c r="N50" s="153"/>
      <c r="O50" s="153"/>
      <c r="P50" s="153"/>
      <c r="Q50" s="153"/>
      <c r="R50" s="153"/>
      <c r="S50" s="153"/>
      <c r="T50" s="153"/>
      <c r="U50" s="153"/>
      <c r="V50" s="153"/>
      <c r="W50" s="153"/>
      <c r="X50" s="153"/>
      <c r="Y50" s="153"/>
      <c r="Z50" s="153"/>
    </row>
    <row r="51" spans="1:26" s="14" customFormat="1" x14ac:dyDescent="0.25">
      <c r="A51" s="78"/>
      <c r="B51" s="11"/>
      <c r="C51" s="153"/>
      <c r="D51" s="153"/>
      <c r="E51" s="153"/>
      <c r="F51" s="153"/>
      <c r="G51" s="153"/>
      <c r="H51" s="153"/>
      <c r="I51" s="153"/>
      <c r="J51" s="157"/>
      <c r="K51" s="157"/>
      <c r="L51" s="157"/>
      <c r="M51" s="157"/>
      <c r="N51" s="153"/>
      <c r="O51" s="153"/>
      <c r="P51" s="153"/>
      <c r="Q51" s="153"/>
      <c r="R51" s="153"/>
      <c r="S51" s="153"/>
      <c r="T51" s="153"/>
      <c r="U51" s="153"/>
      <c r="V51" s="153"/>
      <c r="W51" s="153"/>
      <c r="X51" s="153"/>
      <c r="Y51" s="153"/>
      <c r="Z51" s="153"/>
    </row>
    <row r="52" spans="1:26" s="14" customFormat="1" x14ac:dyDescent="0.25">
      <c r="A52" s="78"/>
      <c r="B52" s="11"/>
      <c r="C52" s="153"/>
      <c r="D52" s="153"/>
      <c r="E52" s="153"/>
      <c r="F52" s="153"/>
      <c r="G52" s="153"/>
      <c r="H52" s="153"/>
      <c r="I52" s="153"/>
      <c r="J52" s="157"/>
      <c r="K52" s="157"/>
      <c r="L52" s="157"/>
      <c r="M52" s="157"/>
      <c r="N52" s="153"/>
      <c r="O52" s="153"/>
      <c r="P52" s="153"/>
      <c r="Q52" s="153"/>
      <c r="R52" s="153"/>
      <c r="S52" s="153"/>
      <c r="T52" s="153"/>
      <c r="U52" s="153"/>
      <c r="V52" s="153"/>
      <c r="W52" s="153"/>
      <c r="X52" s="153"/>
      <c r="Y52" s="153"/>
      <c r="Z52" s="153"/>
    </row>
    <row r="53" spans="1:26" s="14" customFormat="1" x14ac:dyDescent="0.25">
      <c r="A53" s="78"/>
      <c r="B53" s="11"/>
      <c r="C53" s="153"/>
      <c r="D53" s="153"/>
      <c r="E53" s="153"/>
      <c r="F53" s="153"/>
      <c r="G53" s="153"/>
      <c r="H53" s="153"/>
      <c r="I53" s="153"/>
      <c r="J53" s="157"/>
      <c r="K53" s="157"/>
      <c r="L53" s="157"/>
      <c r="M53" s="157"/>
      <c r="N53" s="153"/>
      <c r="O53" s="153"/>
      <c r="P53" s="153"/>
      <c r="Q53" s="153"/>
      <c r="R53" s="153"/>
      <c r="S53" s="153"/>
      <c r="T53" s="153"/>
      <c r="U53" s="153"/>
      <c r="V53" s="153"/>
      <c r="W53" s="153"/>
      <c r="X53" s="153"/>
      <c r="Y53" s="153"/>
      <c r="Z53" s="153"/>
    </row>
    <row r="54" spans="1:26" s="14" customFormat="1" x14ac:dyDescent="0.25">
      <c r="A54" s="78"/>
      <c r="B54" s="11"/>
      <c r="C54" s="153"/>
      <c r="D54" s="153"/>
      <c r="E54" s="153"/>
      <c r="F54" s="153"/>
      <c r="G54" s="153"/>
      <c r="H54" s="153"/>
      <c r="I54" s="153"/>
      <c r="J54" s="157"/>
      <c r="K54" s="157"/>
      <c r="L54" s="157"/>
      <c r="M54" s="157"/>
      <c r="N54" s="153"/>
      <c r="O54" s="153"/>
      <c r="P54" s="153"/>
      <c r="Q54" s="153"/>
      <c r="R54" s="153"/>
      <c r="S54" s="153"/>
      <c r="T54" s="153"/>
      <c r="U54" s="153"/>
      <c r="V54" s="153"/>
      <c r="W54" s="153"/>
      <c r="X54" s="153"/>
      <c r="Y54" s="153"/>
      <c r="Z54" s="153"/>
    </row>
    <row r="55" spans="1:26" s="14" customFormat="1" x14ac:dyDescent="0.25">
      <c r="A55" s="78"/>
      <c r="B55" s="77"/>
      <c r="C55" s="153"/>
      <c r="D55" s="153"/>
      <c r="E55" s="153"/>
      <c r="F55" s="153"/>
      <c r="G55" s="153"/>
      <c r="H55" s="153"/>
      <c r="I55" s="153"/>
      <c r="J55" s="157"/>
      <c r="K55" s="157"/>
      <c r="L55" s="157"/>
      <c r="M55" s="157"/>
      <c r="N55" s="153"/>
      <c r="O55" s="153"/>
      <c r="P55" s="153"/>
      <c r="Q55" s="153"/>
      <c r="R55" s="153"/>
      <c r="S55" s="153"/>
      <c r="T55" s="153"/>
      <c r="U55" s="153"/>
      <c r="V55" s="153"/>
      <c r="W55" s="153"/>
      <c r="X55" s="153"/>
      <c r="Y55" s="153"/>
      <c r="Z55" s="153"/>
    </row>
    <row r="56" spans="1:26" s="14" customFormat="1" x14ac:dyDescent="0.25">
      <c r="A56" s="78"/>
      <c r="B56" s="77"/>
      <c r="C56" s="153"/>
      <c r="D56" s="153"/>
      <c r="E56" s="153"/>
      <c r="F56" s="153"/>
      <c r="G56" s="153"/>
      <c r="H56" s="153"/>
      <c r="I56" s="153"/>
      <c r="J56" s="157"/>
      <c r="K56" s="157"/>
      <c r="L56" s="157"/>
      <c r="M56" s="157"/>
      <c r="N56" s="153"/>
      <c r="O56" s="153"/>
      <c r="P56" s="153"/>
      <c r="Q56" s="153"/>
      <c r="R56" s="153"/>
      <c r="S56" s="153"/>
      <c r="T56" s="153"/>
      <c r="U56" s="153"/>
      <c r="V56" s="153"/>
      <c r="W56" s="153"/>
      <c r="X56" s="153"/>
      <c r="Y56" s="153"/>
      <c r="Z56" s="153"/>
    </row>
    <row r="57" spans="1:26" s="14" customFormat="1" x14ac:dyDescent="0.25">
      <c r="A57" s="78"/>
      <c r="B57" s="77"/>
      <c r="C57" s="153"/>
      <c r="D57" s="153"/>
      <c r="E57" s="153"/>
      <c r="F57" s="153"/>
      <c r="G57" s="153"/>
      <c r="H57" s="153"/>
      <c r="I57" s="153"/>
      <c r="J57" s="157"/>
      <c r="K57" s="157"/>
      <c r="L57" s="157"/>
      <c r="M57" s="157"/>
      <c r="N57" s="153"/>
      <c r="O57" s="153"/>
      <c r="P57" s="153"/>
      <c r="Q57" s="153"/>
      <c r="R57" s="153"/>
      <c r="S57" s="153"/>
      <c r="T57" s="153"/>
      <c r="U57" s="153"/>
      <c r="V57" s="153"/>
      <c r="W57" s="153"/>
      <c r="X57" s="153"/>
      <c r="Y57" s="153"/>
      <c r="Z57" s="153"/>
    </row>
    <row r="58" spans="1:26" s="14" customFormat="1" x14ac:dyDescent="0.25">
      <c r="A58" s="78"/>
      <c r="B58" s="77"/>
      <c r="C58" s="153"/>
      <c r="D58" s="153"/>
      <c r="E58" s="153"/>
      <c r="F58" s="153"/>
      <c r="G58" s="153"/>
      <c r="H58" s="153"/>
      <c r="I58" s="153"/>
      <c r="J58" s="157"/>
      <c r="K58" s="157"/>
      <c r="L58" s="157"/>
      <c r="M58" s="157"/>
      <c r="N58" s="153"/>
      <c r="O58" s="153"/>
      <c r="P58" s="153"/>
      <c r="Q58" s="153"/>
      <c r="R58" s="153"/>
      <c r="S58" s="153"/>
      <c r="T58" s="153"/>
      <c r="U58" s="153"/>
      <c r="V58" s="153"/>
      <c r="W58" s="153"/>
      <c r="X58" s="153"/>
      <c r="Y58" s="153"/>
      <c r="Z58" s="153"/>
    </row>
    <row r="59" spans="1:26" s="14" customFormat="1" x14ac:dyDescent="0.25">
      <c r="A59" s="78"/>
      <c r="B59" s="77"/>
      <c r="C59" s="153"/>
      <c r="D59" s="153"/>
      <c r="E59" s="153"/>
      <c r="F59" s="153"/>
      <c r="G59" s="153"/>
      <c r="H59" s="153"/>
      <c r="I59" s="153"/>
      <c r="J59" s="157"/>
      <c r="K59" s="157"/>
      <c r="L59" s="157"/>
      <c r="M59" s="157"/>
      <c r="N59" s="153"/>
      <c r="O59" s="153"/>
      <c r="P59" s="153"/>
      <c r="Q59" s="153"/>
      <c r="R59" s="153"/>
      <c r="S59" s="153"/>
      <c r="T59" s="153"/>
      <c r="U59" s="153"/>
      <c r="V59" s="153"/>
      <c r="W59" s="153"/>
      <c r="X59" s="153"/>
      <c r="Y59" s="153"/>
      <c r="Z59" s="153"/>
    </row>
    <row r="60" spans="1:26" s="14" customFormat="1" x14ac:dyDescent="0.25">
      <c r="A60" s="78"/>
      <c r="B60" s="77"/>
      <c r="C60" s="153"/>
      <c r="D60" s="153"/>
      <c r="E60" s="153"/>
      <c r="F60" s="153"/>
      <c r="G60" s="153"/>
      <c r="H60" s="153"/>
      <c r="I60" s="153"/>
      <c r="J60" s="157"/>
      <c r="K60" s="157"/>
      <c r="L60" s="157"/>
      <c r="M60" s="157"/>
      <c r="N60" s="153"/>
      <c r="O60" s="153"/>
      <c r="P60" s="153"/>
      <c r="Q60" s="153"/>
      <c r="R60" s="153"/>
      <c r="S60" s="153"/>
      <c r="T60" s="153"/>
      <c r="U60" s="153"/>
      <c r="V60" s="153"/>
      <c r="W60" s="153"/>
      <c r="X60" s="153"/>
      <c r="Y60" s="153"/>
      <c r="Z60" s="153"/>
    </row>
    <row r="61" spans="1:26" s="14" customFormat="1" x14ac:dyDescent="0.25">
      <c r="A61" s="78"/>
      <c r="B61" s="77"/>
      <c r="C61" s="153"/>
      <c r="D61" s="153"/>
      <c r="E61" s="153"/>
      <c r="F61" s="153"/>
      <c r="G61" s="153"/>
      <c r="H61" s="153"/>
      <c r="I61" s="153"/>
      <c r="J61" s="157"/>
      <c r="K61" s="157"/>
      <c r="L61" s="157"/>
      <c r="M61" s="157"/>
      <c r="N61" s="153"/>
      <c r="O61" s="153"/>
      <c r="P61" s="153"/>
      <c r="Q61" s="153"/>
      <c r="R61" s="153"/>
      <c r="S61" s="153"/>
      <c r="T61" s="153"/>
      <c r="U61" s="153"/>
      <c r="V61" s="153"/>
      <c r="W61" s="153"/>
      <c r="X61" s="153"/>
      <c r="Y61" s="153"/>
      <c r="Z61" s="153"/>
    </row>
    <row r="62" spans="1:26" s="14" customFormat="1" x14ac:dyDescent="0.25">
      <c r="A62" s="78"/>
      <c r="B62" s="77"/>
      <c r="C62" s="153"/>
      <c r="D62" s="153"/>
      <c r="E62" s="153"/>
      <c r="F62" s="153"/>
      <c r="G62" s="153"/>
      <c r="H62" s="153"/>
      <c r="I62" s="153"/>
      <c r="J62" s="157"/>
      <c r="K62" s="157"/>
      <c r="L62" s="157"/>
      <c r="M62" s="157"/>
      <c r="N62" s="153"/>
      <c r="O62" s="153"/>
      <c r="P62" s="153"/>
      <c r="Q62" s="153"/>
      <c r="R62" s="153"/>
      <c r="S62" s="153"/>
      <c r="T62" s="153"/>
      <c r="U62" s="153"/>
      <c r="V62" s="153"/>
      <c r="W62" s="153"/>
      <c r="X62" s="153"/>
      <c r="Y62" s="153"/>
      <c r="Z62" s="153"/>
    </row>
    <row r="63" spans="1:26" s="14" customFormat="1" x14ac:dyDescent="0.25">
      <c r="A63" s="78"/>
      <c r="B63" s="77"/>
      <c r="C63" s="153"/>
      <c r="D63" s="153"/>
      <c r="E63" s="153"/>
      <c r="F63" s="153"/>
      <c r="G63" s="153"/>
      <c r="H63" s="153"/>
      <c r="I63" s="153"/>
      <c r="J63" s="157"/>
      <c r="K63" s="157"/>
      <c r="L63" s="157"/>
      <c r="M63" s="157"/>
      <c r="N63" s="153"/>
      <c r="O63" s="153"/>
      <c r="P63" s="153"/>
      <c r="Q63" s="153"/>
      <c r="R63" s="153"/>
      <c r="S63" s="153"/>
      <c r="T63" s="153"/>
      <c r="U63" s="153"/>
      <c r="V63" s="153"/>
      <c r="W63" s="153"/>
      <c r="X63" s="153"/>
      <c r="Y63" s="153"/>
      <c r="Z63" s="153"/>
    </row>
    <row r="64" spans="1:26" s="14" customFormat="1" x14ac:dyDescent="0.25">
      <c r="A64" s="78"/>
      <c r="B64" s="77"/>
      <c r="C64" s="153"/>
      <c r="D64" s="153"/>
      <c r="E64" s="153"/>
      <c r="F64" s="153"/>
      <c r="G64" s="153"/>
      <c r="H64" s="153"/>
      <c r="I64" s="153"/>
      <c r="J64" s="157"/>
      <c r="K64" s="157"/>
      <c r="L64" s="157"/>
      <c r="M64" s="157"/>
      <c r="N64" s="153"/>
      <c r="O64" s="153"/>
      <c r="P64" s="153"/>
      <c r="Q64" s="153"/>
      <c r="R64" s="153"/>
      <c r="S64" s="153"/>
      <c r="T64" s="153"/>
      <c r="U64" s="153"/>
      <c r="V64" s="153"/>
      <c r="W64" s="153"/>
      <c r="X64" s="153"/>
      <c r="Y64" s="153"/>
      <c r="Z64" s="153"/>
    </row>
    <row r="65" spans="1:26" s="14" customFormat="1" x14ac:dyDescent="0.25">
      <c r="A65" s="78"/>
      <c r="B65" s="77"/>
      <c r="C65" s="153"/>
      <c r="D65" s="153"/>
      <c r="E65" s="153"/>
      <c r="F65" s="153"/>
      <c r="G65" s="153"/>
      <c r="H65" s="153"/>
      <c r="I65" s="153"/>
      <c r="J65" s="157"/>
      <c r="K65" s="157"/>
      <c r="L65" s="157"/>
      <c r="M65" s="157"/>
      <c r="N65" s="153"/>
      <c r="O65" s="153"/>
      <c r="P65" s="153"/>
      <c r="Q65" s="153"/>
      <c r="R65" s="153"/>
      <c r="S65" s="153"/>
      <c r="T65" s="153"/>
      <c r="U65" s="153"/>
      <c r="V65" s="153"/>
      <c r="W65" s="153"/>
      <c r="X65" s="153"/>
      <c r="Y65" s="153"/>
      <c r="Z65" s="153"/>
    </row>
    <row r="66" spans="1:26" s="14" customFormat="1" x14ac:dyDescent="0.25">
      <c r="A66" s="78"/>
      <c r="B66" s="77"/>
      <c r="C66" s="153"/>
      <c r="D66" s="153"/>
      <c r="E66" s="153"/>
      <c r="F66" s="153"/>
      <c r="G66" s="153"/>
      <c r="H66" s="153"/>
      <c r="I66" s="153"/>
      <c r="J66" s="157"/>
      <c r="K66" s="157"/>
      <c r="L66" s="157"/>
      <c r="M66" s="157"/>
      <c r="N66" s="153"/>
      <c r="O66" s="153"/>
      <c r="P66" s="153"/>
      <c r="Q66" s="153"/>
      <c r="R66" s="153"/>
      <c r="S66" s="153"/>
      <c r="T66" s="153"/>
      <c r="U66" s="153"/>
      <c r="V66" s="153"/>
      <c r="W66" s="153"/>
      <c r="X66" s="153"/>
      <c r="Y66" s="153"/>
      <c r="Z66" s="153"/>
    </row>
    <row r="67" spans="1:26" s="14" customFormat="1" x14ac:dyDescent="0.25">
      <c r="A67" s="78"/>
      <c r="B67" s="77"/>
      <c r="C67" s="153"/>
      <c r="D67" s="153"/>
      <c r="E67" s="153"/>
      <c r="F67" s="153"/>
      <c r="G67" s="153"/>
      <c r="H67" s="153"/>
      <c r="I67" s="153"/>
      <c r="J67" s="157"/>
      <c r="K67" s="157"/>
      <c r="L67" s="157"/>
      <c r="M67" s="157"/>
      <c r="N67" s="153"/>
      <c r="O67" s="153"/>
      <c r="P67" s="153"/>
      <c r="Q67" s="153"/>
      <c r="R67" s="153"/>
      <c r="S67" s="153"/>
      <c r="T67" s="153"/>
      <c r="U67" s="153"/>
      <c r="V67" s="153"/>
      <c r="W67" s="153"/>
      <c r="X67" s="153"/>
      <c r="Y67" s="153"/>
      <c r="Z67" s="153"/>
    </row>
    <row r="68" spans="1:26" s="14" customFormat="1" x14ac:dyDescent="0.25">
      <c r="A68" s="78"/>
      <c r="B68" s="77"/>
      <c r="C68" s="153"/>
      <c r="D68" s="153"/>
      <c r="E68" s="153"/>
      <c r="F68" s="153"/>
      <c r="G68" s="153"/>
      <c r="H68" s="153"/>
      <c r="I68" s="153"/>
      <c r="J68" s="157"/>
      <c r="K68" s="157"/>
      <c r="L68" s="157"/>
      <c r="M68" s="157"/>
      <c r="N68" s="153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153"/>
      <c r="Z68" s="153"/>
    </row>
    <row r="69" spans="1:26" s="14" customFormat="1" x14ac:dyDescent="0.25">
      <c r="A69" s="78"/>
      <c r="B69" s="77"/>
      <c r="C69" s="153"/>
      <c r="D69" s="153"/>
      <c r="E69" s="153"/>
      <c r="F69" s="153"/>
      <c r="G69" s="153"/>
      <c r="H69" s="153"/>
      <c r="I69" s="153"/>
      <c r="J69" s="157"/>
      <c r="K69" s="157"/>
      <c r="L69" s="157"/>
      <c r="M69" s="157"/>
      <c r="N69" s="153"/>
      <c r="O69" s="153"/>
      <c r="P69" s="153"/>
      <c r="Q69" s="153"/>
      <c r="R69" s="153"/>
      <c r="S69" s="153"/>
      <c r="T69" s="153"/>
      <c r="U69" s="153"/>
      <c r="V69" s="153"/>
      <c r="W69" s="153"/>
      <c r="X69" s="153"/>
      <c r="Y69" s="153"/>
      <c r="Z69" s="153"/>
    </row>
    <row r="70" spans="1:26" s="14" customFormat="1" x14ac:dyDescent="0.25">
      <c r="A70" s="78"/>
      <c r="B70" s="77"/>
      <c r="C70" s="153"/>
      <c r="D70" s="153"/>
      <c r="E70" s="153"/>
      <c r="F70" s="153"/>
      <c r="G70" s="153"/>
      <c r="H70" s="153"/>
      <c r="I70" s="153"/>
      <c r="J70" s="157"/>
      <c r="K70" s="157"/>
      <c r="L70" s="157"/>
      <c r="M70" s="157"/>
      <c r="N70" s="153"/>
      <c r="O70" s="153"/>
      <c r="P70" s="153"/>
      <c r="Q70" s="153"/>
      <c r="R70" s="153"/>
      <c r="S70" s="153"/>
      <c r="T70" s="153"/>
      <c r="U70" s="153"/>
      <c r="V70" s="153"/>
      <c r="W70" s="153"/>
      <c r="X70" s="153"/>
      <c r="Y70" s="153"/>
      <c r="Z70" s="153"/>
    </row>
    <row r="71" spans="1:26" s="14" customFormat="1" x14ac:dyDescent="0.25">
      <c r="A71" s="78"/>
      <c r="B71" s="77"/>
      <c r="C71" s="153"/>
      <c r="D71" s="153"/>
      <c r="E71" s="153"/>
      <c r="F71" s="153"/>
      <c r="G71" s="153"/>
      <c r="H71" s="153"/>
      <c r="I71" s="153"/>
      <c r="J71" s="157"/>
      <c r="K71" s="157"/>
      <c r="L71" s="157"/>
      <c r="M71" s="157"/>
      <c r="N71" s="153"/>
      <c r="O71" s="153"/>
      <c r="P71" s="153"/>
      <c r="Q71" s="153"/>
      <c r="R71" s="153"/>
      <c r="S71" s="153"/>
      <c r="T71" s="153"/>
      <c r="U71" s="153"/>
      <c r="V71" s="153"/>
      <c r="W71" s="153"/>
      <c r="X71" s="153"/>
      <c r="Y71" s="153"/>
      <c r="Z71" s="153"/>
    </row>
    <row r="72" spans="1:26" s="14" customFormat="1" x14ac:dyDescent="0.25">
      <c r="A72" s="78"/>
      <c r="B72" s="77"/>
      <c r="C72" s="153"/>
      <c r="D72" s="153"/>
      <c r="E72" s="153"/>
      <c r="F72" s="153"/>
      <c r="G72" s="153"/>
      <c r="H72" s="153"/>
      <c r="I72" s="153"/>
      <c r="J72" s="157"/>
      <c r="K72" s="157"/>
      <c r="L72" s="157"/>
      <c r="M72" s="157"/>
      <c r="N72" s="153"/>
      <c r="O72" s="153"/>
      <c r="P72" s="153"/>
      <c r="Q72" s="153"/>
      <c r="R72" s="153"/>
      <c r="S72" s="153"/>
      <c r="T72" s="153"/>
      <c r="U72" s="153"/>
      <c r="V72" s="153"/>
      <c r="W72" s="153"/>
      <c r="X72" s="153"/>
      <c r="Y72" s="153"/>
      <c r="Z72" s="153"/>
    </row>
    <row r="73" spans="1:26" s="14" customFormat="1" x14ac:dyDescent="0.25">
      <c r="A73" s="78"/>
      <c r="B73" s="77"/>
      <c r="C73" s="153"/>
      <c r="D73" s="153"/>
      <c r="E73" s="153"/>
      <c r="F73" s="153"/>
      <c r="G73" s="153"/>
      <c r="H73" s="153"/>
      <c r="I73" s="153"/>
      <c r="J73" s="157"/>
      <c r="K73" s="157"/>
      <c r="L73" s="157"/>
      <c r="M73" s="157"/>
      <c r="N73" s="153"/>
      <c r="O73" s="153"/>
      <c r="P73" s="153"/>
      <c r="Q73" s="153"/>
      <c r="R73" s="153"/>
      <c r="S73" s="153"/>
      <c r="T73" s="153"/>
      <c r="U73" s="153"/>
      <c r="V73" s="153"/>
      <c r="W73" s="153"/>
    </row>
    <row r="74" spans="1:26" s="14" customFormat="1" x14ac:dyDescent="0.25">
      <c r="A74" s="78"/>
      <c r="B74" s="77"/>
      <c r="C74" s="153"/>
      <c r="D74" s="153"/>
      <c r="E74" s="153"/>
      <c r="F74" s="153"/>
      <c r="G74" s="153"/>
      <c r="H74" s="153"/>
      <c r="I74" s="153"/>
      <c r="J74" s="157"/>
      <c r="K74" s="157"/>
      <c r="L74" s="157"/>
      <c r="M74" s="157"/>
      <c r="N74" s="153"/>
      <c r="O74" s="153"/>
      <c r="P74" s="153"/>
      <c r="Q74" s="153"/>
      <c r="R74" s="153"/>
      <c r="S74" s="153"/>
      <c r="T74" s="153"/>
      <c r="U74" s="153"/>
      <c r="V74" s="153"/>
      <c r="W74" s="153"/>
    </row>
    <row r="75" spans="1:26" s="14" customFormat="1" x14ac:dyDescent="0.25">
      <c r="A75" s="78"/>
      <c r="B75" s="77"/>
      <c r="C75" s="153"/>
      <c r="D75" s="153"/>
      <c r="E75" s="153"/>
      <c r="F75" s="153"/>
      <c r="G75" s="153"/>
      <c r="H75" s="153"/>
      <c r="I75" s="153"/>
      <c r="J75" s="157"/>
      <c r="K75" s="157"/>
      <c r="L75" s="157"/>
      <c r="M75" s="157"/>
      <c r="N75" s="153"/>
      <c r="O75" s="153"/>
      <c r="P75" s="153"/>
      <c r="Q75" s="153"/>
      <c r="R75" s="153"/>
      <c r="S75" s="153"/>
      <c r="T75" s="153"/>
      <c r="U75" s="153"/>
      <c r="V75" s="153"/>
      <c r="W75" s="153"/>
    </row>
    <row r="76" spans="1:26" s="14" customFormat="1" x14ac:dyDescent="0.25">
      <c r="A76" s="78"/>
      <c r="B76" s="77"/>
      <c r="C76" s="153"/>
      <c r="D76" s="153"/>
      <c r="E76" s="153"/>
      <c r="F76" s="153"/>
      <c r="G76" s="153"/>
      <c r="H76" s="153"/>
      <c r="I76" s="153"/>
      <c r="J76" s="157"/>
      <c r="K76" s="157"/>
      <c r="L76" s="157"/>
      <c r="M76" s="157"/>
      <c r="N76" s="153"/>
      <c r="O76" s="153"/>
      <c r="P76" s="153"/>
      <c r="Q76" s="153"/>
      <c r="R76" s="153"/>
      <c r="S76" s="153"/>
      <c r="T76" s="153"/>
      <c r="U76" s="153"/>
      <c r="V76" s="153"/>
      <c r="W76" s="153"/>
    </row>
    <row r="77" spans="1:26" s="14" customFormat="1" x14ac:dyDescent="0.25">
      <c r="A77" s="78"/>
      <c r="B77" s="77"/>
      <c r="C77" s="153"/>
      <c r="D77" s="153"/>
      <c r="E77" s="153"/>
      <c r="F77" s="153"/>
      <c r="G77" s="153"/>
      <c r="H77" s="153"/>
      <c r="I77" s="153"/>
      <c r="J77" s="157"/>
      <c r="K77" s="157"/>
      <c r="L77" s="157"/>
      <c r="M77" s="157"/>
      <c r="N77" s="153"/>
      <c r="O77" s="153"/>
      <c r="P77" s="153"/>
      <c r="Q77" s="153"/>
      <c r="R77" s="153"/>
      <c r="S77" s="153"/>
      <c r="T77" s="153"/>
      <c r="U77" s="153"/>
      <c r="V77" s="153"/>
      <c r="W77" s="153"/>
    </row>
    <row r="78" spans="1:26" s="14" customFormat="1" x14ac:dyDescent="0.25">
      <c r="A78" s="78"/>
      <c r="B78" s="77"/>
      <c r="C78" s="153"/>
      <c r="D78" s="153"/>
      <c r="E78" s="153"/>
      <c r="F78" s="153"/>
      <c r="G78" s="153"/>
      <c r="H78" s="153"/>
      <c r="I78" s="153"/>
      <c r="J78" s="157"/>
      <c r="K78" s="157"/>
      <c r="L78" s="157"/>
      <c r="M78" s="157"/>
      <c r="N78" s="153"/>
      <c r="O78" s="153"/>
      <c r="P78" s="153"/>
      <c r="Q78" s="153"/>
      <c r="R78" s="153"/>
      <c r="S78" s="153"/>
      <c r="T78" s="153"/>
      <c r="U78" s="153"/>
      <c r="V78" s="153"/>
      <c r="W78" s="153"/>
    </row>
    <row r="79" spans="1:26" s="14" customFormat="1" x14ac:dyDescent="0.25">
      <c r="A79" s="78"/>
      <c r="B79" s="77"/>
      <c r="C79" s="153"/>
      <c r="D79" s="153"/>
      <c r="E79" s="153"/>
      <c r="F79" s="153"/>
      <c r="G79" s="153"/>
      <c r="H79" s="153"/>
      <c r="I79" s="153"/>
      <c r="J79" s="157"/>
      <c r="K79" s="157"/>
      <c r="L79" s="157"/>
      <c r="M79" s="157"/>
      <c r="N79" s="153"/>
      <c r="O79" s="153"/>
      <c r="P79" s="153"/>
      <c r="Q79" s="153"/>
      <c r="R79" s="153"/>
      <c r="S79" s="153"/>
      <c r="T79" s="153"/>
      <c r="U79" s="153"/>
      <c r="V79" s="153"/>
      <c r="W79" s="153"/>
    </row>
    <row r="80" spans="1:26" s="14" customFormat="1" x14ac:dyDescent="0.25">
      <c r="A80" s="78"/>
      <c r="B80" s="77"/>
      <c r="C80" s="153"/>
      <c r="D80" s="153"/>
      <c r="E80" s="153"/>
      <c r="F80" s="153"/>
      <c r="G80" s="153"/>
      <c r="H80" s="153"/>
      <c r="I80" s="153"/>
      <c r="J80" s="157"/>
      <c r="K80" s="157"/>
      <c r="L80" s="157"/>
      <c r="M80" s="157"/>
      <c r="N80" s="153"/>
      <c r="O80" s="153"/>
      <c r="P80" s="153"/>
      <c r="Q80" s="153"/>
      <c r="R80" s="153"/>
      <c r="S80" s="153"/>
      <c r="T80" s="153"/>
      <c r="U80" s="153"/>
      <c r="V80" s="153"/>
      <c r="W80" s="153"/>
    </row>
    <row r="81" spans="1:23" s="14" customFormat="1" x14ac:dyDescent="0.25">
      <c r="A81" s="78"/>
      <c r="B81" s="77"/>
      <c r="C81" s="153"/>
      <c r="D81" s="153"/>
      <c r="E81" s="153"/>
      <c r="F81" s="153"/>
      <c r="G81" s="153"/>
      <c r="H81" s="153"/>
      <c r="I81" s="153"/>
      <c r="J81" s="157"/>
      <c r="K81" s="157"/>
      <c r="L81" s="157"/>
      <c r="M81" s="157"/>
      <c r="N81" s="153"/>
      <c r="O81" s="153"/>
      <c r="P81" s="153"/>
      <c r="Q81" s="153"/>
      <c r="R81" s="153"/>
      <c r="S81" s="153"/>
      <c r="T81" s="153"/>
      <c r="U81" s="153"/>
      <c r="V81" s="153"/>
      <c r="W81" s="153"/>
    </row>
    <row r="82" spans="1:23" s="14" customFormat="1" x14ac:dyDescent="0.25">
      <c r="A82" s="78"/>
      <c r="B82" s="77"/>
      <c r="C82" s="153"/>
      <c r="D82" s="153"/>
      <c r="E82" s="153"/>
      <c r="F82" s="153"/>
      <c r="G82" s="153"/>
      <c r="H82" s="153"/>
      <c r="I82" s="153"/>
      <c r="J82" s="157"/>
      <c r="K82" s="157"/>
      <c r="L82" s="157"/>
      <c r="M82" s="157"/>
      <c r="N82" s="153"/>
      <c r="O82" s="153"/>
      <c r="P82" s="153"/>
      <c r="Q82" s="153"/>
      <c r="R82" s="153"/>
      <c r="S82" s="153"/>
      <c r="T82" s="153"/>
      <c r="U82" s="153"/>
      <c r="V82" s="153"/>
      <c r="W82" s="153"/>
    </row>
    <row r="83" spans="1:23" s="14" customFormat="1" x14ac:dyDescent="0.25">
      <c r="A83" s="78"/>
      <c r="B83" s="77"/>
      <c r="C83" s="153"/>
      <c r="D83" s="153"/>
      <c r="E83" s="153"/>
      <c r="F83" s="153"/>
      <c r="G83" s="153"/>
      <c r="H83" s="153"/>
      <c r="I83" s="153"/>
      <c r="J83" s="157"/>
      <c r="K83" s="157"/>
      <c r="L83" s="157"/>
      <c r="M83" s="157"/>
      <c r="N83" s="153"/>
      <c r="O83" s="153"/>
      <c r="P83" s="153"/>
      <c r="Q83" s="153"/>
      <c r="R83" s="153"/>
      <c r="S83" s="153"/>
      <c r="T83" s="153"/>
      <c r="U83" s="153"/>
      <c r="V83" s="153"/>
      <c r="W83" s="153"/>
    </row>
    <row r="84" spans="1:23" s="14" customFormat="1" x14ac:dyDescent="0.25">
      <c r="A84" s="78"/>
      <c r="B84" s="77"/>
      <c r="C84" s="153"/>
      <c r="D84" s="153"/>
      <c r="E84" s="153"/>
      <c r="F84" s="153"/>
      <c r="G84" s="153"/>
      <c r="H84" s="153"/>
      <c r="I84" s="153"/>
      <c r="J84" s="157"/>
      <c r="K84" s="157"/>
      <c r="L84" s="157"/>
      <c r="M84" s="157"/>
      <c r="N84" s="153"/>
      <c r="O84" s="153"/>
      <c r="P84" s="153"/>
      <c r="Q84" s="153"/>
      <c r="R84" s="153"/>
      <c r="S84" s="153"/>
      <c r="T84" s="153"/>
      <c r="U84" s="153"/>
      <c r="V84" s="153"/>
      <c r="W84" s="153"/>
    </row>
    <row r="85" spans="1:23" s="14" customFormat="1" x14ac:dyDescent="0.25">
      <c r="A85" s="78"/>
      <c r="B85" s="77"/>
      <c r="C85" s="153"/>
      <c r="D85" s="153"/>
      <c r="E85" s="153"/>
      <c r="F85" s="153"/>
      <c r="G85" s="153"/>
      <c r="H85" s="153"/>
      <c r="I85" s="153"/>
      <c r="J85" s="157"/>
      <c r="K85" s="157"/>
      <c r="L85" s="157"/>
      <c r="M85" s="157"/>
      <c r="N85" s="153"/>
      <c r="O85" s="153"/>
      <c r="P85" s="153"/>
      <c r="Q85" s="153"/>
      <c r="R85" s="153"/>
      <c r="S85" s="153"/>
      <c r="T85" s="153"/>
      <c r="U85" s="153"/>
      <c r="V85" s="153"/>
      <c r="W85" s="153"/>
    </row>
    <row r="86" spans="1:23" s="14" customFormat="1" x14ac:dyDescent="0.25">
      <c r="A86" s="78"/>
      <c r="B86" s="77"/>
      <c r="C86" s="153"/>
      <c r="D86" s="153"/>
      <c r="E86" s="153"/>
      <c r="F86" s="153"/>
      <c r="G86" s="153"/>
      <c r="H86" s="153"/>
      <c r="I86" s="153"/>
      <c r="J86" s="157"/>
      <c r="K86" s="157"/>
      <c r="L86" s="157"/>
      <c r="M86" s="157"/>
      <c r="N86" s="153"/>
      <c r="O86" s="153"/>
      <c r="P86" s="153"/>
      <c r="Q86" s="153"/>
      <c r="R86" s="153"/>
      <c r="S86" s="153"/>
      <c r="T86" s="153"/>
      <c r="U86" s="153"/>
      <c r="V86" s="153"/>
      <c r="W86" s="153"/>
    </row>
    <row r="87" spans="1:23" s="14" customFormat="1" x14ac:dyDescent="0.25">
      <c r="A87" s="78"/>
      <c r="B87" s="77"/>
      <c r="C87" s="153"/>
      <c r="D87" s="153"/>
      <c r="E87" s="153"/>
      <c r="F87" s="153"/>
      <c r="G87" s="153"/>
      <c r="H87" s="153"/>
      <c r="I87" s="153"/>
      <c r="J87" s="157"/>
      <c r="K87" s="157"/>
      <c r="L87" s="157"/>
      <c r="M87" s="157"/>
      <c r="N87" s="153"/>
      <c r="O87" s="153"/>
      <c r="P87" s="153"/>
      <c r="Q87" s="153"/>
      <c r="R87" s="153"/>
      <c r="S87" s="153"/>
      <c r="T87" s="153"/>
      <c r="U87" s="153"/>
      <c r="V87" s="153"/>
      <c r="W87" s="153"/>
    </row>
    <row r="88" spans="1:23" s="14" customFormat="1" x14ac:dyDescent="0.25">
      <c r="A88" s="78"/>
      <c r="B88" s="77"/>
      <c r="C88" s="153"/>
      <c r="D88" s="153"/>
      <c r="E88" s="153"/>
      <c r="F88" s="153"/>
      <c r="G88" s="153"/>
      <c r="H88" s="153"/>
      <c r="I88" s="153"/>
      <c r="J88" s="157"/>
      <c r="K88" s="157"/>
      <c r="L88" s="157"/>
      <c r="M88" s="157"/>
      <c r="N88" s="153"/>
      <c r="O88" s="153"/>
      <c r="P88" s="153"/>
      <c r="Q88" s="153"/>
      <c r="R88" s="153"/>
      <c r="S88" s="153"/>
      <c r="T88" s="153"/>
      <c r="U88" s="153"/>
      <c r="V88" s="153"/>
      <c r="W88" s="153"/>
    </row>
    <row r="89" spans="1:23" s="14" customFormat="1" x14ac:dyDescent="0.25">
      <c r="A89" s="78"/>
      <c r="B89" s="77"/>
      <c r="C89" s="153"/>
      <c r="D89" s="153"/>
      <c r="E89" s="153"/>
      <c r="F89" s="153"/>
      <c r="G89" s="153"/>
      <c r="H89" s="153"/>
      <c r="I89" s="153"/>
      <c r="J89" s="157"/>
      <c r="K89" s="157"/>
      <c r="L89" s="157"/>
      <c r="M89" s="157"/>
      <c r="N89" s="153"/>
      <c r="O89" s="153"/>
      <c r="P89" s="153"/>
      <c r="Q89" s="153"/>
      <c r="R89" s="153"/>
      <c r="S89" s="153"/>
      <c r="T89" s="153"/>
      <c r="U89" s="153"/>
      <c r="V89" s="153"/>
      <c r="W89" s="153"/>
    </row>
    <row r="90" spans="1:23" s="14" customFormat="1" x14ac:dyDescent="0.25">
      <c r="A90" s="78"/>
      <c r="B90" s="77"/>
      <c r="C90" s="153"/>
      <c r="D90" s="153"/>
      <c r="E90" s="153"/>
      <c r="F90" s="153"/>
      <c r="G90" s="153"/>
      <c r="H90" s="153"/>
      <c r="I90" s="153"/>
      <c r="J90" s="157"/>
      <c r="K90" s="157"/>
      <c r="L90" s="157"/>
      <c r="M90" s="157"/>
      <c r="N90" s="153"/>
      <c r="O90" s="153"/>
      <c r="P90" s="153"/>
      <c r="Q90" s="153"/>
      <c r="R90" s="153"/>
      <c r="S90" s="153"/>
      <c r="T90" s="153"/>
      <c r="U90" s="153"/>
      <c r="V90" s="153"/>
      <c r="W90" s="153"/>
    </row>
    <row r="91" spans="1:23" s="14" customFormat="1" x14ac:dyDescent="0.25">
      <c r="A91" s="78"/>
      <c r="B91" s="77"/>
      <c r="C91" s="153"/>
      <c r="D91" s="153"/>
      <c r="E91" s="153"/>
      <c r="F91" s="153"/>
      <c r="G91" s="153"/>
      <c r="H91" s="153"/>
      <c r="I91" s="153"/>
      <c r="J91" s="157"/>
      <c r="K91" s="157"/>
      <c r="L91" s="157"/>
      <c r="M91" s="157"/>
      <c r="N91" s="153"/>
      <c r="O91" s="153"/>
      <c r="P91" s="153"/>
      <c r="Q91" s="153"/>
      <c r="R91" s="153"/>
      <c r="S91" s="153"/>
      <c r="T91" s="153"/>
      <c r="U91" s="153"/>
      <c r="V91" s="153"/>
      <c r="W91" s="153"/>
    </row>
    <row r="92" spans="1:23" s="14" customFormat="1" x14ac:dyDescent="0.25">
      <c r="A92" s="78"/>
      <c r="B92" s="77"/>
      <c r="C92" s="153"/>
      <c r="D92" s="153"/>
      <c r="E92" s="153"/>
      <c r="F92" s="153"/>
      <c r="G92" s="153"/>
      <c r="H92" s="153"/>
      <c r="I92" s="153"/>
      <c r="J92" s="157"/>
      <c r="K92" s="157"/>
      <c r="L92" s="157"/>
      <c r="M92" s="157"/>
      <c r="N92" s="153"/>
      <c r="O92" s="153"/>
      <c r="P92" s="153"/>
      <c r="Q92" s="153"/>
      <c r="R92" s="153"/>
      <c r="S92" s="153"/>
      <c r="T92" s="153"/>
      <c r="U92" s="153"/>
      <c r="V92" s="153"/>
      <c r="W92" s="153"/>
    </row>
    <row r="93" spans="1:23" s="14" customFormat="1" x14ac:dyDescent="0.25">
      <c r="A93" s="78"/>
      <c r="B93" s="77"/>
      <c r="C93" s="153"/>
      <c r="D93" s="153"/>
      <c r="E93" s="153"/>
      <c r="F93" s="153"/>
      <c r="G93" s="153"/>
      <c r="H93" s="153"/>
      <c r="I93" s="153"/>
      <c r="J93" s="157"/>
      <c r="K93" s="157"/>
      <c r="L93" s="157"/>
      <c r="M93" s="157"/>
      <c r="N93" s="153"/>
      <c r="O93" s="153"/>
      <c r="P93" s="153"/>
      <c r="Q93" s="153"/>
      <c r="R93" s="153"/>
      <c r="S93" s="153"/>
      <c r="T93" s="153"/>
      <c r="U93" s="153"/>
      <c r="V93" s="153"/>
      <c r="W93" s="153"/>
    </row>
    <row r="94" spans="1:23" s="14" customFormat="1" x14ac:dyDescent="0.25">
      <c r="A94" s="78"/>
      <c r="B94" s="77"/>
      <c r="C94" s="153"/>
      <c r="D94" s="153"/>
      <c r="E94" s="153"/>
      <c r="F94" s="153"/>
      <c r="G94" s="153"/>
      <c r="H94" s="153"/>
      <c r="I94" s="153"/>
      <c r="J94" s="157"/>
      <c r="K94" s="157"/>
      <c r="L94" s="157"/>
      <c r="M94" s="157"/>
      <c r="N94" s="153"/>
      <c r="O94" s="153"/>
      <c r="P94" s="153"/>
      <c r="Q94" s="153"/>
      <c r="R94" s="153"/>
      <c r="S94" s="153"/>
      <c r="T94" s="153"/>
      <c r="U94" s="153"/>
      <c r="V94" s="153"/>
      <c r="W94" s="153"/>
    </row>
    <row r="95" spans="1:23" s="14" customFormat="1" x14ac:dyDescent="0.25">
      <c r="A95" s="78"/>
      <c r="B95" s="77"/>
      <c r="C95" s="153"/>
      <c r="D95" s="153"/>
      <c r="E95" s="153"/>
      <c r="F95" s="153"/>
      <c r="G95" s="153"/>
      <c r="H95" s="153"/>
      <c r="I95" s="153"/>
      <c r="J95" s="157"/>
      <c r="K95" s="157"/>
      <c r="L95" s="157"/>
      <c r="M95" s="157"/>
      <c r="N95" s="153"/>
      <c r="O95" s="153"/>
      <c r="P95" s="153"/>
      <c r="Q95" s="153"/>
      <c r="R95" s="153"/>
      <c r="S95" s="153"/>
      <c r="T95" s="153"/>
      <c r="U95" s="153"/>
      <c r="V95" s="153"/>
      <c r="W95" s="153"/>
    </row>
    <row r="96" spans="1:23" s="14" customFormat="1" x14ac:dyDescent="0.25">
      <c r="A96" s="78"/>
      <c r="B96" s="77"/>
      <c r="C96" s="153"/>
      <c r="D96" s="153"/>
      <c r="E96" s="153"/>
      <c r="F96" s="153"/>
      <c r="G96" s="153"/>
      <c r="H96" s="153"/>
      <c r="I96" s="153"/>
      <c r="J96" s="157"/>
      <c r="K96" s="157"/>
      <c r="L96" s="157"/>
      <c r="M96" s="157"/>
      <c r="N96" s="153"/>
      <c r="O96" s="153"/>
      <c r="P96" s="153"/>
      <c r="Q96" s="153"/>
      <c r="R96" s="153"/>
      <c r="S96" s="153"/>
      <c r="T96" s="153"/>
      <c r="U96" s="153"/>
      <c r="V96" s="153"/>
      <c r="W96" s="153"/>
    </row>
    <row r="97" spans="1:23" s="14" customFormat="1" x14ac:dyDescent="0.25">
      <c r="A97" s="78"/>
      <c r="B97" s="77"/>
      <c r="C97" s="153"/>
      <c r="D97" s="153"/>
      <c r="E97" s="153"/>
      <c r="F97" s="153"/>
      <c r="G97" s="153"/>
      <c r="H97" s="153"/>
      <c r="I97" s="153"/>
      <c r="J97" s="157"/>
      <c r="K97" s="157"/>
      <c r="L97" s="157"/>
      <c r="M97" s="157"/>
      <c r="N97" s="153"/>
      <c r="O97" s="153"/>
      <c r="P97" s="153"/>
      <c r="Q97" s="153"/>
      <c r="R97" s="153"/>
      <c r="S97" s="153"/>
      <c r="T97" s="153"/>
      <c r="U97" s="153"/>
      <c r="V97" s="153"/>
      <c r="W97" s="153"/>
    </row>
    <row r="98" spans="1:23" s="14" customFormat="1" x14ac:dyDescent="0.25">
      <c r="A98" s="78"/>
      <c r="B98" s="77"/>
      <c r="C98" s="153"/>
      <c r="D98" s="153"/>
      <c r="E98" s="153"/>
      <c r="F98" s="153"/>
      <c r="G98" s="153"/>
      <c r="H98" s="153"/>
      <c r="I98" s="153"/>
      <c r="J98" s="157"/>
      <c r="K98" s="157"/>
      <c r="L98" s="157"/>
      <c r="M98" s="157"/>
      <c r="N98" s="153"/>
      <c r="O98" s="153"/>
      <c r="P98" s="153"/>
      <c r="Q98" s="153"/>
      <c r="R98" s="153"/>
      <c r="S98" s="153"/>
      <c r="T98" s="153"/>
      <c r="U98" s="153"/>
      <c r="V98" s="153"/>
      <c r="W98" s="153"/>
    </row>
    <row r="99" spans="1:23" s="14" customFormat="1" x14ac:dyDescent="0.25">
      <c r="A99" s="78"/>
      <c r="B99" s="77"/>
      <c r="C99" s="153"/>
      <c r="D99" s="153"/>
      <c r="E99" s="153"/>
      <c r="F99" s="153"/>
      <c r="G99" s="153"/>
      <c r="H99" s="153"/>
      <c r="I99" s="153"/>
      <c r="J99" s="157"/>
      <c r="K99" s="157"/>
      <c r="L99" s="157"/>
      <c r="M99" s="157"/>
      <c r="N99" s="153"/>
      <c r="O99" s="153"/>
      <c r="P99" s="153"/>
      <c r="Q99" s="153"/>
      <c r="R99" s="153"/>
      <c r="S99" s="153"/>
      <c r="T99" s="153"/>
      <c r="U99" s="153"/>
      <c r="V99" s="153"/>
      <c r="W99" s="153"/>
    </row>
    <row r="100" spans="1:23" s="14" customFormat="1" x14ac:dyDescent="0.25">
      <c r="A100" s="78"/>
      <c r="B100" s="77"/>
      <c r="C100" s="153"/>
      <c r="D100" s="153"/>
      <c r="E100" s="153"/>
      <c r="F100" s="153"/>
      <c r="G100" s="153"/>
      <c r="H100" s="153"/>
      <c r="I100" s="153"/>
      <c r="J100" s="157"/>
      <c r="K100" s="157"/>
      <c r="L100" s="157"/>
      <c r="M100" s="157"/>
      <c r="N100" s="153"/>
      <c r="O100" s="153"/>
      <c r="P100" s="153"/>
      <c r="Q100" s="153"/>
      <c r="R100" s="153"/>
      <c r="S100" s="153"/>
      <c r="T100" s="153"/>
      <c r="U100" s="153"/>
      <c r="V100" s="153"/>
      <c r="W100" s="153"/>
    </row>
    <row r="101" spans="1:23" s="14" customFormat="1" x14ac:dyDescent="0.25">
      <c r="A101" s="78"/>
      <c r="B101" s="77"/>
      <c r="C101" s="153"/>
      <c r="D101" s="153"/>
      <c r="E101" s="153"/>
      <c r="F101" s="153"/>
      <c r="G101" s="153"/>
      <c r="H101" s="153"/>
      <c r="I101" s="153"/>
      <c r="J101" s="157"/>
      <c r="K101" s="157"/>
      <c r="L101" s="157"/>
      <c r="M101" s="157"/>
      <c r="N101" s="153"/>
      <c r="O101" s="153"/>
      <c r="P101" s="153"/>
      <c r="Q101" s="153"/>
      <c r="R101" s="153"/>
      <c r="S101" s="153"/>
      <c r="T101" s="153"/>
      <c r="U101" s="153"/>
      <c r="V101" s="153"/>
      <c r="W101" s="153"/>
    </row>
    <row r="102" spans="1:23" s="14" customFormat="1" x14ac:dyDescent="0.25">
      <c r="A102" s="78"/>
      <c r="B102" s="77"/>
      <c r="C102" s="153"/>
      <c r="D102" s="153"/>
      <c r="E102" s="153"/>
      <c r="F102" s="153"/>
      <c r="G102" s="153"/>
      <c r="H102" s="153"/>
      <c r="I102" s="153"/>
      <c r="J102" s="157"/>
      <c r="K102" s="157"/>
      <c r="L102" s="157"/>
      <c r="M102" s="157"/>
      <c r="N102" s="153"/>
      <c r="O102" s="153"/>
      <c r="P102" s="153"/>
      <c r="Q102" s="153"/>
      <c r="R102" s="153"/>
      <c r="S102" s="153"/>
      <c r="T102" s="153"/>
      <c r="U102" s="153"/>
      <c r="V102" s="153"/>
      <c r="W102" s="153"/>
    </row>
    <row r="103" spans="1:23" s="14" customFormat="1" x14ac:dyDescent="0.25">
      <c r="A103" s="78"/>
      <c r="B103" s="77"/>
      <c r="C103" s="153"/>
      <c r="D103" s="153"/>
      <c r="E103" s="153"/>
      <c r="F103" s="153"/>
      <c r="G103" s="153"/>
      <c r="H103" s="153"/>
      <c r="I103" s="153"/>
      <c r="J103" s="157"/>
      <c r="K103" s="157"/>
      <c r="L103" s="157"/>
      <c r="M103" s="157"/>
      <c r="N103" s="153"/>
      <c r="O103" s="153"/>
      <c r="P103" s="153"/>
      <c r="Q103" s="153"/>
      <c r="R103" s="153"/>
      <c r="S103" s="153"/>
      <c r="T103" s="153"/>
      <c r="U103" s="153"/>
      <c r="V103" s="153"/>
      <c r="W103" s="153"/>
    </row>
    <row r="104" spans="1:23" s="14" customFormat="1" x14ac:dyDescent="0.25">
      <c r="A104" s="78"/>
      <c r="B104" s="77"/>
      <c r="C104" s="153"/>
      <c r="D104" s="153"/>
      <c r="E104" s="153"/>
      <c r="F104" s="153"/>
      <c r="G104" s="153"/>
      <c r="H104" s="153"/>
      <c r="I104" s="153"/>
      <c r="J104" s="157"/>
      <c r="K104" s="157"/>
      <c r="L104" s="157"/>
      <c r="M104" s="157"/>
      <c r="N104" s="153"/>
      <c r="O104" s="153"/>
      <c r="P104" s="153"/>
      <c r="Q104" s="153"/>
      <c r="R104" s="153"/>
      <c r="S104" s="153"/>
      <c r="T104" s="153"/>
      <c r="U104" s="153"/>
      <c r="V104" s="153"/>
      <c r="W104" s="153"/>
    </row>
    <row r="105" spans="1:23" s="14" customFormat="1" x14ac:dyDescent="0.25">
      <c r="A105" s="78"/>
      <c r="B105" s="77"/>
      <c r="C105" s="153"/>
      <c r="D105" s="153"/>
      <c r="E105" s="153"/>
      <c r="F105" s="153"/>
      <c r="G105" s="153"/>
      <c r="H105" s="153"/>
      <c r="I105" s="153"/>
      <c r="J105" s="157"/>
      <c r="K105" s="157"/>
      <c r="L105" s="157"/>
      <c r="M105" s="157"/>
      <c r="N105" s="153"/>
      <c r="O105" s="153"/>
      <c r="P105" s="153"/>
      <c r="Q105" s="153"/>
      <c r="R105" s="153"/>
      <c r="S105" s="153"/>
      <c r="T105" s="153"/>
      <c r="U105" s="153"/>
      <c r="V105" s="153"/>
      <c r="W105" s="153"/>
    </row>
    <row r="106" spans="1:23" s="14" customFormat="1" x14ac:dyDescent="0.25">
      <c r="A106" s="78"/>
      <c r="B106" s="77"/>
      <c r="C106" s="153"/>
      <c r="D106" s="153"/>
      <c r="E106" s="153"/>
      <c r="F106" s="153"/>
      <c r="G106" s="153"/>
      <c r="H106" s="153"/>
      <c r="I106" s="153"/>
      <c r="J106" s="157"/>
      <c r="K106" s="157"/>
      <c r="L106" s="157"/>
      <c r="M106" s="157"/>
      <c r="N106" s="153"/>
      <c r="O106" s="153"/>
      <c r="P106" s="153"/>
      <c r="Q106" s="153"/>
      <c r="R106" s="153"/>
      <c r="S106" s="153"/>
      <c r="T106" s="153"/>
      <c r="U106" s="153"/>
      <c r="V106" s="153"/>
      <c r="W106" s="153"/>
    </row>
    <row r="107" spans="1:23" s="14" customFormat="1" x14ac:dyDescent="0.25">
      <c r="A107" s="78"/>
      <c r="B107" s="77"/>
      <c r="C107" s="153"/>
      <c r="D107" s="153"/>
      <c r="E107" s="153"/>
      <c r="F107" s="153"/>
      <c r="G107" s="153"/>
      <c r="H107" s="153"/>
      <c r="I107" s="153"/>
      <c r="J107" s="157"/>
      <c r="K107" s="157"/>
      <c r="L107" s="157"/>
      <c r="M107" s="157"/>
      <c r="N107" s="153"/>
      <c r="O107" s="153"/>
      <c r="P107" s="153"/>
      <c r="Q107" s="153"/>
      <c r="R107" s="153"/>
      <c r="S107" s="153"/>
      <c r="T107" s="153"/>
      <c r="U107" s="153"/>
      <c r="V107" s="153"/>
      <c r="W107" s="153"/>
    </row>
    <row r="108" spans="1:23" s="14" customFormat="1" x14ac:dyDescent="0.25">
      <c r="A108" s="78"/>
      <c r="B108" s="77"/>
      <c r="C108" s="153"/>
      <c r="D108" s="153"/>
      <c r="E108" s="153"/>
      <c r="F108" s="153"/>
      <c r="G108" s="153"/>
      <c r="H108" s="153"/>
      <c r="I108" s="153"/>
      <c r="J108" s="157"/>
      <c r="K108" s="157"/>
      <c r="L108" s="157"/>
      <c r="M108" s="157"/>
      <c r="N108" s="153"/>
      <c r="O108" s="153"/>
      <c r="P108" s="153"/>
      <c r="Q108" s="153"/>
      <c r="R108" s="153"/>
      <c r="S108" s="153"/>
      <c r="T108" s="153"/>
      <c r="U108" s="153"/>
      <c r="V108" s="153"/>
      <c r="W108" s="153"/>
    </row>
    <row r="109" spans="1:23" s="14" customFormat="1" x14ac:dyDescent="0.25">
      <c r="A109" s="78"/>
      <c r="B109" s="77"/>
      <c r="C109" s="153"/>
      <c r="D109" s="153"/>
      <c r="E109" s="153"/>
      <c r="F109" s="153"/>
      <c r="G109" s="153"/>
      <c r="H109" s="153"/>
      <c r="I109" s="153"/>
      <c r="J109" s="157"/>
      <c r="K109" s="157"/>
      <c r="L109" s="157"/>
      <c r="M109" s="157"/>
      <c r="N109" s="153"/>
      <c r="O109" s="153"/>
      <c r="P109" s="153"/>
      <c r="Q109" s="153"/>
      <c r="R109" s="153"/>
      <c r="S109" s="153"/>
      <c r="T109" s="153"/>
      <c r="U109" s="153"/>
      <c r="V109" s="153"/>
      <c r="W109" s="153"/>
    </row>
    <row r="110" spans="1:23" s="14" customFormat="1" x14ac:dyDescent="0.25">
      <c r="A110" s="78"/>
      <c r="B110" s="77"/>
      <c r="C110" s="153"/>
      <c r="D110" s="153"/>
      <c r="E110" s="153"/>
      <c r="F110" s="153"/>
      <c r="G110" s="153"/>
      <c r="H110" s="153"/>
      <c r="I110" s="153"/>
      <c r="J110" s="157"/>
      <c r="K110" s="157"/>
      <c r="L110" s="157"/>
      <c r="M110" s="157"/>
      <c r="N110" s="153"/>
      <c r="O110" s="153"/>
      <c r="P110" s="153"/>
      <c r="Q110" s="153"/>
      <c r="R110" s="153"/>
      <c r="S110" s="153"/>
      <c r="T110" s="153"/>
      <c r="U110" s="153"/>
      <c r="V110" s="153"/>
      <c r="W110" s="153"/>
    </row>
    <row r="111" spans="1:23" s="14" customFormat="1" x14ac:dyDescent="0.25">
      <c r="A111" s="78"/>
      <c r="B111" s="77"/>
      <c r="C111" s="153"/>
      <c r="D111" s="153"/>
      <c r="E111" s="153"/>
      <c r="F111" s="153"/>
      <c r="G111" s="153"/>
      <c r="H111" s="153"/>
      <c r="I111" s="153"/>
      <c r="J111" s="157"/>
      <c r="K111" s="157"/>
      <c r="L111" s="157"/>
      <c r="M111" s="157"/>
      <c r="N111" s="153"/>
      <c r="O111" s="153"/>
      <c r="P111" s="153"/>
      <c r="Q111" s="153"/>
      <c r="R111" s="153"/>
      <c r="S111" s="153"/>
      <c r="T111" s="153"/>
      <c r="U111" s="153"/>
      <c r="V111" s="153"/>
      <c r="W111" s="153"/>
    </row>
    <row r="112" spans="1:23" s="14" customFormat="1" x14ac:dyDescent="0.25">
      <c r="A112" s="78"/>
      <c r="B112" s="77"/>
      <c r="C112" s="153"/>
      <c r="D112" s="153"/>
      <c r="E112" s="153"/>
      <c r="F112" s="153"/>
      <c r="G112" s="153"/>
      <c r="H112" s="153"/>
      <c r="I112" s="153"/>
      <c r="J112" s="157"/>
      <c r="K112" s="157"/>
      <c r="L112" s="157"/>
      <c r="M112" s="157"/>
      <c r="N112" s="153"/>
      <c r="O112" s="153"/>
      <c r="P112" s="153"/>
      <c r="Q112" s="153"/>
      <c r="R112" s="153"/>
      <c r="S112" s="153"/>
      <c r="T112" s="153"/>
      <c r="U112" s="153"/>
      <c r="V112" s="153"/>
      <c r="W112" s="153"/>
    </row>
    <row r="113" spans="1:23" s="14" customFormat="1" x14ac:dyDescent="0.25">
      <c r="A113" s="78"/>
      <c r="B113" s="77"/>
      <c r="C113" s="153"/>
      <c r="D113" s="153"/>
      <c r="E113" s="153"/>
      <c r="F113" s="153"/>
      <c r="G113" s="153"/>
      <c r="H113" s="153"/>
      <c r="I113" s="153"/>
      <c r="J113" s="157"/>
      <c r="K113" s="157"/>
      <c r="L113" s="157"/>
      <c r="M113" s="157"/>
      <c r="N113" s="153"/>
      <c r="O113" s="153"/>
      <c r="P113" s="153"/>
      <c r="Q113" s="153"/>
      <c r="R113" s="153"/>
      <c r="S113" s="153"/>
      <c r="T113" s="153"/>
      <c r="U113" s="153"/>
      <c r="V113" s="153"/>
      <c r="W113" s="153"/>
    </row>
    <row r="114" spans="1:23" s="14" customFormat="1" x14ac:dyDescent="0.25">
      <c r="A114" s="78"/>
      <c r="B114" s="77"/>
      <c r="C114" s="153"/>
      <c r="D114" s="153"/>
      <c r="E114" s="153"/>
      <c r="F114" s="153"/>
      <c r="G114" s="153"/>
      <c r="H114" s="153"/>
      <c r="I114" s="153"/>
      <c r="J114" s="157"/>
      <c r="K114" s="157"/>
      <c r="L114" s="157"/>
      <c r="M114" s="157"/>
      <c r="N114" s="153"/>
      <c r="O114" s="153"/>
      <c r="P114" s="153"/>
      <c r="Q114" s="153"/>
      <c r="R114" s="153"/>
      <c r="S114" s="153"/>
      <c r="T114" s="153"/>
      <c r="U114" s="153"/>
      <c r="V114" s="153"/>
      <c r="W114" s="153"/>
    </row>
    <row r="115" spans="1:23" s="14" customFormat="1" x14ac:dyDescent="0.25">
      <c r="A115" s="78"/>
      <c r="B115" s="77"/>
      <c r="C115" s="153"/>
      <c r="D115" s="153"/>
      <c r="E115" s="153"/>
      <c r="F115" s="153"/>
      <c r="G115" s="153"/>
      <c r="H115" s="153"/>
      <c r="I115" s="153"/>
      <c r="J115" s="157"/>
      <c r="K115" s="157"/>
      <c r="L115" s="157"/>
      <c r="M115" s="157"/>
      <c r="N115" s="153"/>
      <c r="O115" s="153"/>
      <c r="P115" s="153"/>
      <c r="Q115" s="153"/>
      <c r="R115" s="153"/>
      <c r="S115" s="153"/>
      <c r="T115" s="153"/>
      <c r="U115" s="153"/>
      <c r="V115" s="153"/>
      <c r="W115" s="153"/>
    </row>
    <row r="116" spans="1:23" s="14" customFormat="1" x14ac:dyDescent="0.25">
      <c r="A116" s="78"/>
      <c r="B116" s="77"/>
      <c r="C116" s="153"/>
      <c r="D116" s="153"/>
      <c r="E116" s="153"/>
      <c r="F116" s="153"/>
      <c r="G116" s="153"/>
      <c r="H116" s="153"/>
      <c r="I116" s="153"/>
      <c r="J116" s="157"/>
      <c r="K116" s="157"/>
      <c r="L116" s="157"/>
      <c r="M116" s="157"/>
      <c r="N116" s="153"/>
      <c r="O116" s="153"/>
      <c r="P116" s="153"/>
      <c r="Q116" s="153"/>
      <c r="R116" s="153"/>
      <c r="S116" s="153"/>
      <c r="T116" s="153"/>
      <c r="U116" s="153"/>
      <c r="V116" s="153"/>
      <c r="W116" s="153"/>
    </row>
    <row r="117" spans="1:23" s="14" customFormat="1" x14ac:dyDescent="0.25">
      <c r="A117" s="78"/>
      <c r="B117" s="77"/>
      <c r="C117" s="153"/>
      <c r="D117" s="153"/>
      <c r="E117" s="153"/>
      <c r="F117" s="153"/>
      <c r="G117" s="153"/>
      <c r="H117" s="153"/>
      <c r="I117" s="153"/>
      <c r="J117" s="157"/>
      <c r="K117" s="157"/>
      <c r="L117" s="157"/>
      <c r="M117" s="157"/>
      <c r="N117" s="153"/>
      <c r="O117" s="153"/>
      <c r="P117" s="153"/>
      <c r="Q117" s="153"/>
      <c r="R117" s="153"/>
      <c r="S117" s="153"/>
      <c r="T117" s="153"/>
      <c r="U117" s="153"/>
      <c r="V117" s="153"/>
      <c r="W117" s="153"/>
    </row>
    <row r="118" spans="1:23" s="14" customFormat="1" x14ac:dyDescent="0.25">
      <c r="A118" s="78"/>
      <c r="B118" s="77"/>
      <c r="C118" s="153"/>
      <c r="D118" s="153"/>
      <c r="E118" s="153"/>
      <c r="F118" s="153"/>
      <c r="G118" s="153"/>
      <c r="H118" s="153"/>
      <c r="I118" s="153"/>
      <c r="J118" s="157"/>
      <c r="K118" s="157"/>
      <c r="L118" s="157"/>
      <c r="M118" s="157"/>
      <c r="N118" s="153"/>
      <c r="O118" s="153"/>
      <c r="P118" s="153"/>
      <c r="Q118" s="153"/>
      <c r="R118" s="153"/>
      <c r="S118" s="153"/>
      <c r="T118" s="153"/>
      <c r="U118" s="153"/>
      <c r="V118" s="153"/>
      <c r="W118" s="153"/>
    </row>
    <row r="119" spans="1:23" s="14" customFormat="1" x14ac:dyDescent="0.25">
      <c r="A119" s="78"/>
      <c r="B119" s="77"/>
      <c r="C119" s="153"/>
      <c r="D119" s="153"/>
      <c r="E119" s="153"/>
      <c r="F119" s="153"/>
      <c r="G119" s="153"/>
      <c r="H119" s="153"/>
      <c r="I119" s="153"/>
      <c r="J119" s="157"/>
      <c r="K119" s="157"/>
      <c r="L119" s="157"/>
      <c r="M119" s="157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</row>
    <row r="120" spans="1:23" s="14" customFormat="1" x14ac:dyDescent="0.25">
      <c r="A120" s="78"/>
      <c r="B120" s="77"/>
      <c r="C120" s="153"/>
      <c r="D120" s="153"/>
      <c r="E120" s="153"/>
      <c r="F120" s="153"/>
      <c r="G120" s="153"/>
      <c r="H120" s="153"/>
      <c r="I120" s="153"/>
      <c r="J120" s="157"/>
      <c r="K120" s="157"/>
      <c r="L120" s="157"/>
      <c r="M120" s="157"/>
      <c r="N120" s="153"/>
      <c r="O120" s="153"/>
      <c r="P120" s="153"/>
      <c r="Q120" s="153"/>
      <c r="R120" s="153"/>
      <c r="S120" s="153"/>
      <c r="T120" s="153"/>
      <c r="U120" s="153"/>
      <c r="V120" s="153"/>
      <c r="W120" s="153"/>
    </row>
    <row r="121" spans="1:23" s="14" customFormat="1" x14ac:dyDescent="0.25">
      <c r="A121" s="78"/>
      <c r="B121" s="77"/>
      <c r="C121" s="153"/>
      <c r="D121" s="153"/>
      <c r="E121" s="153"/>
      <c r="F121" s="153"/>
      <c r="G121" s="153"/>
      <c r="H121" s="153"/>
      <c r="I121" s="153"/>
      <c r="J121" s="157"/>
      <c r="K121" s="157"/>
      <c r="L121" s="157"/>
      <c r="M121" s="157"/>
      <c r="N121" s="153"/>
      <c r="O121" s="153"/>
      <c r="P121" s="153"/>
      <c r="Q121" s="153"/>
      <c r="R121" s="153"/>
      <c r="S121" s="153"/>
      <c r="T121" s="153"/>
      <c r="U121" s="153"/>
      <c r="V121" s="153"/>
      <c r="W121" s="153"/>
    </row>
    <row r="122" spans="1:23" s="14" customFormat="1" x14ac:dyDescent="0.25">
      <c r="A122" s="78"/>
      <c r="B122" s="77"/>
      <c r="C122" s="153"/>
      <c r="D122" s="153"/>
      <c r="E122" s="153"/>
      <c r="F122" s="153"/>
      <c r="G122" s="153"/>
      <c r="H122" s="153"/>
      <c r="I122" s="153"/>
      <c r="J122" s="157"/>
      <c r="K122" s="157"/>
      <c r="L122" s="157"/>
      <c r="M122" s="157"/>
      <c r="N122" s="153"/>
      <c r="O122" s="153"/>
      <c r="P122" s="153"/>
      <c r="Q122" s="153"/>
      <c r="R122" s="153"/>
      <c r="S122" s="153"/>
      <c r="T122" s="153"/>
      <c r="U122" s="153"/>
      <c r="V122" s="153"/>
      <c r="W122" s="153"/>
    </row>
    <row r="123" spans="1:23" s="14" customFormat="1" x14ac:dyDescent="0.25">
      <c r="A123" s="78"/>
      <c r="B123" s="77"/>
      <c r="C123" s="153"/>
      <c r="D123" s="153"/>
      <c r="E123" s="153"/>
      <c r="F123" s="153"/>
      <c r="G123" s="153"/>
      <c r="H123" s="153"/>
      <c r="I123" s="153"/>
      <c r="J123" s="157"/>
      <c r="K123" s="157"/>
      <c r="L123" s="157"/>
      <c r="M123" s="157"/>
      <c r="N123" s="153"/>
      <c r="O123" s="153"/>
      <c r="P123" s="153"/>
      <c r="Q123" s="153"/>
      <c r="R123" s="153"/>
      <c r="S123" s="153"/>
      <c r="T123" s="153"/>
      <c r="U123" s="153"/>
      <c r="V123" s="153"/>
      <c r="W123" s="153"/>
    </row>
    <row r="124" spans="1:23" s="14" customFormat="1" x14ac:dyDescent="0.25">
      <c r="A124" s="78"/>
      <c r="B124" s="77"/>
      <c r="C124" s="153"/>
      <c r="D124" s="153"/>
      <c r="E124" s="153"/>
      <c r="F124" s="153"/>
      <c r="G124" s="153"/>
      <c r="H124" s="153"/>
      <c r="I124" s="153"/>
      <c r="J124" s="157"/>
      <c r="K124" s="157"/>
      <c r="L124" s="157"/>
      <c r="M124" s="157"/>
      <c r="N124" s="153"/>
      <c r="O124" s="153"/>
      <c r="P124" s="153"/>
      <c r="Q124" s="153"/>
      <c r="R124" s="153"/>
      <c r="S124" s="153"/>
      <c r="T124" s="153"/>
      <c r="U124" s="153"/>
      <c r="V124" s="153"/>
      <c r="W124" s="153"/>
    </row>
    <row r="125" spans="1:23" s="14" customFormat="1" x14ac:dyDescent="0.25">
      <c r="A125" s="78"/>
      <c r="B125" s="77"/>
      <c r="C125" s="153"/>
      <c r="D125" s="153"/>
      <c r="E125" s="153"/>
      <c r="F125" s="153"/>
      <c r="G125" s="153"/>
      <c r="H125" s="153"/>
      <c r="I125" s="153"/>
      <c r="J125" s="157"/>
      <c r="K125" s="157"/>
      <c r="L125" s="157"/>
      <c r="M125" s="157"/>
      <c r="N125" s="153"/>
      <c r="O125" s="153"/>
      <c r="P125" s="153"/>
      <c r="Q125" s="153"/>
      <c r="R125" s="153"/>
      <c r="S125" s="153"/>
      <c r="T125" s="153"/>
      <c r="U125" s="153"/>
      <c r="V125" s="153"/>
      <c r="W125" s="153"/>
    </row>
    <row r="126" spans="1:23" s="14" customFormat="1" x14ac:dyDescent="0.25">
      <c r="A126" s="78"/>
      <c r="B126" s="77"/>
      <c r="C126" s="153"/>
      <c r="D126" s="153"/>
      <c r="E126" s="153"/>
      <c r="F126" s="153"/>
      <c r="G126" s="153"/>
      <c r="H126" s="153"/>
      <c r="I126" s="153"/>
      <c r="J126" s="157"/>
      <c r="K126" s="157"/>
      <c r="L126" s="157"/>
      <c r="M126" s="157"/>
      <c r="N126" s="153"/>
      <c r="O126" s="153"/>
      <c r="P126" s="153"/>
      <c r="Q126" s="153"/>
      <c r="R126" s="153"/>
      <c r="S126" s="153"/>
      <c r="T126" s="153"/>
      <c r="U126" s="153"/>
      <c r="V126" s="153"/>
      <c r="W126" s="153"/>
    </row>
    <row r="127" spans="1:23" s="14" customFormat="1" x14ac:dyDescent="0.25">
      <c r="A127" s="78"/>
      <c r="B127" s="77"/>
      <c r="C127" s="153"/>
      <c r="D127" s="153"/>
      <c r="E127" s="153"/>
      <c r="F127" s="153"/>
      <c r="G127" s="153"/>
      <c r="H127" s="153"/>
      <c r="I127" s="153"/>
      <c r="J127" s="157"/>
      <c r="K127" s="157"/>
      <c r="L127" s="157"/>
      <c r="M127" s="157"/>
      <c r="N127" s="153"/>
      <c r="O127" s="153"/>
      <c r="P127" s="153"/>
      <c r="Q127" s="153"/>
      <c r="R127" s="153"/>
      <c r="S127" s="153"/>
      <c r="T127" s="153"/>
      <c r="U127" s="153"/>
      <c r="V127" s="153"/>
      <c r="W127" s="153"/>
    </row>
    <row r="128" spans="1:23" s="14" customFormat="1" x14ac:dyDescent="0.25">
      <c r="A128" s="78"/>
      <c r="B128" s="77"/>
      <c r="C128" s="153"/>
      <c r="D128" s="153"/>
      <c r="E128" s="153"/>
      <c r="F128" s="153"/>
      <c r="G128" s="153"/>
      <c r="H128" s="153"/>
      <c r="I128" s="153"/>
      <c r="J128" s="157"/>
      <c r="K128" s="157"/>
      <c r="L128" s="157"/>
      <c r="M128" s="157"/>
      <c r="N128" s="153"/>
      <c r="O128" s="153"/>
      <c r="P128" s="153"/>
      <c r="Q128" s="153"/>
      <c r="R128" s="153"/>
      <c r="S128" s="153"/>
      <c r="T128" s="153"/>
      <c r="U128" s="153"/>
      <c r="V128" s="153"/>
      <c r="W128" s="153"/>
    </row>
    <row r="129" spans="1:23" s="14" customFormat="1" x14ac:dyDescent="0.25">
      <c r="A129" s="78"/>
      <c r="B129" s="77"/>
      <c r="C129" s="153"/>
      <c r="D129" s="153"/>
      <c r="E129" s="153"/>
      <c r="F129" s="153"/>
      <c r="G129" s="153"/>
      <c r="H129" s="153"/>
      <c r="I129" s="153"/>
      <c r="J129" s="157"/>
      <c r="K129" s="157"/>
      <c r="L129" s="157"/>
      <c r="M129" s="157"/>
      <c r="N129" s="153"/>
      <c r="O129" s="153"/>
      <c r="P129" s="153"/>
      <c r="Q129" s="153"/>
      <c r="R129" s="153"/>
      <c r="S129" s="153"/>
      <c r="T129" s="153"/>
      <c r="U129" s="153"/>
      <c r="V129" s="153"/>
      <c r="W129" s="153"/>
    </row>
    <row r="130" spans="1:23" s="14" customFormat="1" x14ac:dyDescent="0.25">
      <c r="A130" s="78"/>
      <c r="B130" s="77"/>
      <c r="C130" s="153"/>
      <c r="D130" s="153"/>
      <c r="E130" s="153"/>
      <c r="F130" s="153"/>
      <c r="G130" s="153"/>
      <c r="H130" s="153"/>
      <c r="I130" s="153"/>
      <c r="J130" s="157"/>
      <c r="K130" s="157"/>
      <c r="L130" s="157"/>
      <c r="M130" s="157"/>
      <c r="N130" s="153"/>
      <c r="O130" s="153"/>
      <c r="P130" s="153"/>
      <c r="Q130" s="153"/>
      <c r="R130" s="153"/>
      <c r="S130" s="153"/>
      <c r="T130" s="153"/>
      <c r="U130" s="153"/>
      <c r="V130" s="153"/>
      <c r="W130" s="153"/>
    </row>
    <row r="131" spans="1:23" s="14" customFormat="1" x14ac:dyDescent="0.25">
      <c r="A131" s="78"/>
      <c r="B131" s="77"/>
      <c r="C131" s="153"/>
      <c r="D131" s="153"/>
      <c r="E131" s="153"/>
      <c r="F131" s="153"/>
      <c r="G131" s="153"/>
      <c r="H131" s="153"/>
      <c r="I131" s="153"/>
      <c r="J131" s="157"/>
      <c r="K131" s="157"/>
      <c r="L131" s="157"/>
      <c r="M131" s="157"/>
      <c r="N131" s="153"/>
      <c r="O131" s="153"/>
      <c r="P131" s="153"/>
      <c r="Q131" s="153"/>
      <c r="R131" s="153"/>
      <c r="S131" s="153"/>
      <c r="T131" s="153"/>
      <c r="U131" s="153"/>
      <c r="V131" s="153"/>
      <c r="W131" s="153"/>
    </row>
    <row r="132" spans="1:23" s="14" customFormat="1" x14ac:dyDescent="0.25">
      <c r="A132" s="78"/>
      <c r="B132" s="77"/>
      <c r="C132" s="153"/>
      <c r="D132" s="153"/>
      <c r="E132" s="153"/>
      <c r="F132" s="153"/>
      <c r="G132" s="153"/>
      <c r="H132" s="153"/>
      <c r="I132" s="153"/>
      <c r="J132" s="157"/>
      <c r="K132" s="157"/>
      <c r="L132" s="157"/>
      <c r="M132" s="157"/>
      <c r="N132" s="153"/>
      <c r="O132" s="153"/>
      <c r="P132" s="153"/>
      <c r="Q132" s="153"/>
      <c r="R132" s="153"/>
      <c r="S132" s="153"/>
      <c r="T132" s="153"/>
      <c r="U132" s="153"/>
      <c r="V132" s="153"/>
      <c r="W132" s="153"/>
    </row>
    <row r="133" spans="1:23" s="14" customFormat="1" x14ac:dyDescent="0.25">
      <c r="A133" s="78"/>
      <c r="B133" s="77"/>
      <c r="C133" s="153"/>
      <c r="D133" s="153"/>
      <c r="E133" s="153"/>
      <c r="F133" s="153"/>
      <c r="G133" s="153"/>
      <c r="H133" s="153"/>
      <c r="I133" s="153"/>
      <c r="J133" s="157"/>
      <c r="K133" s="157"/>
      <c r="L133" s="157"/>
      <c r="M133" s="157"/>
      <c r="N133" s="153"/>
      <c r="O133" s="153"/>
      <c r="P133" s="153"/>
      <c r="Q133" s="153"/>
      <c r="R133" s="153"/>
      <c r="S133" s="153"/>
      <c r="T133" s="153"/>
      <c r="U133" s="153"/>
      <c r="V133" s="153"/>
      <c r="W133" s="153"/>
    </row>
    <row r="134" spans="1:23" s="14" customFormat="1" x14ac:dyDescent="0.25">
      <c r="A134" s="78"/>
      <c r="B134" s="77"/>
      <c r="C134" s="153"/>
      <c r="D134" s="153"/>
      <c r="E134" s="153"/>
      <c r="F134" s="153"/>
      <c r="G134" s="153"/>
      <c r="H134" s="153"/>
      <c r="I134" s="153"/>
      <c r="J134" s="157"/>
      <c r="K134" s="157"/>
      <c r="L134" s="157"/>
      <c r="M134" s="157"/>
      <c r="N134" s="153"/>
      <c r="O134" s="153"/>
      <c r="P134" s="153"/>
      <c r="Q134" s="153"/>
      <c r="R134" s="153"/>
      <c r="S134" s="153"/>
      <c r="T134" s="153"/>
      <c r="U134" s="153"/>
      <c r="V134" s="153"/>
      <c r="W134" s="153"/>
    </row>
    <row r="135" spans="1:23" s="14" customFormat="1" x14ac:dyDescent="0.25">
      <c r="A135" s="78"/>
      <c r="B135" s="77"/>
      <c r="C135" s="153"/>
      <c r="D135" s="153"/>
      <c r="E135" s="153"/>
      <c r="F135" s="153"/>
      <c r="G135" s="153"/>
      <c r="H135" s="153"/>
      <c r="I135" s="153"/>
      <c r="J135" s="157"/>
      <c r="K135" s="157"/>
      <c r="L135" s="157"/>
      <c r="M135" s="157"/>
      <c r="N135" s="153"/>
      <c r="O135" s="153"/>
      <c r="P135" s="153"/>
      <c r="Q135" s="153"/>
      <c r="R135" s="153"/>
      <c r="S135" s="153"/>
      <c r="T135" s="153"/>
      <c r="U135" s="153"/>
      <c r="V135" s="153"/>
      <c r="W135" s="153"/>
    </row>
    <row r="136" spans="1:23" s="14" customFormat="1" x14ac:dyDescent="0.25">
      <c r="A136" s="78"/>
      <c r="B136" s="77"/>
      <c r="C136" s="153"/>
      <c r="D136" s="153"/>
      <c r="E136" s="153"/>
      <c r="F136" s="153"/>
      <c r="G136" s="153"/>
      <c r="H136" s="153"/>
      <c r="I136" s="153"/>
      <c r="J136" s="157"/>
      <c r="K136" s="157"/>
      <c r="L136" s="157"/>
      <c r="M136" s="157"/>
      <c r="N136" s="153"/>
      <c r="O136" s="153"/>
      <c r="P136" s="153"/>
      <c r="Q136" s="153"/>
      <c r="R136" s="153"/>
      <c r="S136" s="153"/>
      <c r="T136" s="153"/>
      <c r="U136" s="153"/>
      <c r="V136" s="153"/>
      <c r="W136" s="153"/>
    </row>
    <row r="137" spans="1:23" s="14" customFormat="1" x14ac:dyDescent="0.25">
      <c r="A137" s="78"/>
      <c r="B137" s="77"/>
      <c r="C137" s="153"/>
      <c r="D137" s="153"/>
      <c r="E137" s="153"/>
      <c r="F137" s="153"/>
      <c r="G137" s="153"/>
      <c r="H137" s="153"/>
      <c r="I137" s="153"/>
      <c r="J137" s="157"/>
      <c r="K137" s="157"/>
      <c r="L137" s="157"/>
      <c r="M137" s="157"/>
      <c r="N137" s="153"/>
      <c r="O137" s="153"/>
      <c r="P137" s="153"/>
      <c r="Q137" s="153"/>
      <c r="R137" s="153"/>
      <c r="S137" s="153"/>
      <c r="T137" s="153"/>
      <c r="U137" s="153"/>
      <c r="V137" s="153"/>
      <c r="W137" s="153"/>
    </row>
    <row r="138" spans="1:23" s="14" customFormat="1" x14ac:dyDescent="0.25">
      <c r="A138" s="78"/>
      <c r="B138" s="77"/>
      <c r="C138" s="153"/>
      <c r="D138" s="153"/>
      <c r="E138" s="153"/>
      <c r="F138" s="153"/>
      <c r="G138" s="153"/>
      <c r="H138" s="153"/>
      <c r="I138" s="153"/>
      <c r="J138" s="157"/>
      <c r="K138" s="157"/>
      <c r="L138" s="157"/>
      <c r="M138" s="157"/>
      <c r="N138" s="153"/>
      <c r="O138" s="153"/>
      <c r="P138" s="153"/>
      <c r="Q138" s="153"/>
      <c r="R138" s="153"/>
      <c r="S138" s="153"/>
      <c r="T138" s="153"/>
      <c r="U138" s="153"/>
      <c r="V138" s="153"/>
      <c r="W138" s="153"/>
    </row>
    <row r="139" spans="1:23" s="14" customFormat="1" x14ac:dyDescent="0.25">
      <c r="A139" s="78"/>
      <c r="B139" s="77"/>
      <c r="C139" s="153"/>
      <c r="D139" s="153"/>
      <c r="E139" s="153"/>
      <c r="F139" s="153"/>
      <c r="G139" s="153"/>
      <c r="H139" s="153"/>
      <c r="I139" s="153"/>
      <c r="J139" s="157"/>
      <c r="K139" s="157"/>
      <c r="L139" s="157"/>
      <c r="M139" s="157"/>
      <c r="N139" s="153"/>
      <c r="O139" s="153"/>
      <c r="P139" s="153"/>
      <c r="Q139" s="153"/>
      <c r="R139" s="153"/>
      <c r="S139" s="153"/>
      <c r="T139" s="153"/>
      <c r="U139" s="153"/>
      <c r="V139" s="153"/>
      <c r="W139" s="153"/>
    </row>
    <row r="140" spans="1:23" s="14" customFormat="1" x14ac:dyDescent="0.25">
      <c r="A140" s="78"/>
      <c r="B140" s="77"/>
      <c r="C140" s="153"/>
      <c r="D140" s="153"/>
      <c r="E140" s="153"/>
      <c r="F140" s="153"/>
      <c r="G140" s="153"/>
      <c r="H140" s="153"/>
      <c r="I140" s="153"/>
      <c r="J140" s="157"/>
      <c r="K140" s="157"/>
      <c r="L140" s="157"/>
      <c r="M140" s="157"/>
      <c r="N140" s="153"/>
      <c r="O140" s="153"/>
      <c r="P140" s="153"/>
      <c r="Q140" s="153"/>
      <c r="R140" s="153"/>
      <c r="S140" s="153"/>
      <c r="T140" s="153"/>
      <c r="U140" s="153"/>
      <c r="V140" s="153"/>
      <c r="W140" s="153"/>
    </row>
    <row r="141" spans="1:23" s="14" customFormat="1" x14ac:dyDescent="0.25">
      <c r="A141" s="78"/>
      <c r="B141" s="77"/>
      <c r="C141" s="153"/>
      <c r="D141" s="153"/>
      <c r="E141" s="153"/>
      <c r="F141" s="153"/>
      <c r="G141" s="153"/>
      <c r="H141" s="153"/>
      <c r="I141" s="153"/>
      <c r="J141" s="157"/>
      <c r="K141" s="157"/>
      <c r="L141" s="157"/>
      <c r="M141" s="157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</row>
    <row r="142" spans="1:23" s="14" customFormat="1" x14ac:dyDescent="0.25">
      <c r="A142" s="78"/>
      <c r="B142" s="77"/>
      <c r="C142" s="153"/>
      <c r="D142" s="153"/>
      <c r="E142" s="153"/>
      <c r="F142" s="153"/>
      <c r="G142" s="153"/>
      <c r="H142" s="153"/>
      <c r="I142" s="153"/>
      <c r="J142" s="157"/>
      <c r="K142" s="157"/>
      <c r="L142" s="157"/>
      <c r="M142" s="157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</row>
    <row r="143" spans="1:23" s="14" customFormat="1" x14ac:dyDescent="0.25">
      <c r="A143" s="78"/>
      <c r="B143" s="77"/>
      <c r="C143" s="153"/>
      <c r="D143" s="153"/>
      <c r="E143" s="153"/>
      <c r="F143" s="153"/>
      <c r="G143" s="153"/>
      <c r="H143" s="153"/>
      <c r="I143" s="153"/>
      <c r="J143" s="157"/>
      <c r="K143" s="157"/>
      <c r="L143" s="157"/>
      <c r="M143" s="157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</row>
    <row r="144" spans="1:23" s="14" customFormat="1" x14ac:dyDescent="0.25">
      <c r="A144" s="78"/>
      <c r="B144" s="77"/>
      <c r="C144" s="153"/>
      <c r="D144" s="153"/>
      <c r="E144" s="153"/>
      <c r="F144" s="153"/>
      <c r="G144" s="153"/>
      <c r="H144" s="153"/>
      <c r="I144" s="153"/>
      <c r="J144" s="157"/>
      <c r="K144" s="157"/>
      <c r="L144" s="157"/>
      <c r="M144" s="157"/>
      <c r="N144" s="153"/>
      <c r="O144" s="153"/>
      <c r="P144" s="153"/>
      <c r="Q144" s="153"/>
      <c r="R144" s="153"/>
      <c r="S144" s="153"/>
      <c r="T144" s="153"/>
      <c r="U144" s="153"/>
      <c r="V144" s="153"/>
      <c r="W144" s="153"/>
    </row>
    <row r="145" spans="1:23" s="14" customFormat="1" x14ac:dyDescent="0.25">
      <c r="A145" s="78"/>
      <c r="B145" s="77"/>
      <c r="C145" s="153"/>
      <c r="D145" s="153"/>
      <c r="E145" s="153"/>
      <c r="F145" s="153"/>
      <c r="G145" s="153"/>
      <c r="H145" s="153"/>
      <c r="I145" s="153"/>
      <c r="J145" s="157"/>
      <c r="K145" s="157"/>
      <c r="L145" s="157"/>
      <c r="M145" s="157"/>
      <c r="N145" s="153"/>
      <c r="O145" s="153"/>
      <c r="P145" s="153"/>
      <c r="Q145" s="153"/>
      <c r="R145" s="153"/>
      <c r="S145" s="153"/>
      <c r="T145" s="153"/>
      <c r="U145" s="153"/>
      <c r="V145" s="153"/>
      <c r="W145" s="153"/>
    </row>
    <row r="146" spans="1:23" s="14" customFormat="1" x14ac:dyDescent="0.25">
      <c r="A146" s="78"/>
      <c r="B146" s="77"/>
      <c r="C146" s="153"/>
      <c r="D146" s="153"/>
      <c r="E146" s="153"/>
      <c r="F146" s="153"/>
      <c r="G146" s="153"/>
      <c r="H146" s="153"/>
      <c r="I146" s="153"/>
      <c r="J146" s="157"/>
      <c r="K146" s="157"/>
      <c r="L146" s="157"/>
      <c r="M146" s="157"/>
      <c r="N146" s="153"/>
      <c r="O146" s="153"/>
      <c r="P146" s="153"/>
      <c r="Q146" s="153"/>
      <c r="R146" s="153"/>
      <c r="S146" s="153"/>
      <c r="T146" s="153"/>
      <c r="U146" s="153"/>
      <c r="V146" s="153"/>
      <c r="W146" s="153"/>
    </row>
    <row r="147" spans="1:23" s="14" customFormat="1" x14ac:dyDescent="0.25">
      <c r="A147" s="78"/>
      <c r="B147" s="77"/>
      <c r="C147" s="153"/>
      <c r="D147" s="153"/>
      <c r="E147" s="153"/>
      <c r="F147" s="153"/>
      <c r="G147" s="153"/>
      <c r="H147" s="153"/>
      <c r="I147" s="153"/>
      <c r="J147" s="157"/>
      <c r="K147" s="157"/>
      <c r="L147" s="157"/>
      <c r="M147" s="157"/>
      <c r="N147" s="153"/>
      <c r="O147" s="153"/>
      <c r="P147" s="153"/>
      <c r="Q147" s="153"/>
      <c r="R147" s="153"/>
      <c r="S147" s="153"/>
      <c r="T147" s="153"/>
      <c r="U147" s="153"/>
      <c r="V147" s="153"/>
      <c r="W147" s="153"/>
    </row>
    <row r="148" spans="1:23" s="14" customFormat="1" x14ac:dyDescent="0.25">
      <c r="A148" s="78"/>
      <c r="B148" s="77"/>
      <c r="C148" s="153"/>
      <c r="D148" s="153"/>
      <c r="E148" s="153"/>
      <c r="F148" s="153"/>
      <c r="G148" s="153"/>
      <c r="H148" s="153"/>
      <c r="I148" s="153"/>
      <c r="J148" s="157"/>
      <c r="K148" s="157"/>
      <c r="L148" s="157"/>
      <c r="M148" s="157"/>
      <c r="N148" s="153"/>
      <c r="O148" s="153"/>
      <c r="P148" s="153"/>
      <c r="Q148" s="153"/>
      <c r="R148" s="153"/>
      <c r="S148" s="153"/>
      <c r="T148" s="153"/>
      <c r="U148" s="153"/>
      <c r="V148" s="153"/>
      <c r="W148" s="153"/>
    </row>
    <row r="149" spans="1:23" s="14" customFormat="1" x14ac:dyDescent="0.25">
      <c r="A149" s="78"/>
      <c r="B149" s="77"/>
      <c r="C149" s="153"/>
      <c r="D149" s="153"/>
      <c r="E149" s="153"/>
      <c r="F149" s="153"/>
      <c r="G149" s="153"/>
      <c r="H149" s="153"/>
      <c r="I149" s="153"/>
      <c r="J149" s="157"/>
      <c r="K149" s="157"/>
      <c r="L149" s="157"/>
      <c r="M149" s="157"/>
      <c r="N149" s="153"/>
      <c r="O149" s="153"/>
      <c r="P149" s="153"/>
      <c r="Q149" s="153"/>
      <c r="R149" s="153"/>
      <c r="S149" s="153"/>
      <c r="T149" s="153"/>
      <c r="U149" s="153"/>
      <c r="V149" s="153"/>
      <c r="W149" s="153"/>
    </row>
    <row r="150" spans="1:23" s="14" customFormat="1" x14ac:dyDescent="0.25">
      <c r="A150" s="78"/>
      <c r="B150" s="77"/>
      <c r="C150" s="153"/>
      <c r="D150" s="153"/>
      <c r="E150" s="153"/>
      <c r="F150" s="153"/>
      <c r="G150" s="153"/>
      <c r="H150" s="153"/>
      <c r="I150" s="153"/>
      <c r="J150" s="157"/>
      <c r="K150" s="157"/>
      <c r="L150" s="157"/>
      <c r="M150" s="157"/>
      <c r="N150" s="153"/>
      <c r="O150" s="153"/>
      <c r="P150" s="153"/>
      <c r="Q150" s="153"/>
      <c r="R150" s="153"/>
      <c r="S150" s="153"/>
      <c r="T150" s="153"/>
      <c r="U150" s="153"/>
      <c r="V150" s="153"/>
      <c r="W150" s="153"/>
    </row>
    <row r="151" spans="1:23" s="14" customFormat="1" x14ac:dyDescent="0.25">
      <c r="A151" s="78"/>
      <c r="B151" s="77"/>
      <c r="C151" s="153"/>
      <c r="D151" s="153"/>
      <c r="E151" s="153"/>
      <c r="F151" s="153"/>
      <c r="G151" s="153"/>
      <c r="H151" s="153"/>
      <c r="I151" s="153"/>
      <c r="J151" s="157"/>
      <c r="K151" s="157"/>
      <c r="L151" s="157"/>
      <c r="M151" s="157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1:23" s="14" customFormat="1" x14ac:dyDescent="0.25">
      <c r="A152" s="78"/>
      <c r="B152" s="77"/>
      <c r="C152" s="153"/>
      <c r="D152" s="153"/>
      <c r="E152" s="153"/>
      <c r="F152" s="153"/>
      <c r="G152" s="153"/>
      <c r="H152" s="153"/>
      <c r="I152" s="153"/>
      <c r="J152" s="157"/>
      <c r="K152" s="157"/>
      <c r="L152" s="157"/>
      <c r="M152" s="157"/>
      <c r="N152" s="153"/>
      <c r="O152" s="153"/>
      <c r="P152" s="153"/>
      <c r="Q152" s="153"/>
      <c r="R152" s="153"/>
      <c r="S152" s="153"/>
      <c r="T152" s="153"/>
      <c r="U152" s="153"/>
      <c r="V152" s="153"/>
      <c r="W152" s="153"/>
    </row>
    <row r="153" spans="1:23" s="14" customFormat="1" x14ac:dyDescent="0.25">
      <c r="A153" s="78"/>
      <c r="B153" s="77"/>
      <c r="C153" s="153"/>
      <c r="D153" s="153"/>
      <c r="E153" s="153"/>
      <c r="F153" s="153"/>
      <c r="G153" s="153"/>
      <c r="H153" s="153"/>
      <c r="I153" s="153"/>
      <c r="J153" s="157"/>
      <c r="K153" s="157"/>
      <c r="L153" s="157"/>
      <c r="M153" s="157"/>
      <c r="N153" s="153"/>
      <c r="O153" s="153"/>
      <c r="P153" s="153"/>
      <c r="Q153" s="153"/>
      <c r="R153" s="153"/>
      <c r="S153" s="153"/>
      <c r="T153" s="153"/>
      <c r="U153" s="153"/>
      <c r="V153" s="153"/>
      <c r="W153" s="153"/>
    </row>
    <row r="154" spans="1:23" s="14" customFormat="1" x14ac:dyDescent="0.25">
      <c r="A154" s="78"/>
      <c r="B154" s="77"/>
      <c r="C154" s="153"/>
      <c r="D154" s="153"/>
      <c r="E154" s="153"/>
      <c r="F154" s="153"/>
      <c r="G154" s="153"/>
      <c r="H154" s="153"/>
      <c r="I154" s="153"/>
      <c r="J154" s="157"/>
      <c r="K154" s="157"/>
      <c r="L154" s="157"/>
      <c r="M154" s="157"/>
      <c r="N154" s="153"/>
      <c r="O154" s="153"/>
      <c r="P154" s="153"/>
      <c r="Q154" s="153"/>
      <c r="R154" s="153"/>
      <c r="S154" s="153"/>
      <c r="T154" s="153"/>
      <c r="U154" s="153"/>
      <c r="V154" s="153"/>
      <c r="W154" s="153"/>
    </row>
    <row r="155" spans="1:23" s="14" customFormat="1" x14ac:dyDescent="0.25">
      <c r="A155" s="78"/>
      <c r="B155" s="77"/>
      <c r="C155" s="153"/>
      <c r="D155" s="153"/>
      <c r="E155" s="153"/>
      <c r="F155" s="153"/>
      <c r="G155" s="153"/>
      <c r="H155" s="153"/>
      <c r="I155" s="153"/>
      <c r="J155" s="157"/>
      <c r="K155" s="157"/>
      <c r="L155" s="157"/>
      <c r="M155" s="157"/>
      <c r="N155" s="153"/>
      <c r="O155" s="153"/>
      <c r="P155" s="153"/>
      <c r="Q155" s="153"/>
      <c r="R155" s="153"/>
      <c r="S155" s="153"/>
      <c r="T155" s="153"/>
      <c r="U155" s="153"/>
      <c r="V155" s="153"/>
      <c r="W155" s="153"/>
    </row>
    <row r="156" spans="1:23" s="14" customFormat="1" x14ac:dyDescent="0.25">
      <c r="A156" s="78"/>
      <c r="B156" s="77"/>
      <c r="C156" s="153"/>
      <c r="D156" s="153"/>
      <c r="E156" s="153"/>
      <c r="F156" s="153"/>
      <c r="G156" s="153"/>
      <c r="H156" s="153"/>
      <c r="I156" s="153"/>
      <c r="J156" s="157"/>
      <c r="K156" s="157"/>
      <c r="L156" s="157"/>
      <c r="M156" s="157"/>
      <c r="N156" s="153"/>
      <c r="O156" s="153"/>
      <c r="P156" s="153"/>
      <c r="Q156" s="153"/>
      <c r="R156" s="153"/>
      <c r="S156" s="153"/>
      <c r="T156" s="153"/>
      <c r="U156" s="153"/>
      <c r="V156" s="153"/>
      <c r="W156" s="153"/>
    </row>
    <row r="157" spans="1:23" s="14" customFormat="1" x14ac:dyDescent="0.25">
      <c r="A157" s="78"/>
      <c r="B157" s="77"/>
      <c r="C157" s="153"/>
      <c r="D157" s="153"/>
      <c r="E157" s="153"/>
      <c r="F157" s="153"/>
      <c r="G157" s="153"/>
      <c r="H157" s="153"/>
      <c r="I157" s="153"/>
      <c r="J157" s="157"/>
      <c r="K157" s="157"/>
      <c r="L157" s="157"/>
      <c r="M157" s="157"/>
      <c r="N157" s="153"/>
      <c r="O157" s="153"/>
      <c r="P157" s="153"/>
      <c r="Q157" s="153"/>
      <c r="R157" s="153"/>
      <c r="S157" s="153"/>
      <c r="T157" s="153"/>
      <c r="U157" s="153"/>
      <c r="V157" s="153"/>
      <c r="W157" s="153"/>
    </row>
    <row r="158" spans="1:23" s="14" customFormat="1" x14ac:dyDescent="0.25">
      <c r="A158" s="78"/>
      <c r="B158" s="77"/>
      <c r="C158" s="153"/>
      <c r="D158" s="153"/>
      <c r="E158" s="153"/>
      <c r="F158" s="153"/>
      <c r="G158" s="153"/>
      <c r="H158" s="153"/>
      <c r="I158" s="153"/>
      <c r="J158" s="157"/>
      <c r="K158" s="157"/>
      <c r="L158" s="157"/>
      <c r="M158" s="157"/>
      <c r="N158" s="153"/>
      <c r="O158" s="153"/>
      <c r="P158" s="153"/>
      <c r="Q158" s="153"/>
      <c r="R158" s="153"/>
      <c r="S158" s="153"/>
      <c r="T158" s="153"/>
      <c r="U158" s="153"/>
      <c r="V158" s="153"/>
      <c r="W158" s="153"/>
    </row>
    <row r="159" spans="1:23" s="14" customFormat="1" x14ac:dyDescent="0.25">
      <c r="A159" s="78"/>
      <c r="B159" s="77"/>
      <c r="C159" s="153"/>
      <c r="D159" s="153"/>
      <c r="E159" s="153"/>
      <c r="F159" s="153"/>
      <c r="G159" s="153"/>
      <c r="H159" s="153"/>
      <c r="I159" s="153"/>
      <c r="J159" s="157"/>
      <c r="K159" s="157"/>
      <c r="L159" s="157"/>
      <c r="M159" s="157"/>
      <c r="N159" s="153"/>
      <c r="O159" s="153"/>
      <c r="P159" s="153"/>
      <c r="Q159" s="153"/>
      <c r="R159" s="153"/>
      <c r="S159" s="153"/>
      <c r="T159" s="153"/>
      <c r="U159" s="153"/>
      <c r="V159" s="153"/>
      <c r="W159" s="153"/>
    </row>
    <row r="160" spans="1:23" s="14" customFormat="1" x14ac:dyDescent="0.25">
      <c r="A160" s="78"/>
      <c r="B160" s="77"/>
      <c r="C160" s="153"/>
      <c r="D160" s="153"/>
      <c r="E160" s="153"/>
      <c r="F160" s="153"/>
      <c r="G160" s="153"/>
      <c r="H160" s="153"/>
      <c r="I160" s="153"/>
      <c r="J160" s="157"/>
      <c r="K160" s="157"/>
      <c r="L160" s="157"/>
      <c r="M160" s="157"/>
      <c r="N160" s="153"/>
      <c r="O160" s="153"/>
      <c r="P160" s="153"/>
      <c r="Q160" s="153"/>
      <c r="R160" s="153"/>
      <c r="S160" s="153"/>
      <c r="T160" s="153"/>
      <c r="U160" s="153"/>
      <c r="V160" s="153"/>
      <c r="W160" s="153"/>
    </row>
    <row r="161" spans="1:23" s="14" customFormat="1" x14ac:dyDescent="0.25">
      <c r="A161" s="78"/>
      <c r="B161" s="77"/>
      <c r="C161" s="153"/>
      <c r="D161" s="153"/>
      <c r="E161" s="153"/>
      <c r="F161" s="153"/>
      <c r="G161" s="153"/>
      <c r="H161" s="153"/>
      <c r="I161" s="153"/>
      <c r="J161" s="157"/>
      <c r="K161" s="157"/>
      <c r="L161" s="157"/>
      <c r="M161" s="157"/>
      <c r="N161" s="153"/>
      <c r="O161" s="153"/>
      <c r="P161" s="153"/>
      <c r="Q161" s="153"/>
      <c r="R161" s="153"/>
      <c r="S161" s="153"/>
      <c r="T161" s="153"/>
      <c r="U161" s="153"/>
      <c r="V161" s="153"/>
      <c r="W161" s="153"/>
    </row>
    <row r="162" spans="1:23" s="14" customFormat="1" x14ac:dyDescent="0.25">
      <c r="A162" s="78"/>
      <c r="B162" s="77"/>
      <c r="C162" s="153"/>
      <c r="D162" s="153"/>
      <c r="E162" s="153"/>
      <c r="F162" s="153"/>
      <c r="G162" s="153"/>
      <c r="H162" s="153"/>
      <c r="I162" s="153"/>
      <c r="J162" s="157"/>
      <c r="K162" s="157"/>
      <c r="L162" s="157"/>
      <c r="M162" s="157"/>
      <c r="N162" s="153"/>
      <c r="O162" s="153"/>
      <c r="P162" s="153"/>
      <c r="Q162" s="153"/>
      <c r="R162" s="153"/>
      <c r="S162" s="153"/>
      <c r="T162" s="153"/>
      <c r="U162" s="153"/>
      <c r="V162" s="153"/>
      <c r="W162" s="153"/>
    </row>
    <row r="163" spans="1:23" s="14" customFormat="1" x14ac:dyDescent="0.25">
      <c r="A163" s="78"/>
      <c r="B163" s="77"/>
      <c r="C163" s="153"/>
      <c r="D163" s="153"/>
      <c r="E163" s="153"/>
      <c r="F163" s="153"/>
      <c r="G163" s="153"/>
      <c r="H163" s="153"/>
      <c r="I163" s="153"/>
      <c r="J163" s="157"/>
      <c r="K163" s="157"/>
      <c r="L163" s="157"/>
      <c r="M163" s="157"/>
      <c r="N163" s="153"/>
      <c r="O163" s="153"/>
      <c r="P163" s="153"/>
      <c r="Q163" s="153"/>
      <c r="R163" s="153"/>
      <c r="S163" s="153"/>
      <c r="T163" s="153"/>
      <c r="U163" s="153"/>
      <c r="V163" s="153"/>
      <c r="W163" s="153"/>
    </row>
    <row r="164" spans="1:23" s="14" customFormat="1" x14ac:dyDescent="0.25">
      <c r="A164" s="78"/>
      <c r="B164" s="77"/>
      <c r="C164" s="153"/>
      <c r="D164" s="153"/>
      <c r="E164" s="153"/>
      <c r="F164" s="153"/>
      <c r="G164" s="153"/>
      <c r="H164" s="153"/>
      <c r="I164" s="153"/>
      <c r="J164" s="157"/>
      <c r="K164" s="157"/>
      <c r="L164" s="157"/>
      <c r="M164" s="157"/>
      <c r="N164" s="153"/>
      <c r="O164" s="153"/>
      <c r="P164" s="153"/>
      <c r="Q164" s="153"/>
      <c r="R164" s="153"/>
      <c r="S164" s="153"/>
      <c r="T164" s="153"/>
      <c r="U164" s="153"/>
      <c r="V164" s="153"/>
      <c r="W164" s="153"/>
    </row>
    <row r="165" spans="1:23" s="14" customFormat="1" x14ac:dyDescent="0.25">
      <c r="A165" s="78"/>
      <c r="B165" s="77"/>
      <c r="C165" s="153"/>
      <c r="D165" s="153"/>
      <c r="E165" s="153"/>
      <c r="F165" s="153"/>
      <c r="G165" s="153"/>
      <c r="H165" s="153"/>
      <c r="I165" s="153"/>
      <c r="J165" s="157"/>
      <c r="K165" s="157"/>
      <c r="L165" s="157"/>
      <c r="M165" s="157"/>
      <c r="N165" s="153"/>
      <c r="O165" s="153"/>
      <c r="P165" s="153"/>
      <c r="Q165" s="153"/>
      <c r="R165" s="153"/>
      <c r="S165" s="153"/>
      <c r="T165" s="153"/>
      <c r="U165" s="153"/>
      <c r="V165" s="153"/>
      <c r="W165" s="153"/>
    </row>
    <row r="166" spans="1:23" s="14" customFormat="1" x14ac:dyDescent="0.25">
      <c r="A166" s="78"/>
      <c r="B166" s="77"/>
      <c r="C166" s="153"/>
      <c r="D166" s="153"/>
      <c r="E166" s="153"/>
      <c r="F166" s="153"/>
      <c r="G166" s="153"/>
      <c r="H166" s="153"/>
      <c r="I166" s="153"/>
      <c r="J166" s="157"/>
      <c r="K166" s="157"/>
      <c r="L166" s="157"/>
      <c r="M166" s="157"/>
      <c r="N166" s="153"/>
      <c r="O166" s="153"/>
      <c r="P166" s="153"/>
      <c r="Q166" s="153"/>
      <c r="R166" s="153"/>
      <c r="S166" s="153"/>
      <c r="T166" s="153"/>
      <c r="U166" s="153"/>
      <c r="V166" s="153"/>
      <c r="W166" s="153"/>
    </row>
    <row r="167" spans="1:23" s="14" customFormat="1" x14ac:dyDescent="0.25">
      <c r="A167" s="78"/>
      <c r="B167" s="77"/>
      <c r="C167" s="153"/>
      <c r="D167" s="153"/>
      <c r="E167" s="153"/>
      <c r="F167" s="153"/>
      <c r="G167" s="153"/>
      <c r="H167" s="153"/>
      <c r="I167" s="153"/>
      <c r="J167" s="157"/>
      <c r="K167" s="157"/>
      <c r="L167" s="157"/>
      <c r="M167" s="157"/>
      <c r="N167" s="153"/>
      <c r="O167" s="153"/>
      <c r="P167" s="153"/>
      <c r="Q167" s="153"/>
      <c r="R167" s="153"/>
      <c r="S167" s="153"/>
      <c r="T167" s="153"/>
      <c r="U167" s="153"/>
      <c r="V167" s="153"/>
      <c r="W167" s="153"/>
    </row>
    <row r="168" spans="1:23" s="14" customFormat="1" x14ac:dyDescent="0.25">
      <c r="A168" s="78"/>
      <c r="B168" s="77"/>
      <c r="C168" s="153"/>
      <c r="D168" s="153"/>
      <c r="E168" s="153"/>
      <c r="F168" s="153"/>
      <c r="G168" s="153"/>
      <c r="H168" s="153"/>
      <c r="I168" s="153"/>
      <c r="J168" s="157"/>
      <c r="K168" s="157"/>
      <c r="L168" s="157"/>
      <c r="M168" s="157"/>
      <c r="N168" s="153"/>
      <c r="O168" s="153"/>
      <c r="P168" s="153"/>
      <c r="Q168" s="153"/>
      <c r="R168" s="153"/>
      <c r="S168" s="153"/>
      <c r="T168" s="153"/>
      <c r="U168" s="153"/>
      <c r="V168" s="153"/>
      <c r="W168" s="153"/>
    </row>
    <row r="169" spans="1:23" s="14" customFormat="1" x14ac:dyDescent="0.25">
      <c r="A169" s="78"/>
      <c r="B169" s="77"/>
      <c r="C169" s="153"/>
      <c r="D169" s="153"/>
      <c r="E169" s="153"/>
      <c r="F169" s="153"/>
      <c r="G169" s="153"/>
      <c r="H169" s="153"/>
      <c r="I169" s="153"/>
      <c r="J169" s="157"/>
      <c r="K169" s="157"/>
      <c r="L169" s="157"/>
      <c r="M169" s="157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</row>
    <row r="170" spans="1:23" s="14" customFormat="1" x14ac:dyDescent="0.25">
      <c r="A170" s="78"/>
      <c r="B170" s="77"/>
      <c r="C170" s="153"/>
      <c r="D170" s="153"/>
      <c r="E170" s="153"/>
      <c r="F170" s="153"/>
      <c r="G170" s="153"/>
      <c r="H170" s="153"/>
      <c r="I170" s="153"/>
      <c r="J170" s="157"/>
      <c r="K170" s="157"/>
      <c r="L170" s="157"/>
      <c r="M170" s="157"/>
      <c r="N170" s="153"/>
      <c r="O170" s="153"/>
      <c r="P170" s="153"/>
      <c r="Q170" s="153"/>
      <c r="R170" s="153"/>
      <c r="S170" s="153"/>
      <c r="T170" s="153"/>
      <c r="U170" s="153"/>
      <c r="V170" s="153"/>
      <c r="W170" s="153"/>
    </row>
    <row r="171" spans="1:23" s="14" customFormat="1" x14ac:dyDescent="0.25">
      <c r="A171" s="78"/>
      <c r="B171" s="77"/>
      <c r="C171" s="153"/>
      <c r="D171" s="153"/>
      <c r="E171" s="153"/>
      <c r="F171" s="153"/>
      <c r="G171" s="153"/>
      <c r="H171" s="153"/>
      <c r="I171" s="153"/>
      <c r="J171" s="157"/>
      <c r="K171" s="157"/>
      <c r="L171" s="157"/>
      <c r="M171" s="157"/>
      <c r="N171" s="153"/>
      <c r="O171" s="153"/>
      <c r="P171" s="153"/>
      <c r="Q171" s="153"/>
      <c r="R171" s="153"/>
      <c r="S171" s="153"/>
      <c r="T171" s="153"/>
      <c r="U171" s="153"/>
      <c r="V171" s="153"/>
      <c r="W171" s="153"/>
    </row>
    <row r="172" spans="1:23" s="14" customFormat="1" x14ac:dyDescent="0.25">
      <c r="A172" s="78"/>
      <c r="B172" s="77"/>
      <c r="C172" s="153"/>
      <c r="D172" s="153"/>
      <c r="E172" s="153"/>
      <c r="F172" s="153"/>
      <c r="G172" s="153"/>
      <c r="H172" s="153"/>
      <c r="I172" s="153"/>
      <c r="J172" s="157"/>
      <c r="K172" s="157"/>
      <c r="L172" s="157"/>
      <c r="M172" s="157"/>
      <c r="N172" s="153"/>
      <c r="O172" s="153"/>
      <c r="P172" s="153"/>
      <c r="Q172" s="153"/>
      <c r="R172" s="153"/>
      <c r="S172" s="153"/>
      <c r="T172" s="153"/>
      <c r="U172" s="153"/>
      <c r="V172" s="153"/>
      <c r="W172" s="153"/>
    </row>
    <row r="173" spans="1:23" s="14" customFormat="1" x14ac:dyDescent="0.25">
      <c r="A173" s="78"/>
      <c r="B173" s="77"/>
      <c r="C173" s="153"/>
      <c r="D173" s="153"/>
      <c r="E173" s="153"/>
      <c r="F173" s="153"/>
      <c r="G173" s="153"/>
      <c r="H173" s="153"/>
      <c r="I173" s="153"/>
      <c r="J173" s="157"/>
      <c r="K173" s="157"/>
      <c r="L173" s="157"/>
      <c r="M173" s="157"/>
      <c r="N173" s="153"/>
      <c r="O173" s="153"/>
      <c r="P173" s="153"/>
      <c r="Q173" s="153"/>
      <c r="R173" s="153"/>
      <c r="S173" s="153"/>
      <c r="T173" s="153"/>
      <c r="U173" s="153"/>
      <c r="V173" s="153"/>
      <c r="W173" s="153"/>
    </row>
    <row r="174" spans="1:23" s="14" customFormat="1" x14ac:dyDescent="0.25">
      <c r="A174" s="78"/>
      <c r="B174" s="77"/>
      <c r="C174" s="153"/>
      <c r="D174" s="153"/>
      <c r="E174" s="153"/>
      <c r="F174" s="153"/>
      <c r="G174" s="153"/>
      <c r="H174" s="153"/>
      <c r="I174" s="153"/>
      <c r="J174" s="157"/>
      <c r="K174" s="157"/>
      <c r="L174" s="157"/>
      <c r="M174" s="157"/>
      <c r="N174" s="153"/>
      <c r="O174" s="153"/>
      <c r="P174" s="153"/>
      <c r="Q174" s="153"/>
      <c r="R174" s="153"/>
      <c r="S174" s="153"/>
      <c r="T174" s="153"/>
      <c r="U174" s="153"/>
      <c r="V174" s="153"/>
      <c r="W174" s="153"/>
    </row>
    <row r="175" spans="1:23" s="14" customFormat="1" x14ac:dyDescent="0.25">
      <c r="A175" s="78"/>
      <c r="B175" s="77"/>
      <c r="C175" s="153"/>
      <c r="D175" s="153"/>
      <c r="E175" s="153"/>
      <c r="F175" s="153"/>
      <c r="G175" s="153"/>
      <c r="H175" s="153"/>
      <c r="I175" s="153"/>
      <c r="J175" s="157"/>
      <c r="K175" s="157"/>
      <c r="L175" s="157"/>
      <c r="M175" s="157"/>
      <c r="N175" s="153"/>
      <c r="O175" s="153"/>
      <c r="P175" s="153"/>
      <c r="Q175" s="153"/>
      <c r="R175" s="153"/>
      <c r="S175" s="153"/>
      <c r="T175" s="153"/>
      <c r="U175" s="153"/>
      <c r="V175" s="153"/>
      <c r="W175" s="153"/>
    </row>
    <row r="176" spans="1:23" s="14" customFormat="1" x14ac:dyDescent="0.25">
      <c r="A176" s="78"/>
      <c r="B176" s="77"/>
      <c r="C176" s="153"/>
      <c r="D176" s="153"/>
      <c r="E176" s="153"/>
      <c r="F176" s="153"/>
      <c r="G176" s="153"/>
      <c r="H176" s="153"/>
      <c r="I176" s="153"/>
      <c r="J176" s="157"/>
      <c r="K176" s="157"/>
      <c r="L176" s="157"/>
      <c r="M176" s="157"/>
      <c r="N176" s="153"/>
      <c r="O176" s="153"/>
      <c r="P176" s="153"/>
      <c r="Q176" s="153"/>
      <c r="R176" s="153"/>
      <c r="S176" s="153"/>
      <c r="T176" s="153"/>
      <c r="U176" s="153"/>
      <c r="V176" s="153"/>
      <c r="W176" s="153"/>
    </row>
    <row r="177" spans="1:23" s="14" customFormat="1" x14ac:dyDescent="0.25">
      <c r="A177" s="78"/>
      <c r="B177" s="77"/>
      <c r="C177" s="153"/>
      <c r="D177" s="153"/>
      <c r="E177" s="153"/>
      <c r="F177" s="153"/>
      <c r="G177" s="153"/>
      <c r="H177" s="153"/>
      <c r="I177" s="153"/>
      <c r="J177" s="157"/>
      <c r="K177" s="157"/>
      <c r="L177" s="157"/>
      <c r="M177" s="157"/>
      <c r="N177" s="153"/>
      <c r="O177" s="153"/>
      <c r="P177" s="153"/>
      <c r="Q177" s="153"/>
      <c r="R177" s="153"/>
      <c r="S177" s="153"/>
      <c r="T177" s="153"/>
      <c r="U177" s="153"/>
      <c r="V177" s="153"/>
      <c r="W177" s="153"/>
    </row>
    <row r="178" spans="1:23" s="14" customFormat="1" x14ac:dyDescent="0.25">
      <c r="A178" s="78"/>
      <c r="B178" s="77"/>
      <c r="C178" s="153"/>
      <c r="D178" s="153"/>
      <c r="E178" s="153"/>
      <c r="F178" s="153"/>
      <c r="G178" s="153"/>
      <c r="H178" s="153"/>
      <c r="I178" s="153"/>
      <c r="J178" s="157"/>
      <c r="K178" s="157"/>
      <c r="L178" s="157"/>
      <c r="M178" s="157"/>
      <c r="N178" s="153"/>
      <c r="O178" s="153"/>
      <c r="P178" s="153"/>
      <c r="Q178" s="153"/>
      <c r="R178" s="153"/>
      <c r="S178" s="153"/>
      <c r="T178" s="153"/>
      <c r="U178" s="153"/>
      <c r="V178" s="153"/>
      <c r="W178" s="153"/>
    </row>
    <row r="179" spans="1:23" s="14" customFormat="1" x14ac:dyDescent="0.25">
      <c r="A179" s="78"/>
      <c r="B179" s="77"/>
      <c r="C179" s="153"/>
      <c r="D179" s="153"/>
      <c r="E179" s="153"/>
      <c r="F179" s="153"/>
      <c r="G179" s="153"/>
      <c r="H179" s="153"/>
      <c r="I179" s="153"/>
      <c r="J179" s="157"/>
      <c r="K179" s="157"/>
      <c r="L179" s="157"/>
      <c r="M179" s="157"/>
      <c r="N179" s="153"/>
      <c r="O179" s="153"/>
      <c r="P179" s="153"/>
      <c r="Q179" s="153"/>
      <c r="R179" s="153"/>
      <c r="S179" s="153"/>
      <c r="T179" s="153"/>
      <c r="U179" s="153"/>
      <c r="V179" s="153"/>
      <c r="W179" s="153"/>
    </row>
    <row r="180" spans="1:23" s="14" customFormat="1" x14ac:dyDescent="0.25">
      <c r="A180" s="78"/>
      <c r="B180" s="77"/>
      <c r="C180" s="153"/>
      <c r="D180" s="153"/>
      <c r="E180" s="153"/>
      <c r="F180" s="153"/>
      <c r="G180" s="153"/>
      <c r="H180" s="153"/>
      <c r="I180" s="153"/>
      <c r="J180" s="157"/>
      <c r="K180" s="157"/>
      <c r="L180" s="157"/>
      <c r="M180" s="157"/>
      <c r="N180" s="153"/>
      <c r="O180" s="153"/>
      <c r="P180" s="153"/>
      <c r="Q180" s="153"/>
      <c r="R180" s="153"/>
      <c r="S180" s="153"/>
      <c r="T180" s="153"/>
      <c r="U180" s="153"/>
      <c r="V180" s="153"/>
      <c r="W180" s="153"/>
    </row>
    <row r="181" spans="1:23" s="14" customFormat="1" x14ac:dyDescent="0.25">
      <c r="A181" s="78"/>
      <c r="B181" s="77"/>
      <c r="C181" s="153"/>
      <c r="D181" s="153"/>
      <c r="E181" s="153"/>
      <c r="F181" s="153"/>
      <c r="G181" s="153"/>
      <c r="H181" s="153"/>
      <c r="I181" s="153"/>
      <c r="J181" s="157"/>
      <c r="K181" s="157"/>
      <c r="L181" s="157"/>
      <c r="M181" s="157"/>
      <c r="N181" s="153"/>
      <c r="O181" s="153"/>
      <c r="P181" s="153"/>
      <c r="Q181" s="153"/>
      <c r="R181" s="153"/>
      <c r="S181" s="153"/>
      <c r="T181" s="153"/>
      <c r="U181" s="153"/>
      <c r="V181" s="153"/>
      <c r="W181" s="153"/>
    </row>
    <row r="182" spans="1:23" s="14" customFormat="1" x14ac:dyDescent="0.25">
      <c r="A182" s="78"/>
      <c r="B182" s="77"/>
      <c r="C182" s="153"/>
      <c r="D182" s="153"/>
      <c r="E182" s="153"/>
      <c r="F182" s="153"/>
      <c r="G182" s="153"/>
      <c r="H182" s="153"/>
      <c r="I182" s="153"/>
      <c r="J182" s="157"/>
      <c r="K182" s="157"/>
      <c r="L182" s="157"/>
      <c r="M182" s="157"/>
      <c r="N182" s="153"/>
      <c r="O182" s="153"/>
      <c r="P182" s="153"/>
      <c r="Q182" s="153"/>
      <c r="R182" s="153"/>
      <c r="S182" s="153"/>
      <c r="T182" s="153"/>
      <c r="U182" s="153"/>
      <c r="V182" s="153"/>
      <c r="W182" s="153"/>
    </row>
    <row r="183" spans="1:23" s="14" customFormat="1" x14ac:dyDescent="0.25">
      <c r="A183" s="78"/>
      <c r="B183" s="77"/>
      <c r="C183" s="153"/>
      <c r="D183" s="153"/>
      <c r="E183" s="153"/>
      <c r="F183" s="153"/>
      <c r="G183" s="153"/>
      <c r="H183" s="153"/>
      <c r="I183" s="153"/>
      <c r="J183" s="157"/>
      <c r="K183" s="157"/>
      <c r="L183" s="157"/>
      <c r="M183" s="157"/>
      <c r="N183" s="153"/>
      <c r="O183" s="153"/>
      <c r="P183" s="153"/>
      <c r="Q183" s="153"/>
      <c r="R183" s="153"/>
      <c r="S183" s="153"/>
      <c r="T183" s="153"/>
      <c r="U183" s="153"/>
      <c r="V183" s="153"/>
      <c r="W183" s="153"/>
    </row>
    <row r="184" spans="1:23" s="14" customFormat="1" x14ac:dyDescent="0.25">
      <c r="A184" s="78"/>
      <c r="B184" s="77"/>
      <c r="C184" s="153"/>
      <c r="D184" s="153"/>
      <c r="E184" s="153"/>
      <c r="F184" s="153"/>
      <c r="G184" s="153"/>
      <c r="H184" s="153"/>
      <c r="I184" s="153"/>
      <c r="J184" s="157"/>
      <c r="K184" s="157"/>
      <c r="L184" s="157"/>
      <c r="M184" s="157"/>
      <c r="N184" s="153"/>
      <c r="O184" s="153"/>
      <c r="P184" s="153"/>
      <c r="Q184" s="153"/>
      <c r="R184" s="153"/>
      <c r="S184" s="153"/>
      <c r="T184" s="153"/>
      <c r="U184" s="153"/>
      <c r="V184" s="153"/>
      <c r="W184" s="153"/>
    </row>
    <row r="185" spans="1:23" s="14" customFormat="1" x14ac:dyDescent="0.25">
      <c r="A185" s="78"/>
      <c r="B185" s="77"/>
      <c r="C185" s="153"/>
      <c r="D185" s="153"/>
      <c r="E185" s="153"/>
      <c r="F185" s="153"/>
      <c r="G185" s="153"/>
      <c r="H185" s="153"/>
      <c r="I185" s="153"/>
      <c r="J185" s="157"/>
      <c r="K185" s="157"/>
      <c r="L185" s="157"/>
      <c r="M185" s="157"/>
      <c r="N185" s="153"/>
      <c r="O185" s="153"/>
      <c r="P185" s="153"/>
      <c r="Q185" s="153"/>
      <c r="R185" s="153"/>
      <c r="S185" s="153"/>
      <c r="T185" s="153"/>
      <c r="U185" s="153"/>
      <c r="V185" s="153"/>
      <c r="W185" s="153"/>
    </row>
    <row r="186" spans="1:23" s="14" customFormat="1" x14ac:dyDescent="0.25">
      <c r="A186" s="78"/>
      <c r="B186" s="77"/>
      <c r="C186" s="153"/>
      <c r="D186" s="153"/>
      <c r="E186" s="153"/>
      <c r="F186" s="153"/>
      <c r="G186" s="153"/>
      <c r="H186" s="153"/>
      <c r="I186" s="153"/>
      <c r="J186" s="157"/>
      <c r="K186" s="157"/>
      <c r="L186" s="157"/>
      <c r="M186" s="157"/>
      <c r="N186" s="153"/>
      <c r="O186" s="153"/>
      <c r="P186" s="153"/>
      <c r="Q186" s="153"/>
      <c r="R186" s="153"/>
      <c r="S186" s="153"/>
      <c r="T186" s="153"/>
      <c r="U186" s="153"/>
      <c r="V186" s="153"/>
      <c r="W186" s="153"/>
    </row>
    <row r="187" spans="1:23" s="14" customFormat="1" x14ac:dyDescent="0.25">
      <c r="A187" s="78"/>
      <c r="B187" s="77"/>
      <c r="C187" s="153"/>
      <c r="D187" s="153"/>
      <c r="E187" s="153"/>
      <c r="F187" s="153"/>
      <c r="G187" s="153"/>
      <c r="H187" s="153"/>
      <c r="I187" s="153"/>
      <c r="J187" s="157"/>
      <c r="K187" s="157"/>
      <c r="L187" s="157"/>
      <c r="M187" s="157"/>
      <c r="N187" s="153"/>
      <c r="O187" s="153"/>
      <c r="P187" s="153"/>
      <c r="Q187" s="153"/>
      <c r="R187" s="153"/>
      <c r="S187" s="153"/>
      <c r="T187" s="153"/>
      <c r="U187" s="153"/>
      <c r="V187" s="153"/>
      <c r="W187" s="153"/>
    </row>
    <row r="188" spans="1:23" s="14" customFormat="1" x14ac:dyDescent="0.25">
      <c r="A188" s="78"/>
      <c r="B188" s="77"/>
      <c r="C188" s="153"/>
      <c r="D188" s="153"/>
      <c r="E188" s="153"/>
      <c r="F188" s="153"/>
      <c r="G188" s="153"/>
      <c r="H188" s="153"/>
      <c r="I188" s="153"/>
      <c r="J188" s="157"/>
      <c r="K188" s="157"/>
      <c r="L188" s="157"/>
      <c r="M188" s="157"/>
      <c r="N188" s="153"/>
      <c r="O188" s="153"/>
      <c r="P188" s="153"/>
      <c r="Q188" s="153"/>
      <c r="R188" s="153"/>
      <c r="S188" s="153"/>
      <c r="T188" s="153"/>
      <c r="U188" s="153"/>
      <c r="V188" s="153"/>
      <c r="W188" s="153"/>
    </row>
    <row r="189" spans="1:23" s="14" customFormat="1" x14ac:dyDescent="0.25">
      <c r="A189" s="78"/>
      <c r="B189" s="77"/>
      <c r="C189" s="153"/>
      <c r="D189" s="153"/>
      <c r="E189" s="153"/>
      <c r="F189" s="153"/>
      <c r="G189" s="153"/>
      <c r="H189" s="153"/>
      <c r="I189" s="153"/>
      <c r="J189" s="157"/>
      <c r="K189" s="157"/>
      <c r="L189" s="157"/>
      <c r="M189" s="157"/>
      <c r="N189" s="153"/>
      <c r="O189" s="153"/>
      <c r="P189" s="153"/>
      <c r="Q189" s="153"/>
      <c r="R189" s="153"/>
      <c r="S189" s="153"/>
      <c r="T189" s="153"/>
      <c r="U189" s="153"/>
      <c r="V189" s="153"/>
      <c r="W189" s="153"/>
    </row>
    <row r="190" spans="1:23" s="14" customFormat="1" x14ac:dyDescent="0.25">
      <c r="A190" s="78"/>
      <c r="B190" s="77"/>
      <c r="C190" s="153"/>
      <c r="D190" s="153"/>
      <c r="E190" s="153"/>
      <c r="F190" s="153"/>
      <c r="G190" s="153"/>
      <c r="H190" s="153"/>
      <c r="I190" s="153"/>
      <c r="J190" s="157"/>
      <c r="K190" s="157"/>
      <c r="L190" s="157"/>
      <c r="M190" s="157"/>
      <c r="N190" s="153"/>
      <c r="O190" s="153"/>
      <c r="P190" s="153"/>
      <c r="Q190" s="153"/>
      <c r="R190" s="153"/>
      <c r="S190" s="153"/>
      <c r="T190" s="153"/>
      <c r="U190" s="153"/>
      <c r="V190" s="153"/>
      <c r="W190" s="153"/>
    </row>
    <row r="191" spans="1:23" s="14" customFormat="1" x14ac:dyDescent="0.25">
      <c r="A191" s="78"/>
      <c r="B191" s="77"/>
      <c r="C191" s="153"/>
      <c r="D191" s="153"/>
      <c r="E191" s="153"/>
      <c r="F191" s="153"/>
      <c r="G191" s="153"/>
      <c r="H191" s="153"/>
      <c r="I191" s="153"/>
      <c r="J191" s="157"/>
      <c r="K191" s="157"/>
      <c r="L191" s="157"/>
      <c r="M191" s="157"/>
      <c r="N191" s="153"/>
      <c r="O191" s="153"/>
      <c r="P191" s="153"/>
      <c r="Q191" s="153"/>
      <c r="R191" s="153"/>
      <c r="S191" s="153"/>
      <c r="T191" s="153"/>
      <c r="U191" s="153"/>
      <c r="V191" s="153"/>
      <c r="W191" s="153"/>
    </row>
    <row r="192" spans="1:23" s="14" customFormat="1" x14ac:dyDescent="0.25">
      <c r="A192" s="78"/>
      <c r="B192" s="77"/>
      <c r="C192" s="153"/>
      <c r="D192" s="153"/>
      <c r="E192" s="153"/>
      <c r="F192" s="153"/>
      <c r="G192" s="153"/>
      <c r="H192" s="153"/>
      <c r="I192" s="153"/>
      <c r="J192" s="157"/>
      <c r="K192" s="157"/>
      <c r="L192" s="157"/>
      <c r="M192" s="157"/>
      <c r="N192" s="153"/>
      <c r="O192" s="153"/>
      <c r="P192" s="153"/>
      <c r="Q192" s="153"/>
      <c r="R192" s="153"/>
      <c r="S192" s="153"/>
      <c r="T192" s="153"/>
      <c r="U192" s="153"/>
      <c r="V192" s="153"/>
      <c r="W192" s="153"/>
    </row>
    <row r="193" spans="1:23" s="14" customFormat="1" x14ac:dyDescent="0.25">
      <c r="A193" s="78"/>
      <c r="B193" s="77"/>
      <c r="C193" s="153"/>
      <c r="D193" s="153"/>
      <c r="E193" s="153"/>
      <c r="F193" s="153"/>
      <c r="G193" s="153"/>
      <c r="H193" s="153"/>
      <c r="I193" s="153"/>
      <c r="J193" s="157"/>
      <c r="K193" s="157"/>
      <c r="L193" s="157"/>
      <c r="M193" s="157"/>
      <c r="N193" s="153"/>
      <c r="O193" s="153"/>
      <c r="P193" s="153"/>
      <c r="Q193" s="153"/>
      <c r="R193" s="153"/>
      <c r="S193" s="153"/>
      <c r="T193" s="153"/>
      <c r="U193" s="153"/>
      <c r="V193" s="153"/>
      <c r="W193" s="153"/>
    </row>
    <row r="194" spans="1:23" s="14" customFormat="1" x14ac:dyDescent="0.25">
      <c r="A194" s="78"/>
      <c r="B194" s="77"/>
      <c r="C194" s="153"/>
      <c r="D194" s="153"/>
      <c r="E194" s="153"/>
      <c r="F194" s="153"/>
      <c r="G194" s="153"/>
      <c r="H194" s="153"/>
      <c r="I194" s="153"/>
      <c r="J194" s="157"/>
      <c r="K194" s="157"/>
      <c r="L194" s="157"/>
      <c r="M194" s="157"/>
      <c r="N194" s="153"/>
      <c r="O194" s="153"/>
      <c r="P194" s="153"/>
      <c r="Q194" s="153"/>
      <c r="R194" s="153"/>
      <c r="S194" s="153"/>
      <c r="T194" s="153"/>
      <c r="U194" s="153"/>
      <c r="V194" s="153"/>
      <c r="W194" s="153"/>
    </row>
    <row r="195" spans="1:23" s="14" customFormat="1" x14ac:dyDescent="0.25">
      <c r="A195" s="78"/>
      <c r="B195" s="77"/>
      <c r="C195" s="153"/>
      <c r="D195" s="153"/>
      <c r="E195" s="153"/>
      <c r="F195" s="153"/>
      <c r="G195" s="153"/>
      <c r="H195" s="153"/>
      <c r="I195" s="153"/>
      <c r="J195" s="157"/>
      <c r="K195" s="157"/>
      <c r="L195" s="157"/>
      <c r="M195" s="157"/>
      <c r="N195" s="153"/>
      <c r="O195" s="153"/>
      <c r="P195" s="153"/>
      <c r="Q195" s="153"/>
      <c r="R195" s="153"/>
      <c r="S195" s="153"/>
      <c r="T195" s="153"/>
      <c r="U195" s="153"/>
      <c r="V195" s="153"/>
      <c r="W195" s="153"/>
    </row>
    <row r="196" spans="1:23" s="14" customFormat="1" x14ac:dyDescent="0.25">
      <c r="A196" s="78"/>
      <c r="B196" s="77"/>
      <c r="C196" s="153"/>
      <c r="D196" s="153"/>
      <c r="E196" s="153"/>
      <c r="F196" s="153"/>
      <c r="G196" s="153"/>
      <c r="H196" s="153"/>
      <c r="I196" s="153"/>
      <c r="J196" s="157"/>
      <c r="K196" s="157"/>
      <c r="L196" s="157"/>
      <c r="M196" s="157"/>
      <c r="N196" s="153"/>
      <c r="O196" s="153"/>
      <c r="P196" s="153"/>
      <c r="Q196" s="153"/>
      <c r="R196" s="153"/>
      <c r="S196" s="153"/>
      <c r="T196" s="153"/>
      <c r="U196" s="153"/>
      <c r="V196" s="153"/>
      <c r="W196" s="153"/>
    </row>
    <row r="197" spans="1:23" s="14" customFormat="1" x14ac:dyDescent="0.25">
      <c r="A197" s="78"/>
      <c r="B197" s="77"/>
      <c r="C197" s="153"/>
      <c r="D197" s="153"/>
      <c r="E197" s="153"/>
      <c r="F197" s="153"/>
      <c r="G197" s="153"/>
      <c r="H197" s="153"/>
      <c r="I197" s="153"/>
      <c r="J197" s="157"/>
      <c r="K197" s="157"/>
      <c r="L197" s="157"/>
      <c r="M197" s="157"/>
      <c r="N197" s="153"/>
      <c r="O197" s="153"/>
      <c r="P197" s="153"/>
      <c r="Q197" s="153"/>
      <c r="R197" s="153"/>
      <c r="S197" s="153"/>
      <c r="T197" s="153"/>
      <c r="U197" s="153"/>
      <c r="V197" s="153"/>
      <c r="W197" s="153"/>
    </row>
    <row r="198" spans="1:23" s="14" customFormat="1" x14ac:dyDescent="0.25">
      <c r="A198" s="78"/>
      <c r="B198" s="77"/>
      <c r="C198" s="153"/>
      <c r="D198" s="153"/>
      <c r="E198" s="153"/>
      <c r="F198" s="153"/>
      <c r="G198" s="153"/>
      <c r="H198" s="153"/>
      <c r="I198" s="153"/>
      <c r="J198" s="157"/>
      <c r="K198" s="157"/>
      <c r="L198" s="157"/>
      <c r="M198" s="157"/>
      <c r="N198" s="153"/>
      <c r="O198" s="153"/>
      <c r="P198" s="153"/>
      <c r="Q198" s="153"/>
      <c r="R198" s="153"/>
      <c r="S198" s="153"/>
      <c r="T198" s="153"/>
      <c r="U198" s="153"/>
      <c r="V198" s="153"/>
      <c r="W198" s="153"/>
    </row>
    <row r="199" spans="1:23" s="14" customFormat="1" x14ac:dyDescent="0.25">
      <c r="A199" s="78"/>
      <c r="B199" s="77"/>
      <c r="C199" s="153"/>
      <c r="D199" s="153"/>
      <c r="E199" s="153"/>
      <c r="F199" s="153"/>
      <c r="G199" s="153"/>
      <c r="H199" s="153"/>
      <c r="I199" s="153"/>
      <c r="J199" s="157"/>
      <c r="K199" s="157"/>
      <c r="L199" s="157"/>
      <c r="M199" s="157"/>
      <c r="N199" s="153"/>
      <c r="O199" s="153"/>
      <c r="P199" s="153"/>
      <c r="Q199" s="153"/>
      <c r="R199" s="153"/>
      <c r="S199" s="153"/>
      <c r="T199" s="153"/>
      <c r="U199" s="153"/>
      <c r="V199" s="153"/>
      <c r="W199" s="153"/>
    </row>
    <row r="200" spans="1:23" s="14" customFormat="1" x14ac:dyDescent="0.25">
      <c r="A200" s="78"/>
      <c r="B200" s="77"/>
      <c r="C200" s="153"/>
      <c r="D200" s="153"/>
      <c r="E200" s="153"/>
      <c r="F200" s="153"/>
      <c r="G200" s="153"/>
      <c r="H200" s="153"/>
      <c r="I200" s="153"/>
      <c r="J200" s="157"/>
      <c r="K200" s="157"/>
      <c r="L200" s="157"/>
      <c r="M200" s="157"/>
      <c r="N200" s="153"/>
      <c r="O200" s="153"/>
      <c r="P200" s="153"/>
      <c r="Q200" s="153"/>
      <c r="R200" s="153"/>
      <c r="S200" s="153"/>
      <c r="T200" s="153"/>
      <c r="U200" s="153"/>
      <c r="V200" s="153"/>
      <c r="W200" s="153"/>
    </row>
    <row r="201" spans="1:23" s="14" customFormat="1" x14ac:dyDescent="0.25">
      <c r="A201" s="78"/>
      <c r="B201" s="77"/>
      <c r="C201" s="153"/>
      <c r="D201" s="153"/>
      <c r="E201" s="153"/>
      <c r="F201" s="153"/>
      <c r="G201" s="153"/>
      <c r="H201" s="153"/>
      <c r="I201" s="153"/>
      <c r="J201" s="157"/>
      <c r="K201" s="157"/>
      <c r="L201" s="157"/>
      <c r="M201" s="157"/>
      <c r="N201" s="153"/>
      <c r="O201" s="153"/>
      <c r="P201" s="153"/>
      <c r="Q201" s="153"/>
      <c r="R201" s="153"/>
      <c r="S201" s="153"/>
      <c r="T201" s="153"/>
      <c r="U201" s="153"/>
      <c r="V201" s="153"/>
      <c r="W201" s="153"/>
    </row>
    <row r="202" spans="1:23" s="14" customFormat="1" x14ac:dyDescent="0.25">
      <c r="A202" s="78"/>
      <c r="B202" s="77"/>
      <c r="C202" s="153"/>
      <c r="D202" s="153"/>
      <c r="E202" s="153"/>
      <c r="F202" s="153"/>
      <c r="G202" s="153"/>
      <c r="H202" s="153"/>
      <c r="I202" s="153"/>
      <c r="J202" s="157"/>
      <c r="K202" s="157"/>
      <c r="L202" s="157"/>
      <c r="M202" s="157"/>
      <c r="N202" s="153"/>
      <c r="O202" s="153"/>
      <c r="P202" s="153"/>
      <c r="Q202" s="153"/>
      <c r="R202" s="153"/>
      <c r="S202" s="153"/>
      <c r="T202" s="153"/>
      <c r="U202" s="153"/>
      <c r="V202" s="153"/>
      <c r="W202" s="153"/>
    </row>
    <row r="203" spans="1:23" s="14" customFormat="1" x14ac:dyDescent="0.25">
      <c r="A203" s="78"/>
      <c r="B203" s="77"/>
      <c r="C203" s="153"/>
      <c r="D203" s="153"/>
      <c r="E203" s="153"/>
      <c r="F203" s="153"/>
      <c r="G203" s="153"/>
      <c r="H203" s="153"/>
      <c r="I203" s="153"/>
      <c r="J203" s="157"/>
      <c r="K203" s="157"/>
      <c r="L203" s="157"/>
      <c r="M203" s="157"/>
      <c r="N203" s="153"/>
      <c r="O203" s="153"/>
      <c r="P203" s="153"/>
      <c r="Q203" s="153"/>
      <c r="R203" s="153"/>
      <c r="S203" s="153"/>
      <c r="T203" s="153"/>
      <c r="U203" s="153"/>
      <c r="V203" s="153"/>
      <c r="W203" s="153"/>
    </row>
    <row r="204" spans="1:23" s="14" customFormat="1" x14ac:dyDescent="0.25">
      <c r="A204" s="78"/>
      <c r="B204" s="77"/>
      <c r="C204" s="153"/>
      <c r="D204" s="153"/>
      <c r="E204" s="153"/>
      <c r="F204" s="153"/>
      <c r="G204" s="153"/>
      <c r="H204" s="153"/>
      <c r="I204" s="153"/>
      <c r="J204" s="157"/>
      <c r="K204" s="157"/>
      <c r="L204" s="157"/>
      <c r="M204" s="157"/>
      <c r="N204" s="153"/>
      <c r="O204" s="153"/>
      <c r="P204" s="153"/>
      <c r="Q204" s="153"/>
      <c r="R204" s="153"/>
      <c r="S204" s="153"/>
      <c r="T204" s="153"/>
      <c r="U204" s="153"/>
      <c r="V204" s="153"/>
      <c r="W204" s="153"/>
    </row>
    <row r="205" spans="1:23" s="14" customFormat="1" x14ac:dyDescent="0.25">
      <c r="A205" s="78"/>
      <c r="B205" s="77"/>
      <c r="C205" s="153"/>
      <c r="D205" s="153"/>
      <c r="E205" s="153"/>
      <c r="F205" s="153"/>
      <c r="G205" s="153"/>
      <c r="H205" s="153"/>
      <c r="I205" s="153"/>
      <c r="J205" s="157"/>
      <c r="K205" s="157"/>
      <c r="L205" s="157"/>
      <c r="M205" s="157"/>
      <c r="N205" s="153"/>
      <c r="O205" s="153"/>
      <c r="P205" s="153"/>
      <c r="Q205" s="153"/>
      <c r="R205" s="153"/>
      <c r="S205" s="153"/>
      <c r="T205" s="153"/>
      <c r="U205" s="153"/>
      <c r="V205" s="153"/>
      <c r="W205" s="153"/>
    </row>
    <row r="206" spans="1:23" s="14" customFormat="1" x14ac:dyDescent="0.25">
      <c r="A206" s="78"/>
      <c r="B206" s="77"/>
      <c r="C206" s="153"/>
      <c r="D206" s="153"/>
      <c r="E206" s="153"/>
      <c r="F206" s="153"/>
      <c r="G206" s="153"/>
      <c r="H206" s="153"/>
      <c r="I206" s="153"/>
      <c r="J206" s="157"/>
      <c r="K206" s="157"/>
      <c r="L206" s="157"/>
      <c r="M206" s="157"/>
      <c r="N206" s="153"/>
      <c r="O206" s="153"/>
      <c r="P206" s="153"/>
      <c r="Q206" s="153"/>
      <c r="R206" s="153"/>
      <c r="S206" s="153"/>
      <c r="T206" s="153"/>
      <c r="U206" s="153"/>
      <c r="V206" s="153"/>
      <c r="W206" s="153"/>
    </row>
    <row r="207" spans="1:23" s="14" customFormat="1" x14ac:dyDescent="0.25">
      <c r="A207" s="78"/>
      <c r="B207" s="77"/>
      <c r="C207" s="153"/>
      <c r="D207" s="153"/>
      <c r="E207" s="153"/>
      <c r="F207" s="153"/>
      <c r="G207" s="153"/>
      <c r="H207" s="153"/>
      <c r="I207" s="153"/>
      <c r="J207" s="157"/>
      <c r="K207" s="157"/>
      <c r="L207" s="157"/>
      <c r="M207" s="157"/>
      <c r="N207" s="153"/>
      <c r="O207" s="153"/>
      <c r="P207" s="153"/>
      <c r="Q207" s="153"/>
      <c r="R207" s="153"/>
      <c r="S207" s="153"/>
      <c r="T207" s="153"/>
      <c r="U207" s="153"/>
      <c r="V207" s="153"/>
      <c r="W207" s="153"/>
    </row>
    <row r="208" spans="1:23" s="14" customFormat="1" x14ac:dyDescent="0.25">
      <c r="A208" s="78"/>
      <c r="B208" s="77"/>
      <c r="C208" s="153"/>
      <c r="D208" s="153"/>
      <c r="E208" s="153"/>
      <c r="F208" s="153"/>
      <c r="G208" s="153"/>
      <c r="H208" s="153"/>
      <c r="I208" s="153"/>
      <c r="J208" s="157"/>
      <c r="K208" s="157"/>
      <c r="L208" s="157"/>
      <c r="M208" s="157"/>
      <c r="N208" s="153"/>
      <c r="O208" s="153"/>
      <c r="P208" s="153"/>
      <c r="Q208" s="153"/>
      <c r="R208" s="153"/>
      <c r="S208" s="153"/>
      <c r="T208" s="153"/>
      <c r="U208" s="153"/>
      <c r="V208" s="153"/>
      <c r="W208" s="153"/>
    </row>
    <row r="209" spans="1:23" s="14" customFormat="1" x14ac:dyDescent="0.25">
      <c r="A209" s="78"/>
      <c r="B209" s="77"/>
      <c r="C209" s="153"/>
      <c r="D209" s="153"/>
      <c r="E209" s="153"/>
      <c r="F209" s="153"/>
      <c r="G209" s="153"/>
      <c r="H209" s="153"/>
      <c r="I209" s="153"/>
      <c r="J209" s="157"/>
      <c r="K209" s="157"/>
      <c r="L209" s="157"/>
      <c r="M209" s="157"/>
      <c r="N209" s="153"/>
      <c r="O209" s="153"/>
      <c r="P209" s="153"/>
      <c r="Q209" s="153"/>
      <c r="R209" s="153"/>
      <c r="S209" s="153"/>
      <c r="T209" s="153"/>
      <c r="U209" s="153"/>
      <c r="V209" s="153"/>
      <c r="W209" s="153"/>
    </row>
    <row r="210" spans="1:23" s="14" customFormat="1" x14ac:dyDescent="0.25">
      <c r="A210" s="78"/>
      <c r="B210" s="77"/>
      <c r="C210" s="153"/>
      <c r="D210" s="153"/>
      <c r="E210" s="153"/>
      <c r="F210" s="153"/>
      <c r="G210" s="153"/>
      <c r="H210" s="153"/>
      <c r="I210" s="153"/>
      <c r="J210" s="157"/>
      <c r="K210" s="157"/>
      <c r="L210" s="157"/>
      <c r="M210" s="157"/>
      <c r="N210" s="153"/>
      <c r="O210" s="153"/>
      <c r="P210" s="153"/>
      <c r="Q210" s="153"/>
      <c r="R210" s="153"/>
      <c r="S210" s="153"/>
      <c r="T210" s="153"/>
      <c r="U210" s="153"/>
      <c r="V210" s="153"/>
      <c r="W210" s="153"/>
    </row>
    <row r="211" spans="1:23" s="14" customFormat="1" x14ac:dyDescent="0.25">
      <c r="A211" s="78"/>
      <c r="B211" s="77"/>
      <c r="C211" s="153"/>
      <c r="D211" s="153"/>
      <c r="E211" s="153"/>
      <c r="F211" s="153"/>
      <c r="G211" s="153"/>
      <c r="H211" s="153"/>
      <c r="I211" s="153"/>
      <c r="J211" s="157"/>
      <c r="K211" s="157"/>
      <c r="L211" s="157"/>
      <c r="M211" s="157"/>
      <c r="N211" s="153"/>
      <c r="O211" s="153"/>
      <c r="P211" s="153"/>
      <c r="Q211" s="153"/>
      <c r="R211" s="153"/>
      <c r="S211" s="153"/>
      <c r="T211" s="153"/>
      <c r="U211" s="153"/>
      <c r="V211" s="153"/>
      <c r="W211" s="153"/>
    </row>
    <row r="212" spans="1:23" s="14" customFormat="1" x14ac:dyDescent="0.25">
      <c r="A212" s="78"/>
      <c r="B212" s="77"/>
      <c r="C212" s="153"/>
      <c r="D212" s="153"/>
      <c r="E212" s="153"/>
      <c r="F212" s="153"/>
      <c r="G212" s="153"/>
      <c r="H212" s="153"/>
      <c r="I212" s="153"/>
      <c r="J212" s="157"/>
      <c r="K212" s="157"/>
      <c r="L212" s="157"/>
      <c r="M212" s="157"/>
      <c r="N212" s="153"/>
      <c r="O212" s="153"/>
      <c r="P212" s="153"/>
      <c r="Q212" s="153"/>
      <c r="R212" s="153"/>
      <c r="S212" s="153"/>
      <c r="T212" s="153"/>
      <c r="U212" s="153"/>
      <c r="V212" s="153"/>
      <c r="W212" s="153"/>
    </row>
    <row r="213" spans="1:23" s="14" customFormat="1" x14ac:dyDescent="0.25">
      <c r="A213" s="78"/>
      <c r="B213" s="77"/>
      <c r="C213" s="153"/>
      <c r="D213" s="153"/>
      <c r="E213" s="153"/>
      <c r="F213" s="153"/>
      <c r="G213" s="153"/>
      <c r="H213" s="153"/>
      <c r="I213" s="153"/>
      <c r="J213" s="157"/>
      <c r="K213" s="157"/>
      <c r="L213" s="157"/>
      <c r="M213" s="157"/>
      <c r="N213" s="153"/>
      <c r="O213" s="153"/>
      <c r="P213" s="153"/>
      <c r="Q213" s="153"/>
      <c r="R213" s="153"/>
      <c r="S213" s="153"/>
      <c r="T213" s="153"/>
      <c r="U213" s="153"/>
      <c r="V213" s="153"/>
      <c r="W213" s="153"/>
    </row>
    <row r="214" spans="1:23" s="14" customFormat="1" x14ac:dyDescent="0.25">
      <c r="A214" s="78"/>
      <c r="B214" s="77"/>
      <c r="C214" s="153"/>
      <c r="D214" s="153"/>
      <c r="E214" s="153"/>
      <c r="F214" s="153"/>
      <c r="G214" s="153"/>
      <c r="H214" s="153"/>
      <c r="I214" s="153"/>
      <c r="J214" s="157"/>
      <c r="K214" s="157"/>
      <c r="L214" s="157"/>
      <c r="M214" s="157"/>
      <c r="N214" s="153"/>
      <c r="O214" s="153"/>
      <c r="P214" s="153"/>
      <c r="Q214" s="153"/>
      <c r="R214" s="153"/>
      <c r="S214" s="153"/>
      <c r="T214" s="153"/>
      <c r="U214" s="153"/>
      <c r="V214" s="153"/>
      <c r="W214" s="153"/>
    </row>
    <row r="215" spans="1:23" s="14" customFormat="1" x14ac:dyDescent="0.25">
      <c r="A215" s="78"/>
      <c r="B215" s="77"/>
      <c r="C215" s="153"/>
      <c r="D215" s="153"/>
      <c r="E215" s="153"/>
      <c r="F215" s="153"/>
      <c r="G215" s="153"/>
      <c r="H215" s="153"/>
      <c r="I215" s="153"/>
      <c r="J215" s="157"/>
      <c r="K215" s="157"/>
      <c r="L215" s="157"/>
      <c r="M215" s="157"/>
      <c r="N215" s="153"/>
      <c r="O215" s="153"/>
      <c r="P215" s="153"/>
      <c r="Q215" s="153"/>
      <c r="R215" s="153"/>
      <c r="S215" s="153"/>
      <c r="T215" s="153"/>
      <c r="U215" s="153"/>
      <c r="V215" s="153"/>
      <c r="W215" s="153"/>
    </row>
    <row r="216" spans="1:23" s="14" customFormat="1" x14ac:dyDescent="0.25">
      <c r="A216" s="78"/>
      <c r="B216" s="77"/>
      <c r="C216" s="153"/>
      <c r="D216" s="153"/>
      <c r="E216" s="153"/>
      <c r="F216" s="153"/>
      <c r="G216" s="153"/>
      <c r="H216" s="153"/>
      <c r="I216" s="153"/>
      <c r="J216" s="157"/>
      <c r="K216" s="157"/>
      <c r="L216" s="157"/>
      <c r="M216" s="157"/>
      <c r="N216" s="153"/>
      <c r="O216" s="153"/>
      <c r="P216" s="153"/>
      <c r="Q216" s="153"/>
      <c r="R216" s="153"/>
      <c r="S216" s="153"/>
      <c r="T216" s="153"/>
      <c r="U216" s="153"/>
      <c r="V216" s="153"/>
      <c r="W216" s="153"/>
    </row>
    <row r="217" spans="1:23" s="14" customFormat="1" x14ac:dyDescent="0.25">
      <c r="A217" s="78"/>
      <c r="B217" s="77"/>
      <c r="C217" s="153"/>
      <c r="D217" s="153"/>
      <c r="E217" s="153"/>
      <c r="F217" s="153"/>
      <c r="G217" s="153"/>
      <c r="H217" s="153"/>
      <c r="I217" s="153"/>
      <c r="J217" s="157"/>
      <c r="K217" s="157"/>
      <c r="L217" s="157"/>
      <c r="M217" s="157"/>
      <c r="N217" s="153"/>
      <c r="O217" s="153"/>
      <c r="P217" s="153"/>
      <c r="Q217" s="153"/>
      <c r="R217" s="153"/>
      <c r="S217" s="153"/>
      <c r="T217" s="153"/>
      <c r="U217" s="153"/>
      <c r="V217" s="153"/>
      <c r="W217" s="153"/>
    </row>
    <row r="218" spans="1:23" s="14" customFormat="1" x14ac:dyDescent="0.25">
      <c r="A218" s="78"/>
      <c r="B218" s="77"/>
      <c r="C218" s="153"/>
      <c r="D218" s="153"/>
      <c r="E218" s="153"/>
      <c r="F218" s="153"/>
      <c r="G218" s="153"/>
      <c r="H218" s="153"/>
      <c r="I218" s="153"/>
      <c r="J218" s="157"/>
      <c r="K218" s="157"/>
      <c r="L218" s="157"/>
      <c r="M218" s="157"/>
      <c r="N218" s="153"/>
      <c r="O218" s="153"/>
      <c r="P218" s="153"/>
      <c r="Q218" s="153"/>
      <c r="R218" s="153"/>
      <c r="S218" s="153"/>
      <c r="T218" s="153"/>
      <c r="U218" s="153"/>
      <c r="V218" s="153"/>
      <c r="W218" s="153"/>
    </row>
    <row r="219" spans="1:23" s="14" customFormat="1" x14ac:dyDescent="0.25">
      <c r="A219" s="78"/>
      <c r="B219" s="77"/>
      <c r="C219" s="153"/>
      <c r="D219" s="153"/>
      <c r="E219" s="153"/>
      <c r="F219" s="153"/>
      <c r="G219" s="153"/>
      <c r="H219" s="153"/>
      <c r="I219" s="153"/>
      <c r="J219" s="157"/>
      <c r="K219" s="157"/>
      <c r="L219" s="157"/>
      <c r="M219" s="157"/>
      <c r="N219" s="153"/>
      <c r="O219" s="153"/>
      <c r="P219" s="153"/>
      <c r="Q219" s="153"/>
      <c r="R219" s="153"/>
      <c r="S219" s="153"/>
      <c r="T219" s="153"/>
      <c r="U219" s="153"/>
      <c r="V219" s="153"/>
      <c r="W219" s="153"/>
    </row>
    <row r="220" spans="1:23" s="14" customFormat="1" x14ac:dyDescent="0.25">
      <c r="A220" s="78"/>
      <c r="B220" s="77"/>
      <c r="C220" s="153"/>
      <c r="D220" s="153"/>
      <c r="E220" s="153"/>
      <c r="F220" s="153"/>
      <c r="G220" s="153"/>
      <c r="H220" s="153"/>
      <c r="I220" s="153"/>
      <c r="J220" s="157"/>
      <c r="K220" s="157"/>
      <c r="L220" s="157"/>
      <c r="M220" s="157"/>
      <c r="N220" s="153"/>
      <c r="O220" s="153"/>
      <c r="P220" s="153"/>
      <c r="Q220" s="153"/>
      <c r="R220" s="153"/>
      <c r="S220" s="153"/>
      <c r="T220" s="153"/>
      <c r="U220" s="153"/>
      <c r="V220" s="153"/>
      <c r="W220" s="153"/>
    </row>
    <row r="221" spans="1:23" s="14" customFormat="1" x14ac:dyDescent="0.25">
      <c r="A221" s="78"/>
      <c r="B221" s="77"/>
      <c r="C221" s="153"/>
      <c r="D221" s="153"/>
      <c r="E221" s="153"/>
      <c r="F221" s="153"/>
      <c r="G221" s="153"/>
      <c r="H221" s="153"/>
      <c r="I221" s="153"/>
      <c r="J221" s="157"/>
      <c r="K221" s="157"/>
      <c r="L221" s="157"/>
      <c r="M221" s="157"/>
      <c r="N221" s="153"/>
      <c r="O221" s="153"/>
      <c r="P221" s="153"/>
      <c r="Q221" s="153"/>
      <c r="R221" s="153"/>
      <c r="S221" s="153"/>
      <c r="T221" s="153"/>
      <c r="U221" s="153"/>
      <c r="V221" s="153"/>
      <c r="W221" s="153"/>
    </row>
    <row r="222" spans="1:23" s="14" customFormat="1" x14ac:dyDescent="0.25">
      <c r="A222" s="78"/>
      <c r="B222" s="77"/>
      <c r="C222" s="153"/>
      <c r="D222" s="153"/>
      <c r="E222" s="153"/>
      <c r="F222" s="153"/>
      <c r="G222" s="153"/>
      <c r="H222" s="153"/>
      <c r="I222" s="153"/>
      <c r="J222" s="157"/>
      <c r="K222" s="157"/>
      <c r="L222" s="157"/>
      <c r="M222" s="157"/>
      <c r="N222" s="153"/>
      <c r="O222" s="153"/>
      <c r="P222" s="153"/>
      <c r="Q222" s="153"/>
      <c r="R222" s="153"/>
      <c r="S222" s="153"/>
      <c r="T222" s="153"/>
      <c r="U222" s="153"/>
      <c r="V222" s="153"/>
      <c r="W222" s="153"/>
    </row>
    <row r="223" spans="1:23" s="14" customFormat="1" x14ac:dyDescent="0.25">
      <c r="A223" s="78"/>
      <c r="B223" s="77"/>
      <c r="C223" s="153"/>
      <c r="D223" s="153"/>
      <c r="E223" s="153"/>
      <c r="F223" s="153"/>
      <c r="G223" s="153"/>
      <c r="H223" s="153"/>
      <c r="I223" s="153"/>
      <c r="J223" s="157"/>
      <c r="K223" s="157"/>
      <c r="L223" s="157"/>
      <c r="M223" s="157"/>
      <c r="N223" s="153"/>
      <c r="O223" s="153"/>
      <c r="P223" s="153"/>
      <c r="Q223" s="153"/>
      <c r="R223" s="153"/>
      <c r="S223" s="153"/>
      <c r="T223" s="153"/>
      <c r="U223" s="153"/>
      <c r="V223" s="153"/>
      <c r="W223" s="153"/>
    </row>
    <row r="224" spans="1:23" s="14" customFormat="1" x14ac:dyDescent="0.25">
      <c r="A224" s="78"/>
      <c r="B224" s="77"/>
      <c r="C224" s="153"/>
      <c r="D224" s="153"/>
      <c r="E224" s="153"/>
      <c r="F224" s="153"/>
      <c r="G224" s="153"/>
      <c r="H224" s="153"/>
      <c r="I224" s="153"/>
      <c r="J224" s="157"/>
      <c r="K224" s="157"/>
      <c r="L224" s="157"/>
      <c r="M224" s="157"/>
      <c r="N224" s="153"/>
      <c r="O224" s="153"/>
      <c r="P224" s="153"/>
      <c r="Q224" s="153"/>
      <c r="R224" s="153"/>
      <c r="S224" s="153"/>
      <c r="T224" s="153"/>
      <c r="U224" s="153"/>
      <c r="V224" s="153"/>
      <c r="W224" s="153"/>
    </row>
    <row r="225" spans="1:23" s="14" customFormat="1" x14ac:dyDescent="0.25">
      <c r="A225" s="78"/>
      <c r="B225" s="77"/>
      <c r="C225" s="153"/>
      <c r="D225" s="153"/>
      <c r="E225" s="153"/>
      <c r="F225" s="153"/>
      <c r="G225" s="153"/>
      <c r="H225" s="153"/>
      <c r="I225" s="153"/>
      <c r="J225" s="157"/>
      <c r="K225" s="157"/>
      <c r="L225" s="157"/>
      <c r="M225" s="157"/>
      <c r="N225" s="153"/>
      <c r="O225" s="153"/>
      <c r="P225" s="153"/>
      <c r="Q225" s="153"/>
      <c r="R225" s="153"/>
      <c r="S225" s="153"/>
      <c r="T225" s="153"/>
      <c r="U225" s="153"/>
      <c r="V225" s="153"/>
      <c r="W225" s="153"/>
    </row>
    <row r="226" spans="1:23" s="14" customFormat="1" x14ac:dyDescent="0.25">
      <c r="A226" s="78"/>
      <c r="B226" s="77"/>
      <c r="C226" s="153"/>
      <c r="D226" s="153"/>
      <c r="E226" s="153"/>
      <c r="F226" s="153"/>
      <c r="G226" s="153"/>
      <c r="H226" s="153"/>
      <c r="I226" s="153"/>
      <c r="J226" s="157"/>
      <c r="K226" s="157"/>
      <c r="L226" s="157"/>
      <c r="M226" s="157"/>
      <c r="N226" s="153"/>
      <c r="O226" s="153"/>
      <c r="P226" s="153"/>
      <c r="Q226" s="153"/>
      <c r="R226" s="153"/>
      <c r="S226" s="153"/>
      <c r="T226" s="153"/>
      <c r="U226" s="153"/>
      <c r="V226" s="153"/>
      <c r="W226" s="153"/>
    </row>
    <row r="227" spans="1:23" s="14" customFormat="1" x14ac:dyDescent="0.25">
      <c r="A227" s="78"/>
      <c r="B227" s="77"/>
      <c r="C227" s="153"/>
      <c r="D227" s="153"/>
      <c r="E227" s="153"/>
      <c r="F227" s="153"/>
      <c r="G227" s="153"/>
      <c r="H227" s="153"/>
      <c r="I227" s="153"/>
      <c r="J227" s="157"/>
      <c r="K227" s="157"/>
      <c r="L227" s="157"/>
      <c r="M227" s="157"/>
      <c r="N227" s="153"/>
      <c r="O227" s="153"/>
      <c r="P227" s="153"/>
      <c r="Q227" s="153"/>
      <c r="R227" s="153"/>
      <c r="S227" s="153"/>
      <c r="T227" s="153"/>
      <c r="U227" s="153"/>
      <c r="V227" s="153"/>
      <c r="W227" s="153"/>
    </row>
    <row r="228" spans="1:23" s="14" customFormat="1" x14ac:dyDescent="0.25">
      <c r="A228" s="78"/>
      <c r="B228" s="77"/>
      <c r="C228" s="153"/>
      <c r="D228" s="153"/>
      <c r="E228" s="153"/>
      <c r="F228" s="153"/>
      <c r="G228" s="153"/>
      <c r="H228" s="153"/>
      <c r="I228" s="153"/>
      <c r="J228" s="157"/>
      <c r="K228" s="157"/>
      <c r="L228" s="157"/>
      <c r="M228" s="157"/>
      <c r="N228" s="153"/>
      <c r="O228" s="153"/>
      <c r="P228" s="153"/>
      <c r="Q228" s="153"/>
      <c r="R228" s="153"/>
      <c r="S228" s="153"/>
      <c r="T228" s="153"/>
      <c r="U228" s="153"/>
      <c r="V228" s="153"/>
      <c r="W228" s="153"/>
    </row>
    <row r="229" spans="1:23" s="14" customFormat="1" x14ac:dyDescent="0.25">
      <c r="A229" s="78"/>
      <c r="B229" s="77"/>
      <c r="C229" s="153"/>
      <c r="D229" s="153"/>
      <c r="E229" s="153"/>
      <c r="F229" s="153"/>
      <c r="G229" s="153"/>
      <c r="H229" s="153"/>
      <c r="I229" s="153"/>
      <c r="J229" s="157"/>
      <c r="K229" s="157"/>
      <c r="L229" s="157"/>
      <c r="M229" s="157"/>
      <c r="N229" s="153"/>
      <c r="O229" s="153"/>
      <c r="P229" s="153"/>
      <c r="Q229" s="153"/>
      <c r="R229" s="153"/>
      <c r="S229" s="153"/>
      <c r="T229" s="153"/>
      <c r="U229" s="153"/>
      <c r="V229" s="153"/>
      <c r="W229" s="153"/>
    </row>
    <row r="230" spans="1:23" s="14" customFormat="1" x14ac:dyDescent="0.25">
      <c r="A230" s="78"/>
      <c r="B230" s="77"/>
      <c r="C230" s="153"/>
      <c r="D230" s="153"/>
      <c r="E230" s="153"/>
      <c r="F230" s="153"/>
      <c r="G230" s="153"/>
      <c r="H230" s="153"/>
      <c r="I230" s="153"/>
      <c r="J230" s="157"/>
      <c r="K230" s="157"/>
      <c r="L230" s="157"/>
      <c r="M230" s="157"/>
      <c r="N230" s="153"/>
      <c r="O230" s="153"/>
      <c r="P230" s="153"/>
      <c r="Q230" s="153"/>
      <c r="R230" s="153"/>
      <c r="S230" s="153"/>
      <c r="T230" s="153"/>
      <c r="U230" s="153"/>
      <c r="V230" s="153"/>
      <c r="W230" s="153"/>
    </row>
    <row r="231" spans="1:23" s="14" customFormat="1" x14ac:dyDescent="0.25">
      <c r="A231" s="78"/>
      <c r="B231" s="77"/>
      <c r="C231" s="153"/>
      <c r="D231" s="153"/>
      <c r="E231" s="153"/>
      <c r="F231" s="153"/>
      <c r="G231" s="153"/>
      <c r="H231" s="153"/>
      <c r="I231" s="153"/>
      <c r="J231" s="157"/>
      <c r="K231" s="157"/>
      <c r="L231" s="157"/>
      <c r="M231" s="157"/>
      <c r="N231" s="153"/>
      <c r="O231" s="153"/>
      <c r="P231" s="153"/>
      <c r="Q231" s="153"/>
      <c r="R231" s="153"/>
      <c r="S231" s="153"/>
      <c r="T231" s="153"/>
      <c r="U231" s="153"/>
      <c r="V231" s="153"/>
      <c r="W231" s="153"/>
    </row>
    <row r="232" spans="1:23" s="14" customFormat="1" x14ac:dyDescent="0.25">
      <c r="A232" s="78"/>
      <c r="B232" s="77"/>
      <c r="C232" s="153"/>
      <c r="D232" s="153"/>
      <c r="E232" s="153"/>
      <c r="F232" s="153"/>
      <c r="G232" s="153"/>
      <c r="H232" s="153"/>
      <c r="I232" s="153"/>
      <c r="J232" s="157"/>
      <c r="K232" s="157"/>
      <c r="L232" s="157"/>
      <c r="M232" s="157"/>
      <c r="N232" s="153"/>
      <c r="O232" s="153"/>
      <c r="P232" s="153"/>
      <c r="Q232" s="153"/>
      <c r="R232" s="153"/>
      <c r="S232" s="153"/>
      <c r="T232" s="153"/>
      <c r="U232" s="153"/>
      <c r="V232" s="153"/>
      <c r="W232" s="153"/>
    </row>
    <row r="233" spans="1:23" s="14" customFormat="1" x14ac:dyDescent="0.25">
      <c r="A233" s="78"/>
      <c r="B233" s="77"/>
      <c r="C233" s="153"/>
      <c r="D233" s="153"/>
      <c r="E233" s="153"/>
      <c r="F233" s="153"/>
      <c r="G233" s="153"/>
      <c r="H233" s="153"/>
      <c r="I233" s="153"/>
      <c r="J233" s="157"/>
      <c r="K233" s="157"/>
      <c r="L233" s="157"/>
      <c r="M233" s="157"/>
      <c r="N233" s="153"/>
      <c r="O233" s="153"/>
      <c r="P233" s="153"/>
      <c r="Q233" s="153"/>
      <c r="R233" s="153"/>
      <c r="S233" s="153"/>
      <c r="T233" s="153"/>
      <c r="U233" s="153"/>
      <c r="V233" s="153"/>
      <c r="W233" s="153"/>
    </row>
    <row r="234" spans="1:23" s="14" customFormat="1" x14ac:dyDescent="0.25">
      <c r="A234" s="78"/>
      <c r="B234" s="77"/>
      <c r="C234" s="153"/>
      <c r="D234" s="153"/>
      <c r="E234" s="153"/>
      <c r="F234" s="153"/>
      <c r="G234" s="153"/>
      <c r="H234" s="153"/>
      <c r="I234" s="153"/>
      <c r="J234" s="157"/>
      <c r="K234" s="157"/>
      <c r="L234" s="157"/>
      <c r="M234" s="157"/>
      <c r="N234" s="153"/>
      <c r="O234" s="153"/>
      <c r="P234" s="153"/>
      <c r="Q234" s="153"/>
      <c r="R234" s="153"/>
      <c r="S234" s="153"/>
      <c r="T234" s="153"/>
      <c r="U234" s="153"/>
      <c r="V234" s="153"/>
      <c r="W234" s="153"/>
    </row>
    <row r="235" spans="1:23" s="14" customFormat="1" x14ac:dyDescent="0.25">
      <c r="A235" s="78"/>
      <c r="B235" s="77"/>
      <c r="C235" s="153"/>
      <c r="D235" s="153"/>
      <c r="E235" s="153"/>
      <c r="F235" s="153"/>
      <c r="G235" s="153"/>
      <c r="H235" s="153"/>
      <c r="I235" s="153"/>
      <c r="J235" s="157"/>
      <c r="K235" s="157"/>
      <c r="L235" s="157"/>
      <c r="M235" s="157"/>
      <c r="N235" s="153"/>
      <c r="O235" s="153"/>
      <c r="P235" s="153"/>
      <c r="Q235" s="153"/>
      <c r="R235" s="153"/>
      <c r="S235" s="153"/>
      <c r="T235" s="153"/>
      <c r="U235" s="153"/>
      <c r="V235" s="153"/>
      <c r="W235" s="153"/>
    </row>
    <row r="236" spans="1:23" s="14" customFormat="1" x14ac:dyDescent="0.25">
      <c r="B236" s="77"/>
      <c r="C236" s="153"/>
      <c r="D236" s="153"/>
      <c r="E236" s="153"/>
      <c r="F236" s="153"/>
      <c r="G236" s="153"/>
      <c r="H236" s="153"/>
      <c r="I236" s="153"/>
      <c r="J236" s="157"/>
      <c r="K236" s="157"/>
      <c r="L236" s="157"/>
      <c r="M236" s="157"/>
      <c r="N236" s="153"/>
      <c r="O236" s="153"/>
      <c r="P236" s="153"/>
      <c r="Q236" s="153"/>
      <c r="R236" s="153"/>
      <c r="S236" s="153"/>
      <c r="T236" s="153"/>
      <c r="U236" s="153"/>
      <c r="V236" s="153"/>
      <c r="W236" s="153"/>
    </row>
    <row r="237" spans="1:23" s="14" customFormat="1" x14ac:dyDescent="0.25">
      <c r="B237" s="77"/>
      <c r="C237" s="153"/>
      <c r="D237" s="153"/>
      <c r="E237" s="153"/>
      <c r="F237" s="153"/>
      <c r="G237" s="153"/>
      <c r="H237" s="153"/>
      <c r="I237" s="153"/>
      <c r="J237" s="157"/>
      <c r="K237" s="157"/>
      <c r="L237" s="157"/>
      <c r="M237" s="157"/>
      <c r="N237" s="153"/>
      <c r="O237" s="153"/>
      <c r="P237" s="153"/>
      <c r="Q237" s="153"/>
      <c r="R237" s="153"/>
      <c r="S237" s="153"/>
      <c r="T237" s="153"/>
      <c r="U237" s="153"/>
      <c r="V237" s="153"/>
      <c r="W237" s="153"/>
    </row>
    <row r="238" spans="1:23" s="14" customFormat="1" x14ac:dyDescent="0.25">
      <c r="B238" s="77"/>
      <c r="C238" s="153"/>
      <c r="D238" s="153"/>
      <c r="E238" s="153"/>
      <c r="F238" s="153"/>
      <c r="G238" s="153"/>
      <c r="H238" s="153"/>
      <c r="I238" s="153"/>
      <c r="J238" s="157"/>
      <c r="K238" s="157"/>
      <c r="L238" s="157"/>
      <c r="M238" s="157"/>
      <c r="N238" s="153"/>
      <c r="O238" s="153"/>
      <c r="P238" s="153"/>
      <c r="Q238" s="153"/>
      <c r="R238" s="153"/>
      <c r="S238" s="153"/>
      <c r="T238" s="153"/>
      <c r="U238" s="153"/>
      <c r="V238" s="153"/>
      <c r="W238" s="153"/>
    </row>
    <row r="239" spans="1:23" s="14" customFormat="1" x14ac:dyDescent="0.25">
      <c r="B239" s="77"/>
      <c r="C239" s="153"/>
      <c r="D239" s="153"/>
      <c r="E239" s="153"/>
      <c r="F239" s="153"/>
      <c r="G239" s="153"/>
      <c r="H239" s="153"/>
      <c r="I239" s="153"/>
      <c r="J239" s="157"/>
      <c r="K239" s="157"/>
      <c r="L239" s="157"/>
      <c r="M239" s="157"/>
      <c r="N239" s="153"/>
      <c r="O239" s="153"/>
      <c r="P239" s="153"/>
      <c r="Q239" s="153"/>
      <c r="R239" s="153"/>
      <c r="S239" s="153"/>
      <c r="T239" s="153"/>
      <c r="U239" s="153"/>
      <c r="V239" s="153"/>
      <c r="W239" s="153"/>
    </row>
    <row r="240" spans="1:23" s="14" customFormat="1" x14ac:dyDescent="0.25">
      <c r="B240" s="77"/>
      <c r="C240" s="153"/>
      <c r="D240" s="153"/>
      <c r="E240" s="153"/>
      <c r="F240" s="153"/>
      <c r="G240" s="153"/>
      <c r="H240" s="153"/>
      <c r="I240" s="153"/>
      <c r="J240" s="157"/>
      <c r="K240" s="157"/>
      <c r="L240" s="157"/>
      <c r="M240" s="157"/>
      <c r="N240" s="153"/>
      <c r="O240" s="153"/>
      <c r="P240" s="153"/>
      <c r="Q240" s="153"/>
      <c r="R240" s="153"/>
      <c r="S240" s="153"/>
      <c r="T240" s="153"/>
      <c r="U240" s="153"/>
      <c r="V240" s="153"/>
      <c r="W240" s="153"/>
    </row>
    <row r="241" spans="2:23" s="14" customFormat="1" x14ac:dyDescent="0.25">
      <c r="B241" s="77"/>
      <c r="C241" s="153"/>
      <c r="D241" s="153"/>
      <c r="E241" s="153"/>
      <c r="F241" s="153"/>
      <c r="G241" s="153"/>
      <c r="H241" s="153"/>
      <c r="I241" s="153"/>
      <c r="J241" s="157"/>
      <c r="K241" s="157"/>
      <c r="L241" s="157"/>
      <c r="M241" s="157"/>
      <c r="N241" s="153"/>
      <c r="O241" s="153"/>
      <c r="P241" s="153"/>
      <c r="Q241" s="153"/>
      <c r="R241" s="153"/>
      <c r="S241" s="153"/>
      <c r="T241" s="153"/>
      <c r="U241" s="153"/>
      <c r="V241" s="153"/>
      <c r="W241" s="153"/>
    </row>
    <row r="242" spans="2:23" s="14" customFormat="1" x14ac:dyDescent="0.25">
      <c r="B242" s="77"/>
      <c r="C242" s="153"/>
      <c r="D242" s="153"/>
      <c r="E242" s="153"/>
      <c r="F242" s="153"/>
      <c r="G242" s="153"/>
      <c r="H242" s="153"/>
      <c r="I242" s="153"/>
      <c r="J242" s="157"/>
      <c r="K242" s="157"/>
      <c r="L242" s="157"/>
      <c r="M242" s="157"/>
      <c r="N242" s="153"/>
      <c r="O242" s="153"/>
      <c r="P242" s="153"/>
      <c r="Q242" s="153"/>
      <c r="R242" s="153"/>
      <c r="S242" s="153"/>
      <c r="T242" s="153"/>
      <c r="U242" s="153"/>
      <c r="V242" s="153"/>
      <c r="W242" s="153"/>
    </row>
    <row r="243" spans="2:23" s="14" customFormat="1" x14ac:dyDescent="0.25">
      <c r="B243" s="77"/>
      <c r="C243" s="153"/>
      <c r="D243" s="153"/>
      <c r="E243" s="153"/>
      <c r="F243" s="153"/>
      <c r="G243" s="153"/>
      <c r="H243" s="153"/>
      <c r="I243" s="153"/>
      <c r="J243" s="157"/>
      <c r="K243" s="157"/>
      <c r="L243" s="157"/>
      <c r="M243" s="157"/>
      <c r="N243" s="153"/>
      <c r="O243" s="153"/>
      <c r="P243" s="153"/>
      <c r="Q243" s="153"/>
      <c r="R243" s="153"/>
      <c r="S243" s="153"/>
      <c r="T243" s="153"/>
      <c r="U243" s="153"/>
      <c r="V243" s="153"/>
      <c r="W243" s="153"/>
    </row>
    <row r="244" spans="2:23" s="14" customFormat="1" x14ac:dyDescent="0.25">
      <c r="B244" s="77"/>
      <c r="C244" s="153"/>
      <c r="D244" s="153"/>
      <c r="E244" s="153"/>
      <c r="F244" s="153"/>
      <c r="G244" s="153"/>
      <c r="H244" s="153"/>
      <c r="I244" s="153"/>
      <c r="J244" s="157"/>
      <c r="K244" s="157"/>
      <c r="L244" s="157"/>
      <c r="M244" s="157"/>
      <c r="N244" s="153"/>
      <c r="O244" s="153"/>
      <c r="P244" s="153"/>
      <c r="Q244" s="153"/>
      <c r="R244" s="153"/>
      <c r="S244" s="153"/>
      <c r="T244" s="153"/>
      <c r="U244" s="153"/>
      <c r="V244" s="153"/>
      <c r="W244" s="153"/>
    </row>
    <row r="245" spans="2:23" s="14" customFormat="1" x14ac:dyDescent="0.25">
      <c r="B245" s="77"/>
      <c r="C245" s="153"/>
      <c r="D245" s="153"/>
      <c r="E245" s="153"/>
      <c r="F245" s="153"/>
      <c r="G245" s="153"/>
      <c r="H245" s="153"/>
      <c r="I245" s="153"/>
      <c r="J245" s="157"/>
      <c r="K245" s="157"/>
      <c r="L245" s="157"/>
      <c r="M245" s="157"/>
      <c r="N245" s="153"/>
      <c r="O245" s="153"/>
      <c r="P245" s="153"/>
      <c r="Q245" s="153"/>
      <c r="R245" s="153"/>
      <c r="S245" s="153"/>
      <c r="T245" s="153"/>
      <c r="U245" s="153"/>
      <c r="V245" s="153"/>
      <c r="W245" s="153"/>
    </row>
    <row r="246" spans="2:23" s="14" customFormat="1" x14ac:dyDescent="0.25">
      <c r="B246" s="77"/>
      <c r="C246" s="153"/>
      <c r="D246" s="153"/>
      <c r="E246" s="153"/>
      <c r="F246" s="153"/>
      <c r="G246" s="153"/>
      <c r="H246" s="153"/>
      <c r="I246" s="153"/>
      <c r="J246" s="157"/>
      <c r="K246" s="157"/>
      <c r="L246" s="157"/>
      <c r="M246" s="157"/>
      <c r="N246" s="153"/>
      <c r="O246" s="153"/>
      <c r="P246" s="153"/>
      <c r="Q246" s="153"/>
      <c r="R246" s="153"/>
      <c r="S246" s="153"/>
      <c r="T246" s="153"/>
      <c r="U246" s="153"/>
      <c r="V246" s="153"/>
      <c r="W246" s="153"/>
    </row>
    <row r="247" spans="2:23" s="14" customFormat="1" x14ac:dyDescent="0.25">
      <c r="B247" s="77"/>
      <c r="C247" s="153"/>
      <c r="D247" s="153"/>
      <c r="E247" s="153"/>
      <c r="F247" s="153"/>
      <c r="G247" s="153"/>
      <c r="H247" s="153"/>
      <c r="I247" s="153"/>
      <c r="J247" s="157"/>
      <c r="K247" s="157"/>
      <c r="L247" s="157"/>
      <c r="M247" s="157"/>
      <c r="N247" s="153"/>
      <c r="O247" s="153"/>
      <c r="P247" s="153"/>
      <c r="Q247" s="153"/>
      <c r="R247" s="153"/>
      <c r="S247" s="153"/>
      <c r="T247" s="153"/>
      <c r="U247" s="153"/>
      <c r="V247" s="153"/>
      <c r="W247" s="153"/>
    </row>
    <row r="248" spans="2:23" s="14" customFormat="1" x14ac:dyDescent="0.25">
      <c r="B248" s="77"/>
      <c r="C248" s="153"/>
      <c r="D248" s="153"/>
      <c r="E248" s="153"/>
      <c r="F248" s="153"/>
      <c r="G248" s="153"/>
      <c r="H248" s="153"/>
      <c r="I248" s="153"/>
      <c r="J248" s="157"/>
      <c r="K248" s="157"/>
      <c r="L248" s="157"/>
      <c r="M248" s="157"/>
      <c r="N248" s="153"/>
      <c r="O248" s="153"/>
      <c r="P248" s="153"/>
      <c r="Q248" s="153"/>
      <c r="R248" s="153"/>
      <c r="S248" s="153"/>
      <c r="T248" s="153"/>
      <c r="U248" s="153"/>
      <c r="V248" s="153"/>
      <c r="W248" s="153"/>
    </row>
    <row r="249" spans="2:23" s="14" customFormat="1" x14ac:dyDescent="0.25">
      <c r="B249" s="77"/>
      <c r="C249" s="153"/>
      <c r="D249" s="153"/>
      <c r="E249" s="153"/>
      <c r="F249" s="153"/>
      <c r="G249" s="153"/>
      <c r="H249" s="153"/>
      <c r="I249" s="153"/>
      <c r="J249" s="157"/>
      <c r="K249" s="157"/>
      <c r="L249" s="157"/>
      <c r="M249" s="157"/>
      <c r="N249" s="153"/>
      <c r="O249" s="153"/>
      <c r="P249" s="153"/>
      <c r="Q249" s="153"/>
      <c r="R249" s="153"/>
      <c r="S249" s="153"/>
      <c r="T249" s="153"/>
      <c r="U249" s="153"/>
      <c r="V249" s="153"/>
      <c r="W249" s="153"/>
    </row>
    <row r="250" spans="2:23" s="14" customFormat="1" x14ac:dyDescent="0.25">
      <c r="B250" s="77"/>
      <c r="C250" s="153"/>
      <c r="D250" s="153"/>
      <c r="E250" s="153"/>
      <c r="F250" s="153"/>
      <c r="G250" s="153"/>
      <c r="H250" s="153"/>
      <c r="I250" s="153"/>
      <c r="J250" s="157"/>
      <c r="K250" s="157"/>
      <c r="L250" s="157"/>
      <c r="M250" s="157"/>
      <c r="N250" s="153"/>
      <c r="O250" s="153"/>
      <c r="P250" s="153"/>
      <c r="Q250" s="153"/>
      <c r="R250" s="153"/>
      <c r="S250" s="153"/>
      <c r="T250" s="153"/>
      <c r="U250" s="153"/>
      <c r="V250" s="153"/>
      <c r="W250" s="153"/>
    </row>
    <row r="251" spans="2:23" s="14" customFormat="1" x14ac:dyDescent="0.25">
      <c r="B251" s="77"/>
      <c r="C251" s="153"/>
      <c r="D251" s="153"/>
      <c r="E251" s="153"/>
      <c r="F251" s="153"/>
      <c r="G251" s="153"/>
      <c r="H251" s="153"/>
      <c r="I251" s="153"/>
      <c r="J251" s="157"/>
      <c r="K251" s="157"/>
      <c r="L251" s="157"/>
      <c r="M251" s="157"/>
      <c r="N251" s="153"/>
      <c r="O251" s="153"/>
      <c r="P251" s="153"/>
      <c r="Q251" s="153"/>
      <c r="R251" s="153"/>
      <c r="S251" s="153"/>
      <c r="T251" s="153"/>
      <c r="U251" s="153"/>
      <c r="V251" s="153"/>
      <c r="W251" s="153"/>
    </row>
    <row r="252" spans="2:23" s="14" customFormat="1" x14ac:dyDescent="0.25">
      <c r="B252" s="77"/>
      <c r="C252" s="153"/>
      <c r="D252" s="153"/>
      <c r="E252" s="153"/>
      <c r="F252" s="153"/>
      <c r="G252" s="153"/>
      <c r="H252" s="153"/>
      <c r="I252" s="153"/>
      <c r="J252" s="157"/>
      <c r="K252" s="157"/>
      <c r="L252" s="157"/>
      <c r="M252" s="157"/>
      <c r="N252" s="153"/>
      <c r="O252" s="153"/>
      <c r="P252" s="153"/>
      <c r="Q252" s="153"/>
      <c r="R252" s="153"/>
      <c r="S252" s="153"/>
      <c r="T252" s="153"/>
      <c r="U252" s="153"/>
      <c r="V252" s="153"/>
      <c r="W252" s="153"/>
    </row>
    <row r="253" spans="2:23" s="14" customFormat="1" x14ac:dyDescent="0.25">
      <c r="B253" s="77"/>
      <c r="C253" s="153"/>
      <c r="D253" s="153"/>
      <c r="E253" s="153"/>
      <c r="F253" s="153"/>
      <c r="G253" s="153"/>
      <c r="H253" s="153"/>
      <c r="I253" s="153"/>
      <c r="J253" s="157"/>
      <c r="K253" s="157"/>
      <c r="L253" s="157"/>
      <c r="M253" s="157"/>
      <c r="N253" s="153"/>
      <c r="O253" s="153"/>
      <c r="P253" s="153"/>
      <c r="Q253" s="153"/>
      <c r="R253" s="153"/>
      <c r="S253" s="153"/>
      <c r="T253" s="153"/>
      <c r="U253" s="153"/>
      <c r="V253" s="153"/>
      <c r="W253" s="153"/>
    </row>
    <row r="254" spans="2:23" s="14" customFormat="1" x14ac:dyDescent="0.25">
      <c r="B254" s="77"/>
      <c r="C254" s="153"/>
      <c r="D254" s="153"/>
      <c r="E254" s="153"/>
      <c r="F254" s="153"/>
      <c r="G254" s="153"/>
      <c r="H254" s="153"/>
      <c r="I254" s="153"/>
      <c r="J254" s="157"/>
      <c r="K254" s="157"/>
      <c r="L254" s="157"/>
      <c r="M254" s="157"/>
      <c r="N254" s="153"/>
      <c r="O254" s="153"/>
      <c r="P254" s="153"/>
      <c r="Q254" s="153"/>
      <c r="R254" s="153"/>
      <c r="S254" s="153"/>
      <c r="T254" s="153"/>
      <c r="U254" s="153"/>
      <c r="V254" s="153"/>
      <c r="W254" s="153"/>
    </row>
    <row r="255" spans="2:23" s="14" customFormat="1" x14ac:dyDescent="0.25">
      <c r="B255" s="77"/>
      <c r="C255" s="153"/>
      <c r="D255" s="153"/>
      <c r="E255" s="153"/>
      <c r="F255" s="153"/>
      <c r="G255" s="153"/>
      <c r="H255" s="153"/>
      <c r="I255" s="153"/>
      <c r="J255" s="157"/>
      <c r="K255" s="157"/>
      <c r="L255" s="157"/>
      <c r="M255" s="157"/>
      <c r="N255" s="153"/>
      <c r="O255" s="153"/>
      <c r="P255" s="153"/>
      <c r="Q255" s="153"/>
      <c r="R255" s="153"/>
      <c r="S255" s="153"/>
      <c r="T255" s="153"/>
      <c r="U255" s="153"/>
      <c r="V255" s="153"/>
      <c r="W255" s="153"/>
    </row>
    <row r="256" spans="2:23" s="14" customFormat="1" x14ac:dyDescent="0.25">
      <c r="B256" s="77"/>
      <c r="C256" s="153"/>
      <c r="D256" s="153"/>
      <c r="E256" s="153"/>
      <c r="F256" s="153"/>
      <c r="G256" s="153"/>
      <c r="H256" s="153"/>
      <c r="I256" s="153"/>
      <c r="J256" s="157"/>
      <c r="K256" s="157"/>
      <c r="L256" s="157"/>
      <c r="M256" s="157"/>
      <c r="N256" s="153"/>
      <c r="O256" s="153"/>
      <c r="P256" s="153"/>
      <c r="Q256" s="153"/>
      <c r="R256" s="153"/>
      <c r="S256" s="153"/>
      <c r="T256" s="153"/>
      <c r="U256" s="153"/>
      <c r="V256" s="153"/>
      <c r="W256" s="153"/>
    </row>
    <row r="257" spans="2:23" s="14" customFormat="1" x14ac:dyDescent="0.25">
      <c r="B257" s="77"/>
      <c r="C257" s="153"/>
      <c r="D257" s="153"/>
      <c r="E257" s="153"/>
      <c r="F257" s="153"/>
      <c r="G257" s="153"/>
      <c r="H257" s="153"/>
      <c r="I257" s="153"/>
      <c r="J257" s="157"/>
      <c r="K257" s="157"/>
      <c r="L257" s="157"/>
      <c r="M257" s="157"/>
      <c r="N257" s="153"/>
      <c r="O257" s="153"/>
      <c r="P257" s="153"/>
      <c r="Q257" s="153"/>
      <c r="R257" s="153"/>
      <c r="S257" s="153"/>
      <c r="T257" s="153"/>
      <c r="U257" s="153"/>
      <c r="V257" s="153"/>
      <c r="W257" s="153"/>
    </row>
    <row r="258" spans="2:23" s="14" customFormat="1" x14ac:dyDescent="0.25">
      <c r="B258" s="77"/>
      <c r="C258" s="153"/>
      <c r="D258" s="153"/>
      <c r="E258" s="153"/>
      <c r="F258" s="153"/>
      <c r="G258" s="153"/>
      <c r="H258" s="153"/>
      <c r="I258" s="153"/>
      <c r="J258" s="157"/>
      <c r="K258" s="157"/>
      <c r="L258" s="157"/>
      <c r="M258" s="157"/>
      <c r="N258" s="153"/>
      <c r="O258" s="153"/>
      <c r="P258" s="153"/>
      <c r="Q258" s="153"/>
      <c r="R258" s="153"/>
      <c r="S258" s="153"/>
      <c r="T258" s="153"/>
      <c r="U258" s="153"/>
      <c r="V258" s="153"/>
      <c r="W258" s="153"/>
    </row>
    <row r="259" spans="2:23" s="14" customFormat="1" x14ac:dyDescent="0.25">
      <c r="B259" s="77"/>
      <c r="C259" s="153"/>
      <c r="D259" s="153"/>
      <c r="E259" s="153"/>
      <c r="F259" s="153"/>
      <c r="G259" s="153"/>
      <c r="H259" s="153"/>
      <c r="I259" s="153"/>
      <c r="J259" s="157"/>
      <c r="K259" s="157"/>
      <c r="L259" s="157"/>
      <c r="M259" s="157"/>
      <c r="N259" s="153"/>
      <c r="O259" s="153"/>
      <c r="P259" s="153"/>
      <c r="Q259" s="153"/>
      <c r="R259" s="153"/>
      <c r="S259" s="153"/>
      <c r="T259" s="153"/>
      <c r="U259" s="153"/>
      <c r="V259" s="153"/>
      <c r="W259" s="153"/>
    </row>
    <row r="260" spans="2:23" s="14" customFormat="1" x14ac:dyDescent="0.25">
      <c r="B260" s="77"/>
      <c r="C260" s="153"/>
      <c r="D260" s="153"/>
      <c r="E260" s="153"/>
      <c r="F260" s="153"/>
      <c r="G260" s="153"/>
      <c r="H260" s="153"/>
      <c r="I260" s="153"/>
      <c r="J260" s="157"/>
      <c r="K260" s="157"/>
      <c r="L260" s="157"/>
      <c r="M260" s="157"/>
      <c r="N260" s="153"/>
      <c r="O260" s="153"/>
      <c r="P260" s="153"/>
      <c r="Q260" s="153"/>
      <c r="R260" s="153"/>
      <c r="S260" s="153"/>
      <c r="T260" s="153"/>
      <c r="U260" s="153"/>
      <c r="V260" s="153"/>
      <c r="W260" s="153"/>
    </row>
    <row r="261" spans="2:23" s="14" customFormat="1" x14ac:dyDescent="0.25">
      <c r="B261" s="77"/>
      <c r="C261" s="153"/>
      <c r="D261" s="153"/>
      <c r="E261" s="153"/>
      <c r="F261" s="153"/>
      <c r="G261" s="153"/>
      <c r="H261" s="153"/>
      <c r="I261" s="153"/>
      <c r="J261" s="157"/>
      <c r="K261" s="157"/>
      <c r="L261" s="157"/>
      <c r="M261" s="157"/>
      <c r="N261" s="153"/>
      <c r="O261" s="153"/>
      <c r="P261" s="153"/>
      <c r="Q261" s="153"/>
      <c r="R261" s="153"/>
      <c r="S261" s="153"/>
      <c r="T261" s="153"/>
      <c r="U261" s="153"/>
      <c r="V261" s="153"/>
      <c r="W261" s="153"/>
    </row>
    <row r="262" spans="2:23" s="14" customFormat="1" x14ac:dyDescent="0.25">
      <c r="B262" s="77"/>
      <c r="C262" s="153"/>
      <c r="D262" s="153"/>
      <c r="E262" s="153"/>
      <c r="F262" s="153"/>
      <c r="G262" s="153"/>
      <c r="H262" s="153"/>
      <c r="I262" s="153"/>
      <c r="J262" s="157"/>
      <c r="K262" s="157"/>
      <c r="L262" s="157"/>
      <c r="M262" s="157"/>
      <c r="N262" s="153"/>
      <c r="O262" s="153"/>
      <c r="P262" s="153"/>
      <c r="Q262" s="153"/>
      <c r="R262" s="153"/>
      <c r="S262" s="153"/>
      <c r="T262" s="153"/>
      <c r="U262" s="153"/>
      <c r="V262" s="153"/>
      <c r="W262" s="153"/>
    </row>
    <row r="263" spans="2:23" s="14" customFormat="1" x14ac:dyDescent="0.25">
      <c r="B263" s="77"/>
      <c r="C263" s="153"/>
      <c r="D263" s="153"/>
      <c r="E263" s="153"/>
      <c r="F263" s="153"/>
      <c r="G263" s="153"/>
      <c r="H263" s="153"/>
      <c r="I263" s="153"/>
      <c r="J263" s="157"/>
      <c r="K263" s="157"/>
      <c r="L263" s="157"/>
      <c r="M263" s="157"/>
      <c r="N263" s="153"/>
      <c r="O263" s="153"/>
      <c r="P263" s="153"/>
      <c r="Q263" s="153"/>
      <c r="R263" s="153"/>
      <c r="S263" s="153"/>
      <c r="T263" s="153"/>
      <c r="U263" s="153"/>
      <c r="V263" s="153"/>
      <c r="W263" s="153"/>
    </row>
    <row r="264" spans="2:23" s="14" customFormat="1" x14ac:dyDescent="0.25">
      <c r="B264" s="77"/>
      <c r="C264" s="153"/>
      <c r="D264" s="153"/>
      <c r="E264" s="153"/>
      <c r="F264" s="153"/>
      <c r="G264" s="153"/>
      <c r="H264" s="153"/>
      <c r="I264" s="153"/>
      <c r="J264" s="157"/>
      <c r="K264" s="157"/>
      <c r="L264" s="157"/>
      <c r="M264" s="157"/>
      <c r="N264" s="153"/>
      <c r="O264" s="153"/>
      <c r="P264" s="153"/>
      <c r="Q264" s="153"/>
      <c r="R264" s="153"/>
      <c r="S264" s="153"/>
      <c r="T264" s="153"/>
      <c r="U264" s="153"/>
      <c r="V264" s="153"/>
      <c r="W264" s="153"/>
    </row>
    <row r="265" spans="2:23" s="14" customFormat="1" x14ac:dyDescent="0.25">
      <c r="B265" s="77"/>
      <c r="C265" s="153"/>
      <c r="D265" s="153"/>
      <c r="E265" s="153"/>
      <c r="F265" s="153"/>
      <c r="G265" s="153"/>
      <c r="H265" s="153"/>
      <c r="I265" s="153"/>
      <c r="J265" s="157"/>
      <c r="K265" s="157"/>
      <c r="L265" s="157"/>
      <c r="M265" s="157"/>
      <c r="N265" s="153"/>
      <c r="O265" s="153"/>
      <c r="P265" s="153"/>
      <c r="Q265" s="153"/>
      <c r="R265" s="153"/>
      <c r="S265" s="153"/>
      <c r="T265" s="153"/>
      <c r="U265" s="153"/>
      <c r="V265" s="153"/>
      <c r="W265" s="153"/>
    </row>
    <row r="266" spans="2:23" s="14" customFormat="1" x14ac:dyDescent="0.25">
      <c r="B266" s="77"/>
      <c r="C266" s="153"/>
      <c r="D266" s="153"/>
      <c r="E266" s="153"/>
      <c r="F266" s="153"/>
      <c r="G266" s="153"/>
      <c r="H266" s="153"/>
      <c r="I266" s="153"/>
      <c r="J266" s="157"/>
      <c r="K266" s="157"/>
      <c r="L266" s="157"/>
      <c r="M266" s="157"/>
      <c r="N266" s="153"/>
      <c r="O266" s="153"/>
      <c r="P266" s="153"/>
      <c r="Q266" s="153"/>
      <c r="R266" s="153"/>
      <c r="S266" s="153"/>
      <c r="T266" s="153"/>
      <c r="U266" s="153"/>
      <c r="V266" s="153"/>
      <c r="W266" s="153"/>
    </row>
    <row r="267" spans="2:23" s="14" customFormat="1" x14ac:dyDescent="0.25">
      <c r="B267" s="77"/>
      <c r="C267" s="153"/>
      <c r="D267" s="153"/>
      <c r="E267" s="153"/>
      <c r="F267" s="153"/>
      <c r="G267" s="153"/>
      <c r="H267" s="153"/>
      <c r="I267" s="153"/>
      <c r="J267" s="157"/>
      <c r="K267" s="157"/>
      <c r="L267" s="157"/>
      <c r="M267" s="157"/>
      <c r="N267" s="153"/>
      <c r="O267" s="153"/>
      <c r="P267" s="153"/>
      <c r="Q267" s="153"/>
      <c r="R267" s="153"/>
      <c r="S267" s="153"/>
      <c r="T267" s="153"/>
      <c r="U267" s="153"/>
      <c r="V267" s="153"/>
      <c r="W267" s="153"/>
    </row>
    <row r="268" spans="2:23" s="14" customFormat="1" x14ac:dyDescent="0.25">
      <c r="B268" s="77"/>
      <c r="C268" s="153"/>
      <c r="D268" s="153"/>
      <c r="E268" s="153"/>
      <c r="F268" s="153"/>
      <c r="G268" s="153"/>
      <c r="H268" s="153"/>
      <c r="I268" s="153"/>
      <c r="J268" s="157"/>
      <c r="K268" s="157"/>
      <c r="L268" s="157"/>
      <c r="M268" s="157"/>
      <c r="N268" s="153"/>
      <c r="O268" s="153"/>
      <c r="P268" s="153"/>
      <c r="Q268" s="153"/>
      <c r="R268" s="153"/>
      <c r="S268" s="153"/>
      <c r="T268" s="153"/>
      <c r="U268" s="153"/>
      <c r="V268" s="153"/>
      <c r="W268" s="153"/>
    </row>
    <row r="269" spans="2:23" s="14" customFormat="1" x14ac:dyDescent="0.25">
      <c r="B269" s="77"/>
      <c r="C269" s="153"/>
      <c r="D269" s="153"/>
      <c r="E269" s="153"/>
      <c r="F269" s="153"/>
      <c r="G269" s="153"/>
      <c r="H269" s="153"/>
      <c r="I269" s="153"/>
      <c r="J269" s="157"/>
      <c r="K269" s="157"/>
      <c r="L269" s="157"/>
      <c r="M269" s="157"/>
      <c r="N269" s="153"/>
      <c r="O269" s="153"/>
      <c r="P269" s="153"/>
      <c r="Q269" s="153"/>
      <c r="R269" s="153"/>
      <c r="S269" s="153"/>
      <c r="T269" s="153"/>
      <c r="U269" s="153"/>
      <c r="V269" s="153"/>
      <c r="W269" s="153"/>
    </row>
    <row r="270" spans="2:23" s="14" customFormat="1" x14ac:dyDescent="0.25">
      <c r="B270" s="77"/>
      <c r="C270" s="153"/>
      <c r="D270" s="153"/>
      <c r="E270" s="153"/>
      <c r="F270" s="153"/>
      <c r="G270" s="153"/>
      <c r="H270" s="153"/>
      <c r="I270" s="153"/>
      <c r="J270" s="157"/>
      <c r="K270" s="157"/>
      <c r="L270" s="157"/>
      <c r="M270" s="157"/>
      <c r="N270" s="153"/>
      <c r="O270" s="153"/>
      <c r="P270" s="153"/>
      <c r="Q270" s="153"/>
      <c r="R270" s="153"/>
      <c r="S270" s="153"/>
      <c r="T270" s="153"/>
      <c r="U270" s="153"/>
      <c r="V270" s="153"/>
      <c r="W270" s="153"/>
    </row>
    <row r="271" spans="2:23" s="14" customFormat="1" x14ac:dyDescent="0.25">
      <c r="B271" s="77"/>
      <c r="C271" s="153"/>
      <c r="D271" s="153"/>
      <c r="E271" s="153"/>
      <c r="F271" s="153"/>
      <c r="G271" s="153"/>
      <c r="H271" s="153"/>
      <c r="I271" s="153"/>
      <c r="J271" s="157"/>
      <c r="K271" s="157"/>
      <c r="L271" s="157"/>
      <c r="M271" s="157"/>
      <c r="N271" s="153"/>
      <c r="O271" s="153"/>
      <c r="P271" s="153"/>
      <c r="Q271" s="153"/>
      <c r="R271" s="153"/>
      <c r="S271" s="153"/>
      <c r="T271" s="153"/>
      <c r="U271" s="153"/>
      <c r="V271" s="153"/>
      <c r="W271" s="153"/>
    </row>
    <row r="272" spans="2:23" s="14" customFormat="1" x14ac:dyDescent="0.25">
      <c r="B272" s="77"/>
      <c r="C272" s="153"/>
      <c r="D272" s="153"/>
      <c r="E272" s="153"/>
      <c r="F272" s="153"/>
      <c r="G272" s="153"/>
      <c r="H272" s="153"/>
      <c r="I272" s="153"/>
      <c r="J272" s="157"/>
      <c r="K272" s="157"/>
      <c r="L272" s="157"/>
      <c r="M272" s="157"/>
      <c r="N272" s="153"/>
      <c r="O272" s="153"/>
      <c r="P272" s="153"/>
      <c r="Q272" s="153"/>
      <c r="R272" s="153"/>
      <c r="S272" s="153"/>
      <c r="T272" s="153"/>
      <c r="U272" s="153"/>
      <c r="V272" s="153"/>
      <c r="W272" s="153"/>
    </row>
    <row r="273" spans="2:23" s="14" customFormat="1" x14ac:dyDescent="0.25">
      <c r="B273" s="77"/>
      <c r="C273" s="153"/>
      <c r="D273" s="153"/>
      <c r="E273" s="153"/>
      <c r="F273" s="153"/>
      <c r="G273" s="153"/>
      <c r="H273" s="153"/>
      <c r="I273" s="153"/>
      <c r="J273" s="157"/>
      <c r="K273" s="157"/>
      <c r="L273" s="157"/>
      <c r="M273" s="157"/>
      <c r="N273" s="153"/>
      <c r="O273" s="153"/>
      <c r="P273" s="153"/>
      <c r="Q273" s="153"/>
      <c r="R273" s="153"/>
      <c r="S273" s="153"/>
      <c r="T273" s="153"/>
      <c r="U273" s="153"/>
      <c r="V273" s="153"/>
      <c r="W273" s="153"/>
    </row>
    <row r="274" spans="2:23" s="14" customFormat="1" x14ac:dyDescent="0.25">
      <c r="B274" s="77"/>
      <c r="C274" s="153"/>
      <c r="D274" s="153"/>
      <c r="E274" s="153"/>
      <c r="F274" s="153"/>
      <c r="G274" s="153"/>
      <c r="H274" s="153"/>
      <c r="I274" s="153"/>
      <c r="J274" s="157"/>
      <c r="K274" s="157"/>
      <c r="L274" s="157"/>
      <c r="M274" s="157"/>
      <c r="N274" s="153"/>
      <c r="O274" s="153"/>
      <c r="P274" s="153"/>
      <c r="Q274" s="153"/>
      <c r="R274" s="153"/>
      <c r="S274" s="153"/>
      <c r="T274" s="153"/>
      <c r="U274" s="153"/>
      <c r="V274" s="153"/>
      <c r="W274" s="153"/>
    </row>
    <row r="275" spans="2:23" s="14" customFormat="1" x14ac:dyDescent="0.25">
      <c r="B275" s="77"/>
      <c r="C275" s="153"/>
      <c r="D275" s="153"/>
      <c r="E275" s="153"/>
      <c r="F275" s="153"/>
      <c r="G275" s="153"/>
      <c r="H275" s="153"/>
      <c r="I275" s="153"/>
      <c r="J275" s="157"/>
      <c r="K275" s="157"/>
      <c r="L275" s="157"/>
      <c r="M275" s="157"/>
      <c r="N275" s="153"/>
      <c r="O275" s="153"/>
      <c r="P275" s="153"/>
      <c r="Q275" s="153"/>
      <c r="R275" s="153"/>
      <c r="S275" s="153"/>
      <c r="T275" s="153"/>
      <c r="U275" s="153"/>
      <c r="V275" s="153"/>
      <c r="W275" s="153"/>
    </row>
    <row r="276" spans="2:23" s="14" customFormat="1" x14ac:dyDescent="0.25">
      <c r="B276" s="77"/>
      <c r="C276" s="153"/>
      <c r="D276" s="153"/>
      <c r="E276" s="153"/>
      <c r="F276" s="153"/>
      <c r="G276" s="153"/>
      <c r="H276" s="153"/>
      <c r="I276" s="153"/>
      <c r="J276" s="157"/>
      <c r="K276" s="157"/>
      <c r="L276" s="157"/>
      <c r="M276" s="157"/>
      <c r="N276" s="153"/>
      <c r="O276" s="153"/>
      <c r="P276" s="153"/>
      <c r="Q276" s="153"/>
      <c r="R276" s="153"/>
      <c r="S276" s="153"/>
      <c r="T276" s="153"/>
      <c r="U276" s="153"/>
      <c r="V276" s="153"/>
      <c r="W276" s="153"/>
    </row>
    <row r="277" spans="2:23" s="14" customFormat="1" x14ac:dyDescent="0.25">
      <c r="B277" s="77"/>
      <c r="C277" s="153"/>
      <c r="D277" s="153"/>
      <c r="E277" s="153"/>
      <c r="F277" s="153"/>
      <c r="G277" s="153"/>
      <c r="H277" s="153"/>
      <c r="I277" s="153"/>
      <c r="J277" s="157"/>
      <c r="K277" s="157"/>
      <c r="L277" s="157"/>
      <c r="M277" s="157"/>
      <c r="N277" s="153"/>
      <c r="O277" s="153"/>
      <c r="P277" s="153"/>
      <c r="Q277" s="153"/>
      <c r="R277" s="153"/>
      <c r="S277" s="153"/>
      <c r="T277" s="153"/>
      <c r="U277" s="153"/>
      <c r="V277" s="153"/>
      <c r="W277" s="153"/>
    </row>
    <row r="278" spans="2:23" s="14" customFormat="1" x14ac:dyDescent="0.25">
      <c r="B278" s="77"/>
      <c r="C278" s="153"/>
      <c r="D278" s="153"/>
      <c r="E278" s="153"/>
      <c r="F278" s="153"/>
      <c r="G278" s="153"/>
      <c r="H278" s="153"/>
      <c r="I278" s="153"/>
      <c r="J278" s="157"/>
      <c r="K278" s="157"/>
      <c r="L278" s="157"/>
      <c r="M278" s="157"/>
      <c r="N278" s="153"/>
      <c r="O278" s="153"/>
      <c r="P278" s="153"/>
      <c r="Q278" s="153"/>
      <c r="R278" s="153"/>
      <c r="S278" s="153"/>
      <c r="T278" s="153"/>
      <c r="U278" s="153"/>
      <c r="V278" s="153"/>
      <c r="W278" s="153"/>
    </row>
    <row r="279" spans="2:23" s="14" customFormat="1" x14ac:dyDescent="0.25">
      <c r="B279" s="77"/>
      <c r="C279" s="153"/>
      <c r="D279" s="153"/>
      <c r="E279" s="153"/>
      <c r="F279" s="153"/>
      <c r="G279" s="153"/>
      <c r="H279" s="153"/>
      <c r="I279" s="153"/>
      <c r="J279" s="157"/>
      <c r="K279" s="157"/>
      <c r="L279" s="157"/>
      <c r="M279" s="157"/>
      <c r="N279" s="153"/>
      <c r="O279" s="153"/>
      <c r="P279" s="153"/>
      <c r="Q279" s="153"/>
      <c r="R279" s="153"/>
      <c r="S279" s="153"/>
      <c r="T279" s="153"/>
      <c r="U279" s="153"/>
      <c r="V279" s="153"/>
      <c r="W279" s="153"/>
    </row>
    <row r="280" spans="2:23" s="14" customFormat="1" x14ac:dyDescent="0.25">
      <c r="B280" s="77"/>
      <c r="C280" s="153"/>
      <c r="D280" s="153"/>
      <c r="E280" s="153"/>
      <c r="F280" s="153"/>
      <c r="G280" s="153"/>
      <c r="H280" s="153"/>
      <c r="I280" s="153"/>
      <c r="J280" s="157"/>
      <c r="K280" s="157"/>
      <c r="L280" s="157"/>
      <c r="M280" s="157"/>
      <c r="N280" s="153"/>
      <c r="O280" s="153"/>
      <c r="P280" s="153"/>
      <c r="Q280" s="153"/>
      <c r="R280" s="153"/>
      <c r="S280" s="153"/>
      <c r="T280" s="153"/>
      <c r="U280" s="153"/>
      <c r="V280" s="153"/>
      <c r="W280" s="153"/>
    </row>
    <row r="281" spans="2:23" s="14" customFormat="1" x14ac:dyDescent="0.25">
      <c r="B281" s="77"/>
      <c r="C281" s="153"/>
      <c r="D281" s="153"/>
      <c r="E281" s="153"/>
      <c r="F281" s="153"/>
      <c r="G281" s="153"/>
      <c r="H281" s="153"/>
      <c r="I281" s="153"/>
      <c r="J281" s="157"/>
      <c r="K281" s="157"/>
      <c r="L281" s="157"/>
      <c r="M281" s="157"/>
      <c r="N281" s="153"/>
      <c r="O281" s="153"/>
      <c r="P281" s="153"/>
      <c r="Q281" s="153"/>
      <c r="R281" s="153"/>
      <c r="S281" s="153"/>
      <c r="T281" s="153"/>
      <c r="U281" s="153"/>
      <c r="V281" s="153"/>
      <c r="W281" s="153"/>
    </row>
    <row r="282" spans="2:23" s="14" customFormat="1" x14ac:dyDescent="0.25">
      <c r="B282" s="77"/>
      <c r="C282" s="153"/>
      <c r="D282" s="153"/>
      <c r="E282" s="153"/>
      <c r="F282" s="153"/>
      <c r="G282" s="153"/>
      <c r="H282" s="153"/>
      <c r="I282" s="153"/>
      <c r="J282" s="157"/>
      <c r="K282" s="157"/>
      <c r="L282" s="157"/>
      <c r="M282" s="157"/>
      <c r="N282" s="153"/>
      <c r="O282" s="153"/>
      <c r="P282" s="153"/>
      <c r="Q282" s="153"/>
      <c r="R282" s="153"/>
      <c r="S282" s="153"/>
      <c r="T282" s="153"/>
      <c r="U282" s="153"/>
      <c r="V282" s="153"/>
      <c r="W282" s="153"/>
    </row>
    <row r="283" spans="2:23" s="14" customFormat="1" x14ac:dyDescent="0.25">
      <c r="B283" s="77"/>
      <c r="C283" s="153"/>
      <c r="D283" s="153"/>
      <c r="E283" s="153"/>
      <c r="F283" s="153"/>
      <c r="G283" s="153"/>
      <c r="H283" s="153"/>
      <c r="I283" s="153"/>
      <c r="J283" s="157"/>
      <c r="K283" s="157"/>
      <c r="L283" s="157"/>
      <c r="M283" s="157"/>
      <c r="N283" s="153"/>
      <c r="O283" s="153"/>
      <c r="P283" s="153"/>
      <c r="Q283" s="153"/>
      <c r="R283" s="153"/>
      <c r="S283" s="153"/>
      <c r="T283" s="153"/>
      <c r="U283" s="153"/>
      <c r="V283" s="153"/>
      <c r="W283" s="153"/>
    </row>
    <row r="284" spans="2:23" s="14" customFormat="1" x14ac:dyDescent="0.25">
      <c r="B284" s="77"/>
      <c r="C284" s="153"/>
      <c r="D284" s="153"/>
      <c r="E284" s="153"/>
      <c r="F284" s="153"/>
      <c r="G284" s="153"/>
      <c r="H284" s="153"/>
      <c r="I284" s="153"/>
      <c r="J284" s="157"/>
      <c r="K284" s="157"/>
      <c r="L284" s="157"/>
      <c r="M284" s="157"/>
      <c r="N284" s="153"/>
      <c r="O284" s="153"/>
      <c r="P284" s="153"/>
      <c r="Q284" s="153"/>
      <c r="R284" s="153"/>
      <c r="S284" s="153"/>
      <c r="T284" s="153"/>
      <c r="U284" s="153"/>
      <c r="V284" s="153"/>
      <c r="W284" s="153"/>
    </row>
    <row r="285" spans="2:23" s="14" customFormat="1" x14ac:dyDescent="0.25">
      <c r="B285" s="77"/>
      <c r="C285" s="153"/>
      <c r="D285" s="153"/>
      <c r="E285" s="153"/>
      <c r="F285" s="153"/>
      <c r="G285" s="153"/>
      <c r="H285" s="153"/>
      <c r="I285" s="153"/>
      <c r="J285" s="157"/>
      <c r="K285" s="157"/>
      <c r="L285" s="157"/>
      <c r="M285" s="157"/>
      <c r="N285" s="153"/>
      <c r="O285" s="153"/>
      <c r="P285" s="153"/>
      <c r="Q285" s="153"/>
      <c r="R285" s="153"/>
      <c r="S285" s="153"/>
      <c r="T285" s="153"/>
      <c r="U285" s="153"/>
      <c r="V285" s="153"/>
      <c r="W285" s="153"/>
    </row>
    <row r="286" spans="2:23" s="14" customFormat="1" x14ac:dyDescent="0.25">
      <c r="B286" s="77"/>
      <c r="C286" s="153"/>
      <c r="D286" s="153"/>
      <c r="E286" s="153"/>
      <c r="F286" s="153"/>
      <c r="G286" s="153"/>
      <c r="H286" s="153"/>
      <c r="I286" s="153"/>
      <c r="J286" s="157"/>
      <c r="K286" s="157"/>
      <c r="L286" s="157"/>
      <c r="M286" s="157"/>
      <c r="N286" s="153"/>
      <c r="O286" s="153"/>
      <c r="P286" s="153"/>
      <c r="Q286" s="153"/>
      <c r="R286" s="153"/>
      <c r="S286" s="153"/>
      <c r="T286" s="153"/>
      <c r="U286" s="153"/>
      <c r="V286" s="153"/>
      <c r="W286" s="153"/>
    </row>
    <row r="287" spans="2:23" s="14" customFormat="1" x14ac:dyDescent="0.25">
      <c r="B287" s="77"/>
      <c r="C287" s="153"/>
      <c r="D287" s="153"/>
      <c r="E287" s="153"/>
      <c r="F287" s="153"/>
      <c r="G287" s="153"/>
      <c r="H287" s="153"/>
      <c r="I287" s="153"/>
      <c r="J287" s="157"/>
      <c r="K287" s="157"/>
      <c r="L287" s="157"/>
      <c r="M287" s="157"/>
      <c r="N287" s="153"/>
      <c r="O287" s="153"/>
      <c r="P287" s="153"/>
      <c r="Q287" s="153"/>
      <c r="R287" s="153"/>
      <c r="S287" s="153"/>
      <c r="T287" s="153"/>
      <c r="U287" s="153"/>
      <c r="V287" s="153"/>
      <c r="W287" s="153"/>
    </row>
    <row r="288" spans="2:23" s="14" customFormat="1" x14ac:dyDescent="0.25">
      <c r="B288" s="77"/>
      <c r="C288" s="153"/>
      <c r="D288" s="153"/>
      <c r="E288" s="153"/>
      <c r="F288" s="153"/>
      <c r="G288" s="153"/>
      <c r="H288" s="153"/>
      <c r="I288" s="153"/>
      <c r="J288" s="157"/>
      <c r="K288" s="157"/>
      <c r="L288" s="157"/>
      <c r="M288" s="157"/>
      <c r="N288" s="153"/>
      <c r="O288" s="153"/>
      <c r="P288" s="153"/>
      <c r="Q288" s="153"/>
      <c r="R288" s="153"/>
      <c r="S288" s="153"/>
      <c r="T288" s="153"/>
      <c r="U288" s="153"/>
      <c r="V288" s="153"/>
      <c r="W288" s="153"/>
    </row>
    <row r="289" spans="2:23" s="14" customFormat="1" x14ac:dyDescent="0.25">
      <c r="B289" s="77"/>
      <c r="C289" s="153"/>
      <c r="D289" s="153"/>
      <c r="E289" s="153"/>
      <c r="F289" s="153"/>
      <c r="G289" s="153"/>
      <c r="H289" s="153"/>
      <c r="I289" s="153"/>
      <c r="J289" s="157"/>
      <c r="K289" s="157"/>
      <c r="L289" s="157"/>
      <c r="M289" s="157"/>
      <c r="N289" s="153"/>
      <c r="O289" s="153"/>
      <c r="P289" s="153"/>
      <c r="Q289" s="153"/>
      <c r="R289" s="153"/>
      <c r="S289" s="153"/>
      <c r="T289" s="153"/>
      <c r="U289" s="153"/>
      <c r="V289" s="153"/>
      <c r="W289" s="153"/>
    </row>
    <row r="290" spans="2:23" s="14" customFormat="1" x14ac:dyDescent="0.25">
      <c r="B290" s="77"/>
      <c r="C290" s="153"/>
      <c r="D290" s="153"/>
      <c r="E290" s="153"/>
      <c r="F290" s="153"/>
      <c r="G290" s="153"/>
      <c r="H290" s="153"/>
      <c r="I290" s="153"/>
      <c r="J290" s="157"/>
      <c r="K290" s="157"/>
      <c r="L290" s="157"/>
      <c r="M290" s="157"/>
      <c r="N290" s="153"/>
      <c r="O290" s="153"/>
      <c r="P290" s="153"/>
      <c r="Q290" s="153"/>
      <c r="R290" s="153"/>
      <c r="S290" s="153"/>
      <c r="T290" s="153"/>
      <c r="U290" s="153"/>
      <c r="V290" s="153"/>
      <c r="W290" s="153"/>
    </row>
    <row r="291" spans="2:23" s="14" customFormat="1" x14ac:dyDescent="0.25">
      <c r="B291" s="77"/>
      <c r="C291" s="153"/>
      <c r="D291" s="153"/>
      <c r="E291" s="153"/>
      <c r="F291" s="153"/>
      <c r="G291" s="153"/>
      <c r="H291" s="153"/>
      <c r="I291" s="153"/>
      <c r="J291" s="157"/>
      <c r="K291" s="157"/>
      <c r="L291" s="157"/>
      <c r="M291" s="157"/>
      <c r="N291" s="153"/>
      <c r="O291" s="153"/>
      <c r="P291" s="153"/>
      <c r="Q291" s="153"/>
      <c r="R291" s="153"/>
      <c r="S291" s="153"/>
      <c r="T291" s="153"/>
      <c r="U291" s="153"/>
      <c r="V291" s="153"/>
      <c r="W291" s="153"/>
    </row>
    <row r="292" spans="2:23" s="14" customFormat="1" x14ac:dyDescent="0.25">
      <c r="B292" s="77"/>
      <c r="C292" s="153"/>
      <c r="D292" s="153"/>
      <c r="E292" s="153"/>
      <c r="F292" s="153"/>
      <c r="G292" s="153"/>
      <c r="H292" s="153"/>
      <c r="I292" s="153"/>
      <c r="J292" s="157"/>
      <c r="K292" s="157"/>
      <c r="L292" s="157"/>
      <c r="M292" s="157"/>
      <c r="N292" s="153"/>
      <c r="O292" s="153"/>
      <c r="P292" s="153"/>
      <c r="Q292" s="153"/>
      <c r="R292" s="153"/>
      <c r="S292" s="153"/>
      <c r="T292" s="153"/>
      <c r="U292" s="153"/>
      <c r="V292" s="153"/>
      <c r="W292" s="153"/>
    </row>
    <row r="293" spans="2:23" s="14" customFormat="1" x14ac:dyDescent="0.25">
      <c r="B293" s="77"/>
      <c r="C293" s="153"/>
      <c r="D293" s="153"/>
      <c r="E293" s="153"/>
      <c r="F293" s="153"/>
      <c r="G293" s="153"/>
      <c r="H293" s="153"/>
      <c r="I293" s="153"/>
      <c r="J293" s="157"/>
      <c r="K293" s="157"/>
      <c r="L293" s="157"/>
      <c r="M293" s="157"/>
      <c r="N293" s="153"/>
      <c r="O293" s="153"/>
      <c r="P293" s="153"/>
      <c r="Q293" s="153"/>
      <c r="R293" s="153"/>
      <c r="S293" s="153"/>
      <c r="T293" s="153"/>
      <c r="U293" s="153"/>
      <c r="V293" s="153"/>
      <c r="W293" s="153"/>
    </row>
    <row r="294" spans="2:23" s="14" customFormat="1" x14ac:dyDescent="0.25">
      <c r="B294" s="77"/>
      <c r="C294" s="153"/>
      <c r="D294" s="153"/>
      <c r="E294" s="153"/>
      <c r="F294" s="153"/>
      <c r="G294" s="153"/>
      <c r="H294" s="153"/>
      <c r="I294" s="153"/>
      <c r="J294" s="157"/>
      <c r="K294" s="157"/>
      <c r="L294" s="157"/>
      <c r="M294" s="157"/>
      <c r="N294" s="153"/>
      <c r="O294" s="153"/>
      <c r="P294" s="153"/>
      <c r="Q294" s="153"/>
      <c r="R294" s="153"/>
      <c r="S294" s="153"/>
      <c r="T294" s="153"/>
      <c r="U294" s="153"/>
      <c r="V294" s="153"/>
      <c r="W294" s="153"/>
    </row>
    <row r="295" spans="2:23" s="14" customFormat="1" x14ac:dyDescent="0.25">
      <c r="B295" s="77"/>
      <c r="C295" s="153"/>
      <c r="D295" s="153"/>
      <c r="E295" s="153"/>
      <c r="F295" s="153"/>
      <c r="G295" s="153"/>
      <c r="H295" s="153"/>
      <c r="I295" s="153"/>
      <c r="J295" s="157"/>
      <c r="K295" s="157"/>
      <c r="L295" s="157"/>
      <c r="M295" s="157"/>
      <c r="N295" s="153"/>
      <c r="O295" s="153"/>
      <c r="P295" s="153"/>
      <c r="Q295" s="153"/>
      <c r="R295" s="153"/>
      <c r="S295" s="153"/>
      <c r="T295" s="153"/>
      <c r="U295" s="153"/>
      <c r="V295" s="153"/>
      <c r="W295" s="153"/>
    </row>
    <row r="296" spans="2:23" s="14" customFormat="1" x14ac:dyDescent="0.25">
      <c r="B296" s="77"/>
      <c r="C296" s="153"/>
      <c r="D296" s="153"/>
      <c r="E296" s="153"/>
      <c r="F296" s="153"/>
      <c r="G296" s="153"/>
      <c r="H296" s="153"/>
      <c r="I296" s="153"/>
      <c r="J296" s="157"/>
      <c r="K296" s="157"/>
      <c r="L296" s="157"/>
      <c r="M296" s="157"/>
      <c r="N296" s="153"/>
      <c r="O296" s="153"/>
      <c r="P296" s="153"/>
      <c r="Q296" s="153"/>
      <c r="R296" s="153"/>
      <c r="S296" s="153"/>
      <c r="T296" s="153"/>
      <c r="U296" s="153"/>
      <c r="V296" s="153"/>
      <c r="W296" s="153"/>
    </row>
    <row r="297" spans="2:23" s="14" customFormat="1" x14ac:dyDescent="0.25">
      <c r="B297" s="77"/>
      <c r="C297" s="153"/>
      <c r="D297" s="153"/>
      <c r="E297" s="153"/>
      <c r="F297" s="153"/>
      <c r="G297" s="153"/>
      <c r="H297" s="153"/>
      <c r="I297" s="153"/>
      <c r="J297" s="157"/>
      <c r="K297" s="157"/>
      <c r="L297" s="157"/>
      <c r="M297" s="157"/>
      <c r="N297" s="153"/>
      <c r="O297" s="153"/>
      <c r="P297" s="153"/>
      <c r="Q297" s="153"/>
      <c r="R297" s="153"/>
      <c r="S297" s="153"/>
      <c r="T297" s="153"/>
      <c r="U297" s="153"/>
      <c r="V297" s="153"/>
      <c r="W297" s="153"/>
    </row>
    <row r="298" spans="2:23" s="14" customFormat="1" x14ac:dyDescent="0.25">
      <c r="B298" s="77"/>
      <c r="C298" s="153"/>
      <c r="D298" s="153"/>
      <c r="E298" s="153"/>
      <c r="F298" s="153"/>
      <c r="G298" s="153"/>
      <c r="H298" s="153"/>
      <c r="I298" s="153"/>
      <c r="J298" s="157"/>
      <c r="K298" s="157"/>
      <c r="L298" s="157"/>
      <c r="M298" s="157"/>
      <c r="N298" s="153"/>
      <c r="O298" s="153"/>
      <c r="P298" s="153"/>
      <c r="Q298" s="153"/>
      <c r="R298" s="153"/>
      <c r="S298" s="153"/>
      <c r="T298" s="153"/>
      <c r="U298" s="153"/>
      <c r="V298" s="153"/>
      <c r="W298" s="153"/>
    </row>
    <row r="299" spans="2:23" s="14" customFormat="1" x14ac:dyDescent="0.25">
      <c r="B299" s="77"/>
      <c r="C299" s="153"/>
      <c r="D299" s="153"/>
      <c r="E299" s="153"/>
      <c r="F299" s="153"/>
      <c r="G299" s="153"/>
      <c r="H299" s="153"/>
      <c r="I299" s="153"/>
      <c r="J299" s="157"/>
      <c r="K299" s="157"/>
      <c r="L299" s="157"/>
      <c r="M299" s="157"/>
      <c r="N299" s="153"/>
      <c r="O299" s="153"/>
      <c r="P299" s="153"/>
      <c r="Q299" s="153"/>
      <c r="R299" s="153"/>
      <c r="S299" s="153"/>
      <c r="T299" s="153"/>
      <c r="U299" s="153"/>
      <c r="V299" s="153"/>
      <c r="W299" s="153"/>
    </row>
    <row r="300" spans="2:23" s="14" customFormat="1" x14ac:dyDescent="0.25">
      <c r="B300" s="77"/>
      <c r="C300" s="153"/>
      <c r="D300" s="153"/>
      <c r="E300" s="153"/>
      <c r="F300" s="153"/>
      <c r="G300" s="153"/>
      <c r="H300" s="153"/>
      <c r="I300" s="153"/>
      <c r="J300" s="157"/>
      <c r="K300" s="157"/>
      <c r="L300" s="157"/>
      <c r="M300" s="157"/>
      <c r="N300" s="153"/>
      <c r="O300" s="153"/>
      <c r="P300" s="153"/>
      <c r="Q300" s="153"/>
      <c r="R300" s="153"/>
      <c r="S300" s="153"/>
      <c r="T300" s="153"/>
      <c r="U300" s="153"/>
      <c r="V300" s="153"/>
      <c r="W300" s="153"/>
    </row>
    <row r="301" spans="2:23" s="14" customFormat="1" x14ac:dyDescent="0.25">
      <c r="B301" s="77"/>
      <c r="C301" s="153"/>
      <c r="D301" s="153"/>
      <c r="E301" s="153"/>
      <c r="F301" s="153"/>
      <c r="G301" s="153"/>
      <c r="H301" s="153"/>
      <c r="I301" s="153"/>
      <c r="J301" s="157"/>
      <c r="K301" s="157"/>
      <c r="L301" s="157"/>
      <c r="M301" s="157"/>
      <c r="N301" s="153"/>
      <c r="O301" s="153"/>
      <c r="P301" s="153"/>
      <c r="Q301" s="153"/>
      <c r="R301" s="153"/>
      <c r="S301" s="153"/>
      <c r="T301" s="153"/>
      <c r="U301" s="153"/>
      <c r="V301" s="153"/>
      <c r="W301" s="153"/>
    </row>
    <row r="302" spans="2:23" s="14" customFormat="1" x14ac:dyDescent="0.25">
      <c r="B302" s="77"/>
      <c r="C302" s="153"/>
      <c r="D302" s="153"/>
      <c r="E302" s="153"/>
      <c r="F302" s="153"/>
      <c r="G302" s="153"/>
      <c r="H302" s="153"/>
      <c r="I302" s="153"/>
      <c r="J302" s="157"/>
      <c r="K302" s="157"/>
      <c r="L302" s="157"/>
      <c r="M302" s="157"/>
      <c r="N302" s="153"/>
      <c r="O302" s="153"/>
      <c r="P302" s="153"/>
      <c r="Q302" s="153"/>
      <c r="R302" s="153"/>
      <c r="S302" s="153"/>
      <c r="T302" s="153"/>
      <c r="U302" s="153"/>
      <c r="V302" s="153"/>
      <c r="W302" s="153"/>
    </row>
    <row r="303" spans="2:23" s="14" customFormat="1" x14ac:dyDescent="0.25">
      <c r="B303" s="77"/>
      <c r="C303" s="153"/>
      <c r="D303" s="153"/>
      <c r="E303" s="153"/>
      <c r="F303" s="153"/>
      <c r="G303" s="153"/>
      <c r="H303" s="153"/>
      <c r="I303" s="153"/>
      <c r="J303" s="157"/>
      <c r="K303" s="157"/>
      <c r="L303" s="157"/>
      <c r="M303" s="157"/>
      <c r="N303" s="153"/>
      <c r="O303" s="153"/>
      <c r="P303" s="153"/>
      <c r="Q303" s="153"/>
      <c r="R303" s="153"/>
      <c r="S303" s="153"/>
      <c r="T303" s="153"/>
      <c r="U303" s="153"/>
      <c r="V303" s="153"/>
      <c r="W303" s="153"/>
    </row>
    <row r="304" spans="2:23" s="14" customFormat="1" x14ac:dyDescent="0.25">
      <c r="B304" s="77"/>
      <c r="C304" s="153"/>
      <c r="D304" s="153"/>
      <c r="E304" s="153"/>
      <c r="F304" s="153"/>
      <c r="G304" s="153"/>
      <c r="H304" s="153"/>
      <c r="I304" s="153"/>
      <c r="J304" s="157"/>
      <c r="K304" s="157"/>
      <c r="L304" s="157"/>
      <c r="M304" s="157"/>
      <c r="N304" s="153"/>
      <c r="O304" s="153"/>
      <c r="P304" s="153"/>
      <c r="Q304" s="153"/>
      <c r="R304" s="153"/>
      <c r="S304" s="153"/>
      <c r="T304" s="153"/>
      <c r="U304" s="153"/>
      <c r="V304" s="153"/>
      <c r="W304" s="153"/>
    </row>
    <row r="305" spans="2:23" s="14" customFormat="1" x14ac:dyDescent="0.25">
      <c r="B305" s="77"/>
      <c r="C305" s="153"/>
      <c r="D305" s="153"/>
      <c r="E305" s="153"/>
      <c r="F305" s="153"/>
      <c r="G305" s="153"/>
      <c r="H305" s="153"/>
      <c r="I305" s="153"/>
      <c r="J305" s="157"/>
      <c r="K305" s="157"/>
      <c r="L305" s="157"/>
      <c r="M305" s="157"/>
      <c r="N305" s="153"/>
      <c r="O305" s="153"/>
      <c r="P305" s="153"/>
      <c r="Q305" s="153"/>
      <c r="R305" s="153"/>
      <c r="S305" s="153"/>
      <c r="T305" s="153"/>
      <c r="U305" s="153"/>
      <c r="V305" s="153"/>
      <c r="W305" s="153"/>
    </row>
    <row r="306" spans="2:23" s="14" customFormat="1" x14ac:dyDescent="0.25">
      <c r="B306" s="77"/>
      <c r="C306" s="153"/>
      <c r="D306" s="153"/>
      <c r="E306" s="153"/>
      <c r="F306" s="153"/>
      <c r="G306" s="153"/>
      <c r="H306" s="153"/>
      <c r="I306" s="153"/>
      <c r="J306" s="157"/>
      <c r="K306" s="157"/>
      <c r="L306" s="157"/>
      <c r="M306" s="157"/>
      <c r="N306" s="153"/>
      <c r="O306" s="153"/>
      <c r="P306" s="153"/>
      <c r="Q306" s="153"/>
      <c r="R306" s="153"/>
      <c r="S306" s="153"/>
      <c r="T306" s="153"/>
      <c r="U306" s="153"/>
      <c r="V306" s="153"/>
      <c r="W306" s="153"/>
    </row>
    <row r="307" spans="2:23" s="14" customFormat="1" x14ac:dyDescent="0.25">
      <c r="B307" s="77"/>
      <c r="C307" s="153"/>
      <c r="D307" s="153"/>
      <c r="E307" s="153"/>
      <c r="F307" s="153"/>
      <c r="G307" s="153"/>
      <c r="H307" s="153"/>
      <c r="I307" s="153"/>
      <c r="J307" s="157"/>
      <c r="K307" s="157"/>
      <c r="L307" s="157"/>
      <c r="M307" s="157"/>
      <c r="N307" s="153"/>
      <c r="O307" s="153"/>
      <c r="P307" s="153"/>
      <c r="Q307" s="153"/>
      <c r="R307" s="153"/>
      <c r="S307" s="153"/>
      <c r="T307" s="153"/>
      <c r="U307" s="153"/>
      <c r="V307" s="153"/>
      <c r="W307" s="153"/>
    </row>
    <row r="308" spans="2:23" s="14" customFormat="1" x14ac:dyDescent="0.25">
      <c r="B308" s="77"/>
      <c r="C308" s="153"/>
      <c r="D308" s="153"/>
      <c r="E308" s="153"/>
      <c r="F308" s="153"/>
      <c r="G308" s="153"/>
      <c r="H308" s="153"/>
      <c r="I308" s="153"/>
      <c r="J308" s="157"/>
      <c r="K308" s="157"/>
      <c r="L308" s="157"/>
      <c r="M308" s="157"/>
      <c r="N308" s="153"/>
      <c r="O308" s="153"/>
      <c r="P308" s="153"/>
      <c r="Q308" s="153"/>
      <c r="R308" s="153"/>
      <c r="S308" s="153"/>
      <c r="T308" s="153"/>
      <c r="U308" s="153"/>
      <c r="V308" s="153"/>
      <c r="W308" s="153"/>
    </row>
    <row r="309" spans="2:23" s="14" customFormat="1" x14ac:dyDescent="0.25">
      <c r="B309" s="77"/>
      <c r="C309" s="153"/>
      <c r="D309" s="153"/>
      <c r="E309" s="153"/>
      <c r="F309" s="153"/>
      <c r="G309" s="153"/>
      <c r="H309" s="153"/>
      <c r="I309" s="153"/>
      <c r="J309" s="157"/>
      <c r="K309" s="157"/>
      <c r="L309" s="157"/>
      <c r="M309" s="157"/>
      <c r="N309" s="153"/>
      <c r="O309" s="153"/>
      <c r="P309" s="153"/>
      <c r="Q309" s="153"/>
      <c r="R309" s="153"/>
      <c r="S309" s="153"/>
      <c r="T309" s="153"/>
      <c r="U309" s="153"/>
      <c r="V309" s="153"/>
      <c r="W309" s="153"/>
    </row>
    <row r="310" spans="2:23" s="14" customFormat="1" x14ac:dyDescent="0.25">
      <c r="B310" s="77"/>
      <c r="C310" s="153"/>
      <c r="D310" s="153"/>
      <c r="E310" s="153"/>
      <c r="F310" s="153"/>
      <c r="G310" s="153"/>
      <c r="H310" s="153"/>
      <c r="I310" s="153"/>
      <c r="J310" s="157"/>
      <c r="K310" s="157"/>
      <c r="L310" s="157"/>
      <c r="M310" s="157"/>
      <c r="N310" s="153"/>
      <c r="O310" s="153"/>
      <c r="P310" s="153"/>
      <c r="Q310" s="153"/>
      <c r="R310" s="153"/>
      <c r="S310" s="153"/>
      <c r="T310" s="153"/>
      <c r="U310" s="153"/>
      <c r="V310" s="153"/>
      <c r="W310" s="153"/>
    </row>
    <row r="311" spans="2:23" s="14" customFormat="1" x14ac:dyDescent="0.25">
      <c r="B311" s="77"/>
      <c r="C311" s="153"/>
      <c r="D311" s="153"/>
      <c r="E311" s="153"/>
      <c r="F311" s="153"/>
      <c r="G311" s="153"/>
      <c r="H311" s="153"/>
      <c r="I311" s="153"/>
      <c r="J311" s="157"/>
      <c r="K311" s="157"/>
      <c r="L311" s="157"/>
      <c r="M311" s="157"/>
      <c r="N311" s="153"/>
      <c r="O311" s="153"/>
      <c r="P311" s="153"/>
      <c r="Q311" s="153"/>
      <c r="R311" s="153"/>
      <c r="S311" s="153"/>
      <c r="T311" s="153"/>
      <c r="U311" s="153"/>
      <c r="V311" s="153"/>
      <c r="W311" s="153"/>
    </row>
    <row r="312" spans="2:23" s="14" customFormat="1" x14ac:dyDescent="0.25">
      <c r="B312" s="77"/>
      <c r="C312" s="153"/>
      <c r="D312" s="153"/>
      <c r="E312" s="153"/>
      <c r="F312" s="153"/>
      <c r="G312" s="153"/>
      <c r="H312" s="153"/>
      <c r="I312" s="153"/>
      <c r="J312" s="157"/>
      <c r="K312" s="157"/>
      <c r="L312" s="157"/>
      <c r="M312" s="157"/>
      <c r="N312" s="153"/>
      <c r="O312" s="153"/>
      <c r="P312" s="153"/>
      <c r="Q312" s="153"/>
      <c r="R312" s="153"/>
      <c r="S312" s="153"/>
      <c r="T312" s="153"/>
      <c r="U312" s="153"/>
      <c r="V312" s="153"/>
      <c r="W312" s="153"/>
    </row>
    <row r="313" spans="2:23" s="14" customFormat="1" x14ac:dyDescent="0.25">
      <c r="B313" s="77"/>
      <c r="C313" s="153"/>
      <c r="D313" s="153"/>
      <c r="E313" s="153"/>
      <c r="F313" s="153"/>
      <c r="G313" s="153"/>
      <c r="H313" s="153"/>
      <c r="I313" s="153"/>
      <c r="J313" s="157"/>
      <c r="K313" s="157"/>
      <c r="L313" s="157"/>
      <c r="M313" s="157"/>
      <c r="N313" s="153"/>
      <c r="O313" s="153"/>
      <c r="P313" s="153"/>
      <c r="Q313" s="153"/>
      <c r="R313" s="153"/>
      <c r="S313" s="153"/>
      <c r="T313" s="153"/>
      <c r="U313" s="153"/>
      <c r="V313" s="153"/>
      <c r="W313" s="153"/>
    </row>
    <row r="314" spans="2:23" s="14" customFormat="1" x14ac:dyDescent="0.25">
      <c r="B314" s="77"/>
      <c r="C314" s="153"/>
      <c r="D314" s="153"/>
      <c r="E314" s="153"/>
      <c r="F314" s="153"/>
      <c r="G314" s="153"/>
      <c r="H314" s="153"/>
      <c r="I314" s="153"/>
      <c r="J314" s="157"/>
      <c r="K314" s="157"/>
      <c r="L314" s="157"/>
      <c r="M314" s="157"/>
      <c r="N314" s="153"/>
      <c r="O314" s="153"/>
      <c r="P314" s="153"/>
      <c r="Q314" s="153"/>
      <c r="R314" s="153"/>
      <c r="S314" s="153"/>
      <c r="T314" s="153"/>
      <c r="U314" s="153"/>
      <c r="V314" s="153"/>
      <c r="W314" s="153"/>
    </row>
    <row r="315" spans="2:23" s="14" customFormat="1" x14ac:dyDescent="0.25">
      <c r="B315" s="77"/>
      <c r="C315" s="153"/>
      <c r="D315" s="153"/>
      <c r="E315" s="153"/>
      <c r="F315" s="153"/>
      <c r="G315" s="153"/>
      <c r="H315" s="153"/>
      <c r="I315" s="153"/>
      <c r="J315" s="157"/>
      <c r="K315" s="157"/>
      <c r="L315" s="157"/>
      <c r="M315" s="157"/>
      <c r="N315" s="153"/>
      <c r="O315" s="153"/>
      <c r="P315" s="153"/>
      <c r="Q315" s="153"/>
      <c r="R315" s="153"/>
      <c r="S315" s="153"/>
      <c r="T315" s="153"/>
      <c r="U315" s="153"/>
      <c r="V315" s="153"/>
      <c r="W315" s="153"/>
    </row>
    <row r="316" spans="2:23" s="14" customFormat="1" x14ac:dyDescent="0.25">
      <c r="B316" s="77"/>
      <c r="C316" s="153"/>
      <c r="D316" s="153"/>
      <c r="E316" s="153"/>
      <c r="F316" s="153"/>
      <c r="G316" s="153"/>
      <c r="H316" s="153"/>
      <c r="I316" s="153"/>
      <c r="J316" s="157"/>
      <c r="K316" s="157"/>
      <c r="L316" s="157"/>
      <c r="M316" s="157"/>
      <c r="N316" s="153"/>
      <c r="O316" s="153"/>
      <c r="P316" s="153"/>
      <c r="Q316" s="153"/>
      <c r="R316" s="153"/>
      <c r="S316" s="153"/>
      <c r="T316" s="153"/>
      <c r="U316" s="153"/>
      <c r="V316" s="153"/>
      <c r="W316" s="153"/>
    </row>
    <row r="317" spans="2:23" s="14" customFormat="1" x14ac:dyDescent="0.25">
      <c r="B317" s="77"/>
      <c r="C317" s="153"/>
      <c r="D317" s="153"/>
      <c r="E317" s="153"/>
      <c r="F317" s="153"/>
      <c r="G317" s="153"/>
      <c r="H317" s="153"/>
      <c r="I317" s="153"/>
      <c r="J317" s="157"/>
      <c r="K317" s="157"/>
      <c r="L317" s="157"/>
      <c r="M317" s="157"/>
      <c r="N317" s="153"/>
      <c r="O317" s="153"/>
      <c r="P317" s="153"/>
      <c r="Q317" s="153"/>
      <c r="R317" s="153"/>
      <c r="S317" s="153"/>
      <c r="T317" s="153"/>
      <c r="U317" s="153"/>
      <c r="V317" s="153"/>
      <c r="W317" s="153"/>
    </row>
    <row r="318" spans="2:23" s="14" customFormat="1" x14ac:dyDescent="0.25">
      <c r="B318" s="77"/>
      <c r="C318" s="153"/>
      <c r="D318" s="153"/>
      <c r="E318" s="153"/>
      <c r="F318" s="153"/>
      <c r="G318" s="153"/>
      <c r="H318" s="153"/>
      <c r="I318" s="153"/>
      <c r="J318" s="157"/>
      <c r="K318" s="157"/>
      <c r="L318" s="157"/>
      <c r="M318" s="157"/>
      <c r="N318" s="153"/>
      <c r="O318" s="153"/>
      <c r="P318" s="153"/>
      <c r="Q318" s="153"/>
      <c r="R318" s="153"/>
      <c r="S318" s="153"/>
      <c r="T318" s="153"/>
      <c r="U318" s="153"/>
      <c r="V318" s="153"/>
      <c r="W318" s="153"/>
    </row>
    <row r="319" spans="2:23" s="14" customFormat="1" x14ac:dyDescent="0.25">
      <c r="B319" s="77"/>
      <c r="C319" s="153"/>
      <c r="D319" s="153"/>
      <c r="E319" s="153"/>
      <c r="F319" s="153"/>
      <c r="G319" s="153"/>
      <c r="H319" s="153"/>
      <c r="I319" s="153"/>
      <c r="J319" s="157"/>
      <c r="K319" s="157"/>
      <c r="L319" s="157"/>
      <c r="M319" s="157"/>
      <c r="N319" s="153"/>
      <c r="O319" s="153"/>
      <c r="P319" s="153"/>
      <c r="Q319" s="153"/>
      <c r="R319" s="153"/>
      <c r="S319" s="153"/>
      <c r="T319" s="153"/>
      <c r="U319" s="153"/>
      <c r="V319" s="153"/>
      <c r="W319" s="153"/>
    </row>
    <row r="320" spans="2:23" s="14" customFormat="1" x14ac:dyDescent="0.25">
      <c r="B320" s="77"/>
      <c r="C320" s="153"/>
      <c r="D320" s="153"/>
      <c r="E320" s="153"/>
      <c r="F320" s="153"/>
      <c r="G320" s="153"/>
      <c r="H320" s="153"/>
      <c r="I320" s="153"/>
      <c r="J320" s="157"/>
      <c r="K320" s="157"/>
      <c r="L320" s="157"/>
      <c r="M320" s="157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</row>
    <row r="321" spans="2:23" s="14" customFormat="1" x14ac:dyDescent="0.25">
      <c r="B321" s="77"/>
      <c r="C321" s="153"/>
      <c r="D321" s="153"/>
      <c r="E321" s="153"/>
      <c r="F321" s="153"/>
      <c r="G321" s="153"/>
      <c r="H321" s="153"/>
      <c r="I321" s="153"/>
      <c r="J321" s="157"/>
      <c r="K321" s="157"/>
      <c r="L321" s="157"/>
      <c r="M321" s="157"/>
      <c r="N321" s="153"/>
      <c r="O321" s="153"/>
      <c r="P321" s="153"/>
      <c r="Q321" s="153"/>
      <c r="R321" s="153"/>
      <c r="S321" s="153"/>
      <c r="T321" s="153"/>
      <c r="U321" s="153"/>
      <c r="V321" s="153"/>
      <c r="W321" s="153"/>
    </row>
    <row r="322" spans="2:23" s="14" customFormat="1" x14ac:dyDescent="0.25">
      <c r="B322" s="11"/>
      <c r="C322" s="153"/>
      <c r="D322" s="153"/>
      <c r="E322" s="153"/>
      <c r="F322" s="153"/>
      <c r="G322" s="153"/>
      <c r="H322" s="153"/>
      <c r="I322" s="153"/>
      <c r="J322" s="157"/>
      <c r="K322" s="157"/>
      <c r="L322" s="157"/>
      <c r="M322" s="157"/>
      <c r="N322" s="153"/>
      <c r="O322" s="153"/>
      <c r="P322" s="153"/>
      <c r="Q322" s="153"/>
      <c r="R322" s="153"/>
      <c r="S322" s="153"/>
      <c r="T322" s="153"/>
      <c r="U322" s="153"/>
      <c r="V322" s="153"/>
      <c r="W322" s="153"/>
    </row>
    <row r="323" spans="2:23" s="14" customFormat="1" x14ac:dyDescent="0.25">
      <c r="B323" s="11"/>
      <c r="C323" s="153"/>
      <c r="D323" s="153"/>
      <c r="E323" s="153"/>
      <c r="F323" s="153"/>
      <c r="G323" s="153"/>
      <c r="H323" s="153"/>
      <c r="I323" s="153"/>
      <c r="J323" s="157"/>
      <c r="K323" s="157"/>
      <c r="L323" s="157"/>
      <c r="M323" s="157"/>
      <c r="N323" s="153"/>
      <c r="O323" s="153"/>
      <c r="P323" s="153"/>
      <c r="Q323" s="153"/>
      <c r="R323" s="153"/>
      <c r="S323" s="153"/>
      <c r="T323" s="153"/>
      <c r="U323" s="153"/>
      <c r="V323" s="153"/>
      <c r="W323" s="153"/>
    </row>
    <row r="324" spans="2:23" s="14" customFormat="1" x14ac:dyDescent="0.25">
      <c r="B324" s="11"/>
      <c r="C324" s="153"/>
      <c r="D324" s="153"/>
      <c r="E324" s="153"/>
      <c r="F324" s="153"/>
      <c r="G324" s="153"/>
      <c r="H324" s="153"/>
      <c r="I324" s="153"/>
      <c r="J324" s="157"/>
      <c r="K324" s="157"/>
      <c r="L324" s="157"/>
      <c r="M324" s="157"/>
      <c r="N324" s="153"/>
      <c r="O324" s="153"/>
      <c r="P324" s="153"/>
      <c r="Q324" s="153"/>
      <c r="R324" s="153"/>
      <c r="S324" s="153"/>
      <c r="T324" s="153"/>
      <c r="U324" s="153"/>
      <c r="V324" s="153"/>
      <c r="W324" s="153"/>
    </row>
    <row r="325" spans="2:23" s="14" customFormat="1" x14ac:dyDescent="0.25">
      <c r="B325" s="11"/>
      <c r="C325" s="153"/>
      <c r="D325" s="153"/>
      <c r="E325" s="153"/>
      <c r="F325" s="153"/>
      <c r="G325" s="153"/>
      <c r="H325" s="153"/>
      <c r="I325" s="153"/>
      <c r="J325" s="157"/>
      <c r="K325" s="157"/>
      <c r="L325" s="157"/>
      <c r="M325" s="157"/>
      <c r="N325" s="153"/>
      <c r="O325" s="153"/>
      <c r="P325" s="153"/>
      <c r="Q325" s="153"/>
      <c r="R325" s="153"/>
      <c r="S325" s="153"/>
      <c r="T325" s="153"/>
      <c r="U325" s="153"/>
      <c r="V325" s="153"/>
      <c r="W325" s="153"/>
    </row>
    <row r="326" spans="2:23" s="14" customFormat="1" x14ac:dyDescent="0.25">
      <c r="B326" s="11"/>
      <c r="C326" s="153"/>
      <c r="D326" s="153"/>
      <c r="E326" s="153"/>
      <c r="F326" s="153"/>
      <c r="G326" s="153"/>
      <c r="H326" s="153"/>
      <c r="I326" s="153"/>
      <c r="J326" s="157"/>
      <c r="K326" s="157"/>
      <c r="L326" s="157"/>
      <c r="M326" s="157"/>
      <c r="N326" s="153"/>
      <c r="O326" s="153"/>
      <c r="P326" s="153"/>
      <c r="Q326" s="153"/>
      <c r="R326" s="153"/>
      <c r="S326" s="153"/>
      <c r="T326" s="153"/>
      <c r="U326" s="153"/>
      <c r="V326" s="153"/>
      <c r="W326" s="153"/>
    </row>
    <row r="327" spans="2:23" s="14" customFormat="1" x14ac:dyDescent="0.25">
      <c r="B327" s="11"/>
      <c r="C327" s="153"/>
      <c r="D327" s="153"/>
      <c r="E327" s="153"/>
      <c r="F327" s="153"/>
      <c r="G327" s="153"/>
      <c r="H327" s="153"/>
      <c r="I327" s="153"/>
      <c r="J327" s="157"/>
      <c r="K327" s="157"/>
      <c r="L327" s="157"/>
      <c r="M327" s="157"/>
      <c r="N327" s="153"/>
      <c r="O327" s="153"/>
      <c r="P327" s="153"/>
      <c r="Q327" s="153"/>
      <c r="R327" s="153"/>
      <c r="S327" s="153"/>
      <c r="T327" s="153"/>
      <c r="U327" s="153"/>
      <c r="V327" s="153"/>
      <c r="W327" s="153"/>
    </row>
    <row r="328" spans="2:23" s="14" customFormat="1" x14ac:dyDescent="0.25">
      <c r="B328" s="11"/>
      <c r="C328" s="153"/>
      <c r="D328" s="153"/>
      <c r="E328" s="153"/>
      <c r="F328" s="153"/>
      <c r="G328" s="153"/>
      <c r="H328" s="153"/>
      <c r="I328" s="153"/>
      <c r="J328" s="157"/>
      <c r="K328" s="157"/>
      <c r="L328" s="157"/>
      <c r="M328" s="157"/>
      <c r="N328" s="153"/>
      <c r="O328" s="153"/>
      <c r="P328" s="153"/>
      <c r="Q328" s="153"/>
      <c r="R328" s="153"/>
      <c r="S328" s="153"/>
      <c r="T328" s="153"/>
      <c r="U328" s="153"/>
      <c r="V328" s="153"/>
      <c r="W328" s="153"/>
    </row>
    <row r="329" spans="2:23" s="14" customFormat="1" x14ac:dyDescent="0.25">
      <c r="B329" s="11"/>
      <c r="C329" s="153"/>
      <c r="D329" s="153"/>
      <c r="E329" s="153"/>
      <c r="F329" s="153"/>
      <c r="G329" s="153"/>
      <c r="H329" s="153"/>
      <c r="I329" s="153"/>
      <c r="J329" s="157"/>
      <c r="K329" s="157"/>
      <c r="L329" s="157"/>
      <c r="M329" s="157"/>
      <c r="N329" s="153"/>
      <c r="O329" s="153"/>
      <c r="P329" s="153"/>
      <c r="Q329" s="153"/>
      <c r="R329" s="153"/>
      <c r="S329" s="153"/>
      <c r="T329" s="153"/>
      <c r="U329" s="153"/>
      <c r="V329" s="153"/>
      <c r="W329" s="153"/>
    </row>
    <row r="330" spans="2:23" s="14" customFormat="1" x14ac:dyDescent="0.25">
      <c r="B330" s="11"/>
      <c r="C330" s="153"/>
      <c r="D330" s="153"/>
      <c r="E330" s="153"/>
      <c r="F330" s="153"/>
      <c r="G330" s="153"/>
      <c r="H330" s="153"/>
      <c r="I330" s="153"/>
      <c r="J330" s="157"/>
      <c r="K330" s="157"/>
      <c r="L330" s="157"/>
      <c r="M330" s="157"/>
      <c r="N330" s="153"/>
      <c r="O330" s="153"/>
      <c r="P330" s="153"/>
      <c r="Q330" s="153"/>
      <c r="R330" s="153"/>
      <c r="S330" s="153"/>
      <c r="T330" s="153"/>
      <c r="U330" s="153"/>
      <c r="V330" s="153"/>
      <c r="W330" s="153"/>
    </row>
    <row r="331" spans="2:23" s="14" customFormat="1" x14ac:dyDescent="0.25">
      <c r="B331" s="11"/>
      <c r="C331" s="153"/>
      <c r="D331" s="153"/>
      <c r="E331" s="153"/>
      <c r="F331" s="153"/>
      <c r="G331" s="153"/>
      <c r="H331" s="153"/>
      <c r="I331" s="153"/>
      <c r="J331" s="157"/>
      <c r="K331" s="157"/>
      <c r="L331" s="157"/>
      <c r="M331" s="157"/>
      <c r="N331" s="153"/>
      <c r="O331" s="153"/>
      <c r="P331" s="153"/>
      <c r="Q331" s="153"/>
      <c r="R331" s="153"/>
      <c r="S331" s="153"/>
      <c r="T331" s="153"/>
      <c r="U331" s="153"/>
      <c r="V331" s="153"/>
      <c r="W331" s="153"/>
    </row>
    <row r="332" spans="2:23" s="14" customFormat="1" x14ac:dyDescent="0.25">
      <c r="B332" s="11"/>
      <c r="C332" s="153"/>
      <c r="D332" s="153"/>
      <c r="E332" s="153"/>
      <c r="F332" s="153"/>
      <c r="G332" s="153"/>
      <c r="H332" s="153"/>
      <c r="I332" s="153"/>
      <c r="J332" s="157"/>
      <c r="K332" s="157"/>
      <c r="L332" s="157"/>
      <c r="M332" s="157"/>
      <c r="N332" s="153"/>
      <c r="O332" s="153"/>
      <c r="P332" s="153"/>
      <c r="Q332" s="153"/>
      <c r="R332" s="153"/>
      <c r="S332" s="153"/>
      <c r="T332" s="153"/>
      <c r="U332" s="153"/>
      <c r="V332" s="153"/>
      <c r="W332" s="153"/>
    </row>
    <row r="333" spans="2:23" s="14" customFormat="1" x14ac:dyDescent="0.25">
      <c r="B333" s="11"/>
      <c r="C333" s="153"/>
      <c r="D333" s="153"/>
      <c r="E333" s="153"/>
      <c r="F333" s="153"/>
      <c r="G333" s="153"/>
      <c r="H333" s="153"/>
      <c r="I333" s="153"/>
      <c r="J333" s="157"/>
      <c r="K333" s="157"/>
      <c r="L333" s="157"/>
      <c r="M333" s="157"/>
      <c r="N333" s="153"/>
      <c r="O333" s="153"/>
      <c r="P333" s="153"/>
      <c r="Q333" s="153"/>
      <c r="R333" s="153"/>
      <c r="S333" s="153"/>
      <c r="T333" s="153"/>
      <c r="U333" s="153"/>
      <c r="V333" s="153"/>
      <c r="W333" s="153"/>
    </row>
    <row r="334" spans="2:23" s="14" customFormat="1" x14ac:dyDescent="0.25">
      <c r="B334" s="11"/>
      <c r="C334" s="153"/>
      <c r="D334" s="153"/>
      <c r="E334" s="153"/>
      <c r="F334" s="153"/>
      <c r="G334" s="153"/>
      <c r="H334" s="153"/>
      <c r="I334" s="153"/>
      <c r="J334" s="157"/>
      <c r="K334" s="157"/>
      <c r="L334" s="157"/>
      <c r="M334" s="157"/>
      <c r="N334" s="153"/>
      <c r="O334" s="153"/>
      <c r="P334" s="153"/>
      <c r="Q334" s="153"/>
      <c r="R334" s="153"/>
      <c r="S334" s="153"/>
      <c r="T334" s="153"/>
      <c r="U334" s="153"/>
      <c r="V334" s="153"/>
      <c r="W334" s="153"/>
    </row>
    <row r="335" spans="2:23" s="14" customFormat="1" x14ac:dyDescent="0.25">
      <c r="B335" s="11"/>
      <c r="C335" s="153"/>
      <c r="D335" s="153"/>
      <c r="E335" s="153"/>
      <c r="F335" s="153"/>
      <c r="G335" s="153"/>
      <c r="H335" s="153"/>
      <c r="I335" s="153"/>
      <c r="J335" s="157"/>
      <c r="K335" s="157"/>
      <c r="L335" s="157"/>
      <c r="M335" s="157"/>
      <c r="N335" s="153"/>
      <c r="O335" s="153"/>
      <c r="P335" s="153"/>
      <c r="Q335" s="153"/>
      <c r="R335" s="153"/>
      <c r="S335" s="153"/>
      <c r="T335" s="153"/>
      <c r="U335" s="153"/>
      <c r="V335" s="153"/>
      <c r="W335" s="153"/>
    </row>
    <row r="336" spans="2:23" s="14" customFormat="1" x14ac:dyDescent="0.25">
      <c r="B336" s="11"/>
      <c r="C336" s="153"/>
      <c r="D336" s="153"/>
      <c r="E336" s="153"/>
      <c r="F336" s="153"/>
      <c r="G336" s="153"/>
      <c r="H336" s="153"/>
      <c r="I336" s="153"/>
      <c r="J336" s="157"/>
      <c r="K336" s="157"/>
      <c r="L336" s="157"/>
      <c r="M336" s="157"/>
      <c r="N336" s="153"/>
      <c r="O336" s="153"/>
      <c r="P336" s="153"/>
      <c r="Q336" s="153"/>
      <c r="R336" s="153"/>
      <c r="S336" s="153"/>
      <c r="T336" s="153"/>
      <c r="U336" s="153"/>
      <c r="V336" s="153"/>
      <c r="W336" s="153"/>
    </row>
    <row r="337" spans="2:23" s="14" customFormat="1" x14ac:dyDescent="0.25">
      <c r="B337" s="11"/>
      <c r="C337" s="153"/>
      <c r="D337" s="153"/>
      <c r="E337" s="153"/>
      <c r="F337" s="153"/>
      <c r="G337" s="153"/>
      <c r="H337" s="153"/>
      <c r="I337" s="153"/>
      <c r="J337" s="157"/>
      <c r="K337" s="157"/>
      <c r="L337" s="157"/>
      <c r="M337" s="157"/>
      <c r="N337" s="153"/>
      <c r="O337" s="153"/>
      <c r="P337" s="153"/>
      <c r="Q337" s="153"/>
      <c r="R337" s="153"/>
      <c r="S337" s="153"/>
      <c r="T337" s="153"/>
      <c r="U337" s="153"/>
      <c r="V337" s="153"/>
      <c r="W337" s="153"/>
    </row>
    <row r="338" spans="2:23" s="14" customFormat="1" x14ac:dyDescent="0.25">
      <c r="B338" s="11"/>
      <c r="C338" s="153"/>
      <c r="D338" s="153"/>
      <c r="E338" s="153"/>
      <c r="F338" s="153"/>
      <c r="G338" s="153"/>
      <c r="H338" s="153"/>
      <c r="I338" s="153"/>
      <c r="J338" s="157"/>
      <c r="K338" s="157"/>
      <c r="L338" s="157"/>
      <c r="M338" s="157"/>
      <c r="N338" s="153"/>
      <c r="O338" s="153"/>
      <c r="P338" s="153"/>
      <c r="Q338" s="153"/>
      <c r="R338" s="153"/>
      <c r="S338" s="153"/>
      <c r="T338" s="153"/>
      <c r="U338" s="153"/>
      <c r="V338" s="153"/>
      <c r="W338" s="153"/>
    </row>
    <row r="339" spans="2:23" s="14" customFormat="1" x14ac:dyDescent="0.25">
      <c r="B339" s="11"/>
      <c r="C339" s="153"/>
      <c r="D339" s="153"/>
      <c r="E339" s="153"/>
      <c r="F339" s="153"/>
      <c r="G339" s="153"/>
      <c r="H339" s="153"/>
      <c r="I339" s="153"/>
      <c r="J339" s="157"/>
      <c r="K339" s="157"/>
      <c r="L339" s="157"/>
      <c r="M339" s="157"/>
      <c r="N339" s="153"/>
      <c r="O339" s="153"/>
      <c r="P339" s="153"/>
      <c r="Q339" s="153"/>
      <c r="R339" s="153"/>
      <c r="S339" s="153"/>
      <c r="T339" s="153"/>
      <c r="U339" s="153"/>
      <c r="V339" s="153"/>
      <c r="W339" s="153"/>
    </row>
    <row r="340" spans="2:23" s="14" customFormat="1" x14ac:dyDescent="0.25">
      <c r="B340" s="11"/>
      <c r="C340" s="153"/>
      <c r="D340" s="153"/>
      <c r="E340" s="153"/>
      <c r="F340" s="153"/>
      <c r="G340" s="153"/>
      <c r="H340" s="153"/>
      <c r="I340" s="153"/>
      <c r="J340" s="157"/>
      <c r="K340" s="157"/>
      <c r="L340" s="157"/>
      <c r="M340" s="157"/>
      <c r="N340" s="153"/>
      <c r="O340" s="153"/>
      <c r="P340" s="153"/>
      <c r="Q340" s="153"/>
      <c r="R340" s="153"/>
      <c r="S340" s="153"/>
      <c r="T340" s="153"/>
      <c r="U340" s="153"/>
      <c r="V340" s="153"/>
      <c r="W340" s="153"/>
    </row>
    <row r="341" spans="2:23" s="14" customFormat="1" x14ac:dyDescent="0.25">
      <c r="B341" s="11"/>
      <c r="C341" s="153"/>
      <c r="D341" s="153"/>
      <c r="E341" s="153"/>
      <c r="F341" s="153"/>
      <c r="G341" s="153"/>
      <c r="H341" s="153"/>
      <c r="I341" s="153"/>
      <c r="J341" s="157"/>
      <c r="K341" s="157"/>
      <c r="L341" s="157"/>
      <c r="M341" s="157"/>
      <c r="N341" s="153"/>
      <c r="O341" s="153"/>
      <c r="P341" s="153"/>
      <c r="Q341" s="153"/>
      <c r="R341" s="153"/>
      <c r="S341" s="153"/>
      <c r="T341" s="153"/>
      <c r="U341" s="153"/>
      <c r="V341" s="153"/>
      <c r="W341" s="153"/>
    </row>
    <row r="342" spans="2:23" s="14" customFormat="1" x14ac:dyDescent="0.25">
      <c r="B342" s="11"/>
      <c r="C342" s="153"/>
      <c r="D342" s="153"/>
      <c r="E342" s="153"/>
      <c r="F342" s="153"/>
      <c r="G342" s="153"/>
      <c r="H342" s="153"/>
      <c r="I342" s="153"/>
      <c r="J342" s="157"/>
      <c r="K342" s="157"/>
      <c r="L342" s="157"/>
      <c r="M342" s="157"/>
      <c r="N342" s="153"/>
      <c r="O342" s="153"/>
      <c r="P342" s="153"/>
      <c r="Q342" s="153"/>
      <c r="R342" s="153"/>
      <c r="S342" s="153"/>
      <c r="T342" s="153"/>
      <c r="U342" s="153"/>
      <c r="V342" s="153"/>
      <c r="W342" s="153"/>
    </row>
    <row r="343" spans="2:23" s="14" customFormat="1" x14ac:dyDescent="0.25">
      <c r="B343" s="11"/>
      <c r="C343" s="153"/>
      <c r="D343" s="153"/>
      <c r="E343" s="153"/>
      <c r="F343" s="153"/>
      <c r="G343" s="153"/>
      <c r="H343" s="153"/>
      <c r="I343" s="153"/>
      <c r="J343" s="157"/>
      <c r="K343" s="157"/>
      <c r="L343" s="157"/>
      <c r="M343" s="157"/>
      <c r="N343" s="153"/>
      <c r="O343" s="153"/>
      <c r="P343" s="153"/>
      <c r="Q343" s="153"/>
      <c r="R343" s="153"/>
      <c r="S343" s="153"/>
      <c r="T343" s="153"/>
      <c r="U343" s="153"/>
      <c r="V343" s="153"/>
      <c r="W343" s="153"/>
    </row>
    <row r="344" spans="2:23" s="14" customFormat="1" x14ac:dyDescent="0.25">
      <c r="B344" s="11"/>
      <c r="C344" s="153"/>
      <c r="D344" s="153"/>
      <c r="E344" s="153"/>
      <c r="F344" s="153"/>
      <c r="G344" s="153"/>
      <c r="H344" s="153"/>
      <c r="I344" s="153"/>
      <c r="J344" s="157"/>
      <c r="K344" s="157"/>
      <c r="L344" s="157"/>
      <c r="M344" s="157"/>
      <c r="N344" s="153"/>
      <c r="O344" s="153"/>
      <c r="P344" s="153"/>
      <c r="Q344" s="153"/>
      <c r="R344" s="153"/>
      <c r="S344" s="153"/>
      <c r="T344" s="153"/>
      <c r="U344" s="153"/>
      <c r="V344" s="153"/>
      <c r="W344" s="153"/>
    </row>
    <row r="345" spans="2:23" s="14" customFormat="1" x14ac:dyDescent="0.25">
      <c r="B345" s="11"/>
      <c r="C345" s="153"/>
      <c r="D345" s="153"/>
      <c r="E345" s="153"/>
      <c r="F345" s="153"/>
      <c r="G345" s="153"/>
      <c r="H345" s="153"/>
      <c r="I345" s="153"/>
      <c r="J345" s="157"/>
      <c r="K345" s="157"/>
      <c r="L345" s="157"/>
      <c r="M345" s="157"/>
      <c r="N345" s="153"/>
      <c r="O345" s="153"/>
      <c r="P345" s="153"/>
      <c r="Q345" s="153"/>
      <c r="R345" s="153"/>
      <c r="S345" s="153"/>
      <c r="T345" s="153"/>
      <c r="U345" s="153"/>
      <c r="V345" s="153"/>
      <c r="W345" s="153"/>
    </row>
    <row r="346" spans="2:23" s="14" customFormat="1" x14ac:dyDescent="0.25">
      <c r="B346" s="11"/>
      <c r="C346" s="153"/>
      <c r="D346" s="153"/>
      <c r="E346" s="153"/>
      <c r="F346" s="153"/>
      <c r="G346" s="153"/>
      <c r="H346" s="153"/>
      <c r="I346" s="153"/>
      <c r="J346" s="157"/>
      <c r="K346" s="157"/>
      <c r="L346" s="157"/>
      <c r="M346" s="157"/>
      <c r="N346" s="153"/>
      <c r="O346" s="153"/>
      <c r="P346" s="153"/>
      <c r="Q346" s="153"/>
      <c r="R346" s="153"/>
      <c r="S346" s="153"/>
      <c r="T346" s="153"/>
      <c r="U346" s="153"/>
      <c r="V346" s="153"/>
      <c r="W346" s="153"/>
    </row>
    <row r="347" spans="2:23" s="14" customFormat="1" x14ac:dyDescent="0.25">
      <c r="B347" s="11"/>
      <c r="C347" s="153"/>
      <c r="D347" s="153"/>
      <c r="E347" s="153"/>
      <c r="F347" s="153"/>
      <c r="G347" s="153"/>
      <c r="H347" s="153"/>
      <c r="I347" s="153"/>
      <c r="J347" s="157"/>
      <c r="K347" s="157"/>
      <c r="L347" s="157"/>
      <c r="M347" s="157"/>
      <c r="N347" s="153"/>
      <c r="O347" s="153"/>
      <c r="P347" s="153"/>
      <c r="Q347" s="153"/>
      <c r="R347" s="153"/>
      <c r="S347" s="153"/>
      <c r="T347" s="153"/>
      <c r="U347" s="153"/>
      <c r="V347" s="153"/>
      <c r="W347" s="153"/>
    </row>
    <row r="348" spans="2:23" s="14" customFormat="1" x14ac:dyDescent="0.25">
      <c r="B348" s="11"/>
      <c r="C348" s="153"/>
      <c r="D348" s="153"/>
      <c r="E348" s="153"/>
      <c r="F348" s="153"/>
      <c r="G348" s="153"/>
      <c r="H348" s="153"/>
      <c r="I348" s="153"/>
      <c r="J348" s="157"/>
      <c r="K348" s="157"/>
      <c r="L348" s="157"/>
      <c r="M348" s="157"/>
      <c r="N348" s="153"/>
      <c r="O348" s="153"/>
      <c r="P348" s="153"/>
      <c r="Q348" s="153"/>
      <c r="R348" s="153"/>
      <c r="S348" s="153"/>
      <c r="T348" s="153"/>
      <c r="U348" s="153"/>
      <c r="V348" s="153"/>
      <c r="W348" s="153"/>
    </row>
    <row r="349" spans="2:23" s="14" customFormat="1" x14ac:dyDescent="0.25">
      <c r="B349" s="11"/>
      <c r="C349" s="153"/>
      <c r="D349" s="153"/>
      <c r="E349" s="153"/>
      <c r="F349" s="153"/>
      <c r="G349" s="153"/>
      <c r="H349" s="153"/>
      <c r="I349" s="153"/>
      <c r="J349" s="157"/>
      <c r="K349" s="157"/>
      <c r="L349" s="157"/>
      <c r="M349" s="157"/>
      <c r="N349" s="153"/>
      <c r="O349" s="153"/>
      <c r="P349" s="153"/>
      <c r="Q349" s="153"/>
      <c r="R349" s="153"/>
      <c r="S349" s="153"/>
      <c r="T349" s="153"/>
      <c r="U349" s="153"/>
      <c r="V349" s="153"/>
      <c r="W349" s="153"/>
    </row>
    <row r="350" spans="2:23" s="14" customFormat="1" x14ac:dyDescent="0.25">
      <c r="B350" s="11"/>
      <c r="C350" s="153"/>
      <c r="D350" s="153"/>
      <c r="E350" s="153"/>
      <c r="F350" s="153"/>
      <c r="G350" s="153"/>
      <c r="H350" s="153"/>
      <c r="I350" s="153"/>
      <c r="J350" s="157"/>
      <c r="K350" s="157"/>
      <c r="L350" s="157"/>
      <c r="M350" s="157"/>
      <c r="N350" s="153"/>
      <c r="O350" s="153"/>
      <c r="P350" s="153"/>
      <c r="Q350" s="153"/>
      <c r="R350" s="153"/>
      <c r="S350" s="153"/>
      <c r="T350" s="153"/>
      <c r="U350" s="153"/>
      <c r="V350" s="153"/>
      <c r="W350" s="153"/>
    </row>
    <row r="351" spans="2:23" s="14" customFormat="1" x14ac:dyDescent="0.25">
      <c r="B351" s="11"/>
      <c r="C351" s="153"/>
      <c r="D351" s="153"/>
      <c r="E351" s="153"/>
      <c r="F351" s="153"/>
      <c r="G351" s="153"/>
      <c r="H351" s="153"/>
      <c r="I351" s="153"/>
      <c r="J351" s="157"/>
      <c r="K351" s="157"/>
      <c r="L351" s="157"/>
      <c r="M351" s="157"/>
      <c r="N351" s="153"/>
      <c r="O351" s="153"/>
      <c r="P351" s="153"/>
      <c r="Q351" s="153"/>
      <c r="R351" s="153"/>
      <c r="S351" s="153"/>
      <c r="T351" s="153"/>
      <c r="U351" s="153"/>
      <c r="V351" s="153"/>
      <c r="W351" s="153"/>
    </row>
    <row r="352" spans="2:23" s="14" customFormat="1" x14ac:dyDescent="0.25">
      <c r="B352" s="11"/>
      <c r="C352" s="153"/>
      <c r="D352" s="153"/>
      <c r="E352" s="153"/>
      <c r="F352" s="153"/>
      <c r="G352" s="153"/>
      <c r="H352" s="153"/>
      <c r="I352" s="153"/>
      <c r="J352" s="157"/>
      <c r="K352" s="157"/>
      <c r="L352" s="157"/>
      <c r="M352" s="157"/>
      <c r="N352" s="153"/>
      <c r="O352" s="153"/>
      <c r="P352" s="153"/>
      <c r="Q352" s="153"/>
      <c r="R352" s="153"/>
      <c r="S352" s="153"/>
      <c r="T352" s="153"/>
      <c r="U352" s="153"/>
      <c r="V352" s="153"/>
      <c r="W352" s="153"/>
    </row>
    <row r="353" spans="2:23" s="14" customFormat="1" x14ac:dyDescent="0.25">
      <c r="B353" s="11"/>
      <c r="C353" s="153"/>
      <c r="D353" s="153"/>
      <c r="E353" s="153"/>
      <c r="F353" s="153"/>
      <c r="G353" s="153"/>
      <c r="H353" s="153"/>
      <c r="I353" s="153"/>
      <c r="J353" s="157"/>
      <c r="K353" s="157"/>
      <c r="L353" s="157"/>
      <c r="M353" s="157"/>
      <c r="N353" s="153"/>
      <c r="O353" s="153"/>
      <c r="P353" s="153"/>
      <c r="Q353" s="153"/>
      <c r="R353" s="153"/>
      <c r="S353" s="153"/>
      <c r="T353" s="153"/>
      <c r="U353" s="153"/>
      <c r="V353" s="153"/>
      <c r="W353" s="153"/>
    </row>
    <row r="354" spans="2:23" s="14" customFormat="1" x14ac:dyDescent="0.25">
      <c r="B354" s="11"/>
      <c r="C354" s="153"/>
      <c r="D354" s="153"/>
      <c r="E354" s="153"/>
      <c r="F354" s="153"/>
      <c r="G354" s="153"/>
      <c r="H354" s="153"/>
      <c r="I354" s="153"/>
      <c r="J354" s="157"/>
      <c r="K354" s="157"/>
      <c r="L354" s="157"/>
      <c r="M354" s="157"/>
      <c r="N354" s="153"/>
      <c r="O354" s="153"/>
      <c r="P354" s="153"/>
      <c r="Q354" s="153"/>
      <c r="R354" s="153"/>
      <c r="S354" s="153"/>
      <c r="T354" s="153"/>
      <c r="U354" s="153"/>
      <c r="V354" s="153"/>
      <c r="W354" s="153"/>
    </row>
    <row r="355" spans="2:23" s="14" customFormat="1" x14ac:dyDescent="0.25">
      <c r="B355" s="11"/>
      <c r="C355" s="153"/>
      <c r="D355" s="153"/>
      <c r="E355" s="153"/>
      <c r="F355" s="153"/>
      <c r="G355" s="153"/>
      <c r="H355" s="153"/>
      <c r="I355" s="153"/>
      <c r="J355" s="157"/>
      <c r="K355" s="157"/>
      <c r="L355" s="157"/>
      <c r="M355" s="157"/>
      <c r="N355" s="153"/>
      <c r="O355" s="153"/>
      <c r="P355" s="153"/>
      <c r="Q355" s="153"/>
      <c r="R355" s="153"/>
      <c r="S355" s="153"/>
      <c r="T355" s="153"/>
      <c r="U355" s="153"/>
      <c r="V355" s="153"/>
      <c r="W355" s="153"/>
    </row>
    <row r="356" spans="2:23" s="14" customFormat="1" x14ac:dyDescent="0.25">
      <c r="B356" s="11"/>
      <c r="C356" s="153"/>
      <c r="D356" s="153"/>
      <c r="E356" s="153"/>
      <c r="F356" s="153"/>
      <c r="G356" s="153"/>
      <c r="H356" s="153"/>
      <c r="I356" s="153"/>
      <c r="J356" s="157"/>
      <c r="K356" s="157"/>
      <c r="L356" s="157"/>
      <c r="M356" s="157"/>
      <c r="N356" s="153"/>
      <c r="O356" s="153"/>
      <c r="P356" s="153"/>
      <c r="Q356" s="153"/>
      <c r="R356" s="153"/>
      <c r="S356" s="153"/>
      <c r="T356" s="153"/>
      <c r="U356" s="153"/>
      <c r="V356" s="153"/>
      <c r="W356" s="153"/>
    </row>
    <row r="357" spans="2:23" s="14" customFormat="1" x14ac:dyDescent="0.25">
      <c r="B357" s="11"/>
      <c r="C357" s="153"/>
      <c r="D357" s="153"/>
      <c r="E357" s="153"/>
      <c r="F357" s="153"/>
      <c r="G357" s="153"/>
      <c r="H357" s="153"/>
      <c r="I357" s="153"/>
      <c r="J357" s="157"/>
      <c r="K357" s="157"/>
      <c r="L357" s="157"/>
      <c r="M357" s="157"/>
      <c r="N357" s="153"/>
      <c r="O357" s="153"/>
      <c r="P357" s="153"/>
      <c r="Q357" s="153"/>
      <c r="R357" s="153"/>
      <c r="S357" s="153"/>
      <c r="T357" s="153"/>
      <c r="U357" s="153"/>
      <c r="V357" s="153"/>
      <c r="W357" s="153"/>
    </row>
    <row r="358" spans="2:23" s="14" customFormat="1" x14ac:dyDescent="0.25">
      <c r="B358" s="11"/>
      <c r="C358" s="153"/>
      <c r="D358" s="153"/>
      <c r="E358" s="153"/>
      <c r="F358" s="153"/>
      <c r="G358" s="153"/>
      <c r="H358" s="153"/>
      <c r="I358" s="153"/>
      <c r="J358" s="157"/>
      <c r="K358" s="157"/>
      <c r="L358" s="157"/>
      <c r="M358" s="157"/>
      <c r="N358" s="153"/>
      <c r="O358" s="153"/>
      <c r="P358" s="153"/>
      <c r="Q358" s="153"/>
      <c r="R358" s="153"/>
      <c r="S358" s="153"/>
      <c r="T358" s="153"/>
      <c r="U358" s="153"/>
      <c r="V358" s="153"/>
      <c r="W358" s="153"/>
    </row>
    <row r="359" spans="2:23" s="14" customFormat="1" x14ac:dyDescent="0.25">
      <c r="B359" s="11"/>
      <c r="C359" s="153"/>
      <c r="D359" s="153"/>
      <c r="E359" s="153"/>
      <c r="F359" s="153"/>
      <c r="G359" s="153"/>
      <c r="H359" s="153"/>
      <c r="I359" s="153"/>
      <c r="J359" s="157"/>
      <c r="K359" s="157"/>
      <c r="L359" s="157"/>
      <c r="M359" s="157"/>
      <c r="N359" s="153"/>
      <c r="O359" s="153"/>
      <c r="P359" s="153"/>
      <c r="Q359" s="153"/>
      <c r="R359" s="153"/>
      <c r="S359" s="153"/>
      <c r="T359" s="153"/>
      <c r="U359" s="153"/>
      <c r="V359" s="153"/>
      <c r="W359" s="153"/>
    </row>
    <row r="360" spans="2:23" s="14" customFormat="1" x14ac:dyDescent="0.25">
      <c r="B360" s="13"/>
      <c r="C360" s="153"/>
      <c r="D360" s="153"/>
      <c r="E360" s="153"/>
      <c r="F360" s="153"/>
      <c r="G360" s="153"/>
      <c r="H360" s="153"/>
      <c r="I360" s="153"/>
      <c r="J360" s="157"/>
      <c r="K360" s="157"/>
      <c r="L360" s="157"/>
      <c r="M360" s="157"/>
      <c r="N360" s="153"/>
      <c r="O360" s="153"/>
      <c r="P360" s="153"/>
      <c r="Q360" s="153"/>
      <c r="R360" s="153"/>
      <c r="S360" s="153"/>
      <c r="T360" s="153"/>
      <c r="U360" s="153"/>
      <c r="V360" s="153"/>
      <c r="W360" s="153"/>
    </row>
    <row r="361" spans="2:23" s="14" customFormat="1" x14ac:dyDescent="0.25">
      <c r="B361" s="13"/>
      <c r="C361" s="153"/>
      <c r="D361" s="153"/>
      <c r="E361" s="153"/>
      <c r="F361" s="153"/>
      <c r="G361" s="153"/>
      <c r="H361" s="153"/>
      <c r="I361" s="153"/>
      <c r="J361" s="157"/>
      <c r="K361" s="157"/>
      <c r="L361" s="157"/>
      <c r="M361" s="157"/>
      <c r="N361" s="153"/>
      <c r="O361" s="153"/>
      <c r="P361" s="153"/>
      <c r="Q361" s="153"/>
      <c r="R361" s="153"/>
      <c r="S361" s="153"/>
      <c r="T361" s="153"/>
      <c r="U361" s="153"/>
      <c r="V361" s="153"/>
      <c r="W361" s="153"/>
    </row>
    <row r="362" spans="2:23" s="14" customFormat="1" x14ac:dyDescent="0.25">
      <c r="B362" s="13"/>
      <c r="C362" s="153"/>
      <c r="D362" s="153"/>
      <c r="E362" s="153"/>
      <c r="F362" s="153"/>
      <c r="G362" s="153"/>
      <c r="H362" s="153"/>
      <c r="I362" s="153"/>
      <c r="J362" s="157"/>
      <c r="K362" s="157"/>
      <c r="L362" s="157"/>
      <c r="M362" s="157"/>
      <c r="N362" s="153"/>
      <c r="O362" s="153"/>
      <c r="P362" s="153"/>
      <c r="Q362" s="153"/>
      <c r="R362" s="153"/>
      <c r="S362" s="153"/>
      <c r="T362" s="153"/>
      <c r="U362" s="153"/>
      <c r="V362" s="153"/>
      <c r="W362" s="153"/>
    </row>
    <row r="363" spans="2:23" s="14" customFormat="1" x14ac:dyDescent="0.25">
      <c r="B363" s="13"/>
      <c r="C363" s="153"/>
      <c r="D363" s="153"/>
      <c r="E363" s="153"/>
      <c r="F363" s="153"/>
      <c r="G363" s="153"/>
      <c r="H363" s="153"/>
      <c r="I363" s="153"/>
      <c r="J363" s="157"/>
      <c r="K363" s="157"/>
      <c r="L363" s="157"/>
      <c r="M363" s="157"/>
      <c r="N363" s="153"/>
      <c r="O363" s="153"/>
      <c r="P363" s="153"/>
      <c r="Q363" s="153"/>
      <c r="R363" s="153"/>
      <c r="S363" s="153"/>
      <c r="T363" s="153"/>
      <c r="U363" s="153"/>
      <c r="V363" s="153"/>
      <c r="W363" s="153"/>
    </row>
    <row r="364" spans="2:23" s="14" customFormat="1" x14ac:dyDescent="0.25">
      <c r="B364" s="13"/>
      <c r="C364" s="153"/>
      <c r="D364" s="153"/>
      <c r="E364" s="153"/>
      <c r="F364" s="153"/>
      <c r="G364" s="153"/>
      <c r="H364" s="153"/>
      <c r="I364" s="153"/>
      <c r="J364" s="157"/>
      <c r="K364" s="157"/>
      <c r="L364" s="157"/>
      <c r="M364" s="157"/>
      <c r="N364" s="153"/>
      <c r="O364" s="153"/>
      <c r="P364" s="153"/>
      <c r="Q364" s="153"/>
      <c r="R364" s="153"/>
      <c r="S364" s="153"/>
      <c r="T364" s="153"/>
      <c r="U364" s="153"/>
      <c r="V364" s="153"/>
      <c r="W364" s="153"/>
    </row>
    <row r="365" spans="2:23" s="14" customFormat="1" x14ac:dyDescent="0.25">
      <c r="B365" s="13"/>
      <c r="C365" s="153"/>
      <c r="D365" s="153"/>
      <c r="E365" s="153"/>
      <c r="F365" s="153"/>
      <c r="G365" s="153"/>
      <c r="H365" s="153"/>
      <c r="I365" s="153"/>
      <c r="J365" s="157"/>
      <c r="K365" s="157"/>
      <c r="L365" s="157"/>
      <c r="M365" s="157"/>
      <c r="N365" s="153"/>
      <c r="O365" s="153"/>
      <c r="P365" s="153"/>
      <c r="Q365" s="153"/>
      <c r="R365" s="153"/>
      <c r="S365" s="153"/>
      <c r="T365" s="153"/>
      <c r="U365" s="153"/>
      <c r="V365" s="153"/>
      <c r="W365" s="153"/>
    </row>
    <row r="366" spans="2:23" s="14" customFormat="1" x14ac:dyDescent="0.25">
      <c r="B366" s="13"/>
      <c r="C366" s="153"/>
      <c r="D366" s="153"/>
      <c r="E366" s="153"/>
      <c r="F366" s="153"/>
      <c r="G366" s="153"/>
      <c r="H366" s="153"/>
      <c r="I366" s="153"/>
      <c r="J366" s="157"/>
      <c r="K366" s="157"/>
      <c r="L366" s="157"/>
      <c r="M366" s="157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</row>
    <row r="367" spans="2:23" s="14" customFormat="1" x14ac:dyDescent="0.25">
      <c r="B367" s="13"/>
      <c r="C367" s="153"/>
      <c r="D367" s="153"/>
      <c r="E367" s="153"/>
      <c r="F367" s="153"/>
      <c r="G367" s="153"/>
      <c r="H367" s="153"/>
      <c r="I367" s="153"/>
      <c r="J367" s="157"/>
      <c r="K367" s="157"/>
      <c r="L367" s="157"/>
      <c r="M367" s="157"/>
      <c r="N367" s="153"/>
      <c r="O367" s="153"/>
      <c r="P367" s="153"/>
      <c r="Q367" s="153"/>
      <c r="R367" s="153"/>
      <c r="S367" s="153"/>
      <c r="T367" s="153"/>
      <c r="U367" s="153"/>
      <c r="V367" s="153"/>
      <c r="W367" s="153"/>
    </row>
    <row r="368" spans="2:23" s="14" customFormat="1" x14ac:dyDescent="0.25">
      <c r="B368" s="13"/>
      <c r="C368" s="153"/>
      <c r="D368" s="153"/>
      <c r="E368" s="153"/>
      <c r="F368" s="153"/>
      <c r="G368" s="153"/>
      <c r="H368" s="153"/>
      <c r="I368" s="153"/>
      <c r="J368" s="157"/>
      <c r="K368" s="157"/>
      <c r="L368" s="157"/>
      <c r="M368" s="157"/>
      <c r="N368" s="153"/>
      <c r="O368" s="153"/>
      <c r="P368" s="153"/>
      <c r="Q368" s="153"/>
      <c r="R368" s="153"/>
      <c r="S368" s="153"/>
      <c r="T368" s="153"/>
      <c r="U368" s="153"/>
      <c r="V368" s="153"/>
      <c r="W368" s="153"/>
    </row>
    <row r="369" spans="2:23" s="14" customFormat="1" x14ac:dyDescent="0.25">
      <c r="B369" s="13"/>
      <c r="C369" s="153"/>
      <c r="D369" s="153"/>
      <c r="E369" s="153"/>
      <c r="F369" s="153"/>
      <c r="G369" s="153"/>
      <c r="H369" s="153"/>
      <c r="I369" s="153"/>
      <c r="J369" s="157"/>
      <c r="K369" s="157"/>
      <c r="L369" s="157"/>
      <c r="M369" s="157"/>
      <c r="N369" s="153"/>
      <c r="O369" s="153"/>
      <c r="P369" s="153"/>
      <c r="Q369" s="153"/>
      <c r="R369" s="153"/>
      <c r="S369" s="153"/>
      <c r="T369" s="153"/>
      <c r="U369" s="153"/>
      <c r="V369" s="153"/>
      <c r="W369" s="153"/>
    </row>
    <row r="370" spans="2:23" s="14" customFormat="1" x14ac:dyDescent="0.25">
      <c r="B370" s="13"/>
      <c r="C370" s="153"/>
      <c r="D370" s="153"/>
      <c r="E370" s="153"/>
      <c r="F370" s="153"/>
      <c r="G370" s="153"/>
      <c r="H370" s="153"/>
      <c r="I370" s="153"/>
      <c r="J370" s="157"/>
      <c r="K370" s="157"/>
      <c r="L370" s="157"/>
      <c r="M370" s="157"/>
      <c r="N370" s="153"/>
      <c r="O370" s="153"/>
      <c r="P370" s="153"/>
      <c r="Q370" s="153"/>
      <c r="R370" s="153"/>
      <c r="S370" s="153"/>
      <c r="T370" s="153"/>
      <c r="U370" s="153"/>
      <c r="V370" s="153"/>
      <c r="W370" s="153"/>
    </row>
    <row r="371" spans="2:23" s="14" customFormat="1" x14ac:dyDescent="0.25">
      <c r="B371" s="13"/>
      <c r="C371" s="153"/>
      <c r="D371" s="153"/>
      <c r="E371" s="153"/>
      <c r="F371" s="153"/>
      <c r="G371" s="153"/>
      <c r="H371" s="153"/>
      <c r="I371" s="153"/>
      <c r="J371" s="157"/>
      <c r="K371" s="157"/>
      <c r="L371" s="157"/>
      <c r="M371" s="157"/>
      <c r="N371" s="153"/>
      <c r="O371" s="153"/>
      <c r="P371" s="153"/>
      <c r="Q371" s="153"/>
      <c r="R371" s="153"/>
      <c r="S371" s="153"/>
      <c r="T371" s="153"/>
      <c r="U371" s="153"/>
      <c r="V371" s="153"/>
      <c r="W371" s="153"/>
    </row>
    <row r="372" spans="2:23" s="14" customFormat="1" x14ac:dyDescent="0.25">
      <c r="B372" s="13"/>
      <c r="C372" s="153"/>
      <c r="D372" s="153"/>
      <c r="E372" s="153"/>
      <c r="F372" s="153"/>
      <c r="G372" s="153"/>
      <c r="H372" s="153"/>
      <c r="I372" s="153"/>
      <c r="J372" s="157"/>
      <c r="K372" s="157"/>
      <c r="L372" s="157"/>
      <c r="M372" s="157"/>
      <c r="N372" s="153"/>
      <c r="O372" s="153"/>
      <c r="P372" s="153"/>
      <c r="Q372" s="153"/>
      <c r="R372" s="153"/>
      <c r="S372" s="153"/>
      <c r="T372" s="153"/>
      <c r="U372" s="153"/>
      <c r="V372" s="153"/>
      <c r="W372" s="153"/>
    </row>
    <row r="373" spans="2:23" s="14" customFormat="1" x14ac:dyDescent="0.25">
      <c r="B373" s="13"/>
      <c r="C373" s="153"/>
      <c r="D373" s="153"/>
      <c r="E373" s="153"/>
      <c r="F373" s="153"/>
      <c r="G373" s="153"/>
      <c r="H373" s="153"/>
      <c r="I373" s="153"/>
      <c r="J373" s="157"/>
      <c r="K373" s="157"/>
      <c r="L373" s="157"/>
      <c r="M373" s="157"/>
      <c r="N373" s="153"/>
      <c r="O373" s="153"/>
      <c r="P373" s="153"/>
      <c r="Q373" s="153"/>
      <c r="R373" s="153"/>
      <c r="S373" s="153"/>
      <c r="T373" s="153"/>
      <c r="U373" s="153"/>
      <c r="V373" s="153"/>
      <c r="W373" s="153"/>
    </row>
    <row r="374" spans="2:23" s="14" customFormat="1" x14ac:dyDescent="0.25">
      <c r="B374" s="13"/>
      <c r="C374" s="153"/>
      <c r="D374" s="153"/>
      <c r="E374" s="153"/>
      <c r="F374" s="153"/>
      <c r="G374" s="153"/>
      <c r="H374" s="153"/>
      <c r="I374" s="153"/>
      <c r="J374" s="157"/>
      <c r="K374" s="157"/>
      <c r="L374" s="157"/>
      <c r="M374" s="157"/>
      <c r="N374" s="153"/>
      <c r="O374" s="153"/>
      <c r="P374" s="153"/>
      <c r="Q374" s="153"/>
      <c r="R374" s="153"/>
      <c r="S374" s="153"/>
      <c r="T374" s="153"/>
      <c r="U374" s="153"/>
      <c r="V374" s="153"/>
      <c r="W374" s="153"/>
    </row>
    <row r="375" spans="2:23" s="14" customFormat="1" x14ac:dyDescent="0.25">
      <c r="B375" s="13"/>
      <c r="C375" s="153"/>
      <c r="D375" s="153"/>
      <c r="E375" s="153"/>
      <c r="F375" s="153"/>
      <c r="G375" s="153"/>
      <c r="H375" s="153"/>
      <c r="I375" s="153"/>
      <c r="J375" s="157"/>
      <c r="K375" s="157"/>
      <c r="L375" s="157"/>
      <c r="M375" s="157"/>
      <c r="N375" s="153"/>
      <c r="O375" s="153"/>
      <c r="P375" s="153"/>
      <c r="Q375" s="153"/>
      <c r="R375" s="153"/>
      <c r="S375" s="153"/>
      <c r="T375" s="153"/>
      <c r="U375" s="153"/>
      <c r="V375" s="153"/>
      <c r="W375" s="153"/>
    </row>
    <row r="376" spans="2:23" s="14" customFormat="1" x14ac:dyDescent="0.25">
      <c r="B376" s="13"/>
      <c r="C376" s="153"/>
      <c r="D376" s="153"/>
      <c r="E376" s="153"/>
      <c r="F376" s="153"/>
      <c r="G376" s="153"/>
      <c r="H376" s="153"/>
      <c r="I376" s="153"/>
      <c r="J376" s="157"/>
      <c r="K376" s="157"/>
      <c r="L376" s="157"/>
      <c r="M376" s="157"/>
      <c r="N376" s="153"/>
      <c r="O376" s="153"/>
      <c r="P376" s="153"/>
      <c r="Q376" s="153"/>
      <c r="R376" s="153"/>
      <c r="S376" s="153"/>
      <c r="T376" s="153"/>
      <c r="U376" s="153"/>
      <c r="V376" s="153"/>
      <c r="W376" s="153"/>
    </row>
    <row r="377" spans="2:23" s="14" customFormat="1" x14ac:dyDescent="0.25">
      <c r="B377" s="13"/>
      <c r="C377" s="153"/>
      <c r="D377" s="153"/>
      <c r="E377" s="153"/>
      <c r="F377" s="153"/>
      <c r="G377" s="153"/>
      <c r="H377" s="153"/>
      <c r="I377" s="153"/>
      <c r="J377" s="157"/>
      <c r="K377" s="157"/>
      <c r="L377" s="157"/>
      <c r="M377" s="157"/>
      <c r="N377" s="153"/>
      <c r="O377" s="153"/>
      <c r="P377" s="153"/>
      <c r="Q377" s="153"/>
      <c r="R377" s="153"/>
      <c r="S377" s="153"/>
      <c r="T377" s="153"/>
      <c r="U377" s="153"/>
      <c r="V377" s="153"/>
      <c r="W377" s="153"/>
    </row>
    <row r="378" spans="2:23" s="14" customFormat="1" x14ac:dyDescent="0.25">
      <c r="B378" s="13"/>
      <c r="C378" s="153"/>
      <c r="D378" s="153"/>
      <c r="E378" s="153"/>
      <c r="F378" s="153"/>
      <c r="G378" s="153"/>
      <c r="H378" s="153"/>
      <c r="I378" s="153"/>
      <c r="J378" s="157"/>
      <c r="K378" s="157"/>
      <c r="L378" s="157"/>
      <c r="M378" s="157"/>
      <c r="N378" s="153"/>
      <c r="O378" s="153"/>
      <c r="P378" s="153"/>
      <c r="Q378" s="153"/>
      <c r="R378" s="153"/>
      <c r="S378" s="153"/>
      <c r="T378" s="153"/>
      <c r="U378" s="153"/>
      <c r="V378" s="153"/>
      <c r="W378" s="153"/>
    </row>
    <row r="379" spans="2:23" s="14" customFormat="1" x14ac:dyDescent="0.25">
      <c r="B379" s="13"/>
      <c r="C379" s="153"/>
      <c r="D379" s="153"/>
      <c r="E379" s="153"/>
      <c r="F379" s="153"/>
      <c r="G379" s="153"/>
      <c r="H379" s="153"/>
      <c r="I379" s="153"/>
      <c r="J379" s="157"/>
      <c r="K379" s="157"/>
      <c r="L379" s="157"/>
      <c r="M379" s="157"/>
      <c r="N379" s="153"/>
      <c r="O379" s="153"/>
      <c r="P379" s="153"/>
      <c r="Q379" s="153"/>
      <c r="R379" s="153"/>
      <c r="S379" s="153"/>
      <c r="T379" s="153"/>
      <c r="U379" s="153"/>
      <c r="V379" s="153"/>
      <c r="W379" s="153"/>
    </row>
    <row r="380" spans="2:23" s="14" customFormat="1" x14ac:dyDescent="0.25">
      <c r="B380" s="13"/>
      <c r="C380" s="153"/>
      <c r="D380" s="153"/>
      <c r="E380" s="153"/>
      <c r="F380" s="153"/>
      <c r="G380" s="153"/>
      <c r="H380" s="153"/>
      <c r="I380" s="153"/>
      <c r="J380" s="157"/>
      <c r="K380" s="157"/>
      <c r="L380" s="157"/>
      <c r="M380" s="157"/>
      <c r="N380" s="153"/>
      <c r="O380" s="153"/>
      <c r="P380" s="153"/>
      <c r="Q380" s="153"/>
      <c r="R380" s="153"/>
      <c r="S380" s="153"/>
      <c r="T380" s="153"/>
      <c r="U380" s="153"/>
      <c r="V380" s="153"/>
      <c r="W380" s="153"/>
    </row>
    <row r="381" spans="2:23" s="14" customFormat="1" x14ac:dyDescent="0.25">
      <c r="B381" s="13"/>
      <c r="C381" s="153"/>
      <c r="D381" s="153"/>
      <c r="E381" s="153"/>
      <c r="F381" s="153"/>
      <c r="G381" s="153"/>
      <c r="H381" s="153"/>
      <c r="I381" s="153"/>
      <c r="J381" s="157"/>
      <c r="K381" s="157"/>
      <c r="L381" s="157"/>
      <c r="M381" s="157"/>
      <c r="N381" s="153"/>
      <c r="O381" s="153"/>
      <c r="P381" s="153"/>
      <c r="Q381" s="153"/>
      <c r="R381" s="153"/>
      <c r="S381" s="153"/>
      <c r="T381" s="153"/>
      <c r="U381" s="153"/>
      <c r="V381" s="153"/>
      <c r="W381" s="153"/>
    </row>
    <row r="382" spans="2:23" s="14" customFormat="1" x14ac:dyDescent="0.25">
      <c r="B382" s="13"/>
      <c r="C382" s="153"/>
      <c r="D382" s="153"/>
      <c r="E382" s="153"/>
      <c r="F382" s="153"/>
      <c r="G382" s="153"/>
      <c r="H382" s="153"/>
      <c r="I382" s="153"/>
      <c r="J382" s="157"/>
      <c r="K382" s="157"/>
      <c r="L382" s="157"/>
      <c r="M382" s="157"/>
      <c r="N382" s="153"/>
      <c r="O382" s="153"/>
      <c r="P382" s="153"/>
      <c r="Q382" s="153"/>
      <c r="R382" s="153"/>
      <c r="S382" s="153"/>
      <c r="T382" s="153"/>
      <c r="U382" s="153"/>
      <c r="V382" s="153"/>
      <c r="W382" s="153"/>
    </row>
    <row r="383" spans="2:23" s="14" customFormat="1" x14ac:dyDescent="0.25">
      <c r="B383" s="13"/>
      <c r="C383" s="153"/>
      <c r="D383" s="153"/>
      <c r="E383" s="153"/>
      <c r="F383" s="153"/>
      <c r="G383" s="153"/>
      <c r="H383" s="153"/>
      <c r="I383" s="153"/>
      <c r="J383" s="157"/>
      <c r="K383" s="157"/>
      <c r="L383" s="157"/>
      <c r="M383" s="157"/>
      <c r="N383" s="153"/>
      <c r="O383" s="153"/>
      <c r="P383" s="153"/>
      <c r="Q383" s="153"/>
      <c r="R383" s="153"/>
      <c r="S383" s="153"/>
      <c r="T383" s="153"/>
      <c r="U383" s="153"/>
      <c r="V383" s="153"/>
      <c r="W383" s="153"/>
    </row>
    <row r="384" spans="2:23" s="14" customFormat="1" x14ac:dyDescent="0.25">
      <c r="B384" s="13"/>
      <c r="C384" s="153"/>
      <c r="D384" s="153"/>
      <c r="E384" s="153"/>
      <c r="F384" s="153"/>
      <c r="G384" s="153"/>
      <c r="H384" s="153"/>
      <c r="I384" s="153"/>
      <c r="J384" s="157"/>
      <c r="K384" s="157"/>
      <c r="L384" s="157"/>
      <c r="M384" s="157"/>
      <c r="N384" s="153"/>
      <c r="O384" s="153"/>
      <c r="P384" s="153"/>
      <c r="Q384" s="153"/>
      <c r="R384" s="153"/>
      <c r="S384" s="153"/>
      <c r="T384" s="153"/>
      <c r="U384" s="153"/>
      <c r="V384" s="153"/>
      <c r="W384" s="153"/>
    </row>
    <row r="385" spans="2:23" s="14" customFormat="1" x14ac:dyDescent="0.25">
      <c r="B385" s="13"/>
      <c r="C385" s="153"/>
      <c r="D385" s="153"/>
      <c r="E385" s="153"/>
      <c r="F385" s="153"/>
      <c r="G385" s="153"/>
      <c r="H385" s="153"/>
      <c r="I385" s="153"/>
      <c r="J385" s="157"/>
      <c r="K385" s="157"/>
      <c r="L385" s="157"/>
      <c r="M385" s="157"/>
      <c r="N385" s="153"/>
      <c r="O385" s="153"/>
      <c r="P385" s="153"/>
      <c r="Q385" s="153"/>
      <c r="R385" s="153"/>
      <c r="S385" s="153"/>
      <c r="T385" s="153"/>
      <c r="U385" s="153"/>
      <c r="V385" s="153"/>
      <c r="W385" s="153"/>
    </row>
    <row r="386" spans="2:23" s="14" customFormat="1" x14ac:dyDescent="0.25">
      <c r="B386" s="13"/>
      <c r="C386" s="153"/>
      <c r="D386" s="153"/>
      <c r="E386" s="153"/>
      <c r="F386" s="153"/>
      <c r="G386" s="153"/>
      <c r="H386" s="153"/>
      <c r="I386" s="153"/>
      <c r="J386" s="157"/>
      <c r="K386" s="157"/>
      <c r="L386" s="157"/>
      <c r="M386" s="157"/>
      <c r="N386" s="153"/>
      <c r="O386" s="153"/>
      <c r="P386" s="153"/>
      <c r="Q386" s="153"/>
      <c r="R386" s="153"/>
      <c r="S386" s="153"/>
      <c r="T386" s="153"/>
      <c r="U386" s="153"/>
      <c r="V386" s="153"/>
      <c r="W386" s="153"/>
    </row>
    <row r="387" spans="2:23" s="14" customFormat="1" x14ac:dyDescent="0.25">
      <c r="B387" s="13"/>
      <c r="C387" s="153"/>
      <c r="D387" s="153"/>
      <c r="E387" s="153"/>
      <c r="F387" s="153"/>
      <c r="G387" s="153"/>
      <c r="H387" s="153"/>
      <c r="I387" s="153"/>
      <c r="J387" s="157"/>
      <c r="K387" s="157"/>
      <c r="L387" s="157"/>
      <c r="M387" s="157"/>
      <c r="N387" s="153"/>
      <c r="O387" s="153"/>
      <c r="P387" s="153"/>
      <c r="Q387" s="153"/>
      <c r="R387" s="153"/>
      <c r="S387" s="153"/>
      <c r="T387" s="153"/>
      <c r="U387" s="153"/>
      <c r="V387" s="153"/>
      <c r="W387" s="153"/>
    </row>
    <row r="388" spans="2:23" s="14" customFormat="1" x14ac:dyDescent="0.25">
      <c r="B388" s="13"/>
      <c r="C388" s="153"/>
      <c r="D388" s="153"/>
      <c r="E388" s="153"/>
      <c r="F388" s="153"/>
      <c r="G388" s="153"/>
      <c r="H388" s="153"/>
      <c r="I388" s="153"/>
      <c r="J388" s="157"/>
      <c r="K388" s="157"/>
      <c r="L388" s="157"/>
      <c r="M388" s="157"/>
      <c r="N388" s="153"/>
      <c r="O388" s="153"/>
      <c r="P388" s="153"/>
      <c r="Q388" s="153"/>
      <c r="R388" s="153"/>
      <c r="S388" s="153"/>
      <c r="T388" s="153"/>
      <c r="U388" s="153"/>
      <c r="V388" s="153"/>
      <c r="W388" s="153"/>
    </row>
    <row r="389" spans="2:23" s="14" customFormat="1" x14ac:dyDescent="0.25">
      <c r="B389" s="13"/>
      <c r="C389" s="153"/>
      <c r="D389" s="153"/>
      <c r="E389" s="153"/>
      <c r="F389" s="153"/>
      <c r="G389" s="153"/>
      <c r="H389" s="153"/>
      <c r="I389" s="153"/>
      <c r="J389" s="157"/>
      <c r="K389" s="157"/>
      <c r="L389" s="157"/>
      <c r="M389" s="157"/>
      <c r="N389" s="153"/>
      <c r="O389" s="153"/>
      <c r="P389" s="153"/>
      <c r="Q389" s="153"/>
      <c r="R389" s="153"/>
      <c r="S389" s="153"/>
      <c r="T389" s="153"/>
      <c r="U389" s="153"/>
      <c r="V389" s="153"/>
      <c r="W389" s="153"/>
    </row>
    <row r="390" spans="2:23" s="14" customFormat="1" x14ac:dyDescent="0.25">
      <c r="B390" s="13"/>
      <c r="C390" s="153"/>
      <c r="D390" s="153"/>
      <c r="E390" s="153"/>
      <c r="F390" s="153"/>
      <c r="G390" s="153"/>
      <c r="H390" s="153"/>
      <c r="I390" s="153"/>
      <c r="J390" s="157"/>
      <c r="K390" s="157"/>
      <c r="L390" s="157"/>
      <c r="M390" s="157"/>
      <c r="N390" s="153"/>
      <c r="O390" s="153"/>
      <c r="P390" s="153"/>
      <c r="Q390" s="153"/>
      <c r="R390" s="153"/>
      <c r="S390" s="153"/>
      <c r="T390" s="153"/>
      <c r="U390" s="153"/>
      <c r="V390" s="153"/>
      <c r="W390" s="153"/>
    </row>
    <row r="391" spans="2:23" s="14" customFormat="1" x14ac:dyDescent="0.25">
      <c r="B391" s="13"/>
      <c r="C391" s="153"/>
      <c r="D391" s="153"/>
      <c r="E391" s="153"/>
      <c r="F391" s="153"/>
      <c r="G391" s="153"/>
      <c r="H391" s="153"/>
      <c r="I391" s="153"/>
      <c r="J391" s="157"/>
      <c r="K391" s="157"/>
      <c r="L391" s="157"/>
      <c r="M391" s="157"/>
      <c r="N391" s="153"/>
      <c r="O391" s="153"/>
      <c r="P391" s="153"/>
      <c r="Q391" s="153"/>
      <c r="R391" s="153"/>
      <c r="S391" s="153"/>
      <c r="T391" s="153"/>
      <c r="U391" s="153"/>
      <c r="V391" s="153"/>
      <c r="W391" s="153"/>
    </row>
    <row r="392" spans="2:23" s="14" customFormat="1" x14ac:dyDescent="0.25">
      <c r="B392" s="13"/>
      <c r="C392" s="153"/>
      <c r="D392" s="153"/>
      <c r="E392" s="153"/>
      <c r="F392" s="153"/>
      <c r="G392" s="153"/>
      <c r="H392" s="153"/>
      <c r="I392" s="153"/>
      <c r="J392" s="157"/>
      <c r="K392" s="157"/>
      <c r="L392" s="157"/>
      <c r="M392" s="157"/>
      <c r="N392" s="153"/>
      <c r="O392" s="153"/>
      <c r="P392" s="153"/>
      <c r="Q392" s="153"/>
      <c r="R392" s="153"/>
      <c r="S392" s="153"/>
      <c r="T392" s="153"/>
      <c r="U392" s="153"/>
      <c r="V392" s="153"/>
      <c r="W392" s="153"/>
    </row>
    <row r="393" spans="2:23" s="14" customFormat="1" x14ac:dyDescent="0.25">
      <c r="B393" s="13"/>
      <c r="C393" s="153"/>
      <c r="D393" s="153"/>
      <c r="E393" s="153"/>
      <c r="F393" s="153"/>
      <c r="G393" s="153"/>
      <c r="H393" s="153"/>
      <c r="I393" s="153"/>
      <c r="J393" s="157"/>
      <c r="K393" s="157"/>
      <c r="L393" s="157"/>
      <c r="M393" s="157"/>
      <c r="N393" s="153"/>
      <c r="O393" s="153"/>
      <c r="P393" s="153"/>
      <c r="Q393" s="153"/>
      <c r="R393" s="153"/>
      <c r="S393" s="153"/>
      <c r="T393" s="153"/>
      <c r="U393" s="153"/>
      <c r="V393" s="153"/>
      <c r="W393" s="153"/>
    </row>
    <row r="394" spans="2:23" s="14" customFormat="1" x14ac:dyDescent="0.25">
      <c r="B394" s="13"/>
      <c r="C394" s="153"/>
      <c r="D394" s="153"/>
      <c r="E394" s="153"/>
      <c r="F394" s="153"/>
      <c r="G394" s="153"/>
      <c r="H394" s="153"/>
      <c r="I394" s="153"/>
      <c r="J394" s="157"/>
      <c r="K394" s="157"/>
      <c r="L394" s="157"/>
      <c r="M394" s="157"/>
      <c r="N394" s="153"/>
      <c r="O394" s="153"/>
      <c r="P394" s="153"/>
      <c r="Q394" s="153"/>
      <c r="R394" s="153"/>
      <c r="S394" s="153"/>
      <c r="T394" s="153"/>
      <c r="U394" s="153"/>
      <c r="V394" s="153"/>
      <c r="W394" s="153"/>
    </row>
    <row r="395" spans="2:23" s="14" customFormat="1" x14ac:dyDescent="0.25">
      <c r="B395" s="13"/>
      <c r="C395" s="153"/>
      <c r="D395" s="153"/>
      <c r="E395" s="153"/>
      <c r="F395" s="153"/>
      <c r="G395" s="153"/>
      <c r="H395" s="153"/>
      <c r="I395" s="153"/>
      <c r="J395" s="157"/>
      <c r="K395" s="157"/>
      <c r="L395" s="157"/>
      <c r="M395" s="157"/>
      <c r="N395" s="153"/>
      <c r="O395" s="153"/>
      <c r="P395" s="153"/>
      <c r="Q395" s="153"/>
      <c r="R395" s="153"/>
      <c r="S395" s="153"/>
      <c r="T395" s="153"/>
      <c r="U395" s="153"/>
      <c r="V395" s="153"/>
      <c r="W395" s="153"/>
    </row>
    <row r="396" spans="2:23" s="14" customFormat="1" x14ac:dyDescent="0.25">
      <c r="B396" s="13"/>
      <c r="C396" s="153"/>
      <c r="D396" s="153"/>
      <c r="E396" s="153"/>
      <c r="F396" s="153"/>
      <c r="G396" s="153"/>
      <c r="H396" s="153"/>
      <c r="I396" s="153"/>
      <c r="J396" s="157"/>
      <c r="K396" s="157"/>
      <c r="L396" s="157"/>
      <c r="M396" s="157"/>
      <c r="N396" s="153"/>
      <c r="O396" s="153"/>
      <c r="P396" s="153"/>
      <c r="Q396" s="153"/>
      <c r="R396" s="153"/>
      <c r="S396" s="153"/>
      <c r="T396" s="153"/>
      <c r="U396" s="153"/>
      <c r="V396" s="153"/>
      <c r="W396" s="153"/>
    </row>
    <row r="397" spans="2:23" s="14" customFormat="1" x14ac:dyDescent="0.25">
      <c r="B397" s="13"/>
      <c r="C397" s="153"/>
      <c r="D397" s="153"/>
      <c r="E397" s="153"/>
      <c r="F397" s="153"/>
      <c r="G397" s="153"/>
      <c r="H397" s="153"/>
      <c r="I397" s="153"/>
      <c r="J397" s="157"/>
      <c r="K397" s="157"/>
      <c r="L397" s="157"/>
      <c r="M397" s="157"/>
      <c r="N397" s="153"/>
      <c r="O397" s="153"/>
      <c r="P397" s="153"/>
      <c r="Q397" s="153"/>
      <c r="R397" s="153"/>
      <c r="S397" s="153"/>
      <c r="T397" s="153"/>
      <c r="U397" s="153"/>
      <c r="V397" s="153"/>
      <c r="W397" s="153"/>
    </row>
    <row r="398" spans="2:23" s="14" customFormat="1" x14ac:dyDescent="0.25">
      <c r="B398" s="13"/>
      <c r="C398" s="153"/>
      <c r="D398" s="153"/>
      <c r="E398" s="153"/>
      <c r="F398" s="153"/>
      <c r="G398" s="153"/>
      <c r="H398" s="153"/>
      <c r="I398" s="153"/>
      <c r="J398" s="157"/>
      <c r="K398" s="157"/>
      <c r="L398" s="157"/>
      <c r="M398" s="157"/>
      <c r="N398" s="153"/>
      <c r="O398" s="153"/>
      <c r="P398" s="153"/>
      <c r="Q398" s="153"/>
      <c r="R398" s="153"/>
      <c r="S398" s="153"/>
      <c r="T398" s="153"/>
      <c r="U398" s="153"/>
      <c r="V398" s="153"/>
      <c r="W398" s="153"/>
    </row>
    <row r="399" spans="2:23" s="14" customFormat="1" x14ac:dyDescent="0.25">
      <c r="B399" s="13"/>
      <c r="C399" s="153"/>
      <c r="D399" s="153"/>
      <c r="E399" s="153"/>
      <c r="F399" s="153"/>
      <c r="G399" s="153"/>
      <c r="H399" s="153"/>
      <c r="I399" s="153"/>
      <c r="J399" s="157"/>
      <c r="K399" s="157"/>
      <c r="L399" s="157"/>
      <c r="M399" s="157"/>
      <c r="N399" s="153"/>
      <c r="O399" s="153"/>
      <c r="P399" s="153"/>
      <c r="Q399" s="153"/>
      <c r="R399" s="153"/>
      <c r="S399" s="153"/>
      <c r="T399" s="153"/>
      <c r="U399" s="153"/>
      <c r="V399" s="153"/>
      <c r="W399" s="153"/>
    </row>
    <row r="400" spans="2:23" s="14" customFormat="1" x14ac:dyDescent="0.25">
      <c r="B400" s="13"/>
      <c r="C400" s="153"/>
      <c r="D400" s="153"/>
      <c r="E400" s="153"/>
      <c r="F400" s="153"/>
      <c r="G400" s="153"/>
      <c r="H400" s="153"/>
      <c r="I400" s="153"/>
      <c r="J400" s="157"/>
      <c r="K400" s="157"/>
      <c r="L400" s="157"/>
      <c r="M400" s="157"/>
      <c r="N400" s="153"/>
      <c r="O400" s="153"/>
      <c r="P400" s="153"/>
      <c r="Q400" s="153"/>
      <c r="R400" s="153"/>
      <c r="S400" s="153"/>
      <c r="T400" s="153"/>
      <c r="U400" s="153"/>
      <c r="V400" s="153"/>
      <c r="W400" s="153"/>
    </row>
    <row r="401" spans="2:23" s="14" customFormat="1" x14ac:dyDescent="0.25">
      <c r="B401" s="13"/>
      <c r="C401" s="153"/>
      <c r="D401" s="153"/>
      <c r="E401" s="153"/>
      <c r="F401" s="153"/>
      <c r="G401" s="153"/>
      <c r="H401" s="153"/>
      <c r="I401" s="153"/>
      <c r="J401" s="157"/>
      <c r="K401" s="157"/>
      <c r="L401" s="157"/>
      <c r="M401" s="157"/>
      <c r="N401" s="153"/>
      <c r="O401" s="153"/>
      <c r="P401" s="153"/>
      <c r="Q401" s="153"/>
      <c r="R401" s="153"/>
      <c r="S401" s="153"/>
      <c r="T401" s="153"/>
      <c r="U401" s="153"/>
      <c r="V401" s="153"/>
      <c r="W401" s="153"/>
    </row>
    <row r="402" spans="2:23" s="14" customFormat="1" x14ac:dyDescent="0.25">
      <c r="B402" s="13"/>
      <c r="C402" s="153"/>
      <c r="D402" s="153"/>
      <c r="E402" s="153"/>
      <c r="F402" s="153"/>
      <c r="G402" s="153"/>
      <c r="H402" s="153"/>
      <c r="I402" s="153"/>
      <c r="J402" s="157"/>
      <c r="K402" s="157"/>
      <c r="L402" s="157"/>
      <c r="M402" s="157"/>
      <c r="N402" s="153"/>
      <c r="O402" s="153"/>
      <c r="P402" s="153"/>
      <c r="Q402" s="153"/>
      <c r="R402" s="153"/>
      <c r="S402" s="153"/>
      <c r="T402" s="153"/>
      <c r="U402" s="153"/>
      <c r="V402" s="153"/>
      <c r="W402" s="153"/>
    </row>
    <row r="403" spans="2:23" s="14" customFormat="1" x14ac:dyDescent="0.25">
      <c r="B403" s="13"/>
      <c r="C403" s="153"/>
      <c r="D403" s="153"/>
      <c r="E403" s="153"/>
      <c r="F403" s="153"/>
      <c r="G403" s="153"/>
      <c r="H403" s="153"/>
      <c r="I403" s="153"/>
      <c r="J403" s="157"/>
      <c r="K403" s="157"/>
      <c r="L403" s="157"/>
      <c r="M403" s="157"/>
      <c r="N403" s="153"/>
      <c r="O403" s="153"/>
      <c r="P403" s="153"/>
      <c r="Q403" s="153"/>
      <c r="R403" s="153"/>
      <c r="S403" s="153"/>
      <c r="T403" s="153"/>
      <c r="U403" s="153"/>
      <c r="V403" s="153"/>
      <c r="W403" s="153"/>
    </row>
    <row r="404" spans="2:23" s="14" customFormat="1" x14ac:dyDescent="0.25">
      <c r="B404" s="13"/>
      <c r="C404" s="153"/>
      <c r="D404" s="153"/>
      <c r="E404" s="153"/>
      <c r="F404" s="153"/>
      <c r="G404" s="153"/>
      <c r="H404" s="153"/>
      <c r="I404" s="153"/>
      <c r="J404" s="157"/>
      <c r="K404" s="157"/>
      <c r="L404" s="157"/>
      <c r="M404" s="157"/>
      <c r="N404" s="153"/>
      <c r="O404" s="153"/>
      <c r="P404" s="153"/>
      <c r="Q404" s="153"/>
      <c r="R404" s="153"/>
      <c r="S404" s="153"/>
      <c r="T404" s="153"/>
      <c r="U404" s="153"/>
      <c r="V404" s="153"/>
      <c r="W404" s="153"/>
    </row>
    <row r="405" spans="2:23" s="14" customFormat="1" x14ac:dyDescent="0.25">
      <c r="B405" s="13"/>
      <c r="C405" s="153"/>
      <c r="D405" s="153"/>
      <c r="E405" s="153"/>
      <c r="F405" s="153"/>
      <c r="G405" s="153"/>
      <c r="H405" s="153"/>
      <c r="I405" s="153"/>
      <c r="J405" s="157"/>
      <c r="K405" s="157"/>
      <c r="L405" s="157"/>
      <c r="M405" s="157"/>
      <c r="N405" s="153"/>
      <c r="O405" s="153"/>
      <c r="P405" s="153"/>
      <c r="Q405" s="153"/>
      <c r="R405" s="153"/>
      <c r="S405" s="153"/>
      <c r="T405" s="153"/>
      <c r="U405" s="153"/>
      <c r="V405" s="153"/>
      <c r="W405" s="153"/>
    </row>
    <row r="406" spans="2:23" s="14" customFormat="1" x14ac:dyDescent="0.25">
      <c r="B406" s="13"/>
      <c r="C406" s="153"/>
      <c r="D406" s="153"/>
      <c r="E406" s="153"/>
      <c r="F406" s="153"/>
      <c r="G406" s="153"/>
      <c r="H406" s="153"/>
      <c r="I406" s="153"/>
      <c r="J406" s="157"/>
      <c r="K406" s="157"/>
      <c r="L406" s="157"/>
      <c r="M406" s="157"/>
      <c r="N406" s="153"/>
      <c r="O406" s="153"/>
      <c r="P406" s="153"/>
      <c r="Q406" s="153"/>
      <c r="R406" s="153"/>
      <c r="S406" s="153"/>
      <c r="T406" s="153"/>
      <c r="U406" s="153"/>
      <c r="V406" s="153"/>
      <c r="W406" s="153"/>
    </row>
    <row r="407" spans="2:23" s="14" customFormat="1" x14ac:dyDescent="0.25">
      <c r="B407" s="13"/>
      <c r="C407" s="153"/>
      <c r="D407" s="153"/>
      <c r="E407" s="153"/>
      <c r="F407" s="153"/>
      <c r="G407" s="153"/>
      <c r="H407" s="153"/>
      <c r="I407" s="153"/>
      <c r="J407" s="157"/>
      <c r="K407" s="157"/>
      <c r="L407" s="157"/>
      <c r="M407" s="157"/>
      <c r="N407" s="153"/>
      <c r="O407" s="153"/>
      <c r="P407" s="153"/>
      <c r="Q407" s="153"/>
      <c r="R407" s="153"/>
      <c r="S407" s="153"/>
      <c r="T407" s="153"/>
      <c r="U407" s="153"/>
      <c r="V407" s="153"/>
      <c r="W407" s="153"/>
    </row>
    <row r="408" spans="2:23" s="14" customFormat="1" x14ac:dyDescent="0.25">
      <c r="B408" s="13"/>
      <c r="C408" s="153"/>
      <c r="D408" s="153"/>
      <c r="E408" s="153"/>
      <c r="F408" s="153"/>
      <c r="G408" s="153"/>
      <c r="H408" s="153"/>
      <c r="I408" s="153"/>
      <c r="J408" s="157"/>
      <c r="K408" s="157"/>
      <c r="L408" s="157"/>
      <c r="M408" s="157"/>
      <c r="N408" s="153"/>
      <c r="O408" s="153"/>
      <c r="P408" s="153"/>
      <c r="Q408" s="153"/>
      <c r="R408" s="153"/>
      <c r="S408" s="153"/>
      <c r="T408" s="153"/>
      <c r="U408" s="153"/>
      <c r="V408" s="153"/>
      <c r="W408" s="153"/>
    </row>
    <row r="409" spans="2:23" s="14" customFormat="1" x14ac:dyDescent="0.25">
      <c r="B409" s="13"/>
      <c r="C409" s="153"/>
      <c r="D409" s="153"/>
      <c r="E409" s="153"/>
      <c r="F409" s="153"/>
      <c r="G409" s="153"/>
      <c r="H409" s="153"/>
      <c r="I409" s="153"/>
      <c r="J409" s="157"/>
      <c r="K409" s="157"/>
      <c r="L409" s="157"/>
      <c r="M409" s="157"/>
      <c r="N409" s="153"/>
      <c r="O409" s="153"/>
      <c r="P409" s="153"/>
      <c r="Q409" s="153"/>
      <c r="R409" s="153"/>
      <c r="S409" s="153"/>
      <c r="T409" s="153"/>
      <c r="U409" s="153"/>
      <c r="V409" s="153"/>
      <c r="W409" s="153"/>
    </row>
    <row r="410" spans="2:23" s="14" customFormat="1" x14ac:dyDescent="0.25">
      <c r="B410" s="13"/>
      <c r="C410" s="153"/>
      <c r="D410" s="153"/>
      <c r="E410" s="153"/>
      <c r="F410" s="153"/>
      <c r="G410" s="153"/>
      <c r="H410" s="153"/>
      <c r="I410" s="153"/>
      <c r="J410" s="157"/>
      <c r="K410" s="157"/>
      <c r="L410" s="157"/>
      <c r="M410" s="157"/>
      <c r="N410" s="153"/>
      <c r="O410" s="153"/>
      <c r="P410" s="153"/>
      <c r="Q410" s="153"/>
      <c r="R410" s="153"/>
      <c r="S410" s="153"/>
      <c r="T410" s="153"/>
      <c r="U410" s="153"/>
      <c r="V410" s="153"/>
      <c r="W410" s="153"/>
    </row>
    <row r="411" spans="2:23" s="14" customFormat="1" x14ac:dyDescent="0.25">
      <c r="B411" s="13"/>
      <c r="C411" s="153"/>
      <c r="D411" s="153"/>
      <c r="E411" s="153"/>
      <c r="F411" s="153"/>
      <c r="G411" s="153"/>
      <c r="H411" s="153"/>
      <c r="I411" s="153"/>
      <c r="J411" s="157"/>
      <c r="K411" s="157"/>
      <c r="L411" s="157"/>
      <c r="M411" s="157"/>
      <c r="N411" s="153"/>
      <c r="O411" s="153"/>
      <c r="P411" s="153"/>
      <c r="Q411" s="153"/>
      <c r="R411" s="153"/>
      <c r="S411" s="153"/>
      <c r="T411" s="153"/>
      <c r="U411" s="153"/>
      <c r="V411" s="153"/>
      <c r="W411" s="153"/>
    </row>
    <row r="412" spans="2:23" s="14" customFormat="1" x14ac:dyDescent="0.25">
      <c r="B412" s="13"/>
      <c r="C412" s="153"/>
      <c r="D412" s="153"/>
      <c r="E412" s="153"/>
      <c r="F412" s="153"/>
      <c r="G412" s="153"/>
      <c r="H412" s="153"/>
      <c r="I412" s="153"/>
      <c r="J412" s="157"/>
      <c r="K412" s="157"/>
      <c r="L412" s="157"/>
      <c r="M412" s="157"/>
      <c r="N412" s="153"/>
      <c r="O412" s="153"/>
      <c r="P412" s="153"/>
      <c r="Q412" s="153"/>
      <c r="R412" s="153"/>
      <c r="S412" s="153"/>
      <c r="T412" s="153"/>
      <c r="U412" s="153"/>
      <c r="V412" s="153"/>
      <c r="W412" s="153"/>
    </row>
    <row r="413" spans="2:23" s="14" customFormat="1" x14ac:dyDescent="0.25">
      <c r="B413" s="13"/>
      <c r="C413" s="153"/>
      <c r="D413" s="153"/>
      <c r="E413" s="153"/>
      <c r="F413" s="153"/>
      <c r="G413" s="153"/>
      <c r="H413" s="153"/>
      <c r="I413" s="153"/>
      <c r="J413" s="157"/>
      <c r="K413" s="157"/>
      <c r="L413" s="157"/>
      <c r="M413" s="157"/>
      <c r="N413" s="153"/>
      <c r="O413" s="153"/>
      <c r="P413" s="153"/>
      <c r="Q413" s="153"/>
      <c r="R413" s="153"/>
      <c r="S413" s="153"/>
      <c r="T413" s="153"/>
      <c r="U413" s="153"/>
      <c r="V413" s="153"/>
      <c r="W413" s="153"/>
    </row>
    <row r="414" spans="2:23" s="14" customFormat="1" x14ac:dyDescent="0.25">
      <c r="B414" s="13"/>
      <c r="C414" s="153"/>
      <c r="D414" s="153"/>
      <c r="E414" s="153"/>
      <c r="F414" s="153"/>
      <c r="G414" s="153"/>
      <c r="H414" s="153"/>
      <c r="I414" s="153"/>
      <c r="J414" s="157"/>
      <c r="K414" s="157"/>
      <c r="L414" s="157"/>
      <c r="M414" s="157"/>
      <c r="N414" s="153"/>
      <c r="O414" s="153"/>
      <c r="P414" s="153"/>
      <c r="Q414" s="153"/>
      <c r="R414" s="153"/>
      <c r="S414" s="153"/>
      <c r="T414" s="153"/>
      <c r="U414" s="153"/>
      <c r="V414" s="153"/>
      <c r="W414" s="153"/>
    </row>
    <row r="415" spans="2:23" s="14" customFormat="1" x14ac:dyDescent="0.25">
      <c r="B415" s="13"/>
      <c r="C415" s="153"/>
      <c r="D415" s="153"/>
      <c r="E415" s="153"/>
      <c r="F415" s="153"/>
      <c r="G415" s="153"/>
      <c r="H415" s="153"/>
      <c r="I415" s="153"/>
      <c r="J415" s="157"/>
      <c r="K415" s="157"/>
      <c r="L415" s="157"/>
      <c r="M415" s="157"/>
      <c r="N415" s="153"/>
      <c r="O415" s="153"/>
      <c r="P415" s="153"/>
      <c r="Q415" s="153"/>
      <c r="R415" s="153"/>
      <c r="S415" s="153"/>
      <c r="T415" s="153"/>
      <c r="U415" s="153"/>
      <c r="V415" s="153"/>
      <c r="W415" s="153"/>
    </row>
    <row r="416" spans="2:23" s="14" customFormat="1" x14ac:dyDescent="0.25">
      <c r="B416" s="13"/>
      <c r="C416" s="153"/>
      <c r="D416" s="153"/>
      <c r="E416" s="153"/>
      <c r="F416" s="153"/>
      <c r="G416" s="153"/>
      <c r="H416" s="153"/>
      <c r="I416" s="153"/>
      <c r="J416" s="157"/>
      <c r="K416" s="157"/>
      <c r="L416" s="157"/>
      <c r="M416" s="157"/>
      <c r="N416" s="153"/>
      <c r="O416" s="153"/>
      <c r="P416" s="153"/>
      <c r="Q416" s="153"/>
      <c r="R416" s="153"/>
      <c r="S416" s="153"/>
      <c r="T416" s="153"/>
      <c r="U416" s="153"/>
      <c r="V416" s="153"/>
      <c r="W416" s="153"/>
    </row>
    <row r="417" spans="2:23" s="14" customFormat="1" x14ac:dyDescent="0.25">
      <c r="B417" s="13"/>
      <c r="C417" s="153"/>
      <c r="D417" s="153"/>
      <c r="E417" s="153"/>
      <c r="F417" s="153"/>
      <c r="G417" s="153"/>
      <c r="H417" s="153"/>
      <c r="I417" s="153"/>
      <c r="J417" s="157"/>
      <c r="K417" s="157"/>
      <c r="L417" s="157"/>
      <c r="M417" s="157"/>
      <c r="N417" s="153"/>
      <c r="O417" s="153"/>
      <c r="P417" s="153"/>
      <c r="Q417" s="153"/>
      <c r="R417" s="153"/>
      <c r="S417" s="153"/>
      <c r="T417" s="153"/>
      <c r="U417" s="153"/>
      <c r="V417" s="153"/>
      <c r="W417" s="153"/>
    </row>
    <row r="418" spans="2:23" s="14" customFormat="1" x14ac:dyDescent="0.25">
      <c r="B418" s="13"/>
      <c r="C418" s="153"/>
      <c r="D418" s="153"/>
      <c r="E418" s="153"/>
      <c r="F418" s="153"/>
      <c r="G418" s="153"/>
      <c r="H418" s="153"/>
      <c r="I418" s="153"/>
      <c r="J418" s="157"/>
      <c r="K418" s="157"/>
      <c r="L418" s="157"/>
      <c r="M418" s="157"/>
      <c r="N418" s="153"/>
      <c r="O418" s="153"/>
      <c r="P418" s="153"/>
      <c r="Q418" s="153"/>
      <c r="R418" s="153"/>
      <c r="S418" s="153"/>
      <c r="T418" s="153"/>
      <c r="U418" s="153"/>
      <c r="V418" s="153"/>
      <c r="W418" s="153"/>
    </row>
    <row r="419" spans="2:23" s="14" customFormat="1" x14ac:dyDescent="0.25">
      <c r="B419" s="13"/>
      <c r="C419" s="153"/>
      <c r="D419" s="153"/>
      <c r="E419" s="153"/>
      <c r="F419" s="153"/>
      <c r="G419" s="153"/>
      <c r="H419" s="153"/>
      <c r="I419" s="153"/>
      <c r="J419" s="157"/>
      <c r="K419" s="157"/>
      <c r="L419" s="157"/>
      <c r="M419" s="157"/>
      <c r="N419" s="153"/>
      <c r="O419" s="153"/>
      <c r="P419" s="153"/>
      <c r="Q419" s="153"/>
      <c r="R419" s="153"/>
      <c r="S419" s="153"/>
      <c r="T419" s="153"/>
      <c r="U419" s="153"/>
      <c r="V419" s="153"/>
      <c r="W419" s="153"/>
    </row>
    <row r="420" spans="2:23" s="14" customFormat="1" x14ac:dyDescent="0.25">
      <c r="B420" s="13"/>
      <c r="C420" s="153"/>
      <c r="D420" s="153"/>
      <c r="E420" s="153"/>
      <c r="F420" s="153"/>
      <c r="G420" s="153"/>
      <c r="H420" s="153"/>
      <c r="I420" s="153"/>
      <c r="J420" s="157"/>
      <c r="K420" s="157"/>
      <c r="L420" s="157"/>
      <c r="M420" s="157"/>
      <c r="N420" s="153"/>
      <c r="O420" s="153"/>
      <c r="P420" s="153"/>
      <c r="Q420" s="153"/>
      <c r="R420" s="153"/>
      <c r="S420" s="153"/>
      <c r="T420" s="153"/>
      <c r="U420" s="153"/>
      <c r="V420" s="153"/>
      <c r="W420" s="153"/>
    </row>
    <row r="421" spans="2:23" s="14" customFormat="1" x14ac:dyDescent="0.25">
      <c r="B421" s="13"/>
      <c r="C421" s="153"/>
      <c r="D421" s="153"/>
      <c r="E421" s="153"/>
      <c r="F421" s="153"/>
      <c r="G421" s="153"/>
      <c r="H421" s="153"/>
      <c r="I421" s="153"/>
      <c r="J421" s="157"/>
      <c r="K421" s="157"/>
      <c r="L421" s="157"/>
      <c r="M421" s="157"/>
      <c r="N421" s="153"/>
      <c r="O421" s="153"/>
      <c r="P421" s="153"/>
      <c r="Q421" s="153"/>
      <c r="R421" s="153"/>
      <c r="S421" s="153"/>
      <c r="T421" s="153"/>
      <c r="U421" s="153"/>
      <c r="V421" s="153"/>
      <c r="W421" s="153"/>
    </row>
    <row r="422" spans="2:23" s="14" customFormat="1" x14ac:dyDescent="0.25">
      <c r="B422" s="13"/>
      <c r="C422" s="153"/>
      <c r="D422" s="153"/>
      <c r="E422" s="153"/>
      <c r="F422" s="153"/>
      <c r="G422" s="153"/>
      <c r="H422" s="153"/>
      <c r="I422" s="153"/>
      <c r="J422" s="157"/>
      <c r="K422" s="157"/>
      <c r="L422" s="157"/>
      <c r="M422" s="157"/>
      <c r="N422" s="153"/>
      <c r="O422" s="153"/>
      <c r="P422" s="153"/>
      <c r="Q422" s="153"/>
      <c r="R422" s="153"/>
      <c r="S422" s="153"/>
      <c r="T422" s="153"/>
      <c r="U422" s="153"/>
      <c r="V422" s="153"/>
      <c r="W422" s="153"/>
    </row>
    <row r="423" spans="2:23" s="14" customFormat="1" x14ac:dyDescent="0.25">
      <c r="B423" s="13"/>
      <c r="C423" s="153"/>
      <c r="D423" s="153"/>
      <c r="E423" s="153"/>
      <c r="F423" s="153"/>
      <c r="G423" s="153"/>
      <c r="H423" s="153"/>
      <c r="I423" s="153"/>
      <c r="J423" s="157"/>
      <c r="K423" s="157"/>
      <c r="L423" s="157"/>
      <c r="M423" s="157"/>
      <c r="N423" s="153"/>
      <c r="O423" s="153"/>
      <c r="P423" s="153"/>
      <c r="Q423" s="153"/>
      <c r="R423" s="153"/>
      <c r="S423" s="153"/>
      <c r="T423" s="153"/>
      <c r="U423" s="153"/>
      <c r="V423" s="153"/>
      <c r="W423" s="153"/>
    </row>
    <row r="424" spans="2:23" s="14" customFormat="1" x14ac:dyDescent="0.25">
      <c r="B424" s="13"/>
      <c r="C424" s="153"/>
      <c r="D424" s="153"/>
      <c r="E424" s="153"/>
      <c r="F424" s="153"/>
      <c r="G424" s="153"/>
      <c r="H424" s="153"/>
      <c r="I424" s="153"/>
      <c r="J424" s="157"/>
      <c r="K424" s="157"/>
      <c r="L424" s="157"/>
      <c r="M424" s="157"/>
      <c r="N424" s="153"/>
      <c r="O424" s="153"/>
      <c r="P424" s="153"/>
      <c r="Q424" s="153"/>
      <c r="R424" s="153"/>
      <c r="S424" s="153"/>
      <c r="T424" s="153"/>
      <c r="U424" s="153"/>
      <c r="V424" s="153"/>
      <c r="W424" s="153"/>
    </row>
    <row r="425" spans="2:23" s="14" customFormat="1" x14ac:dyDescent="0.25">
      <c r="B425" s="13"/>
      <c r="C425" s="153"/>
      <c r="D425" s="153"/>
      <c r="E425" s="153"/>
      <c r="F425" s="153"/>
      <c r="G425" s="153"/>
      <c r="H425" s="153"/>
      <c r="I425" s="153"/>
      <c r="J425" s="157"/>
      <c r="K425" s="157"/>
      <c r="L425" s="157"/>
      <c r="M425" s="157"/>
      <c r="N425" s="153"/>
      <c r="O425" s="153"/>
      <c r="P425" s="153"/>
      <c r="Q425" s="153"/>
      <c r="R425" s="153"/>
      <c r="S425" s="153"/>
      <c r="T425" s="153"/>
      <c r="U425" s="153"/>
      <c r="V425" s="153"/>
      <c r="W425" s="153"/>
    </row>
    <row r="426" spans="2:23" s="14" customFormat="1" x14ac:dyDescent="0.25">
      <c r="B426" s="13"/>
      <c r="C426" s="153"/>
      <c r="D426" s="153"/>
      <c r="E426" s="153"/>
      <c r="F426" s="153"/>
      <c r="G426" s="153"/>
      <c r="H426" s="153"/>
      <c r="I426" s="153"/>
      <c r="J426" s="157"/>
      <c r="K426" s="157"/>
      <c r="L426" s="157"/>
      <c r="M426" s="157"/>
      <c r="N426" s="153"/>
      <c r="O426" s="153"/>
      <c r="P426" s="153"/>
      <c r="Q426" s="153"/>
      <c r="R426" s="153"/>
      <c r="S426" s="153"/>
      <c r="T426" s="153"/>
      <c r="U426" s="153"/>
      <c r="V426" s="153"/>
      <c r="W426" s="153"/>
    </row>
    <row r="427" spans="2:23" s="14" customFormat="1" x14ac:dyDescent="0.25">
      <c r="B427" s="13"/>
      <c r="C427" s="153"/>
      <c r="D427" s="153"/>
      <c r="E427" s="153"/>
      <c r="F427" s="153"/>
      <c r="G427" s="153"/>
      <c r="H427" s="153"/>
      <c r="I427" s="153"/>
      <c r="J427" s="157"/>
      <c r="K427" s="157"/>
      <c r="L427" s="157"/>
      <c r="M427" s="157"/>
      <c r="N427" s="153"/>
      <c r="O427" s="153"/>
      <c r="P427" s="153"/>
      <c r="Q427" s="153"/>
      <c r="R427" s="153"/>
      <c r="S427" s="153"/>
      <c r="T427" s="153"/>
      <c r="U427" s="153"/>
      <c r="V427" s="153"/>
      <c r="W427" s="153"/>
    </row>
    <row r="428" spans="2:23" s="14" customFormat="1" x14ac:dyDescent="0.25">
      <c r="B428" s="13"/>
      <c r="C428" s="153"/>
      <c r="D428" s="153"/>
      <c r="E428" s="153"/>
      <c r="F428" s="153"/>
      <c r="G428" s="153"/>
      <c r="H428" s="153"/>
      <c r="I428" s="153"/>
      <c r="J428" s="157"/>
      <c r="K428" s="157"/>
      <c r="L428" s="157"/>
      <c r="M428" s="157"/>
      <c r="N428" s="153"/>
      <c r="O428" s="153"/>
      <c r="P428" s="153"/>
      <c r="Q428" s="153"/>
      <c r="R428" s="153"/>
      <c r="S428" s="153"/>
      <c r="T428" s="153"/>
      <c r="U428" s="153"/>
      <c r="V428" s="153"/>
      <c r="W428" s="153"/>
    </row>
    <row r="429" spans="2:23" s="14" customFormat="1" x14ac:dyDescent="0.25">
      <c r="B429" s="13"/>
      <c r="C429" s="153"/>
      <c r="D429" s="153"/>
      <c r="E429" s="153"/>
      <c r="F429" s="153"/>
      <c r="G429" s="153"/>
      <c r="H429" s="153"/>
      <c r="I429" s="153"/>
      <c r="J429" s="157"/>
      <c r="K429" s="157"/>
      <c r="L429" s="157"/>
      <c r="M429" s="157"/>
      <c r="N429" s="153"/>
      <c r="O429" s="153"/>
      <c r="P429" s="153"/>
      <c r="Q429" s="153"/>
      <c r="R429" s="153"/>
      <c r="S429" s="153"/>
      <c r="T429" s="153"/>
      <c r="U429" s="153"/>
      <c r="V429" s="153"/>
      <c r="W429" s="153"/>
    </row>
    <row r="430" spans="2:23" s="14" customFormat="1" x14ac:dyDescent="0.25">
      <c r="B430" s="13"/>
      <c r="C430" s="153"/>
      <c r="D430" s="153"/>
      <c r="E430" s="153"/>
      <c r="F430" s="153"/>
      <c r="G430" s="153"/>
      <c r="H430" s="153"/>
      <c r="I430" s="153"/>
      <c r="J430" s="157"/>
      <c r="K430" s="157"/>
      <c r="L430" s="157"/>
      <c r="M430" s="157"/>
      <c r="N430" s="153"/>
      <c r="O430" s="153"/>
      <c r="P430" s="153"/>
      <c r="Q430" s="153"/>
      <c r="R430" s="153"/>
      <c r="S430" s="153"/>
      <c r="T430" s="153"/>
      <c r="U430" s="153"/>
      <c r="V430" s="153"/>
      <c r="W430" s="153"/>
    </row>
    <row r="431" spans="2:23" s="14" customFormat="1" x14ac:dyDescent="0.25">
      <c r="B431" s="13"/>
      <c r="C431" s="153"/>
      <c r="D431" s="153"/>
      <c r="E431" s="153"/>
      <c r="F431" s="153"/>
      <c r="G431" s="153"/>
      <c r="H431" s="153"/>
      <c r="I431" s="153"/>
      <c r="J431" s="157"/>
      <c r="K431" s="157"/>
      <c r="L431" s="157"/>
      <c r="M431" s="157"/>
      <c r="N431" s="153"/>
      <c r="O431" s="153"/>
      <c r="P431" s="153"/>
      <c r="Q431" s="153"/>
      <c r="R431" s="153"/>
      <c r="S431" s="153"/>
      <c r="T431" s="153"/>
      <c r="U431" s="153"/>
      <c r="V431" s="153"/>
      <c r="W431" s="153"/>
    </row>
    <row r="432" spans="2:23" s="14" customFormat="1" x14ac:dyDescent="0.25">
      <c r="B432" s="13"/>
      <c r="C432" s="153"/>
      <c r="D432" s="153"/>
      <c r="E432" s="153"/>
      <c r="F432" s="153"/>
      <c r="G432" s="153"/>
      <c r="H432" s="153"/>
      <c r="I432" s="153"/>
      <c r="J432" s="157"/>
      <c r="K432" s="157"/>
      <c r="L432" s="157"/>
      <c r="M432" s="157"/>
      <c r="N432" s="153"/>
      <c r="O432" s="153"/>
      <c r="P432" s="153"/>
      <c r="Q432" s="153"/>
      <c r="R432" s="153"/>
      <c r="S432" s="153"/>
      <c r="T432" s="153"/>
      <c r="U432" s="153"/>
      <c r="V432" s="153"/>
      <c r="W432" s="153"/>
    </row>
    <row r="433" spans="2:23" s="14" customFormat="1" x14ac:dyDescent="0.25">
      <c r="B433" s="13"/>
      <c r="C433" s="153"/>
      <c r="D433" s="153"/>
      <c r="E433" s="153"/>
      <c r="F433" s="153"/>
      <c r="G433" s="153"/>
      <c r="H433" s="153"/>
      <c r="I433" s="153"/>
      <c r="J433" s="157"/>
      <c r="K433" s="157"/>
      <c r="L433" s="157"/>
      <c r="M433" s="157"/>
      <c r="N433" s="153"/>
      <c r="O433" s="153"/>
      <c r="P433" s="153"/>
      <c r="Q433" s="153"/>
      <c r="R433" s="153"/>
      <c r="S433" s="153"/>
      <c r="T433" s="153"/>
      <c r="U433" s="153"/>
      <c r="V433" s="153"/>
      <c r="W433" s="153"/>
    </row>
    <row r="434" spans="2:23" s="14" customFormat="1" x14ac:dyDescent="0.25">
      <c r="B434" s="13"/>
      <c r="C434" s="153"/>
      <c r="D434" s="153"/>
      <c r="E434" s="153"/>
      <c r="F434" s="153"/>
      <c r="G434" s="153"/>
      <c r="H434" s="153"/>
      <c r="I434" s="153"/>
      <c r="J434" s="157"/>
      <c r="K434" s="157"/>
      <c r="L434" s="157"/>
      <c r="M434" s="157"/>
      <c r="N434" s="153"/>
      <c r="O434" s="153"/>
      <c r="P434" s="153"/>
      <c r="Q434" s="153"/>
      <c r="R434" s="153"/>
      <c r="S434" s="153"/>
      <c r="T434" s="153"/>
      <c r="U434" s="153"/>
      <c r="V434" s="153"/>
      <c r="W434" s="153"/>
    </row>
    <row r="435" spans="2:23" s="14" customFormat="1" x14ac:dyDescent="0.25">
      <c r="B435" s="13"/>
      <c r="C435" s="153"/>
      <c r="D435" s="153"/>
      <c r="E435" s="153"/>
      <c r="F435" s="153"/>
      <c r="G435" s="153"/>
      <c r="H435" s="153"/>
      <c r="I435" s="153"/>
      <c r="J435" s="157"/>
      <c r="K435" s="157"/>
      <c r="L435" s="157"/>
      <c r="M435" s="157"/>
      <c r="N435" s="153"/>
      <c r="O435" s="153"/>
      <c r="P435" s="153"/>
      <c r="Q435" s="153"/>
      <c r="R435" s="153"/>
      <c r="S435" s="153"/>
      <c r="T435" s="153"/>
      <c r="U435" s="153"/>
      <c r="V435" s="153"/>
      <c r="W435" s="153"/>
    </row>
    <row r="436" spans="2:23" s="14" customFormat="1" x14ac:dyDescent="0.25">
      <c r="B436" s="13"/>
      <c r="C436" s="153"/>
      <c r="D436" s="153"/>
      <c r="E436" s="153"/>
      <c r="F436" s="153"/>
      <c r="G436" s="153"/>
      <c r="H436" s="153"/>
      <c r="I436" s="153"/>
      <c r="J436" s="157"/>
      <c r="K436" s="157"/>
      <c r="L436" s="157"/>
      <c r="M436" s="157"/>
      <c r="N436" s="153"/>
      <c r="O436" s="153"/>
      <c r="P436" s="153"/>
      <c r="Q436" s="153"/>
      <c r="R436" s="153"/>
      <c r="S436" s="153"/>
      <c r="T436" s="153"/>
      <c r="U436" s="153"/>
      <c r="V436" s="153"/>
      <c r="W436" s="153"/>
    </row>
    <row r="437" spans="2:23" s="14" customFormat="1" x14ac:dyDescent="0.25">
      <c r="B437" s="13"/>
      <c r="C437" s="153"/>
      <c r="D437" s="153"/>
      <c r="E437" s="153"/>
      <c r="F437" s="153"/>
      <c r="G437" s="153"/>
      <c r="H437" s="153"/>
      <c r="I437" s="153"/>
      <c r="J437" s="157"/>
      <c r="K437" s="157"/>
      <c r="L437" s="157"/>
      <c r="M437" s="157"/>
      <c r="N437" s="153"/>
      <c r="O437" s="153"/>
      <c r="P437" s="153"/>
      <c r="Q437" s="153"/>
      <c r="R437" s="153"/>
      <c r="S437" s="153"/>
      <c r="T437" s="153"/>
      <c r="U437" s="153"/>
      <c r="V437" s="153"/>
      <c r="W437" s="153"/>
    </row>
    <row r="438" spans="2:23" s="14" customFormat="1" x14ac:dyDescent="0.25">
      <c r="B438" s="13"/>
      <c r="C438" s="153"/>
      <c r="D438" s="153"/>
      <c r="E438" s="153"/>
      <c r="F438" s="153"/>
      <c r="G438" s="153"/>
      <c r="H438" s="153"/>
      <c r="I438" s="153"/>
      <c r="J438" s="157"/>
      <c r="K438" s="157"/>
      <c r="L438" s="157"/>
      <c r="M438" s="157"/>
      <c r="N438" s="153"/>
      <c r="O438" s="153"/>
      <c r="P438" s="153"/>
      <c r="Q438" s="153"/>
      <c r="R438" s="153"/>
      <c r="S438" s="153"/>
      <c r="T438" s="153"/>
      <c r="U438" s="153"/>
      <c r="V438" s="153"/>
      <c r="W438" s="153"/>
    </row>
    <row r="439" spans="2:23" s="14" customFormat="1" x14ac:dyDescent="0.25">
      <c r="B439" s="13"/>
      <c r="C439" s="153"/>
      <c r="D439" s="153"/>
      <c r="E439" s="153"/>
      <c r="F439" s="153"/>
      <c r="G439" s="153"/>
      <c r="H439" s="153"/>
      <c r="I439" s="153"/>
      <c r="J439" s="157"/>
      <c r="K439" s="157"/>
      <c r="L439" s="157"/>
      <c r="M439" s="157"/>
      <c r="N439" s="153"/>
      <c r="O439" s="153"/>
      <c r="P439" s="153"/>
      <c r="Q439" s="153"/>
      <c r="R439" s="153"/>
      <c r="S439" s="153"/>
      <c r="T439" s="153"/>
      <c r="U439" s="153"/>
      <c r="V439" s="153"/>
      <c r="W439" s="153"/>
    </row>
    <row r="440" spans="2:23" s="14" customFormat="1" x14ac:dyDescent="0.25">
      <c r="B440" s="13"/>
      <c r="C440" s="153"/>
      <c r="D440" s="153"/>
      <c r="E440" s="153"/>
      <c r="F440" s="153"/>
      <c r="G440" s="153"/>
      <c r="H440" s="153"/>
      <c r="I440" s="153"/>
      <c r="J440" s="157"/>
      <c r="K440" s="157"/>
      <c r="L440" s="157"/>
      <c r="M440" s="157"/>
      <c r="N440" s="153"/>
      <c r="O440" s="153"/>
      <c r="P440" s="153"/>
      <c r="Q440" s="153"/>
      <c r="R440" s="153"/>
      <c r="S440" s="153"/>
      <c r="T440" s="153"/>
      <c r="U440" s="153"/>
      <c r="V440" s="153"/>
      <c r="W440" s="153"/>
    </row>
    <row r="441" spans="2:23" s="14" customFormat="1" x14ac:dyDescent="0.25">
      <c r="B441" s="13"/>
      <c r="C441" s="153"/>
      <c r="D441" s="153"/>
      <c r="E441" s="153"/>
      <c r="F441" s="153"/>
      <c r="G441" s="153"/>
      <c r="H441" s="153"/>
      <c r="I441" s="153"/>
      <c r="J441" s="157"/>
      <c r="K441" s="157"/>
      <c r="L441" s="157"/>
      <c r="M441" s="157"/>
      <c r="N441" s="153"/>
      <c r="O441" s="153"/>
      <c r="P441" s="153"/>
      <c r="Q441" s="153"/>
      <c r="R441" s="153"/>
      <c r="S441" s="153"/>
      <c r="T441" s="153"/>
      <c r="U441" s="153"/>
      <c r="V441" s="153"/>
      <c r="W441" s="153"/>
    </row>
    <row r="442" spans="2:23" s="14" customFormat="1" x14ac:dyDescent="0.25">
      <c r="B442" s="13"/>
      <c r="C442" s="153"/>
      <c r="D442" s="153"/>
      <c r="E442" s="153"/>
      <c r="F442" s="153"/>
      <c r="G442" s="153"/>
      <c r="H442" s="153"/>
      <c r="I442" s="153"/>
      <c r="J442" s="157"/>
      <c r="K442" s="157"/>
      <c r="L442" s="157"/>
      <c r="M442" s="157"/>
      <c r="N442" s="153"/>
      <c r="O442" s="153"/>
      <c r="P442" s="153"/>
      <c r="Q442" s="153"/>
      <c r="R442" s="153"/>
      <c r="S442" s="153"/>
      <c r="T442" s="153"/>
      <c r="U442" s="153"/>
      <c r="V442" s="153"/>
      <c r="W442" s="153"/>
    </row>
    <row r="443" spans="2:23" s="14" customFormat="1" x14ac:dyDescent="0.25">
      <c r="B443" s="13"/>
      <c r="C443" s="153"/>
      <c r="D443" s="153"/>
      <c r="E443" s="153"/>
      <c r="F443" s="153"/>
      <c r="G443" s="153"/>
      <c r="H443" s="153"/>
      <c r="I443" s="153"/>
      <c r="J443" s="157"/>
      <c r="K443" s="157"/>
      <c r="L443" s="157"/>
      <c r="M443" s="157"/>
      <c r="N443" s="153"/>
      <c r="O443" s="153"/>
      <c r="P443" s="153"/>
      <c r="Q443" s="153"/>
      <c r="R443" s="153"/>
      <c r="S443" s="153"/>
      <c r="T443" s="153"/>
      <c r="U443" s="153"/>
      <c r="V443" s="153"/>
      <c r="W443" s="153"/>
    </row>
    <row r="444" spans="2:23" s="14" customFormat="1" x14ac:dyDescent="0.25">
      <c r="B444" s="13"/>
      <c r="C444" s="153"/>
      <c r="D444" s="153"/>
      <c r="E444" s="153"/>
      <c r="F444" s="153"/>
      <c r="G444" s="153"/>
      <c r="H444" s="153"/>
      <c r="I444" s="153"/>
      <c r="J444" s="157"/>
      <c r="K444" s="157"/>
      <c r="L444" s="157"/>
      <c r="M444" s="157"/>
      <c r="N444" s="153"/>
      <c r="O444" s="153"/>
      <c r="P444" s="153"/>
      <c r="Q444" s="153"/>
      <c r="R444" s="153"/>
      <c r="S444" s="153"/>
      <c r="T444" s="153"/>
      <c r="U444" s="153"/>
      <c r="V444" s="153"/>
      <c r="W444" s="153"/>
    </row>
    <row r="445" spans="2:23" s="14" customFormat="1" x14ac:dyDescent="0.25">
      <c r="B445" s="13"/>
      <c r="C445" s="153"/>
      <c r="D445" s="153"/>
      <c r="E445" s="153"/>
      <c r="F445" s="153"/>
      <c r="G445" s="153"/>
      <c r="H445" s="153"/>
      <c r="I445" s="153"/>
      <c r="J445" s="157"/>
      <c r="K445" s="157"/>
      <c r="L445" s="157"/>
      <c r="M445" s="157"/>
      <c r="N445" s="153"/>
      <c r="O445" s="153"/>
      <c r="P445" s="153"/>
      <c r="Q445" s="153"/>
      <c r="R445" s="153"/>
      <c r="S445" s="153"/>
      <c r="T445" s="153"/>
      <c r="U445" s="153"/>
      <c r="V445" s="153"/>
      <c r="W445" s="153"/>
    </row>
    <row r="446" spans="2:23" s="14" customFormat="1" x14ac:dyDescent="0.25">
      <c r="B446" s="13"/>
      <c r="C446" s="153"/>
      <c r="D446" s="153"/>
      <c r="E446" s="153"/>
      <c r="F446" s="153"/>
      <c r="G446" s="153"/>
      <c r="H446" s="153"/>
      <c r="I446" s="153"/>
      <c r="J446" s="157"/>
      <c r="K446" s="157"/>
      <c r="L446" s="157"/>
      <c r="M446" s="157"/>
      <c r="N446" s="153"/>
      <c r="O446" s="153"/>
      <c r="P446" s="153"/>
      <c r="Q446" s="153"/>
      <c r="R446" s="153"/>
      <c r="S446" s="153"/>
      <c r="T446" s="153"/>
      <c r="U446" s="153"/>
      <c r="V446" s="153"/>
      <c r="W446" s="153"/>
    </row>
    <row r="447" spans="2:23" s="14" customFormat="1" x14ac:dyDescent="0.25">
      <c r="B447" s="13"/>
      <c r="C447" s="153"/>
      <c r="D447" s="153"/>
      <c r="E447" s="153"/>
      <c r="F447" s="153"/>
      <c r="G447" s="153"/>
      <c r="H447" s="153"/>
      <c r="I447" s="153"/>
      <c r="J447" s="157"/>
      <c r="K447" s="157"/>
      <c r="L447" s="157"/>
      <c r="M447" s="157"/>
      <c r="N447" s="153"/>
      <c r="O447" s="153"/>
      <c r="P447" s="153"/>
      <c r="Q447" s="153"/>
      <c r="R447" s="153"/>
      <c r="S447" s="153"/>
      <c r="T447" s="153"/>
      <c r="U447" s="153"/>
      <c r="V447" s="153"/>
      <c r="W447" s="153"/>
    </row>
    <row r="448" spans="2:23" s="14" customFormat="1" x14ac:dyDescent="0.25">
      <c r="B448" s="13"/>
      <c r="C448" s="153"/>
      <c r="D448" s="153"/>
      <c r="E448" s="153"/>
      <c r="F448" s="153"/>
      <c r="G448" s="153"/>
      <c r="H448" s="153"/>
      <c r="I448" s="153"/>
      <c r="J448" s="157"/>
      <c r="K448" s="157"/>
      <c r="L448" s="157"/>
      <c r="M448" s="157"/>
      <c r="N448" s="153"/>
      <c r="O448" s="153"/>
      <c r="P448" s="153"/>
      <c r="Q448" s="153"/>
      <c r="R448" s="153"/>
      <c r="S448" s="153"/>
      <c r="T448" s="153"/>
      <c r="U448" s="153"/>
      <c r="V448" s="153"/>
      <c r="W448" s="153"/>
    </row>
    <row r="449" spans="2:23" s="14" customFormat="1" x14ac:dyDescent="0.25">
      <c r="B449" s="13"/>
      <c r="C449" s="153"/>
      <c r="D449" s="153"/>
      <c r="E449" s="153"/>
      <c r="F449" s="153"/>
      <c r="G449" s="153"/>
      <c r="H449" s="153"/>
      <c r="I449" s="153"/>
      <c r="J449" s="157"/>
      <c r="K449" s="157"/>
      <c r="L449" s="157"/>
      <c r="M449" s="157"/>
      <c r="N449" s="153"/>
      <c r="O449" s="153"/>
      <c r="P449" s="153"/>
      <c r="Q449" s="153"/>
      <c r="R449" s="153"/>
      <c r="S449" s="153"/>
      <c r="T449" s="153"/>
      <c r="U449" s="153"/>
      <c r="V449" s="153"/>
      <c r="W449" s="153"/>
    </row>
    <row r="450" spans="2:23" s="14" customFormat="1" x14ac:dyDescent="0.25">
      <c r="B450" s="13"/>
      <c r="C450" s="153"/>
      <c r="D450" s="153"/>
      <c r="E450" s="153"/>
      <c r="F450" s="153"/>
      <c r="G450" s="153"/>
      <c r="H450" s="153"/>
      <c r="I450" s="153"/>
      <c r="J450" s="157"/>
      <c r="K450" s="157"/>
      <c r="L450" s="157"/>
      <c r="M450" s="157"/>
      <c r="N450" s="153"/>
      <c r="O450" s="153"/>
      <c r="P450" s="153"/>
      <c r="Q450" s="153"/>
      <c r="R450" s="153"/>
      <c r="S450" s="153"/>
      <c r="T450" s="153"/>
      <c r="U450" s="153"/>
      <c r="V450" s="153"/>
      <c r="W450" s="153"/>
    </row>
    <row r="451" spans="2:23" s="14" customFormat="1" x14ac:dyDescent="0.25">
      <c r="B451" s="13"/>
      <c r="C451" s="153"/>
      <c r="D451" s="153"/>
      <c r="E451" s="153"/>
      <c r="F451" s="153"/>
      <c r="G451" s="153"/>
      <c r="H451" s="153"/>
      <c r="I451" s="153"/>
      <c r="J451" s="157"/>
      <c r="K451" s="157"/>
      <c r="L451" s="157"/>
      <c r="M451" s="157"/>
      <c r="N451" s="153"/>
      <c r="O451" s="153"/>
      <c r="P451" s="153"/>
      <c r="Q451" s="153"/>
      <c r="R451" s="153"/>
      <c r="S451" s="153"/>
      <c r="T451" s="153"/>
      <c r="U451" s="153"/>
      <c r="V451" s="153"/>
      <c r="W451" s="153"/>
    </row>
    <row r="452" spans="2:23" s="14" customFormat="1" x14ac:dyDescent="0.25">
      <c r="B452" s="13"/>
      <c r="C452" s="153"/>
      <c r="D452" s="153"/>
      <c r="E452" s="153"/>
      <c r="F452" s="153"/>
      <c r="G452" s="153"/>
      <c r="H452" s="153"/>
      <c r="I452" s="153"/>
      <c r="J452" s="157"/>
      <c r="K452" s="157"/>
      <c r="L452" s="157"/>
      <c r="M452" s="157"/>
      <c r="N452" s="153"/>
      <c r="O452" s="153"/>
      <c r="P452" s="153"/>
      <c r="Q452" s="153"/>
      <c r="R452" s="153"/>
      <c r="S452" s="153"/>
      <c r="T452" s="153"/>
      <c r="U452" s="153"/>
      <c r="V452" s="153"/>
      <c r="W452" s="153"/>
    </row>
    <row r="453" spans="2:23" s="14" customFormat="1" x14ac:dyDescent="0.25">
      <c r="B453" s="13"/>
      <c r="C453" s="153"/>
      <c r="D453" s="153"/>
      <c r="E453" s="153"/>
      <c r="F453" s="153"/>
      <c r="G453" s="153"/>
      <c r="H453" s="153"/>
      <c r="I453" s="153"/>
      <c r="J453" s="157"/>
      <c r="K453" s="157"/>
      <c r="L453" s="157"/>
      <c r="M453" s="157"/>
      <c r="N453" s="153"/>
      <c r="O453" s="153"/>
      <c r="P453" s="153"/>
      <c r="Q453" s="153"/>
      <c r="R453" s="153"/>
      <c r="S453" s="153"/>
      <c r="T453" s="153"/>
      <c r="U453" s="153"/>
      <c r="V453" s="153"/>
      <c r="W453" s="153"/>
    </row>
    <row r="454" spans="2:23" s="14" customFormat="1" x14ac:dyDescent="0.25">
      <c r="B454" s="13"/>
      <c r="C454" s="153"/>
      <c r="D454" s="153"/>
      <c r="E454" s="153"/>
      <c r="F454" s="153"/>
      <c r="G454" s="153"/>
      <c r="H454" s="153"/>
      <c r="I454" s="153"/>
      <c r="J454" s="157"/>
      <c r="K454" s="157"/>
      <c r="L454" s="157"/>
      <c r="M454" s="157"/>
      <c r="N454" s="153"/>
      <c r="O454" s="153"/>
      <c r="P454" s="153"/>
      <c r="Q454" s="153"/>
      <c r="R454" s="153"/>
      <c r="S454" s="153"/>
      <c r="T454" s="153"/>
      <c r="U454" s="153"/>
      <c r="V454" s="153"/>
      <c r="W454" s="153"/>
    </row>
    <row r="455" spans="2:23" s="14" customFormat="1" x14ac:dyDescent="0.25">
      <c r="B455" s="13"/>
      <c r="C455" s="153"/>
      <c r="D455" s="153"/>
      <c r="E455" s="153"/>
      <c r="F455" s="153"/>
      <c r="G455" s="153"/>
      <c r="H455" s="153"/>
      <c r="I455" s="153"/>
      <c r="J455" s="157"/>
      <c r="K455" s="157"/>
      <c r="L455" s="157"/>
      <c r="M455" s="157"/>
      <c r="N455" s="153"/>
      <c r="O455" s="153"/>
      <c r="P455" s="153"/>
      <c r="Q455" s="153"/>
      <c r="R455" s="153"/>
      <c r="S455" s="153"/>
      <c r="T455" s="153"/>
      <c r="U455" s="153"/>
      <c r="V455" s="153"/>
      <c r="W455" s="153"/>
    </row>
    <row r="456" spans="2:23" s="14" customFormat="1" x14ac:dyDescent="0.25">
      <c r="B456" s="13"/>
      <c r="C456" s="153"/>
      <c r="D456" s="153"/>
      <c r="E456" s="153"/>
      <c r="F456" s="153"/>
      <c r="G456" s="153"/>
      <c r="H456" s="153"/>
      <c r="I456" s="153"/>
      <c r="J456" s="157"/>
      <c r="K456" s="157"/>
      <c r="L456" s="157"/>
      <c r="M456" s="157"/>
      <c r="N456" s="153"/>
      <c r="O456" s="153"/>
      <c r="P456" s="153"/>
      <c r="Q456" s="153"/>
      <c r="R456" s="153"/>
      <c r="S456" s="153"/>
      <c r="T456" s="153"/>
      <c r="U456" s="153"/>
      <c r="V456" s="153"/>
      <c r="W456" s="153"/>
    </row>
    <row r="457" spans="2:23" s="14" customFormat="1" x14ac:dyDescent="0.25">
      <c r="B457" s="13"/>
      <c r="C457" s="153"/>
      <c r="D457" s="153"/>
      <c r="E457" s="153"/>
      <c r="F457" s="153"/>
      <c r="G457" s="153"/>
      <c r="H457" s="153"/>
      <c r="I457" s="153"/>
      <c r="J457" s="157"/>
      <c r="K457" s="157"/>
      <c r="L457" s="157"/>
      <c r="M457" s="157"/>
      <c r="N457" s="153"/>
      <c r="O457" s="153"/>
      <c r="P457" s="153"/>
      <c r="Q457" s="153"/>
      <c r="R457" s="153"/>
      <c r="S457" s="153"/>
      <c r="T457" s="153"/>
      <c r="U457" s="153"/>
      <c r="V457" s="153"/>
      <c r="W457" s="153"/>
    </row>
    <row r="458" spans="2:23" s="14" customFormat="1" x14ac:dyDescent="0.25">
      <c r="B458" s="13"/>
      <c r="C458" s="153"/>
      <c r="D458" s="153"/>
      <c r="E458" s="153"/>
      <c r="F458" s="153"/>
      <c r="G458" s="153"/>
      <c r="H458" s="153"/>
      <c r="I458" s="153"/>
      <c r="J458" s="157"/>
      <c r="K458" s="157"/>
      <c r="L458" s="157"/>
      <c r="M458" s="157"/>
      <c r="N458" s="153"/>
      <c r="O458" s="153"/>
      <c r="P458" s="153"/>
      <c r="Q458" s="153"/>
      <c r="R458" s="153"/>
      <c r="S458" s="153"/>
      <c r="T458" s="153"/>
      <c r="U458" s="153"/>
      <c r="V458" s="153"/>
      <c r="W458" s="153"/>
    </row>
    <row r="459" spans="2:23" s="14" customFormat="1" x14ac:dyDescent="0.25">
      <c r="B459" s="13"/>
      <c r="C459" s="153"/>
      <c r="D459" s="153"/>
      <c r="E459" s="153"/>
      <c r="F459" s="153"/>
      <c r="G459" s="153"/>
      <c r="H459" s="153"/>
      <c r="I459" s="153"/>
      <c r="J459" s="157"/>
      <c r="K459" s="157"/>
      <c r="L459" s="157"/>
      <c r="M459" s="157"/>
      <c r="N459" s="153"/>
      <c r="O459" s="153"/>
      <c r="P459" s="153"/>
      <c r="Q459" s="153"/>
      <c r="R459" s="153"/>
      <c r="S459" s="153"/>
      <c r="T459" s="153"/>
      <c r="U459" s="153"/>
      <c r="V459" s="153"/>
      <c r="W459" s="153"/>
    </row>
    <row r="460" spans="2:23" s="14" customFormat="1" x14ac:dyDescent="0.25">
      <c r="B460" s="13"/>
      <c r="C460" s="153"/>
      <c r="D460" s="153"/>
      <c r="E460" s="153"/>
      <c r="F460" s="153"/>
      <c r="G460" s="153"/>
      <c r="H460" s="153"/>
      <c r="I460" s="153"/>
      <c r="J460" s="157"/>
      <c r="K460" s="157"/>
      <c r="L460" s="157"/>
      <c r="M460" s="157"/>
      <c r="N460" s="153"/>
      <c r="O460" s="153"/>
      <c r="P460" s="153"/>
      <c r="Q460" s="153"/>
      <c r="R460" s="153"/>
      <c r="S460" s="153"/>
      <c r="T460" s="153"/>
      <c r="U460" s="153"/>
      <c r="V460" s="153"/>
      <c r="W460" s="153"/>
    </row>
    <row r="461" spans="2:23" s="14" customFormat="1" x14ac:dyDescent="0.25">
      <c r="B461" s="13"/>
      <c r="C461" s="153"/>
      <c r="D461" s="153"/>
      <c r="E461" s="153"/>
      <c r="F461" s="153"/>
      <c r="G461" s="153"/>
      <c r="H461" s="153"/>
      <c r="I461" s="153"/>
      <c r="J461" s="157"/>
      <c r="K461" s="157"/>
      <c r="L461" s="157"/>
      <c r="M461" s="157"/>
      <c r="N461" s="153"/>
      <c r="O461" s="153"/>
      <c r="P461" s="153"/>
      <c r="Q461" s="153"/>
      <c r="R461" s="153"/>
      <c r="S461" s="153"/>
      <c r="T461" s="153"/>
      <c r="U461" s="153"/>
      <c r="V461" s="153"/>
      <c r="W461" s="153"/>
    </row>
    <row r="462" spans="2:23" s="14" customFormat="1" x14ac:dyDescent="0.25">
      <c r="B462" s="13"/>
      <c r="C462" s="153"/>
      <c r="D462" s="153"/>
      <c r="E462" s="153"/>
      <c r="F462" s="153"/>
      <c r="G462" s="153"/>
      <c r="H462" s="153"/>
      <c r="I462" s="153"/>
      <c r="J462" s="157"/>
      <c r="K462" s="157"/>
      <c r="L462" s="157"/>
      <c r="M462" s="157"/>
      <c r="N462" s="153"/>
      <c r="O462" s="153"/>
      <c r="P462" s="153"/>
      <c r="Q462" s="153"/>
      <c r="R462" s="153"/>
      <c r="S462" s="153"/>
      <c r="T462" s="153"/>
      <c r="U462" s="153"/>
      <c r="V462" s="153"/>
      <c r="W462" s="153"/>
    </row>
    <row r="463" spans="2:23" s="14" customFormat="1" x14ac:dyDescent="0.25">
      <c r="B463" s="13"/>
      <c r="C463" s="153"/>
      <c r="D463" s="153"/>
      <c r="E463" s="153"/>
      <c r="F463" s="153"/>
      <c r="G463" s="153"/>
      <c r="H463" s="153"/>
      <c r="I463" s="153"/>
      <c r="J463" s="157"/>
      <c r="K463" s="157"/>
      <c r="L463" s="157"/>
      <c r="M463" s="157"/>
      <c r="N463" s="153"/>
      <c r="O463" s="153"/>
      <c r="P463" s="153"/>
      <c r="Q463" s="153"/>
      <c r="R463" s="153"/>
      <c r="S463" s="153"/>
      <c r="T463" s="153"/>
      <c r="U463" s="153"/>
      <c r="V463" s="153"/>
      <c r="W463" s="153"/>
    </row>
    <row r="464" spans="2:23" s="14" customFormat="1" x14ac:dyDescent="0.25">
      <c r="B464" s="13"/>
      <c r="C464" s="153"/>
      <c r="D464" s="153"/>
      <c r="E464" s="153"/>
      <c r="F464" s="153"/>
      <c r="G464" s="153"/>
      <c r="H464" s="153"/>
      <c r="I464" s="153"/>
      <c r="J464" s="157"/>
      <c r="K464" s="157"/>
      <c r="L464" s="157"/>
      <c r="M464" s="157"/>
      <c r="N464" s="153"/>
      <c r="O464" s="153"/>
      <c r="P464" s="153"/>
      <c r="Q464" s="153"/>
      <c r="R464" s="153"/>
      <c r="S464" s="153"/>
      <c r="T464" s="153"/>
      <c r="U464" s="153"/>
      <c r="V464" s="153"/>
      <c r="W464" s="153"/>
    </row>
    <row r="465" spans="2:23" s="14" customFormat="1" x14ac:dyDescent="0.25">
      <c r="B465" s="13"/>
      <c r="C465" s="153"/>
      <c r="D465" s="153"/>
      <c r="E465" s="153"/>
      <c r="F465" s="153"/>
      <c r="G465" s="153"/>
      <c r="H465" s="153"/>
      <c r="I465" s="153"/>
      <c r="J465" s="157"/>
      <c r="K465" s="157"/>
      <c r="L465" s="157"/>
      <c r="M465" s="157"/>
      <c r="N465" s="153"/>
      <c r="O465" s="153"/>
      <c r="P465" s="153"/>
      <c r="Q465" s="153"/>
      <c r="R465" s="153"/>
      <c r="S465" s="153"/>
      <c r="T465" s="153"/>
      <c r="U465" s="153"/>
      <c r="V465" s="153"/>
      <c r="W465" s="153"/>
    </row>
    <row r="466" spans="2:23" s="14" customFormat="1" x14ac:dyDescent="0.25">
      <c r="B466" s="13"/>
      <c r="C466" s="153"/>
      <c r="D466" s="153"/>
      <c r="E466" s="153"/>
      <c r="F466" s="153"/>
      <c r="G466" s="153"/>
      <c r="H466" s="153"/>
      <c r="I466" s="153"/>
      <c r="J466" s="157"/>
      <c r="K466" s="157"/>
      <c r="L466" s="157"/>
      <c r="M466" s="157"/>
      <c r="N466" s="153"/>
      <c r="O466" s="153"/>
      <c r="P466" s="153"/>
      <c r="Q466" s="153"/>
      <c r="R466" s="153"/>
      <c r="S466" s="153"/>
      <c r="T466" s="153"/>
      <c r="U466" s="153"/>
      <c r="V466" s="153"/>
      <c r="W466" s="153"/>
    </row>
    <row r="467" spans="2:23" s="14" customFormat="1" x14ac:dyDescent="0.25">
      <c r="B467" s="13"/>
      <c r="C467" s="153"/>
      <c r="D467" s="153"/>
      <c r="E467" s="153"/>
      <c r="F467" s="153"/>
      <c r="G467" s="153"/>
      <c r="H467" s="153"/>
      <c r="I467" s="153"/>
      <c r="J467" s="157"/>
      <c r="K467" s="157"/>
      <c r="L467" s="157"/>
      <c r="M467" s="157"/>
      <c r="N467" s="153"/>
      <c r="O467" s="153"/>
      <c r="P467" s="153"/>
      <c r="Q467" s="153"/>
      <c r="R467" s="153"/>
      <c r="S467" s="153"/>
      <c r="T467" s="153"/>
      <c r="U467" s="153"/>
      <c r="V467" s="153"/>
      <c r="W467" s="153"/>
    </row>
    <row r="468" spans="2:23" s="14" customFormat="1" x14ac:dyDescent="0.25">
      <c r="B468" s="13"/>
      <c r="C468" s="153"/>
      <c r="D468" s="153"/>
      <c r="E468" s="153"/>
      <c r="F468" s="153"/>
      <c r="G468" s="153"/>
      <c r="H468" s="153"/>
      <c r="I468" s="153"/>
      <c r="J468" s="157"/>
      <c r="K468" s="157"/>
      <c r="L468" s="157"/>
      <c r="M468" s="157"/>
      <c r="N468" s="153"/>
      <c r="O468" s="153"/>
      <c r="P468" s="153"/>
      <c r="Q468" s="153"/>
      <c r="R468" s="153"/>
      <c r="S468" s="153"/>
      <c r="T468" s="153"/>
      <c r="U468" s="153"/>
      <c r="V468" s="153"/>
      <c r="W468" s="153"/>
    </row>
    <row r="469" spans="2:23" s="14" customFormat="1" x14ac:dyDescent="0.25">
      <c r="B469" s="13"/>
      <c r="C469" s="153"/>
      <c r="D469" s="153"/>
      <c r="E469" s="153"/>
      <c r="F469" s="153"/>
      <c r="G469" s="153"/>
      <c r="H469" s="153"/>
      <c r="I469" s="153"/>
      <c r="J469" s="157"/>
      <c r="K469" s="157"/>
      <c r="L469" s="157"/>
      <c r="M469" s="157"/>
      <c r="N469" s="153"/>
      <c r="O469" s="153"/>
      <c r="P469" s="153"/>
      <c r="Q469" s="153"/>
      <c r="R469" s="153"/>
      <c r="S469" s="153"/>
      <c r="T469" s="153"/>
      <c r="U469" s="153"/>
      <c r="V469" s="153"/>
      <c r="W469" s="153"/>
    </row>
    <row r="470" spans="2:23" s="14" customFormat="1" x14ac:dyDescent="0.25">
      <c r="B470" s="13"/>
      <c r="C470" s="153"/>
      <c r="D470" s="153"/>
      <c r="E470" s="153"/>
      <c r="F470" s="153"/>
      <c r="G470" s="153"/>
      <c r="H470" s="153"/>
      <c r="I470" s="153"/>
      <c r="J470" s="157"/>
      <c r="K470" s="157"/>
      <c r="L470" s="157"/>
      <c r="M470" s="157"/>
      <c r="N470" s="153"/>
      <c r="O470" s="153"/>
      <c r="P470" s="153"/>
      <c r="Q470" s="153"/>
      <c r="R470" s="153"/>
      <c r="S470" s="153"/>
      <c r="T470" s="153"/>
      <c r="U470" s="153"/>
      <c r="V470" s="153"/>
      <c r="W470" s="153"/>
    </row>
    <row r="471" spans="2:23" s="14" customFormat="1" x14ac:dyDescent="0.25">
      <c r="B471" s="13"/>
      <c r="C471" s="153"/>
      <c r="D471" s="153"/>
      <c r="E471" s="153"/>
      <c r="F471" s="153"/>
      <c r="G471" s="153"/>
      <c r="H471" s="153"/>
      <c r="I471" s="153"/>
      <c r="J471" s="157"/>
      <c r="K471" s="157"/>
      <c r="L471" s="157"/>
      <c r="M471" s="157"/>
      <c r="N471" s="153"/>
      <c r="O471" s="153"/>
      <c r="P471" s="153"/>
      <c r="Q471" s="153"/>
      <c r="R471" s="153"/>
      <c r="S471" s="153"/>
      <c r="T471" s="153"/>
      <c r="U471" s="153"/>
      <c r="V471" s="153"/>
      <c r="W471" s="153"/>
    </row>
    <row r="472" spans="2:23" s="14" customFormat="1" x14ac:dyDescent="0.25">
      <c r="B472" s="13"/>
      <c r="C472" s="153"/>
      <c r="D472" s="153"/>
      <c r="E472" s="153"/>
      <c r="F472" s="153"/>
      <c r="G472" s="153"/>
      <c r="H472" s="153"/>
      <c r="I472" s="153"/>
      <c r="J472" s="157"/>
      <c r="K472" s="157"/>
      <c r="L472" s="157"/>
      <c r="M472" s="157"/>
      <c r="N472" s="153"/>
      <c r="O472" s="153"/>
      <c r="P472" s="153"/>
      <c r="Q472" s="153"/>
      <c r="R472" s="153"/>
      <c r="S472" s="153"/>
      <c r="T472" s="153"/>
      <c r="U472" s="153"/>
      <c r="V472" s="153"/>
      <c r="W472" s="153"/>
    </row>
    <row r="473" spans="2:23" s="14" customFormat="1" x14ac:dyDescent="0.25">
      <c r="B473" s="13"/>
      <c r="C473" s="153"/>
      <c r="D473" s="153"/>
      <c r="E473" s="153"/>
      <c r="F473" s="153"/>
      <c r="G473" s="153"/>
      <c r="H473" s="153"/>
      <c r="I473" s="153"/>
      <c r="J473" s="157"/>
      <c r="K473" s="157"/>
      <c r="L473" s="157"/>
      <c r="M473" s="157"/>
      <c r="N473" s="153"/>
      <c r="O473" s="153"/>
      <c r="P473" s="153"/>
      <c r="Q473" s="153"/>
      <c r="R473" s="153"/>
      <c r="S473" s="153"/>
      <c r="T473" s="153"/>
      <c r="U473" s="153"/>
      <c r="V473" s="153"/>
      <c r="W473" s="153"/>
    </row>
    <row r="474" spans="2:23" s="14" customFormat="1" x14ac:dyDescent="0.25">
      <c r="B474" s="13"/>
      <c r="C474" s="153"/>
      <c r="D474" s="153"/>
      <c r="E474" s="153"/>
      <c r="F474" s="153"/>
      <c r="G474" s="153"/>
      <c r="H474" s="153"/>
      <c r="I474" s="153"/>
      <c r="J474" s="157"/>
      <c r="K474" s="157"/>
      <c r="L474" s="157"/>
      <c r="M474" s="157"/>
      <c r="N474" s="153"/>
      <c r="O474" s="153"/>
      <c r="P474" s="153"/>
      <c r="Q474" s="153"/>
      <c r="R474" s="153"/>
      <c r="S474" s="153"/>
      <c r="T474" s="153"/>
      <c r="U474" s="153"/>
      <c r="V474" s="153"/>
      <c r="W474" s="153"/>
    </row>
    <row r="475" spans="2:23" s="14" customFormat="1" x14ac:dyDescent="0.25">
      <c r="B475" s="13"/>
      <c r="C475" s="153"/>
      <c r="D475" s="153"/>
      <c r="E475" s="153"/>
      <c r="F475" s="153"/>
      <c r="G475" s="153"/>
      <c r="H475" s="153"/>
      <c r="I475" s="153"/>
      <c r="J475" s="157"/>
      <c r="K475" s="157"/>
      <c r="L475" s="157"/>
      <c r="M475" s="157"/>
      <c r="N475" s="153"/>
      <c r="O475" s="153"/>
      <c r="P475" s="153"/>
      <c r="Q475" s="153"/>
      <c r="R475" s="153"/>
      <c r="S475" s="153"/>
      <c r="T475" s="153"/>
      <c r="U475" s="153"/>
      <c r="V475" s="153"/>
      <c r="W475" s="153"/>
    </row>
    <row r="476" spans="2:23" s="14" customFormat="1" x14ac:dyDescent="0.25">
      <c r="B476" s="13"/>
      <c r="C476" s="153"/>
      <c r="D476" s="153"/>
      <c r="E476" s="153"/>
      <c r="F476" s="153"/>
      <c r="G476" s="153"/>
      <c r="H476" s="153"/>
      <c r="I476" s="153"/>
      <c r="J476" s="157"/>
      <c r="K476" s="157"/>
      <c r="L476" s="157"/>
      <c r="M476" s="157"/>
      <c r="N476" s="153"/>
      <c r="O476" s="153"/>
      <c r="P476" s="153"/>
      <c r="Q476" s="153"/>
      <c r="R476" s="153"/>
      <c r="S476" s="153"/>
      <c r="T476" s="153"/>
      <c r="U476" s="153"/>
      <c r="V476" s="153"/>
      <c r="W476" s="153"/>
    </row>
    <row r="477" spans="2:23" s="14" customFormat="1" x14ac:dyDescent="0.25">
      <c r="B477" s="13"/>
      <c r="C477" s="153"/>
      <c r="D477" s="153"/>
      <c r="E477" s="153"/>
      <c r="F477" s="153"/>
      <c r="G477" s="153"/>
      <c r="H477" s="153"/>
      <c r="I477" s="153"/>
      <c r="J477" s="157"/>
      <c r="K477" s="157"/>
      <c r="L477" s="157"/>
      <c r="M477" s="157"/>
      <c r="N477" s="153"/>
      <c r="O477" s="153"/>
      <c r="P477" s="153"/>
      <c r="Q477" s="153"/>
      <c r="R477" s="153"/>
      <c r="S477" s="153"/>
      <c r="T477" s="153"/>
      <c r="U477" s="153"/>
      <c r="V477" s="153"/>
      <c r="W477" s="153"/>
    </row>
    <row r="478" spans="2:23" s="14" customFormat="1" x14ac:dyDescent="0.25">
      <c r="B478" s="13"/>
      <c r="C478" s="153"/>
      <c r="D478" s="153"/>
      <c r="E478" s="153"/>
      <c r="F478" s="153"/>
      <c r="G478" s="153"/>
      <c r="H478" s="153"/>
      <c r="I478" s="153"/>
      <c r="J478" s="157"/>
      <c r="K478" s="157"/>
      <c r="L478" s="157"/>
      <c r="M478" s="157"/>
      <c r="N478" s="153"/>
      <c r="O478" s="153"/>
      <c r="P478" s="153"/>
      <c r="Q478" s="153"/>
      <c r="R478" s="153"/>
      <c r="S478" s="153"/>
      <c r="T478" s="153"/>
      <c r="U478" s="153"/>
      <c r="V478" s="153"/>
      <c r="W478" s="153"/>
    </row>
    <row r="479" spans="2:23" s="14" customFormat="1" x14ac:dyDescent="0.25">
      <c r="B479" s="13"/>
      <c r="C479" s="153"/>
      <c r="D479" s="153"/>
      <c r="E479" s="153"/>
      <c r="F479" s="153"/>
      <c r="G479" s="153"/>
      <c r="H479" s="153"/>
      <c r="I479" s="153"/>
      <c r="J479" s="157"/>
      <c r="K479" s="157"/>
      <c r="L479" s="157"/>
      <c r="M479" s="157"/>
      <c r="N479" s="153"/>
      <c r="O479" s="153"/>
      <c r="P479" s="153"/>
      <c r="Q479" s="153"/>
      <c r="R479" s="153"/>
      <c r="S479" s="153"/>
      <c r="T479" s="153"/>
      <c r="U479" s="153"/>
      <c r="V479" s="153"/>
      <c r="W479" s="153"/>
    </row>
    <row r="480" spans="2:23" s="14" customFormat="1" x14ac:dyDescent="0.25">
      <c r="B480" s="13"/>
      <c r="C480" s="153"/>
      <c r="D480" s="153"/>
      <c r="E480" s="153"/>
      <c r="F480" s="153"/>
      <c r="G480" s="153"/>
      <c r="H480" s="153"/>
      <c r="I480" s="153"/>
      <c r="J480" s="157"/>
      <c r="K480" s="157"/>
      <c r="L480" s="157"/>
      <c r="M480" s="157"/>
      <c r="N480" s="153"/>
      <c r="O480" s="153"/>
      <c r="P480" s="153"/>
      <c r="Q480" s="153"/>
      <c r="R480" s="153"/>
      <c r="S480" s="153"/>
      <c r="T480" s="153"/>
      <c r="U480" s="153"/>
      <c r="V480" s="153"/>
      <c r="W480" s="153"/>
    </row>
    <row r="481" spans="2:23" s="14" customFormat="1" x14ac:dyDescent="0.25">
      <c r="B481" s="13"/>
      <c r="C481" s="153"/>
      <c r="D481" s="153"/>
      <c r="E481" s="153"/>
      <c r="F481" s="153"/>
      <c r="G481" s="153"/>
      <c r="H481" s="153"/>
      <c r="I481" s="153"/>
      <c r="J481" s="157"/>
      <c r="K481" s="157"/>
      <c r="L481" s="157"/>
      <c r="M481" s="157"/>
      <c r="N481" s="153"/>
      <c r="O481" s="153"/>
      <c r="P481" s="153"/>
      <c r="Q481" s="153"/>
      <c r="R481" s="153"/>
      <c r="S481" s="153"/>
      <c r="T481" s="153"/>
      <c r="U481" s="153"/>
      <c r="V481" s="153"/>
      <c r="W481" s="153"/>
    </row>
    <row r="482" spans="2:23" s="14" customFormat="1" x14ac:dyDescent="0.25">
      <c r="B482" s="13"/>
      <c r="C482" s="153"/>
      <c r="D482" s="153"/>
      <c r="E482" s="153"/>
      <c r="F482" s="153"/>
      <c r="G482" s="153"/>
      <c r="H482" s="153"/>
      <c r="I482" s="153"/>
      <c r="J482" s="157"/>
      <c r="K482" s="157"/>
      <c r="L482" s="157"/>
      <c r="M482" s="157"/>
      <c r="N482" s="153"/>
      <c r="O482" s="153"/>
      <c r="P482" s="153"/>
      <c r="Q482" s="153"/>
      <c r="R482" s="153"/>
      <c r="S482" s="153"/>
      <c r="T482" s="153"/>
      <c r="U482" s="153"/>
      <c r="V482" s="153"/>
      <c r="W482" s="153"/>
    </row>
    <row r="483" spans="2:23" s="14" customFormat="1" x14ac:dyDescent="0.25">
      <c r="B483" s="13"/>
      <c r="C483" s="153"/>
      <c r="D483" s="153"/>
      <c r="E483" s="153"/>
      <c r="F483" s="153"/>
      <c r="G483" s="153"/>
      <c r="H483" s="153"/>
      <c r="I483" s="153"/>
      <c r="J483" s="157"/>
      <c r="K483" s="157"/>
      <c r="L483" s="157"/>
      <c r="M483" s="157"/>
      <c r="N483" s="153"/>
      <c r="O483" s="153"/>
      <c r="P483" s="153"/>
      <c r="Q483" s="153"/>
      <c r="R483" s="153"/>
      <c r="S483" s="153"/>
      <c r="T483" s="153"/>
      <c r="U483" s="153"/>
      <c r="V483" s="153"/>
      <c r="W483" s="153"/>
    </row>
    <row r="484" spans="2:23" s="14" customFormat="1" x14ac:dyDescent="0.25">
      <c r="B484" s="13"/>
      <c r="C484" s="153"/>
      <c r="D484" s="153"/>
      <c r="E484" s="153"/>
      <c r="F484" s="153"/>
      <c r="G484" s="153"/>
      <c r="H484" s="153"/>
      <c r="I484" s="153"/>
      <c r="J484" s="157"/>
      <c r="K484" s="157"/>
      <c r="L484" s="157"/>
      <c r="M484" s="157"/>
      <c r="N484" s="153"/>
      <c r="O484" s="153"/>
      <c r="P484" s="153"/>
      <c r="Q484" s="153"/>
      <c r="R484" s="153"/>
      <c r="S484" s="153"/>
      <c r="T484" s="153"/>
      <c r="U484" s="153"/>
      <c r="V484" s="153"/>
      <c r="W484" s="153"/>
    </row>
    <row r="485" spans="2:23" s="14" customFormat="1" x14ac:dyDescent="0.25">
      <c r="B485" s="13"/>
      <c r="C485" s="153"/>
      <c r="D485" s="153"/>
      <c r="E485" s="153"/>
      <c r="F485" s="153"/>
      <c r="G485" s="153"/>
      <c r="H485" s="153"/>
      <c r="I485" s="153"/>
      <c r="J485" s="157"/>
      <c r="K485" s="157"/>
      <c r="L485" s="157"/>
      <c r="M485" s="157"/>
      <c r="N485" s="153"/>
      <c r="O485" s="153"/>
      <c r="P485" s="153"/>
      <c r="Q485" s="153"/>
      <c r="R485" s="153"/>
      <c r="S485" s="153"/>
      <c r="T485" s="153"/>
      <c r="U485" s="153"/>
      <c r="V485" s="153"/>
      <c r="W485" s="153"/>
    </row>
    <row r="486" spans="2:23" s="14" customFormat="1" x14ac:dyDescent="0.25">
      <c r="B486" s="13"/>
      <c r="C486" s="153"/>
      <c r="D486" s="153"/>
      <c r="E486" s="153"/>
      <c r="F486" s="153"/>
      <c r="G486" s="153"/>
      <c r="H486" s="153"/>
      <c r="I486" s="153"/>
      <c r="J486" s="157"/>
      <c r="K486" s="157"/>
      <c r="L486" s="157"/>
      <c r="M486" s="157"/>
      <c r="N486" s="153"/>
      <c r="O486" s="153"/>
      <c r="P486" s="153"/>
      <c r="Q486" s="153"/>
      <c r="R486" s="153"/>
      <c r="S486" s="153"/>
      <c r="T486" s="153"/>
      <c r="U486" s="153"/>
      <c r="V486" s="153"/>
      <c r="W486" s="153"/>
    </row>
    <row r="487" spans="2:23" s="14" customFormat="1" x14ac:dyDescent="0.25">
      <c r="B487" s="13"/>
      <c r="C487" s="153"/>
      <c r="D487" s="153"/>
      <c r="E487" s="153"/>
      <c r="F487" s="153"/>
      <c r="G487" s="153"/>
      <c r="H487" s="153"/>
      <c r="I487" s="153"/>
      <c r="J487" s="157"/>
      <c r="K487" s="157"/>
      <c r="L487" s="157"/>
      <c r="M487" s="157"/>
      <c r="N487" s="153"/>
      <c r="O487" s="153"/>
      <c r="P487" s="153"/>
      <c r="Q487" s="153"/>
      <c r="R487" s="153"/>
      <c r="S487" s="153"/>
      <c r="T487" s="153"/>
      <c r="U487" s="153"/>
      <c r="V487" s="153"/>
      <c r="W487" s="153"/>
    </row>
    <row r="488" spans="2:23" s="14" customFormat="1" x14ac:dyDescent="0.25">
      <c r="B488" s="13"/>
      <c r="C488" s="153"/>
      <c r="D488" s="153"/>
      <c r="E488" s="153"/>
      <c r="F488" s="153"/>
      <c r="G488" s="153"/>
      <c r="H488" s="153"/>
      <c r="I488" s="153"/>
      <c r="J488" s="157"/>
      <c r="K488" s="157"/>
      <c r="L488" s="157"/>
      <c r="M488" s="157"/>
      <c r="N488" s="153"/>
      <c r="O488" s="153"/>
      <c r="P488" s="153"/>
      <c r="Q488" s="153"/>
      <c r="R488" s="153"/>
      <c r="S488" s="153"/>
      <c r="T488" s="153"/>
      <c r="U488" s="153"/>
      <c r="V488" s="153"/>
      <c r="W488" s="153"/>
    </row>
    <row r="489" spans="2:23" s="14" customFormat="1" x14ac:dyDescent="0.25">
      <c r="B489" s="13"/>
      <c r="C489" s="153"/>
      <c r="D489" s="153"/>
      <c r="E489" s="153"/>
      <c r="F489" s="153"/>
      <c r="G489" s="153"/>
      <c r="H489" s="153"/>
      <c r="I489" s="153"/>
      <c r="J489" s="157"/>
      <c r="K489" s="157"/>
      <c r="L489" s="157"/>
      <c r="M489" s="157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/>
    </row>
    <row r="490" spans="2:23" s="14" customFormat="1" x14ac:dyDescent="0.25">
      <c r="B490" s="13"/>
      <c r="C490" s="153"/>
      <c r="D490" s="153"/>
      <c r="E490" s="153"/>
      <c r="F490" s="153"/>
      <c r="G490" s="153"/>
      <c r="H490" s="153"/>
      <c r="I490" s="153"/>
      <c r="J490" s="157"/>
      <c r="K490" s="157"/>
      <c r="L490" s="157"/>
      <c r="M490" s="157"/>
      <c r="N490" s="153"/>
      <c r="O490" s="153"/>
      <c r="P490" s="153"/>
      <c r="Q490" s="153"/>
      <c r="R490" s="153"/>
      <c r="S490" s="153"/>
      <c r="T490" s="153"/>
      <c r="U490" s="153"/>
      <c r="V490" s="153"/>
      <c r="W490" s="153"/>
    </row>
    <row r="491" spans="2:23" s="14" customFormat="1" x14ac:dyDescent="0.25">
      <c r="B491" s="13"/>
      <c r="C491" s="153"/>
      <c r="D491" s="153"/>
      <c r="E491" s="153"/>
      <c r="F491" s="153"/>
      <c r="G491" s="153"/>
      <c r="H491" s="153"/>
      <c r="I491" s="153"/>
      <c r="J491" s="157"/>
      <c r="K491" s="157"/>
      <c r="L491" s="157"/>
      <c r="M491" s="157"/>
      <c r="N491" s="153"/>
      <c r="O491" s="153"/>
      <c r="P491" s="153"/>
      <c r="Q491" s="153"/>
      <c r="R491" s="153"/>
      <c r="S491" s="153"/>
      <c r="T491" s="153"/>
      <c r="U491" s="153"/>
      <c r="V491" s="153"/>
      <c r="W491" s="153"/>
    </row>
    <row r="492" spans="2:23" s="14" customFormat="1" x14ac:dyDescent="0.25">
      <c r="B492" s="13"/>
      <c r="C492" s="153"/>
      <c r="D492" s="153"/>
      <c r="E492" s="153"/>
      <c r="F492" s="153"/>
      <c r="G492" s="153"/>
      <c r="H492" s="153"/>
      <c r="I492" s="153"/>
      <c r="J492" s="157"/>
      <c r="K492" s="157"/>
      <c r="L492" s="157"/>
      <c r="M492" s="157"/>
      <c r="N492" s="153"/>
      <c r="O492" s="153"/>
      <c r="P492" s="153"/>
      <c r="Q492" s="153"/>
      <c r="R492" s="153"/>
      <c r="S492" s="153"/>
      <c r="T492" s="153"/>
      <c r="U492" s="153"/>
      <c r="V492" s="153"/>
      <c r="W492" s="153"/>
    </row>
    <row r="493" spans="2:23" s="14" customFormat="1" x14ac:dyDescent="0.25">
      <c r="B493" s="13"/>
      <c r="C493" s="153"/>
      <c r="D493" s="153"/>
      <c r="E493" s="153"/>
      <c r="F493" s="153"/>
      <c r="G493" s="153"/>
      <c r="H493" s="153"/>
      <c r="I493" s="153"/>
      <c r="J493" s="157"/>
      <c r="K493" s="157"/>
      <c r="L493" s="157"/>
      <c r="M493" s="157"/>
      <c r="N493" s="153"/>
      <c r="O493" s="153"/>
      <c r="P493" s="153"/>
      <c r="Q493" s="153"/>
      <c r="R493" s="153"/>
      <c r="S493" s="153"/>
      <c r="T493" s="153"/>
      <c r="U493" s="153"/>
      <c r="V493" s="153"/>
      <c r="W493" s="153"/>
    </row>
    <row r="494" spans="2:23" s="14" customFormat="1" x14ac:dyDescent="0.25">
      <c r="B494" s="13"/>
      <c r="C494" s="153"/>
      <c r="D494" s="153"/>
      <c r="E494" s="153"/>
      <c r="F494" s="153"/>
      <c r="G494" s="153"/>
      <c r="H494" s="153"/>
      <c r="I494" s="153"/>
      <c r="J494" s="157"/>
      <c r="K494" s="157"/>
      <c r="L494" s="157"/>
      <c r="M494" s="157"/>
      <c r="N494" s="153"/>
      <c r="O494" s="153"/>
      <c r="P494" s="153"/>
      <c r="Q494" s="153"/>
      <c r="R494" s="153"/>
      <c r="S494" s="153"/>
      <c r="T494" s="153"/>
      <c r="U494" s="153"/>
      <c r="V494" s="153"/>
      <c r="W494" s="153"/>
    </row>
    <row r="495" spans="2:23" s="14" customFormat="1" x14ac:dyDescent="0.25">
      <c r="B495" s="13"/>
      <c r="C495" s="153"/>
      <c r="D495" s="153"/>
      <c r="E495" s="153"/>
      <c r="F495" s="153"/>
      <c r="G495" s="153"/>
      <c r="H495" s="153"/>
      <c r="I495" s="153"/>
      <c r="J495" s="157"/>
      <c r="K495" s="157"/>
      <c r="L495" s="157"/>
      <c r="M495" s="157"/>
      <c r="N495" s="153"/>
      <c r="O495" s="153"/>
      <c r="P495" s="153"/>
      <c r="Q495" s="153"/>
      <c r="R495" s="153"/>
      <c r="S495" s="153"/>
      <c r="T495" s="153"/>
      <c r="U495" s="153"/>
      <c r="V495" s="153"/>
      <c r="W495" s="153"/>
    </row>
    <row r="496" spans="2:23" s="14" customFormat="1" x14ac:dyDescent="0.25">
      <c r="B496" s="13"/>
      <c r="C496" s="153"/>
      <c r="D496" s="153"/>
      <c r="E496" s="153"/>
      <c r="F496" s="153"/>
      <c r="G496" s="153"/>
      <c r="H496" s="153"/>
      <c r="I496" s="153"/>
      <c r="J496" s="157"/>
      <c r="K496" s="157"/>
      <c r="L496" s="157"/>
      <c r="M496" s="157"/>
      <c r="N496" s="153"/>
      <c r="O496" s="153"/>
      <c r="P496" s="153"/>
      <c r="Q496" s="153"/>
      <c r="R496" s="153"/>
      <c r="S496" s="153"/>
      <c r="T496" s="153"/>
      <c r="U496" s="153"/>
      <c r="V496" s="153"/>
      <c r="W496" s="153"/>
    </row>
    <row r="497" spans="2:23" s="14" customFormat="1" x14ac:dyDescent="0.25">
      <c r="B497" s="13"/>
      <c r="C497" s="153"/>
      <c r="D497" s="153"/>
      <c r="E497" s="153"/>
      <c r="F497" s="153"/>
      <c r="G497" s="153"/>
      <c r="H497" s="153"/>
      <c r="I497" s="153"/>
      <c r="J497" s="157"/>
      <c r="K497" s="157"/>
      <c r="L497" s="157"/>
      <c r="M497" s="157"/>
      <c r="N497" s="153"/>
      <c r="O497" s="153"/>
      <c r="P497" s="153"/>
      <c r="Q497" s="153"/>
      <c r="R497" s="153"/>
      <c r="S497" s="153"/>
      <c r="T497" s="153"/>
      <c r="U497" s="153"/>
      <c r="V497" s="153"/>
      <c r="W497" s="153"/>
    </row>
    <row r="498" spans="2:23" s="14" customFormat="1" x14ac:dyDescent="0.25">
      <c r="B498" s="13"/>
      <c r="C498" s="153"/>
      <c r="D498" s="153"/>
      <c r="E498" s="153"/>
      <c r="F498" s="153"/>
      <c r="G498" s="153"/>
      <c r="H498" s="153"/>
      <c r="I498" s="153"/>
      <c r="J498" s="157"/>
      <c r="K498" s="157"/>
      <c r="L498" s="157"/>
      <c r="M498" s="157"/>
      <c r="N498" s="153"/>
      <c r="O498" s="153"/>
      <c r="P498" s="153"/>
      <c r="Q498" s="153"/>
      <c r="R498" s="153"/>
      <c r="S498" s="153"/>
      <c r="T498" s="153"/>
      <c r="U498" s="153"/>
      <c r="V498" s="153"/>
      <c r="W498" s="153"/>
    </row>
    <row r="499" spans="2:23" s="14" customFormat="1" x14ac:dyDescent="0.25">
      <c r="B499" s="13"/>
      <c r="C499" s="153"/>
      <c r="D499" s="153"/>
      <c r="E499" s="153"/>
      <c r="F499" s="153"/>
      <c r="G499" s="153"/>
      <c r="H499" s="153"/>
      <c r="I499" s="153"/>
      <c r="J499" s="157"/>
      <c r="K499" s="157"/>
      <c r="L499" s="157"/>
      <c r="M499" s="157"/>
      <c r="N499" s="153"/>
      <c r="O499" s="153"/>
      <c r="P499" s="153"/>
      <c r="Q499" s="153"/>
      <c r="R499" s="153"/>
      <c r="S499" s="153"/>
      <c r="T499" s="153"/>
      <c r="U499" s="153"/>
      <c r="V499" s="153"/>
      <c r="W499" s="153"/>
    </row>
    <row r="500" spans="2:23" s="14" customFormat="1" x14ac:dyDescent="0.25">
      <c r="B500" s="13"/>
      <c r="C500" s="153"/>
      <c r="D500" s="153"/>
      <c r="E500" s="153"/>
      <c r="F500" s="153"/>
      <c r="G500" s="153"/>
      <c r="H500" s="153"/>
      <c r="I500" s="153"/>
      <c r="J500" s="157"/>
      <c r="K500" s="157"/>
      <c r="L500" s="157"/>
      <c r="M500" s="157"/>
      <c r="N500" s="153"/>
      <c r="O500" s="153"/>
      <c r="P500" s="153"/>
      <c r="Q500" s="153"/>
      <c r="R500" s="153"/>
      <c r="S500" s="153"/>
      <c r="T500" s="153"/>
      <c r="U500" s="153"/>
      <c r="V500" s="153"/>
      <c r="W500" s="153"/>
    </row>
    <row r="501" spans="2:23" s="14" customFormat="1" x14ac:dyDescent="0.25">
      <c r="B501" s="13"/>
      <c r="C501" s="153"/>
      <c r="D501" s="153"/>
      <c r="E501" s="153"/>
      <c r="F501" s="153"/>
      <c r="G501" s="153"/>
      <c r="H501" s="153"/>
      <c r="I501" s="153"/>
      <c r="J501" s="157"/>
      <c r="K501" s="157"/>
      <c r="L501" s="157"/>
      <c r="M501" s="157"/>
      <c r="N501" s="153"/>
      <c r="O501" s="153"/>
      <c r="P501" s="153"/>
      <c r="Q501" s="153"/>
      <c r="R501" s="153"/>
      <c r="S501" s="153"/>
      <c r="T501" s="153"/>
      <c r="U501" s="153"/>
      <c r="V501" s="153"/>
      <c r="W501" s="153"/>
    </row>
    <row r="502" spans="2:23" s="14" customFormat="1" x14ac:dyDescent="0.25">
      <c r="B502" s="13"/>
      <c r="C502" s="153"/>
      <c r="D502" s="153"/>
      <c r="E502" s="153"/>
      <c r="F502" s="153"/>
      <c r="G502" s="153"/>
      <c r="H502" s="153"/>
      <c r="I502" s="153"/>
      <c r="J502" s="157"/>
      <c r="K502" s="157"/>
      <c r="L502" s="157"/>
      <c r="M502" s="157"/>
      <c r="N502" s="153"/>
      <c r="O502" s="153"/>
      <c r="P502" s="153"/>
      <c r="Q502" s="153"/>
      <c r="R502" s="153"/>
      <c r="S502" s="153"/>
      <c r="T502" s="153"/>
      <c r="U502" s="153"/>
      <c r="V502" s="153"/>
      <c r="W502" s="153"/>
    </row>
    <row r="503" spans="2:23" s="14" customFormat="1" x14ac:dyDescent="0.25">
      <c r="B503" s="13"/>
      <c r="C503" s="153"/>
      <c r="D503" s="153"/>
      <c r="E503" s="153"/>
      <c r="F503" s="153"/>
      <c r="G503" s="153"/>
      <c r="H503" s="153"/>
      <c r="I503" s="153"/>
      <c r="J503" s="157"/>
      <c r="K503" s="157"/>
      <c r="L503" s="157"/>
      <c r="M503" s="157"/>
      <c r="N503" s="153"/>
      <c r="O503" s="153"/>
      <c r="P503" s="153"/>
      <c r="Q503" s="153"/>
      <c r="R503" s="153"/>
      <c r="S503" s="153"/>
      <c r="T503" s="153"/>
      <c r="U503" s="153"/>
      <c r="V503" s="153"/>
      <c r="W503" s="153"/>
    </row>
    <row r="504" spans="2:23" s="14" customFormat="1" x14ac:dyDescent="0.25">
      <c r="B504" s="13"/>
      <c r="C504" s="153"/>
      <c r="D504" s="153"/>
      <c r="E504" s="153"/>
      <c r="F504" s="153"/>
      <c r="G504" s="153"/>
      <c r="H504" s="153"/>
      <c r="I504" s="153"/>
      <c r="J504" s="157"/>
      <c r="K504" s="157"/>
      <c r="L504" s="157"/>
      <c r="M504" s="157"/>
      <c r="N504" s="153"/>
      <c r="O504" s="153"/>
      <c r="P504" s="153"/>
      <c r="Q504" s="153"/>
      <c r="R504" s="153"/>
      <c r="S504" s="153"/>
      <c r="T504" s="153"/>
      <c r="U504" s="153"/>
      <c r="V504" s="153"/>
      <c r="W504" s="153"/>
    </row>
    <row r="505" spans="2:23" s="14" customFormat="1" x14ac:dyDescent="0.25">
      <c r="B505" s="13"/>
      <c r="C505" s="153"/>
      <c r="D505" s="153"/>
      <c r="E505" s="153"/>
      <c r="F505" s="153"/>
      <c r="G505" s="153"/>
      <c r="H505" s="153"/>
      <c r="I505" s="153"/>
      <c r="J505" s="157"/>
      <c r="K505" s="157"/>
      <c r="L505" s="157"/>
      <c r="M505" s="157"/>
      <c r="N505" s="153"/>
      <c r="O505" s="153"/>
      <c r="P505" s="153"/>
      <c r="Q505" s="153"/>
      <c r="R505" s="153"/>
      <c r="S505" s="153"/>
      <c r="T505" s="153"/>
      <c r="U505" s="153"/>
      <c r="V505" s="153"/>
      <c r="W505" s="153"/>
    </row>
    <row r="506" spans="2:23" s="14" customFormat="1" x14ac:dyDescent="0.25">
      <c r="B506" s="13"/>
      <c r="C506" s="153"/>
      <c r="D506" s="153"/>
      <c r="E506" s="153"/>
      <c r="F506" s="153"/>
      <c r="G506" s="153"/>
      <c r="H506" s="153"/>
      <c r="I506" s="153"/>
      <c r="J506" s="157"/>
      <c r="K506" s="157"/>
      <c r="L506" s="157"/>
      <c r="M506" s="157"/>
      <c r="N506" s="153"/>
      <c r="O506" s="153"/>
      <c r="P506" s="153"/>
      <c r="Q506" s="153"/>
      <c r="R506" s="153"/>
      <c r="S506" s="153"/>
      <c r="T506" s="153"/>
      <c r="U506" s="153"/>
      <c r="V506" s="153"/>
      <c r="W506" s="153"/>
    </row>
    <row r="507" spans="2:23" s="14" customFormat="1" x14ac:dyDescent="0.25">
      <c r="B507" s="13"/>
      <c r="C507" s="153"/>
      <c r="D507" s="153"/>
      <c r="E507" s="153"/>
      <c r="F507" s="153"/>
      <c r="G507" s="153"/>
      <c r="H507" s="153"/>
      <c r="I507" s="153"/>
      <c r="J507" s="157"/>
      <c r="K507" s="157"/>
      <c r="L507" s="157"/>
      <c r="M507" s="157"/>
      <c r="N507" s="153"/>
      <c r="O507" s="153"/>
      <c r="P507" s="153"/>
      <c r="Q507" s="153"/>
      <c r="R507" s="153"/>
      <c r="S507" s="153"/>
      <c r="T507" s="153"/>
      <c r="U507" s="153"/>
      <c r="V507" s="153"/>
      <c r="W507" s="153"/>
    </row>
    <row r="508" spans="2:23" s="14" customFormat="1" x14ac:dyDescent="0.25">
      <c r="B508" s="13"/>
      <c r="C508" s="153"/>
      <c r="D508" s="153"/>
      <c r="E508" s="153"/>
      <c r="F508" s="153"/>
      <c r="G508" s="153"/>
      <c r="H508" s="153"/>
      <c r="I508" s="153"/>
      <c r="J508" s="157"/>
      <c r="K508" s="157"/>
      <c r="L508" s="157"/>
      <c r="M508" s="157"/>
      <c r="N508" s="153"/>
      <c r="O508" s="153"/>
      <c r="P508" s="153"/>
      <c r="Q508" s="153"/>
      <c r="R508" s="153"/>
      <c r="S508" s="153"/>
      <c r="T508" s="153"/>
      <c r="U508" s="153"/>
      <c r="V508" s="153"/>
      <c r="W508" s="153"/>
    </row>
    <row r="509" spans="2:23" s="14" customFormat="1" x14ac:dyDescent="0.25">
      <c r="B509" s="13"/>
      <c r="C509" s="153"/>
      <c r="D509" s="153"/>
      <c r="E509" s="153"/>
      <c r="F509" s="153"/>
      <c r="G509" s="153"/>
      <c r="H509" s="153"/>
      <c r="I509" s="153"/>
      <c r="J509" s="157"/>
      <c r="K509" s="157"/>
      <c r="L509" s="157"/>
      <c r="M509" s="157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</row>
    <row r="510" spans="2:23" s="14" customFormat="1" x14ac:dyDescent="0.25">
      <c r="B510" s="13"/>
      <c r="C510" s="153"/>
      <c r="D510" s="153"/>
      <c r="E510" s="153"/>
      <c r="F510" s="153"/>
      <c r="G510" s="153"/>
      <c r="H510" s="153"/>
      <c r="I510" s="153"/>
      <c r="J510" s="157"/>
      <c r="K510" s="157"/>
      <c r="L510" s="157"/>
      <c r="M510" s="157"/>
      <c r="N510" s="153"/>
      <c r="O510" s="153"/>
      <c r="P510" s="153"/>
      <c r="Q510" s="153"/>
      <c r="R510" s="153"/>
      <c r="S510" s="153"/>
      <c r="T510" s="153"/>
      <c r="U510" s="153"/>
      <c r="V510" s="153"/>
      <c r="W510" s="153"/>
    </row>
    <row r="511" spans="2:23" s="14" customFormat="1" x14ac:dyDescent="0.25">
      <c r="B511" s="13"/>
      <c r="C511" s="153"/>
      <c r="D511" s="153"/>
      <c r="E511" s="153"/>
      <c r="F511" s="153"/>
      <c r="G511" s="153"/>
      <c r="H511" s="153"/>
      <c r="I511" s="153"/>
      <c r="J511" s="157"/>
      <c r="K511" s="157"/>
      <c r="L511" s="157"/>
      <c r="M511" s="157"/>
      <c r="N511" s="153"/>
      <c r="O511" s="153"/>
      <c r="P511" s="153"/>
      <c r="Q511" s="153"/>
      <c r="R511" s="153"/>
      <c r="S511" s="153"/>
      <c r="T511" s="153"/>
      <c r="U511" s="153"/>
      <c r="V511" s="153"/>
      <c r="W511" s="153"/>
    </row>
    <row r="512" spans="2:23" s="14" customFormat="1" x14ac:dyDescent="0.25">
      <c r="B512" s="13"/>
      <c r="C512" s="153"/>
      <c r="D512" s="153"/>
      <c r="E512" s="153"/>
      <c r="F512" s="153"/>
      <c r="G512" s="153"/>
      <c r="H512" s="153"/>
      <c r="I512" s="153"/>
      <c r="J512" s="157"/>
      <c r="K512" s="157"/>
      <c r="L512" s="157"/>
      <c r="M512" s="157"/>
      <c r="N512" s="153"/>
      <c r="O512" s="153"/>
      <c r="P512" s="153"/>
      <c r="Q512" s="153"/>
      <c r="R512" s="153"/>
      <c r="S512" s="153"/>
      <c r="T512" s="153"/>
      <c r="U512" s="153"/>
      <c r="V512" s="153"/>
      <c r="W512" s="153"/>
    </row>
    <row r="513" spans="2:23" s="14" customFormat="1" x14ac:dyDescent="0.25">
      <c r="B513" s="13"/>
      <c r="C513" s="153"/>
      <c r="D513" s="153"/>
      <c r="E513" s="153"/>
      <c r="F513" s="153"/>
      <c r="G513" s="153"/>
      <c r="H513" s="153"/>
      <c r="I513" s="153"/>
      <c r="J513" s="157"/>
      <c r="K513" s="157"/>
      <c r="L513" s="157"/>
      <c r="M513" s="157"/>
      <c r="N513" s="153"/>
      <c r="O513" s="153"/>
      <c r="P513" s="153"/>
      <c r="Q513" s="153"/>
      <c r="R513" s="153"/>
      <c r="S513" s="153"/>
      <c r="T513" s="153"/>
      <c r="U513" s="153"/>
      <c r="V513" s="153"/>
      <c r="W513" s="153"/>
    </row>
    <row r="514" spans="2:23" s="14" customFormat="1" x14ac:dyDescent="0.25">
      <c r="B514" s="13"/>
      <c r="C514" s="153"/>
      <c r="D514" s="153"/>
      <c r="E514" s="153"/>
      <c r="F514" s="153"/>
      <c r="G514" s="153"/>
      <c r="H514" s="153"/>
      <c r="I514" s="153"/>
      <c r="J514" s="157"/>
      <c r="K514" s="157"/>
      <c r="L514" s="157"/>
      <c r="M514" s="157"/>
      <c r="N514" s="153"/>
      <c r="O514" s="153"/>
      <c r="P514" s="153"/>
      <c r="Q514" s="153"/>
      <c r="R514" s="153"/>
      <c r="S514" s="153"/>
      <c r="T514" s="153"/>
      <c r="U514" s="153"/>
      <c r="V514" s="153"/>
      <c r="W514" s="153"/>
    </row>
    <row r="515" spans="2:23" s="14" customFormat="1" x14ac:dyDescent="0.25">
      <c r="B515" s="13"/>
      <c r="C515" s="153"/>
      <c r="D515" s="153"/>
      <c r="E515" s="153"/>
      <c r="F515" s="153"/>
      <c r="G515" s="153"/>
      <c r="H515" s="153"/>
      <c r="I515" s="153"/>
      <c r="J515" s="157"/>
      <c r="K515" s="157"/>
      <c r="L515" s="157"/>
      <c r="M515" s="157"/>
      <c r="N515" s="153"/>
      <c r="O515" s="153"/>
      <c r="P515" s="153"/>
      <c r="Q515" s="153"/>
      <c r="R515" s="153"/>
      <c r="S515" s="153"/>
      <c r="T515" s="153"/>
      <c r="U515" s="153"/>
      <c r="V515" s="153"/>
      <c r="W515" s="153"/>
    </row>
    <row r="516" spans="2:23" s="14" customFormat="1" x14ac:dyDescent="0.25">
      <c r="B516" s="13"/>
      <c r="C516" s="153"/>
      <c r="D516" s="153"/>
      <c r="E516" s="153"/>
      <c r="F516" s="153"/>
      <c r="G516" s="153"/>
      <c r="H516" s="153"/>
      <c r="I516" s="153"/>
      <c r="J516" s="157"/>
      <c r="K516" s="157"/>
      <c r="L516" s="157"/>
      <c r="M516" s="157"/>
      <c r="N516" s="153"/>
      <c r="O516" s="153"/>
      <c r="P516" s="153"/>
      <c r="Q516" s="153"/>
      <c r="R516" s="153"/>
      <c r="S516" s="153"/>
      <c r="T516" s="153"/>
      <c r="U516" s="153"/>
      <c r="V516" s="153"/>
      <c r="W516" s="153"/>
    </row>
    <row r="517" spans="2:23" s="14" customFormat="1" x14ac:dyDescent="0.25">
      <c r="B517" s="13"/>
      <c r="C517" s="153"/>
      <c r="D517" s="153"/>
      <c r="E517" s="153"/>
      <c r="F517" s="153"/>
      <c r="G517" s="153"/>
      <c r="H517" s="153"/>
      <c r="I517" s="153"/>
      <c r="J517" s="157"/>
      <c r="K517" s="157"/>
      <c r="L517" s="157"/>
      <c r="M517" s="157"/>
      <c r="N517" s="153"/>
      <c r="O517" s="153"/>
      <c r="P517" s="153"/>
      <c r="Q517" s="153"/>
      <c r="R517" s="153"/>
      <c r="S517" s="153"/>
      <c r="T517" s="153"/>
      <c r="U517" s="153"/>
      <c r="V517" s="153"/>
      <c r="W517" s="153"/>
    </row>
    <row r="518" spans="2:23" s="14" customFormat="1" x14ac:dyDescent="0.25">
      <c r="B518" s="13"/>
      <c r="C518" s="153"/>
      <c r="D518" s="153"/>
      <c r="E518" s="153"/>
      <c r="F518" s="153"/>
      <c r="G518" s="153"/>
      <c r="H518" s="153"/>
      <c r="I518" s="153"/>
      <c r="J518" s="157"/>
      <c r="K518" s="157"/>
      <c r="L518" s="157"/>
      <c r="M518" s="157"/>
      <c r="N518" s="153"/>
      <c r="O518" s="153"/>
      <c r="P518" s="153"/>
      <c r="Q518" s="153"/>
      <c r="R518" s="153"/>
      <c r="S518" s="153"/>
      <c r="T518" s="153"/>
      <c r="U518" s="153"/>
      <c r="V518" s="153"/>
      <c r="W518" s="153"/>
    </row>
    <row r="519" spans="2:23" s="14" customFormat="1" x14ac:dyDescent="0.25">
      <c r="B519" s="13"/>
      <c r="C519" s="153"/>
      <c r="D519" s="153"/>
      <c r="E519" s="153"/>
      <c r="F519" s="153"/>
      <c r="G519" s="153"/>
      <c r="H519" s="153"/>
      <c r="I519" s="153"/>
      <c r="J519" s="157"/>
      <c r="K519" s="157"/>
      <c r="L519" s="157"/>
      <c r="M519" s="157"/>
      <c r="N519" s="153"/>
      <c r="O519" s="153"/>
      <c r="P519" s="153"/>
      <c r="Q519" s="153"/>
      <c r="R519" s="153"/>
      <c r="S519" s="153"/>
      <c r="T519" s="153"/>
      <c r="U519" s="153"/>
      <c r="V519" s="153"/>
      <c r="W519" s="153"/>
    </row>
    <row r="520" spans="2:23" s="14" customFormat="1" x14ac:dyDescent="0.25">
      <c r="B520" s="13"/>
      <c r="C520" s="153"/>
      <c r="D520" s="153"/>
      <c r="E520" s="153"/>
      <c r="F520" s="153"/>
      <c r="G520" s="153"/>
      <c r="H520" s="153"/>
      <c r="I520" s="153"/>
      <c r="J520" s="157"/>
      <c r="K520" s="157"/>
      <c r="L520" s="157"/>
      <c r="M520" s="157"/>
      <c r="N520" s="153"/>
      <c r="O520" s="153"/>
      <c r="P520" s="153"/>
      <c r="Q520" s="153"/>
      <c r="R520" s="153"/>
      <c r="S520" s="153"/>
      <c r="T520" s="153"/>
      <c r="U520" s="153"/>
      <c r="V520" s="153"/>
      <c r="W520" s="153"/>
    </row>
    <row r="521" spans="2:23" s="14" customFormat="1" x14ac:dyDescent="0.25">
      <c r="B521" s="13"/>
      <c r="C521" s="153"/>
      <c r="D521" s="153"/>
      <c r="E521" s="153"/>
      <c r="F521" s="153"/>
      <c r="G521" s="153"/>
      <c r="H521" s="153"/>
      <c r="I521" s="153"/>
      <c r="J521" s="157"/>
      <c r="K521" s="157"/>
      <c r="L521" s="157"/>
      <c r="M521" s="157"/>
      <c r="N521" s="153"/>
      <c r="O521" s="153"/>
      <c r="P521" s="153"/>
      <c r="Q521" s="153"/>
      <c r="R521" s="153"/>
      <c r="S521" s="153"/>
      <c r="T521" s="153"/>
      <c r="U521" s="153"/>
      <c r="V521" s="153"/>
      <c r="W521" s="153"/>
    </row>
    <row r="522" spans="2:23" s="14" customFormat="1" x14ac:dyDescent="0.25">
      <c r="B522" s="13"/>
      <c r="C522" s="153"/>
      <c r="D522" s="153"/>
      <c r="E522" s="153"/>
      <c r="F522" s="153"/>
      <c r="G522" s="153"/>
      <c r="H522" s="153"/>
      <c r="I522" s="153"/>
      <c r="J522" s="157"/>
      <c r="K522" s="157"/>
      <c r="L522" s="157"/>
      <c r="M522" s="157"/>
      <c r="N522" s="153"/>
      <c r="O522" s="153"/>
      <c r="P522" s="153"/>
      <c r="Q522" s="153"/>
      <c r="R522" s="153"/>
      <c r="S522" s="153"/>
      <c r="T522" s="153"/>
      <c r="U522" s="153"/>
      <c r="V522" s="153"/>
      <c r="W522" s="153"/>
    </row>
    <row r="523" spans="2:23" s="14" customFormat="1" x14ac:dyDescent="0.25">
      <c r="B523" s="13"/>
      <c r="C523" s="153"/>
      <c r="D523" s="153"/>
      <c r="E523" s="153"/>
      <c r="F523" s="153"/>
      <c r="G523" s="153"/>
      <c r="H523" s="153"/>
      <c r="I523" s="153"/>
      <c r="J523" s="157"/>
      <c r="K523" s="157"/>
      <c r="L523" s="157"/>
      <c r="M523" s="157"/>
      <c r="N523" s="153"/>
      <c r="O523" s="153"/>
      <c r="P523" s="153"/>
      <c r="Q523" s="153"/>
      <c r="R523" s="153"/>
      <c r="S523" s="153"/>
      <c r="T523" s="153"/>
      <c r="U523" s="153"/>
      <c r="V523" s="153"/>
      <c r="W523" s="153"/>
    </row>
    <row r="524" spans="2:23" s="14" customFormat="1" x14ac:dyDescent="0.25">
      <c r="B524" s="13"/>
      <c r="C524" s="153"/>
      <c r="D524" s="153"/>
      <c r="E524" s="153"/>
      <c r="F524" s="153"/>
      <c r="G524" s="153"/>
      <c r="H524" s="153"/>
      <c r="I524" s="153"/>
      <c r="J524" s="157"/>
      <c r="K524" s="157"/>
      <c r="L524" s="157"/>
      <c r="M524" s="157"/>
      <c r="N524" s="153"/>
      <c r="O524" s="153"/>
      <c r="P524" s="153"/>
      <c r="Q524" s="153"/>
      <c r="R524" s="153"/>
      <c r="S524" s="153"/>
      <c r="T524" s="153"/>
      <c r="U524" s="153"/>
      <c r="V524" s="153"/>
      <c r="W524" s="153"/>
    </row>
    <row r="525" spans="2:23" s="14" customFormat="1" x14ac:dyDescent="0.25">
      <c r="B525" s="13"/>
      <c r="C525" s="153"/>
      <c r="D525" s="153"/>
      <c r="E525" s="153"/>
      <c r="F525" s="153"/>
      <c r="G525" s="153"/>
      <c r="H525" s="153"/>
      <c r="I525" s="153"/>
      <c r="J525" s="157"/>
      <c r="K525" s="157"/>
      <c r="L525" s="157"/>
      <c r="M525" s="157"/>
      <c r="N525" s="153"/>
      <c r="O525" s="153"/>
      <c r="P525" s="153"/>
      <c r="Q525" s="153"/>
      <c r="R525" s="153"/>
      <c r="S525" s="153"/>
      <c r="T525" s="153"/>
      <c r="U525" s="153"/>
      <c r="V525" s="153"/>
      <c r="W525" s="153"/>
    </row>
    <row r="526" spans="2:23" s="14" customFormat="1" x14ac:dyDescent="0.25">
      <c r="B526" s="13"/>
      <c r="C526" s="153"/>
      <c r="D526" s="153"/>
      <c r="E526" s="153"/>
      <c r="F526" s="153"/>
      <c r="G526" s="153"/>
      <c r="H526" s="153"/>
      <c r="I526" s="153"/>
      <c r="J526" s="157"/>
      <c r="K526" s="157"/>
      <c r="L526" s="157"/>
      <c r="M526" s="157"/>
      <c r="N526" s="153"/>
      <c r="O526" s="153"/>
      <c r="P526" s="153"/>
      <c r="Q526" s="153"/>
      <c r="R526" s="153"/>
      <c r="S526" s="153"/>
      <c r="T526" s="153"/>
      <c r="U526" s="153"/>
      <c r="V526" s="153"/>
      <c r="W526" s="153"/>
    </row>
    <row r="527" spans="2:23" s="14" customFormat="1" x14ac:dyDescent="0.25">
      <c r="B527" s="13"/>
      <c r="C527" s="153"/>
      <c r="D527" s="153"/>
      <c r="E527" s="153"/>
      <c r="F527" s="153"/>
      <c r="G527" s="153"/>
      <c r="H527" s="153"/>
      <c r="I527" s="153"/>
      <c r="J527" s="157"/>
      <c r="K527" s="157"/>
      <c r="L527" s="157"/>
      <c r="M527" s="157"/>
      <c r="N527" s="153"/>
      <c r="O527" s="153"/>
      <c r="P527" s="153"/>
      <c r="Q527" s="153"/>
      <c r="R527" s="153"/>
      <c r="S527" s="153"/>
      <c r="T527" s="153"/>
      <c r="U527" s="153"/>
      <c r="V527" s="153"/>
      <c r="W527" s="153"/>
    </row>
    <row r="528" spans="2:23" s="14" customFormat="1" x14ac:dyDescent="0.25">
      <c r="B528" s="13"/>
      <c r="C528" s="153"/>
      <c r="D528" s="153"/>
      <c r="E528" s="153"/>
      <c r="F528" s="153"/>
      <c r="G528" s="153"/>
      <c r="H528" s="153"/>
      <c r="I528" s="153"/>
      <c r="J528" s="157"/>
      <c r="K528" s="157"/>
      <c r="L528" s="157"/>
      <c r="M528" s="157"/>
      <c r="N528" s="153"/>
      <c r="O528" s="153"/>
      <c r="P528" s="153"/>
      <c r="Q528" s="153"/>
      <c r="R528" s="153"/>
      <c r="S528" s="153"/>
      <c r="T528" s="153"/>
      <c r="U528" s="153"/>
      <c r="V528" s="153"/>
      <c r="W528" s="153"/>
    </row>
    <row r="529" spans="2:23" s="14" customFormat="1" x14ac:dyDescent="0.25">
      <c r="B529" s="13"/>
      <c r="C529" s="153"/>
      <c r="D529" s="153"/>
      <c r="E529" s="153"/>
      <c r="F529" s="153"/>
      <c r="G529" s="153"/>
      <c r="H529" s="153"/>
      <c r="I529" s="153"/>
      <c r="J529" s="157"/>
      <c r="K529" s="157"/>
      <c r="L529" s="157"/>
      <c r="M529" s="157"/>
      <c r="N529" s="153"/>
      <c r="O529" s="153"/>
      <c r="P529" s="153"/>
      <c r="Q529" s="153"/>
      <c r="R529" s="153"/>
      <c r="S529" s="153"/>
      <c r="T529" s="153"/>
      <c r="U529" s="153"/>
      <c r="V529" s="153"/>
      <c r="W529" s="153"/>
    </row>
    <row r="530" spans="2:23" s="14" customFormat="1" x14ac:dyDescent="0.25">
      <c r="B530" s="13"/>
      <c r="C530" s="153"/>
      <c r="D530" s="153"/>
      <c r="E530" s="153"/>
      <c r="F530" s="153"/>
      <c r="G530" s="153"/>
      <c r="H530" s="153"/>
      <c r="I530" s="153"/>
      <c r="J530" s="157"/>
      <c r="K530" s="157"/>
      <c r="L530" s="157"/>
      <c r="M530" s="157"/>
      <c r="N530" s="153"/>
      <c r="O530" s="153"/>
      <c r="P530" s="153"/>
      <c r="Q530" s="153"/>
      <c r="R530" s="153"/>
      <c r="S530" s="153"/>
      <c r="T530" s="153"/>
      <c r="U530" s="153"/>
      <c r="V530" s="153"/>
      <c r="W530" s="153"/>
    </row>
    <row r="531" spans="2:23" s="14" customFormat="1" x14ac:dyDescent="0.25">
      <c r="B531" s="13"/>
      <c r="C531" s="153"/>
      <c r="D531" s="153"/>
      <c r="E531" s="153"/>
      <c r="F531" s="153"/>
      <c r="G531" s="153"/>
      <c r="H531" s="153"/>
      <c r="I531" s="153"/>
      <c r="J531" s="157"/>
      <c r="K531" s="157"/>
      <c r="L531" s="157"/>
      <c r="M531" s="157"/>
      <c r="N531" s="153"/>
      <c r="O531" s="153"/>
      <c r="P531" s="153"/>
      <c r="Q531" s="153"/>
      <c r="R531" s="153"/>
      <c r="S531" s="153"/>
      <c r="T531" s="153"/>
      <c r="U531" s="153"/>
      <c r="V531" s="153"/>
      <c r="W531" s="153"/>
    </row>
    <row r="532" spans="2:23" s="14" customFormat="1" x14ac:dyDescent="0.25">
      <c r="B532" s="13"/>
      <c r="C532" s="153"/>
      <c r="D532" s="153"/>
      <c r="E532" s="153"/>
      <c r="F532" s="153"/>
      <c r="G532" s="153"/>
      <c r="H532" s="153"/>
      <c r="I532" s="153"/>
      <c r="J532" s="157"/>
      <c r="K532" s="157"/>
      <c r="L532" s="157"/>
      <c r="M532" s="157"/>
      <c r="N532" s="153"/>
      <c r="O532" s="153"/>
      <c r="P532" s="153"/>
      <c r="Q532" s="153"/>
      <c r="R532" s="153"/>
      <c r="S532" s="153"/>
      <c r="T532" s="153"/>
      <c r="U532" s="153"/>
      <c r="V532" s="153"/>
      <c r="W532" s="153"/>
    </row>
    <row r="533" spans="2:23" s="14" customFormat="1" x14ac:dyDescent="0.25">
      <c r="B533" s="13"/>
      <c r="C533" s="153"/>
      <c r="D533" s="153"/>
      <c r="E533" s="153"/>
      <c r="F533" s="153"/>
      <c r="G533" s="153"/>
      <c r="H533" s="153"/>
      <c r="I533" s="153"/>
      <c r="J533" s="157"/>
      <c r="K533" s="157"/>
      <c r="L533" s="157"/>
      <c r="M533" s="157"/>
      <c r="N533" s="153"/>
      <c r="O533" s="153"/>
      <c r="P533" s="153"/>
      <c r="Q533" s="153"/>
      <c r="R533" s="153"/>
      <c r="S533" s="153"/>
      <c r="T533" s="153"/>
      <c r="U533" s="153"/>
      <c r="V533" s="153"/>
      <c r="W533" s="153"/>
    </row>
    <row r="534" spans="2:23" s="14" customFormat="1" x14ac:dyDescent="0.25">
      <c r="B534" s="13"/>
      <c r="C534" s="153"/>
      <c r="D534" s="153"/>
      <c r="E534" s="153"/>
      <c r="F534" s="153"/>
      <c r="G534" s="153"/>
      <c r="H534" s="153"/>
      <c r="I534" s="153"/>
      <c r="J534" s="157"/>
      <c r="K534" s="157"/>
      <c r="L534" s="157"/>
      <c r="M534" s="157"/>
      <c r="N534" s="153"/>
      <c r="O534" s="153"/>
      <c r="P534" s="153"/>
      <c r="Q534" s="153"/>
      <c r="R534" s="153"/>
      <c r="S534" s="153"/>
      <c r="T534" s="153"/>
      <c r="U534" s="153"/>
      <c r="V534" s="153"/>
      <c r="W534" s="153"/>
    </row>
    <row r="535" spans="2:23" s="14" customFormat="1" x14ac:dyDescent="0.25">
      <c r="B535" s="13"/>
      <c r="C535" s="153"/>
      <c r="D535" s="153"/>
      <c r="E535" s="153"/>
      <c r="F535" s="153"/>
      <c r="G535" s="153"/>
      <c r="H535" s="153"/>
      <c r="I535" s="153"/>
      <c r="J535" s="157"/>
      <c r="K535" s="157"/>
      <c r="L535" s="157"/>
      <c r="M535" s="157"/>
      <c r="N535" s="153"/>
      <c r="O535" s="153"/>
      <c r="P535" s="153"/>
      <c r="Q535" s="153"/>
      <c r="R535" s="153"/>
      <c r="S535" s="153"/>
      <c r="T535" s="153"/>
      <c r="U535" s="153"/>
      <c r="V535" s="153"/>
      <c r="W535" s="153"/>
    </row>
    <row r="536" spans="2:23" s="14" customFormat="1" x14ac:dyDescent="0.25">
      <c r="B536" s="13"/>
      <c r="C536" s="153"/>
      <c r="D536" s="153"/>
      <c r="E536" s="153"/>
      <c r="F536" s="153"/>
      <c r="G536" s="153"/>
      <c r="H536" s="153"/>
      <c r="I536" s="153"/>
      <c r="J536" s="157"/>
      <c r="K536" s="157"/>
      <c r="L536" s="157"/>
      <c r="M536" s="157"/>
      <c r="N536" s="153"/>
      <c r="O536" s="153"/>
      <c r="P536" s="153"/>
      <c r="Q536" s="153"/>
      <c r="R536" s="153"/>
      <c r="S536" s="153"/>
      <c r="T536" s="153"/>
      <c r="U536" s="153"/>
      <c r="V536" s="153"/>
      <c r="W536" s="153"/>
    </row>
    <row r="537" spans="2:23" s="14" customFormat="1" x14ac:dyDescent="0.25">
      <c r="B537" s="13"/>
      <c r="C537" s="153"/>
      <c r="D537" s="153"/>
      <c r="E537" s="153"/>
      <c r="F537" s="153"/>
      <c r="G537" s="153"/>
      <c r="H537" s="153"/>
      <c r="I537" s="153"/>
      <c r="J537" s="157"/>
      <c r="K537" s="157"/>
      <c r="L537" s="157"/>
      <c r="M537" s="157"/>
      <c r="N537" s="153"/>
      <c r="O537" s="153"/>
      <c r="P537" s="153"/>
      <c r="Q537" s="153"/>
      <c r="R537" s="153"/>
      <c r="S537" s="153"/>
      <c r="T537" s="153"/>
      <c r="U537" s="153"/>
      <c r="V537" s="153"/>
      <c r="W537" s="153"/>
    </row>
    <row r="538" spans="2:23" s="14" customFormat="1" x14ac:dyDescent="0.25">
      <c r="B538" s="13"/>
      <c r="C538" s="153"/>
      <c r="D538" s="153"/>
      <c r="E538" s="153"/>
      <c r="F538" s="153"/>
      <c r="G538" s="153"/>
      <c r="H538" s="153"/>
      <c r="I538" s="153"/>
      <c r="J538" s="157"/>
      <c r="K538" s="157"/>
      <c r="L538" s="157"/>
      <c r="M538" s="157"/>
      <c r="N538" s="153"/>
      <c r="O538" s="153"/>
      <c r="P538" s="153"/>
      <c r="Q538" s="153"/>
      <c r="R538" s="153"/>
      <c r="S538" s="153"/>
      <c r="T538" s="153"/>
      <c r="U538" s="153"/>
      <c r="V538" s="153"/>
      <c r="W538" s="153"/>
    </row>
    <row r="539" spans="2:23" s="14" customFormat="1" x14ac:dyDescent="0.25">
      <c r="B539" s="13"/>
      <c r="C539" s="153"/>
      <c r="D539" s="153"/>
      <c r="E539" s="153"/>
      <c r="F539" s="153"/>
      <c r="G539" s="153"/>
      <c r="H539" s="153"/>
      <c r="I539" s="153"/>
      <c r="J539" s="157"/>
      <c r="K539" s="157"/>
      <c r="L539" s="157"/>
      <c r="M539" s="157"/>
      <c r="N539" s="153"/>
      <c r="O539" s="153"/>
      <c r="P539" s="153"/>
      <c r="Q539" s="153"/>
      <c r="R539" s="153"/>
      <c r="S539" s="153"/>
      <c r="T539" s="153"/>
      <c r="U539" s="153"/>
      <c r="V539" s="153"/>
      <c r="W539" s="153"/>
    </row>
    <row r="540" spans="2:23" s="14" customFormat="1" x14ac:dyDescent="0.25">
      <c r="B540" s="13"/>
      <c r="C540" s="153"/>
      <c r="D540" s="153"/>
      <c r="E540" s="153"/>
      <c r="F540" s="153"/>
      <c r="G540" s="153"/>
      <c r="H540" s="153"/>
      <c r="I540" s="153"/>
      <c r="J540" s="157"/>
      <c r="K540" s="157"/>
      <c r="L540" s="157"/>
      <c r="M540" s="157"/>
      <c r="N540" s="153"/>
      <c r="O540" s="153"/>
      <c r="P540" s="153"/>
      <c r="Q540" s="153"/>
      <c r="R540" s="153"/>
      <c r="S540" s="153"/>
      <c r="T540" s="153"/>
      <c r="U540" s="153"/>
      <c r="V540" s="153"/>
      <c r="W540" s="153"/>
    </row>
    <row r="541" spans="2:23" s="14" customFormat="1" x14ac:dyDescent="0.25">
      <c r="B541" s="13"/>
      <c r="C541" s="153"/>
      <c r="D541" s="153"/>
      <c r="E541" s="153"/>
      <c r="F541" s="153"/>
      <c r="G541" s="153"/>
      <c r="H541" s="153"/>
      <c r="I541" s="153"/>
      <c r="J541" s="157"/>
      <c r="K541" s="157"/>
      <c r="L541" s="157"/>
      <c r="M541" s="157"/>
      <c r="N541" s="153"/>
      <c r="O541" s="153"/>
      <c r="P541" s="153"/>
      <c r="Q541" s="153"/>
      <c r="R541" s="153"/>
      <c r="S541" s="153"/>
      <c r="T541" s="153"/>
      <c r="U541" s="153"/>
      <c r="V541" s="153"/>
      <c r="W541" s="153"/>
    </row>
    <row r="542" spans="2:23" s="14" customFormat="1" x14ac:dyDescent="0.25">
      <c r="B542" s="13"/>
      <c r="C542" s="153"/>
      <c r="D542" s="153"/>
      <c r="E542" s="153"/>
      <c r="F542" s="153"/>
      <c r="G542" s="153"/>
      <c r="H542" s="153"/>
      <c r="I542" s="153"/>
      <c r="J542" s="157"/>
      <c r="K542" s="157"/>
      <c r="L542" s="157"/>
      <c r="M542" s="157"/>
      <c r="N542" s="153"/>
      <c r="O542" s="153"/>
      <c r="P542" s="153"/>
      <c r="Q542" s="153"/>
      <c r="R542" s="153"/>
      <c r="S542" s="153"/>
      <c r="T542" s="153"/>
      <c r="U542" s="153"/>
      <c r="V542" s="153"/>
      <c r="W542" s="153"/>
    </row>
    <row r="543" spans="2:23" s="14" customFormat="1" x14ac:dyDescent="0.25">
      <c r="B543" s="13"/>
      <c r="C543" s="153"/>
      <c r="D543" s="153"/>
      <c r="E543" s="153"/>
      <c r="F543" s="153"/>
      <c r="G543" s="153"/>
      <c r="H543" s="153"/>
      <c r="I543" s="153"/>
      <c r="J543" s="157"/>
      <c r="K543" s="157"/>
      <c r="L543" s="157"/>
      <c r="M543" s="157"/>
      <c r="N543" s="153"/>
      <c r="O543" s="153"/>
      <c r="P543" s="153"/>
      <c r="Q543" s="153"/>
      <c r="R543" s="153"/>
      <c r="S543" s="153"/>
      <c r="T543" s="153"/>
      <c r="U543" s="153"/>
      <c r="V543" s="153"/>
      <c r="W543" s="153"/>
    </row>
    <row r="544" spans="2:23" s="14" customFormat="1" x14ac:dyDescent="0.25">
      <c r="B544" s="13"/>
      <c r="C544" s="153"/>
      <c r="D544" s="153"/>
      <c r="E544" s="153"/>
      <c r="F544" s="153"/>
      <c r="G544" s="153"/>
      <c r="H544" s="153"/>
      <c r="I544" s="153"/>
      <c r="J544" s="157"/>
      <c r="K544" s="157"/>
      <c r="L544" s="157"/>
      <c r="M544" s="157"/>
      <c r="N544" s="153"/>
      <c r="O544" s="153"/>
      <c r="P544" s="153"/>
      <c r="Q544" s="153"/>
      <c r="R544" s="153"/>
      <c r="S544" s="153"/>
      <c r="T544" s="153"/>
      <c r="U544" s="153"/>
      <c r="V544" s="153"/>
      <c r="W544" s="153"/>
    </row>
    <row r="545" spans="2:23" s="14" customFormat="1" x14ac:dyDescent="0.25">
      <c r="B545" s="13"/>
      <c r="C545" s="153"/>
      <c r="D545" s="153"/>
      <c r="E545" s="153"/>
      <c r="F545" s="153"/>
      <c r="G545" s="153"/>
      <c r="H545" s="153"/>
      <c r="I545" s="153"/>
      <c r="J545" s="157"/>
      <c r="K545" s="157"/>
      <c r="L545" s="157"/>
      <c r="M545" s="157"/>
      <c r="N545" s="153"/>
      <c r="O545" s="153"/>
      <c r="P545" s="153"/>
      <c r="Q545" s="153"/>
      <c r="R545" s="153"/>
      <c r="S545" s="153"/>
      <c r="T545" s="153"/>
      <c r="U545" s="153"/>
      <c r="V545" s="153"/>
      <c r="W545" s="153"/>
    </row>
    <row r="546" spans="2:23" s="14" customFormat="1" x14ac:dyDescent="0.25">
      <c r="B546" s="13"/>
      <c r="C546" s="153"/>
      <c r="D546" s="153"/>
      <c r="E546" s="153"/>
      <c r="F546" s="153"/>
      <c r="G546" s="153"/>
      <c r="H546" s="153"/>
      <c r="I546" s="153"/>
      <c r="J546" s="157"/>
      <c r="K546" s="157"/>
      <c r="L546" s="157"/>
      <c r="M546" s="157"/>
      <c r="N546" s="153"/>
      <c r="O546" s="153"/>
      <c r="P546" s="153"/>
      <c r="Q546" s="153"/>
      <c r="R546" s="153"/>
      <c r="S546" s="153"/>
      <c r="T546" s="153"/>
      <c r="U546" s="153"/>
      <c r="V546" s="153"/>
      <c r="W546" s="153"/>
    </row>
    <row r="547" spans="2:23" s="14" customFormat="1" x14ac:dyDescent="0.25">
      <c r="B547" s="13"/>
      <c r="C547" s="153"/>
      <c r="D547" s="153"/>
      <c r="E547" s="153"/>
      <c r="F547" s="153"/>
      <c r="G547" s="153"/>
      <c r="H547" s="153"/>
      <c r="I547" s="153"/>
      <c r="J547" s="157"/>
      <c r="K547" s="157"/>
      <c r="L547" s="157"/>
      <c r="M547" s="157"/>
      <c r="N547" s="153"/>
      <c r="O547" s="153"/>
      <c r="P547" s="153"/>
      <c r="Q547" s="153"/>
      <c r="R547" s="153"/>
      <c r="S547" s="153"/>
      <c r="T547" s="153"/>
      <c r="U547" s="153"/>
      <c r="V547" s="153"/>
      <c r="W547" s="153"/>
    </row>
    <row r="548" spans="2:23" s="14" customFormat="1" x14ac:dyDescent="0.25">
      <c r="B548" s="13"/>
      <c r="C548" s="153"/>
      <c r="D548" s="153"/>
      <c r="E548" s="153"/>
      <c r="F548" s="153"/>
      <c r="G548" s="153"/>
      <c r="H548" s="153"/>
      <c r="I548" s="153"/>
      <c r="J548" s="157"/>
      <c r="K548" s="157"/>
      <c r="L548" s="157"/>
      <c r="M548" s="157"/>
      <c r="N548" s="153"/>
      <c r="O548" s="153"/>
      <c r="P548" s="153"/>
      <c r="Q548" s="153"/>
      <c r="R548" s="153"/>
      <c r="S548" s="153"/>
      <c r="T548" s="153"/>
      <c r="U548" s="153"/>
      <c r="V548" s="153"/>
      <c r="W548" s="153"/>
    </row>
    <row r="549" spans="2:23" s="14" customFormat="1" x14ac:dyDescent="0.25">
      <c r="B549" s="13"/>
      <c r="C549" s="153"/>
      <c r="D549" s="153"/>
      <c r="E549" s="153"/>
      <c r="F549" s="153"/>
      <c r="G549" s="153"/>
      <c r="H549" s="153"/>
      <c r="I549" s="153"/>
      <c r="J549" s="157"/>
      <c r="K549" s="157"/>
      <c r="L549" s="157"/>
      <c r="M549" s="157"/>
      <c r="N549" s="153"/>
      <c r="O549" s="153"/>
      <c r="P549" s="153"/>
      <c r="Q549" s="153"/>
      <c r="R549" s="153"/>
      <c r="S549" s="153"/>
      <c r="T549" s="153"/>
      <c r="U549" s="153"/>
      <c r="V549" s="153"/>
      <c r="W549" s="153"/>
    </row>
    <row r="550" spans="2:23" s="14" customFormat="1" x14ac:dyDescent="0.25">
      <c r="B550" s="13"/>
      <c r="C550" s="153"/>
      <c r="D550" s="153"/>
      <c r="E550" s="153"/>
      <c r="F550" s="153"/>
      <c r="G550" s="153"/>
      <c r="H550" s="153"/>
      <c r="I550" s="153"/>
      <c r="J550" s="157"/>
      <c r="K550" s="157"/>
      <c r="L550" s="157"/>
      <c r="M550" s="157"/>
      <c r="N550" s="153"/>
      <c r="O550" s="153"/>
      <c r="P550" s="153"/>
      <c r="Q550" s="153"/>
      <c r="R550" s="153"/>
      <c r="S550" s="153"/>
      <c r="T550" s="153"/>
      <c r="U550" s="153"/>
      <c r="V550" s="153"/>
      <c r="W550" s="153"/>
    </row>
    <row r="551" spans="2:23" s="14" customFormat="1" x14ac:dyDescent="0.25">
      <c r="B551" s="13"/>
      <c r="C551" s="153"/>
      <c r="D551" s="153"/>
      <c r="E551" s="153"/>
      <c r="F551" s="153"/>
      <c r="G551" s="153"/>
      <c r="H551" s="153"/>
      <c r="I551" s="153"/>
      <c r="J551" s="157"/>
      <c r="K551" s="157"/>
      <c r="L551" s="157"/>
      <c r="M551" s="157"/>
      <c r="N551" s="153"/>
      <c r="O551" s="153"/>
      <c r="P551" s="153"/>
      <c r="Q551" s="153"/>
      <c r="R551" s="153"/>
      <c r="S551" s="153"/>
      <c r="T551" s="153"/>
      <c r="U551" s="153"/>
      <c r="V551" s="153"/>
      <c r="W551" s="153"/>
    </row>
    <row r="552" spans="2:23" s="14" customFormat="1" x14ac:dyDescent="0.25">
      <c r="B552" s="13"/>
      <c r="C552" s="153"/>
      <c r="D552" s="153"/>
      <c r="E552" s="153"/>
      <c r="F552" s="153"/>
      <c r="G552" s="153"/>
      <c r="H552" s="153"/>
      <c r="I552" s="153"/>
      <c r="J552" s="157"/>
      <c r="K552" s="157"/>
      <c r="L552" s="157"/>
      <c r="M552" s="157"/>
      <c r="N552" s="153"/>
      <c r="O552" s="153"/>
      <c r="P552" s="153"/>
      <c r="Q552" s="153"/>
      <c r="R552" s="153"/>
      <c r="S552" s="153"/>
      <c r="T552" s="153"/>
      <c r="U552" s="153"/>
      <c r="V552" s="153"/>
      <c r="W552" s="153"/>
    </row>
    <row r="553" spans="2:23" s="14" customFormat="1" x14ac:dyDescent="0.25">
      <c r="B553" s="13"/>
      <c r="C553" s="153"/>
      <c r="D553" s="153"/>
      <c r="E553" s="153"/>
      <c r="F553" s="153"/>
      <c r="G553" s="153"/>
      <c r="H553" s="153"/>
      <c r="I553" s="153"/>
      <c r="J553" s="157"/>
      <c r="K553" s="157"/>
      <c r="L553" s="157"/>
      <c r="M553" s="157"/>
      <c r="N553" s="153"/>
      <c r="O553" s="153"/>
      <c r="P553" s="153"/>
      <c r="Q553" s="153"/>
      <c r="R553" s="153"/>
      <c r="S553" s="153"/>
      <c r="T553" s="153"/>
      <c r="U553" s="153"/>
      <c r="V553" s="153"/>
      <c r="W553" s="153"/>
    </row>
    <row r="554" spans="2:23" s="14" customFormat="1" x14ac:dyDescent="0.25">
      <c r="B554" s="13"/>
      <c r="C554" s="153"/>
      <c r="D554" s="153"/>
      <c r="E554" s="153"/>
      <c r="F554" s="153"/>
      <c r="G554" s="153"/>
      <c r="H554" s="153"/>
      <c r="I554" s="153"/>
      <c r="J554" s="157"/>
      <c r="K554" s="157"/>
      <c r="L554" s="157"/>
      <c r="M554" s="157"/>
      <c r="N554" s="153"/>
      <c r="O554" s="153"/>
      <c r="P554" s="153"/>
      <c r="Q554" s="153"/>
      <c r="R554" s="153"/>
      <c r="S554" s="153"/>
      <c r="T554" s="153"/>
      <c r="U554" s="153"/>
      <c r="V554" s="153"/>
      <c r="W554" s="153"/>
    </row>
    <row r="555" spans="2:23" s="14" customFormat="1" x14ac:dyDescent="0.25">
      <c r="B555" s="13"/>
      <c r="C555" s="153"/>
      <c r="D555" s="153"/>
      <c r="E555" s="153"/>
      <c r="F555" s="153"/>
      <c r="G555" s="153"/>
      <c r="H555" s="153"/>
      <c r="I555" s="153"/>
      <c r="J555" s="157"/>
      <c r="K555" s="157"/>
      <c r="L555" s="157"/>
      <c r="M555" s="157"/>
      <c r="N555" s="153"/>
      <c r="O555" s="153"/>
      <c r="P555" s="153"/>
      <c r="Q555" s="153"/>
      <c r="R555" s="153"/>
      <c r="S555" s="153"/>
      <c r="T555" s="153"/>
      <c r="U555" s="153"/>
      <c r="V555" s="153"/>
      <c r="W555" s="153"/>
    </row>
    <row r="556" spans="2:23" s="14" customFormat="1" x14ac:dyDescent="0.25">
      <c r="B556" s="13"/>
      <c r="C556" s="153"/>
      <c r="D556" s="153"/>
      <c r="E556" s="153"/>
      <c r="F556" s="153"/>
      <c r="G556" s="153"/>
      <c r="H556" s="153"/>
      <c r="I556" s="153"/>
      <c r="J556" s="157"/>
      <c r="K556" s="157"/>
      <c r="L556" s="157"/>
      <c r="M556" s="157"/>
      <c r="N556" s="153"/>
      <c r="O556" s="153"/>
      <c r="P556" s="153"/>
      <c r="Q556" s="153"/>
      <c r="R556" s="153"/>
      <c r="S556" s="153"/>
      <c r="T556" s="153"/>
      <c r="U556" s="153"/>
      <c r="V556" s="153"/>
      <c r="W556" s="153"/>
    </row>
    <row r="557" spans="2:23" s="14" customFormat="1" x14ac:dyDescent="0.25">
      <c r="B557" s="13"/>
      <c r="C557" s="153"/>
      <c r="D557" s="153"/>
      <c r="E557" s="153"/>
      <c r="F557" s="153"/>
      <c r="G557" s="153"/>
      <c r="H557" s="153"/>
      <c r="I557" s="153"/>
      <c r="J557" s="157"/>
      <c r="K557" s="157"/>
      <c r="L557" s="157"/>
      <c r="M557" s="157"/>
      <c r="N557" s="153"/>
      <c r="O557" s="153"/>
      <c r="P557" s="153"/>
      <c r="Q557" s="153"/>
      <c r="R557" s="153"/>
      <c r="S557" s="153"/>
      <c r="T557" s="153"/>
      <c r="U557" s="153"/>
      <c r="V557" s="153"/>
      <c r="W557" s="153"/>
    </row>
    <row r="558" spans="2:23" s="14" customFormat="1" x14ac:dyDescent="0.25">
      <c r="B558" s="13"/>
      <c r="C558" s="153"/>
      <c r="D558" s="153"/>
      <c r="E558" s="153"/>
      <c r="F558" s="153"/>
      <c r="G558" s="153"/>
      <c r="H558" s="153"/>
      <c r="I558" s="153"/>
      <c r="J558" s="157"/>
      <c r="K558" s="157"/>
      <c r="L558" s="157"/>
      <c r="M558" s="157"/>
      <c r="N558" s="153"/>
      <c r="O558" s="153"/>
      <c r="P558" s="153"/>
      <c r="Q558" s="153"/>
      <c r="R558" s="153"/>
      <c r="S558" s="153"/>
      <c r="T558" s="153"/>
      <c r="U558" s="153"/>
      <c r="V558" s="153"/>
      <c r="W558" s="153"/>
    </row>
    <row r="559" spans="2:23" s="14" customFormat="1" x14ac:dyDescent="0.25">
      <c r="B559" s="13"/>
      <c r="C559" s="153"/>
      <c r="D559" s="153"/>
      <c r="E559" s="153"/>
      <c r="F559" s="153"/>
      <c r="G559" s="153"/>
      <c r="H559" s="153"/>
      <c r="I559" s="153"/>
      <c r="J559" s="157"/>
      <c r="K559" s="157"/>
      <c r="L559" s="157"/>
      <c r="M559" s="157"/>
      <c r="N559" s="153"/>
      <c r="O559" s="153"/>
      <c r="P559" s="153"/>
      <c r="Q559" s="153"/>
      <c r="R559" s="153"/>
      <c r="S559" s="153"/>
      <c r="T559" s="153"/>
      <c r="U559" s="153"/>
      <c r="V559" s="153"/>
      <c r="W559" s="153"/>
    </row>
    <row r="560" spans="2:23" s="14" customFormat="1" x14ac:dyDescent="0.25">
      <c r="B560" s="13"/>
      <c r="C560" s="153"/>
      <c r="D560" s="153"/>
      <c r="E560" s="153"/>
      <c r="F560" s="153"/>
      <c r="G560" s="153"/>
      <c r="H560" s="153"/>
      <c r="I560" s="153"/>
      <c r="J560" s="157"/>
      <c r="K560" s="157"/>
      <c r="L560" s="157"/>
      <c r="M560" s="157"/>
      <c r="N560" s="153"/>
      <c r="O560" s="153"/>
      <c r="P560" s="153"/>
      <c r="Q560" s="153"/>
      <c r="R560" s="153"/>
      <c r="S560" s="153"/>
      <c r="T560" s="153"/>
      <c r="U560" s="153"/>
      <c r="V560" s="153"/>
      <c r="W560" s="153"/>
    </row>
    <row r="561" spans="2:23" s="14" customFormat="1" x14ac:dyDescent="0.25">
      <c r="B561" s="13"/>
      <c r="C561" s="153"/>
      <c r="D561" s="153"/>
      <c r="E561" s="153"/>
      <c r="F561" s="153"/>
      <c r="G561" s="153"/>
      <c r="H561" s="153"/>
      <c r="I561" s="153"/>
      <c r="J561" s="157"/>
      <c r="K561" s="157"/>
      <c r="L561" s="157"/>
      <c r="M561" s="157"/>
      <c r="N561" s="153"/>
      <c r="O561" s="153"/>
      <c r="P561" s="153"/>
      <c r="Q561" s="153"/>
      <c r="R561" s="153"/>
      <c r="S561" s="153"/>
      <c r="T561" s="153"/>
      <c r="U561" s="153"/>
      <c r="V561" s="153"/>
      <c r="W561" s="153"/>
    </row>
    <row r="562" spans="2:23" s="14" customFormat="1" x14ac:dyDescent="0.25">
      <c r="B562" s="13"/>
      <c r="C562" s="153"/>
      <c r="D562" s="153"/>
      <c r="E562" s="153"/>
      <c r="F562" s="153"/>
      <c r="G562" s="153"/>
      <c r="H562" s="153"/>
      <c r="I562" s="153"/>
      <c r="J562" s="157"/>
      <c r="K562" s="157"/>
      <c r="L562" s="157"/>
      <c r="M562" s="157"/>
      <c r="N562" s="153"/>
      <c r="O562" s="153"/>
      <c r="P562" s="153"/>
      <c r="Q562" s="153"/>
      <c r="R562" s="153"/>
      <c r="S562" s="153"/>
      <c r="T562" s="153"/>
      <c r="U562" s="153"/>
      <c r="V562" s="153"/>
      <c r="W562" s="153"/>
    </row>
    <row r="563" spans="2:23" s="14" customFormat="1" x14ac:dyDescent="0.25">
      <c r="B563" s="13"/>
      <c r="C563" s="153"/>
      <c r="D563" s="153"/>
      <c r="E563" s="153"/>
      <c r="F563" s="153"/>
      <c r="G563" s="153"/>
      <c r="H563" s="153"/>
      <c r="I563" s="153"/>
      <c r="J563" s="157"/>
      <c r="K563" s="157"/>
      <c r="L563" s="157"/>
      <c r="M563" s="157"/>
      <c r="N563" s="153"/>
      <c r="O563" s="153"/>
      <c r="P563" s="153"/>
      <c r="Q563" s="153"/>
      <c r="R563" s="153"/>
      <c r="S563" s="153"/>
      <c r="T563" s="153"/>
      <c r="U563" s="153"/>
      <c r="V563" s="153"/>
      <c r="W563" s="153"/>
    </row>
    <row r="564" spans="2:23" s="14" customFormat="1" x14ac:dyDescent="0.25">
      <c r="B564" s="13"/>
      <c r="C564" s="153"/>
      <c r="D564" s="153"/>
      <c r="E564" s="153"/>
      <c r="F564" s="153"/>
      <c r="G564" s="153"/>
      <c r="H564" s="153"/>
      <c r="I564" s="153"/>
      <c r="J564" s="157"/>
      <c r="K564" s="157"/>
      <c r="L564" s="157"/>
      <c r="M564" s="157"/>
      <c r="N564" s="153"/>
      <c r="O564" s="153"/>
      <c r="P564" s="153"/>
      <c r="Q564" s="153"/>
      <c r="R564" s="153"/>
      <c r="S564" s="153"/>
      <c r="T564" s="153"/>
      <c r="U564" s="153"/>
      <c r="V564" s="153"/>
      <c r="W564" s="153"/>
    </row>
    <row r="565" spans="2:23" s="14" customFormat="1" x14ac:dyDescent="0.25">
      <c r="B565" s="13"/>
      <c r="C565" s="153"/>
      <c r="D565" s="153"/>
      <c r="E565" s="153"/>
      <c r="F565" s="153"/>
      <c r="G565" s="153"/>
      <c r="H565" s="153"/>
      <c r="I565" s="153"/>
      <c r="J565" s="157"/>
      <c r="K565" s="157"/>
      <c r="L565" s="157"/>
      <c r="M565" s="157"/>
      <c r="N565" s="153"/>
      <c r="O565" s="153"/>
      <c r="P565" s="153"/>
      <c r="Q565" s="153"/>
      <c r="R565" s="153"/>
      <c r="S565" s="153"/>
      <c r="T565" s="153"/>
      <c r="U565" s="153"/>
      <c r="V565" s="153"/>
      <c r="W565" s="153"/>
    </row>
    <row r="566" spans="2:23" s="14" customFormat="1" x14ac:dyDescent="0.25">
      <c r="B566" s="13"/>
      <c r="C566" s="153"/>
      <c r="D566" s="153"/>
      <c r="E566" s="153"/>
      <c r="F566" s="153"/>
      <c r="G566" s="153"/>
      <c r="H566" s="153"/>
      <c r="I566" s="153"/>
      <c r="J566" s="157"/>
      <c r="K566" s="157"/>
      <c r="L566" s="157"/>
      <c r="M566" s="157"/>
      <c r="N566" s="153"/>
      <c r="O566" s="153"/>
      <c r="P566" s="153"/>
      <c r="Q566" s="153"/>
      <c r="R566" s="153"/>
      <c r="S566" s="153"/>
      <c r="T566" s="153"/>
      <c r="U566" s="153"/>
      <c r="V566" s="153"/>
      <c r="W566" s="153"/>
    </row>
    <row r="567" spans="2:23" s="14" customFormat="1" x14ac:dyDescent="0.25">
      <c r="B567" s="13"/>
      <c r="C567" s="153"/>
      <c r="D567" s="153"/>
      <c r="E567" s="153"/>
      <c r="F567" s="153"/>
      <c r="G567" s="153"/>
      <c r="H567" s="153"/>
      <c r="I567" s="153"/>
      <c r="J567" s="157"/>
      <c r="K567" s="157"/>
      <c r="L567" s="157"/>
      <c r="M567" s="157"/>
      <c r="N567" s="153"/>
      <c r="O567" s="153"/>
      <c r="P567" s="153"/>
      <c r="Q567" s="153"/>
      <c r="R567" s="153"/>
      <c r="S567" s="153"/>
      <c r="T567" s="153"/>
      <c r="U567" s="153"/>
      <c r="V567" s="153"/>
      <c r="W567" s="153"/>
    </row>
    <row r="568" spans="2:23" s="14" customFormat="1" x14ac:dyDescent="0.25">
      <c r="B568" s="13"/>
      <c r="C568" s="153"/>
      <c r="D568" s="153"/>
      <c r="E568" s="153"/>
      <c r="F568" s="153"/>
      <c r="G568" s="153"/>
      <c r="H568" s="153"/>
      <c r="I568" s="153"/>
      <c r="J568" s="157"/>
      <c r="K568" s="157"/>
      <c r="L568" s="157"/>
      <c r="M568" s="157"/>
      <c r="N568" s="153"/>
      <c r="O568" s="153"/>
      <c r="P568" s="153"/>
      <c r="Q568" s="153"/>
      <c r="R568" s="153"/>
      <c r="S568" s="153"/>
      <c r="T568" s="153"/>
      <c r="U568" s="153"/>
      <c r="V568" s="153"/>
      <c r="W568" s="153"/>
    </row>
    <row r="569" spans="2:23" s="14" customFormat="1" x14ac:dyDescent="0.25">
      <c r="B569" s="13"/>
      <c r="C569" s="153"/>
      <c r="D569" s="153"/>
      <c r="E569" s="153"/>
      <c r="F569" s="153"/>
      <c r="G569" s="153"/>
      <c r="H569" s="153"/>
      <c r="I569" s="153"/>
      <c r="J569" s="157"/>
      <c r="K569" s="157"/>
      <c r="L569" s="157"/>
      <c r="M569" s="157"/>
      <c r="N569" s="153"/>
      <c r="O569" s="153"/>
      <c r="P569" s="153"/>
      <c r="Q569" s="153"/>
      <c r="R569" s="153"/>
      <c r="S569" s="153"/>
      <c r="T569" s="153"/>
      <c r="U569" s="153"/>
      <c r="V569" s="153"/>
      <c r="W569" s="153"/>
    </row>
    <row r="570" spans="2:23" s="14" customFormat="1" x14ac:dyDescent="0.25">
      <c r="B570" s="13"/>
      <c r="C570" s="153"/>
      <c r="D570" s="153"/>
      <c r="E570" s="153"/>
      <c r="F570" s="153"/>
      <c r="G570" s="153"/>
      <c r="H570" s="153"/>
      <c r="I570" s="153"/>
      <c r="J570" s="157"/>
      <c r="K570" s="157"/>
      <c r="L570" s="157"/>
      <c r="M570" s="157"/>
      <c r="N570" s="153"/>
      <c r="O570" s="153"/>
      <c r="P570" s="153"/>
      <c r="Q570" s="153"/>
      <c r="R570" s="153"/>
      <c r="S570" s="153"/>
      <c r="T570" s="153"/>
      <c r="U570" s="153"/>
      <c r="V570" s="153"/>
      <c r="W570" s="153"/>
    </row>
    <row r="571" spans="2:23" s="14" customFormat="1" x14ac:dyDescent="0.25">
      <c r="B571" s="13"/>
      <c r="C571" s="153"/>
      <c r="D571" s="153"/>
      <c r="E571" s="153"/>
      <c r="F571" s="153"/>
      <c r="G571" s="153"/>
      <c r="H571" s="153"/>
      <c r="I571" s="153"/>
      <c r="J571" s="157"/>
      <c r="K571" s="157"/>
      <c r="L571" s="157"/>
      <c r="M571" s="157"/>
      <c r="N571" s="153"/>
      <c r="O571" s="153"/>
      <c r="P571" s="153"/>
      <c r="Q571" s="153"/>
      <c r="R571" s="153"/>
      <c r="S571" s="153"/>
      <c r="T571" s="153"/>
      <c r="U571" s="153"/>
      <c r="V571" s="153"/>
      <c r="W571" s="153"/>
    </row>
    <row r="572" spans="2:23" s="14" customFormat="1" x14ac:dyDescent="0.25">
      <c r="B572" s="13"/>
      <c r="C572" s="153"/>
      <c r="D572" s="153"/>
      <c r="E572" s="153"/>
      <c r="F572" s="153"/>
      <c r="G572" s="153"/>
      <c r="H572" s="153"/>
      <c r="I572" s="153"/>
      <c r="J572" s="157"/>
      <c r="K572" s="157"/>
      <c r="L572" s="157"/>
      <c r="M572" s="157"/>
      <c r="N572" s="153"/>
      <c r="O572" s="153"/>
      <c r="P572" s="153"/>
      <c r="Q572" s="153"/>
      <c r="R572" s="153"/>
      <c r="S572" s="153"/>
      <c r="T572" s="153"/>
      <c r="U572" s="153"/>
      <c r="V572" s="153"/>
      <c r="W572" s="153"/>
    </row>
    <row r="573" spans="2:23" s="14" customFormat="1" x14ac:dyDescent="0.25">
      <c r="B573" s="13"/>
      <c r="C573" s="153"/>
      <c r="D573" s="153"/>
      <c r="E573" s="153"/>
      <c r="F573" s="153"/>
      <c r="G573" s="153"/>
      <c r="H573" s="153"/>
      <c r="I573" s="153"/>
      <c r="J573" s="157"/>
      <c r="K573" s="157"/>
      <c r="L573" s="157"/>
      <c r="M573" s="157"/>
      <c r="N573" s="153"/>
      <c r="O573" s="153"/>
      <c r="P573" s="153"/>
      <c r="Q573" s="153"/>
      <c r="R573" s="153"/>
      <c r="S573" s="153"/>
      <c r="T573" s="153"/>
      <c r="U573" s="153"/>
      <c r="V573" s="153"/>
      <c r="W573" s="153"/>
    </row>
    <row r="574" spans="2:23" s="14" customFormat="1" x14ac:dyDescent="0.25">
      <c r="B574" s="13"/>
      <c r="C574" s="153"/>
      <c r="D574" s="153"/>
      <c r="E574" s="153"/>
      <c r="F574" s="153"/>
      <c r="G574" s="153"/>
      <c r="H574" s="153"/>
      <c r="I574" s="153"/>
      <c r="J574" s="157"/>
      <c r="K574" s="157"/>
      <c r="L574" s="157"/>
      <c r="M574" s="157"/>
      <c r="N574" s="153"/>
      <c r="O574" s="153"/>
      <c r="P574" s="153"/>
      <c r="Q574" s="153"/>
      <c r="R574" s="153"/>
      <c r="S574" s="153"/>
      <c r="T574" s="153"/>
      <c r="U574" s="153"/>
      <c r="V574" s="153"/>
      <c r="W574" s="153"/>
    </row>
    <row r="575" spans="2:23" s="14" customFormat="1" x14ac:dyDescent="0.25">
      <c r="B575" s="13"/>
      <c r="C575" s="153"/>
      <c r="D575" s="153"/>
      <c r="E575" s="153"/>
      <c r="F575" s="153"/>
      <c r="G575" s="153"/>
      <c r="H575" s="153"/>
      <c r="I575" s="153"/>
      <c r="J575" s="157"/>
      <c r="K575" s="157"/>
      <c r="L575" s="157"/>
      <c r="M575" s="157"/>
      <c r="N575" s="153"/>
      <c r="O575" s="153"/>
      <c r="P575" s="153"/>
      <c r="Q575" s="153"/>
      <c r="R575" s="153"/>
      <c r="S575" s="153"/>
      <c r="T575" s="153"/>
      <c r="U575" s="153"/>
      <c r="V575" s="153"/>
      <c r="W575" s="153"/>
    </row>
    <row r="576" spans="2:23" s="14" customFormat="1" x14ac:dyDescent="0.25">
      <c r="B576" s="13"/>
      <c r="C576" s="153"/>
      <c r="D576" s="153"/>
      <c r="E576" s="153"/>
      <c r="F576" s="153"/>
      <c r="G576" s="153"/>
      <c r="H576" s="153"/>
      <c r="I576" s="153"/>
      <c r="J576" s="157"/>
      <c r="K576" s="157"/>
      <c r="L576" s="157"/>
      <c r="M576" s="157"/>
      <c r="N576" s="153"/>
      <c r="O576" s="153"/>
      <c r="P576" s="153"/>
      <c r="Q576" s="153"/>
      <c r="R576" s="153"/>
      <c r="S576" s="153"/>
      <c r="T576" s="153"/>
      <c r="U576" s="153"/>
      <c r="V576" s="153"/>
      <c r="W576" s="153"/>
    </row>
    <row r="577" spans="2:23" s="14" customFormat="1" x14ac:dyDescent="0.25">
      <c r="B577" s="13"/>
      <c r="C577" s="153"/>
      <c r="D577" s="153"/>
      <c r="E577" s="153"/>
      <c r="F577" s="153"/>
      <c r="G577" s="153"/>
      <c r="H577" s="153"/>
      <c r="I577" s="153"/>
      <c r="J577" s="157"/>
      <c r="K577" s="157"/>
      <c r="L577" s="157"/>
      <c r="M577" s="157"/>
      <c r="N577" s="153"/>
      <c r="O577" s="153"/>
      <c r="P577" s="153"/>
      <c r="Q577" s="153"/>
      <c r="R577" s="153"/>
      <c r="S577" s="153"/>
      <c r="T577" s="153"/>
      <c r="U577" s="153"/>
      <c r="V577" s="153"/>
      <c r="W577" s="153"/>
    </row>
    <row r="578" spans="2:23" s="14" customFormat="1" x14ac:dyDescent="0.25">
      <c r="B578" s="13"/>
      <c r="C578" s="153"/>
      <c r="D578" s="153"/>
      <c r="E578" s="153"/>
      <c r="F578" s="153"/>
      <c r="G578" s="153"/>
      <c r="H578" s="153"/>
      <c r="I578" s="153"/>
      <c r="J578" s="157"/>
      <c r="K578" s="157"/>
      <c r="L578" s="157"/>
      <c r="M578" s="157"/>
      <c r="N578" s="153"/>
      <c r="O578" s="153"/>
      <c r="P578" s="153"/>
      <c r="Q578" s="153"/>
      <c r="R578" s="153"/>
      <c r="S578" s="153"/>
      <c r="T578" s="153"/>
      <c r="U578" s="153"/>
      <c r="V578" s="153"/>
      <c r="W578" s="153"/>
    </row>
    <row r="579" spans="2:23" s="14" customFormat="1" x14ac:dyDescent="0.25">
      <c r="B579" s="13"/>
      <c r="C579" s="153"/>
      <c r="D579" s="153"/>
      <c r="E579" s="153"/>
      <c r="F579" s="153"/>
      <c r="G579" s="153"/>
      <c r="H579" s="153"/>
      <c r="I579" s="153"/>
      <c r="J579" s="157"/>
      <c r="K579" s="157"/>
      <c r="L579" s="157"/>
      <c r="M579" s="157"/>
      <c r="N579" s="153"/>
      <c r="O579" s="153"/>
      <c r="P579" s="153"/>
      <c r="Q579" s="153"/>
      <c r="R579" s="153"/>
      <c r="S579" s="153"/>
      <c r="T579" s="153"/>
      <c r="U579" s="153"/>
      <c r="V579" s="153"/>
      <c r="W579" s="153"/>
    </row>
    <row r="580" spans="2:23" s="14" customFormat="1" x14ac:dyDescent="0.25">
      <c r="B580" s="13"/>
      <c r="C580" s="153"/>
      <c r="D580" s="153"/>
      <c r="E580" s="153"/>
      <c r="F580" s="153"/>
      <c r="G580" s="153"/>
      <c r="H580" s="153"/>
      <c r="I580" s="153"/>
      <c r="J580" s="157"/>
      <c r="K580" s="157"/>
      <c r="L580" s="157"/>
      <c r="M580" s="157"/>
      <c r="N580" s="153"/>
      <c r="O580" s="153"/>
      <c r="P580" s="153"/>
      <c r="Q580" s="153"/>
      <c r="R580" s="153"/>
      <c r="S580" s="153"/>
      <c r="T580" s="153"/>
      <c r="U580" s="153"/>
      <c r="V580" s="153"/>
      <c r="W580" s="153"/>
    </row>
    <row r="581" spans="2:23" s="14" customFormat="1" x14ac:dyDescent="0.25">
      <c r="B581" s="13"/>
      <c r="C581" s="153"/>
      <c r="D581" s="153"/>
      <c r="E581" s="153"/>
      <c r="F581" s="153"/>
      <c r="G581" s="153"/>
      <c r="H581" s="153"/>
      <c r="I581" s="153"/>
      <c r="J581" s="157"/>
      <c r="K581" s="157"/>
      <c r="L581" s="157"/>
      <c r="M581" s="157"/>
      <c r="N581" s="153"/>
      <c r="O581" s="153"/>
      <c r="P581" s="153"/>
      <c r="Q581" s="153"/>
      <c r="R581" s="153"/>
      <c r="S581" s="153"/>
      <c r="T581" s="153"/>
      <c r="U581" s="153"/>
      <c r="V581" s="153"/>
      <c r="W581" s="153"/>
    </row>
    <row r="582" spans="2:23" s="14" customFormat="1" x14ac:dyDescent="0.25">
      <c r="B582" s="13"/>
      <c r="C582" s="153"/>
      <c r="D582" s="153"/>
      <c r="E582" s="153"/>
      <c r="F582" s="153"/>
      <c r="G582" s="153"/>
      <c r="H582" s="153"/>
      <c r="I582" s="153"/>
      <c r="J582" s="157"/>
      <c r="K582" s="157"/>
      <c r="L582" s="157"/>
      <c r="M582" s="157"/>
      <c r="N582" s="153"/>
      <c r="O582" s="153"/>
      <c r="P582" s="153"/>
      <c r="Q582" s="153"/>
      <c r="R582" s="153"/>
      <c r="S582" s="153"/>
      <c r="T582" s="153"/>
      <c r="U582" s="153"/>
      <c r="V582" s="153"/>
      <c r="W582" s="153"/>
    </row>
    <row r="583" spans="2:23" s="14" customFormat="1" x14ac:dyDescent="0.25">
      <c r="B583" s="13"/>
      <c r="C583" s="153"/>
      <c r="D583" s="153"/>
      <c r="E583" s="153"/>
      <c r="F583" s="153"/>
      <c r="G583" s="153"/>
      <c r="H583" s="153"/>
      <c r="I583" s="153"/>
      <c r="J583" s="157"/>
      <c r="K583" s="157"/>
      <c r="L583" s="157"/>
      <c r="M583" s="157"/>
      <c r="N583" s="153"/>
      <c r="O583" s="153"/>
      <c r="P583" s="153"/>
      <c r="Q583" s="153"/>
      <c r="R583" s="153"/>
      <c r="S583" s="153"/>
      <c r="T583" s="153"/>
      <c r="U583" s="153"/>
      <c r="V583" s="153"/>
      <c r="W583" s="153"/>
    </row>
    <row r="584" spans="2:23" s="14" customFormat="1" x14ac:dyDescent="0.25">
      <c r="B584" s="13"/>
      <c r="C584" s="153"/>
      <c r="D584" s="153"/>
      <c r="E584" s="153"/>
      <c r="F584" s="153"/>
      <c r="G584" s="153"/>
      <c r="H584" s="153"/>
      <c r="I584" s="153"/>
      <c r="J584" s="157"/>
      <c r="K584" s="157"/>
      <c r="L584" s="157"/>
      <c r="M584" s="157"/>
      <c r="N584" s="153"/>
      <c r="O584" s="153"/>
      <c r="P584" s="153"/>
      <c r="Q584" s="153"/>
      <c r="R584" s="153"/>
      <c r="S584" s="153"/>
      <c r="T584" s="153"/>
      <c r="U584" s="153"/>
      <c r="V584" s="153"/>
      <c r="W584" s="153"/>
    </row>
    <row r="585" spans="2:23" s="14" customFormat="1" x14ac:dyDescent="0.25">
      <c r="B585" s="13"/>
      <c r="C585" s="153"/>
      <c r="D585" s="153"/>
      <c r="E585" s="153"/>
      <c r="F585" s="153"/>
      <c r="G585" s="153"/>
      <c r="H585" s="153"/>
      <c r="I585" s="153"/>
      <c r="J585" s="157"/>
      <c r="K585" s="157"/>
      <c r="L585" s="157"/>
      <c r="M585" s="157"/>
      <c r="N585" s="153"/>
      <c r="O585" s="153"/>
      <c r="P585" s="153"/>
      <c r="Q585" s="153"/>
      <c r="R585" s="153"/>
      <c r="S585" s="153"/>
      <c r="T585" s="153"/>
      <c r="U585" s="153"/>
      <c r="V585" s="153"/>
      <c r="W585" s="153"/>
    </row>
    <row r="586" spans="2:23" s="14" customFormat="1" x14ac:dyDescent="0.25">
      <c r="B586" s="13"/>
      <c r="C586" s="153"/>
      <c r="D586" s="153"/>
      <c r="E586" s="153"/>
      <c r="F586" s="153"/>
      <c r="G586" s="153"/>
      <c r="H586" s="153"/>
      <c r="I586" s="153"/>
      <c r="J586" s="157"/>
      <c r="K586" s="157"/>
      <c r="L586" s="157"/>
      <c r="M586" s="157"/>
      <c r="N586" s="153"/>
      <c r="O586" s="153"/>
      <c r="P586" s="153"/>
      <c r="Q586" s="153"/>
      <c r="R586" s="153"/>
      <c r="S586" s="153"/>
      <c r="T586" s="153"/>
      <c r="U586" s="153"/>
      <c r="V586" s="153"/>
      <c r="W586" s="153"/>
    </row>
    <row r="587" spans="2:23" s="14" customFormat="1" x14ac:dyDescent="0.25">
      <c r="B587" s="13"/>
      <c r="C587" s="153"/>
      <c r="D587" s="153"/>
      <c r="E587" s="153"/>
      <c r="F587" s="153"/>
      <c r="G587" s="153"/>
      <c r="H587" s="153"/>
      <c r="I587" s="153"/>
      <c r="J587" s="157"/>
      <c r="K587" s="157"/>
      <c r="L587" s="157"/>
      <c r="M587" s="157"/>
      <c r="N587" s="153"/>
      <c r="O587" s="153"/>
      <c r="P587" s="153"/>
      <c r="Q587" s="153"/>
      <c r="R587" s="153"/>
      <c r="S587" s="153"/>
      <c r="T587" s="153"/>
      <c r="U587" s="153"/>
      <c r="V587" s="153"/>
      <c r="W587" s="153"/>
    </row>
    <row r="588" spans="2:23" s="14" customFormat="1" x14ac:dyDescent="0.25">
      <c r="B588" s="13"/>
      <c r="C588" s="153"/>
      <c r="D588" s="153"/>
      <c r="E588" s="153"/>
      <c r="F588" s="153"/>
      <c r="G588" s="153"/>
      <c r="H588" s="153"/>
      <c r="I588" s="153"/>
      <c r="J588" s="157"/>
      <c r="K588" s="157"/>
      <c r="L588" s="157"/>
      <c r="M588" s="157"/>
      <c r="N588" s="153"/>
      <c r="O588" s="153"/>
      <c r="P588" s="153"/>
      <c r="Q588" s="153"/>
      <c r="R588" s="153"/>
      <c r="S588" s="153"/>
      <c r="T588" s="153"/>
      <c r="U588" s="153"/>
      <c r="V588" s="153"/>
      <c r="W588" s="153"/>
    </row>
    <row r="589" spans="2:23" s="14" customFormat="1" x14ac:dyDescent="0.25">
      <c r="B589" s="13"/>
      <c r="C589" s="153"/>
      <c r="D589" s="153"/>
      <c r="E589" s="153"/>
      <c r="F589" s="153"/>
      <c r="G589" s="153"/>
      <c r="H589" s="153"/>
      <c r="I589" s="153"/>
      <c r="J589" s="157"/>
      <c r="K589" s="157"/>
      <c r="L589" s="157"/>
      <c r="M589" s="157"/>
      <c r="N589" s="153"/>
      <c r="O589" s="153"/>
      <c r="P589" s="153"/>
      <c r="Q589" s="153"/>
      <c r="R589" s="153"/>
      <c r="S589" s="153"/>
      <c r="T589" s="153"/>
      <c r="U589" s="153"/>
      <c r="V589" s="153"/>
      <c r="W589" s="153"/>
    </row>
    <row r="590" spans="2:23" s="14" customFormat="1" x14ac:dyDescent="0.25">
      <c r="B590" s="13"/>
      <c r="C590" s="153"/>
      <c r="D590" s="153"/>
      <c r="E590" s="153"/>
      <c r="F590" s="153"/>
      <c r="G590" s="153"/>
      <c r="H590" s="153"/>
      <c r="I590" s="153"/>
      <c r="J590" s="157"/>
      <c r="K590" s="157"/>
      <c r="L590" s="157"/>
      <c r="M590" s="157"/>
      <c r="N590" s="153"/>
      <c r="O590" s="153"/>
      <c r="P590" s="153"/>
      <c r="Q590" s="153"/>
      <c r="R590" s="153"/>
      <c r="S590" s="153"/>
      <c r="T590" s="153"/>
      <c r="U590" s="153"/>
      <c r="V590" s="153"/>
      <c r="W590" s="153"/>
    </row>
    <row r="591" spans="2:23" s="14" customFormat="1" x14ac:dyDescent="0.25">
      <c r="B591" s="13"/>
      <c r="C591" s="153"/>
      <c r="D591" s="153"/>
      <c r="E591" s="153"/>
      <c r="F591" s="153"/>
      <c r="G591" s="153"/>
      <c r="H591" s="153"/>
      <c r="I591" s="153"/>
      <c r="J591" s="157"/>
      <c r="K591" s="157"/>
      <c r="L591" s="157"/>
      <c r="M591" s="157"/>
      <c r="N591" s="153"/>
      <c r="O591" s="153"/>
      <c r="P591" s="153"/>
      <c r="Q591" s="153"/>
      <c r="R591" s="153"/>
      <c r="S591" s="153"/>
      <c r="T591" s="153"/>
      <c r="U591" s="153"/>
      <c r="V591" s="153"/>
      <c r="W591" s="153"/>
    </row>
    <row r="592" spans="2:23" s="14" customFormat="1" x14ac:dyDescent="0.25">
      <c r="B592" s="13"/>
      <c r="C592" s="153"/>
      <c r="D592" s="153"/>
      <c r="E592" s="153"/>
      <c r="F592" s="153"/>
      <c r="G592" s="153"/>
      <c r="H592" s="153"/>
      <c r="I592" s="153"/>
      <c r="J592" s="157"/>
      <c r="K592" s="157"/>
      <c r="L592" s="157"/>
      <c r="M592" s="157"/>
      <c r="N592" s="153"/>
      <c r="O592" s="153"/>
      <c r="P592" s="153"/>
      <c r="Q592" s="153"/>
      <c r="R592" s="153"/>
      <c r="S592" s="153"/>
      <c r="T592" s="153"/>
      <c r="U592" s="153"/>
      <c r="V592" s="153"/>
      <c r="W592" s="153"/>
    </row>
    <row r="593" spans="2:23" s="14" customFormat="1" x14ac:dyDescent="0.25">
      <c r="B593" s="13"/>
      <c r="C593" s="153"/>
      <c r="D593" s="153"/>
      <c r="E593" s="153"/>
      <c r="F593" s="153"/>
      <c r="G593" s="153"/>
      <c r="H593" s="153"/>
      <c r="I593" s="153"/>
      <c r="J593" s="157"/>
      <c r="K593" s="157"/>
      <c r="L593" s="157"/>
      <c r="M593" s="157"/>
      <c r="N593" s="153"/>
      <c r="O593" s="153"/>
      <c r="P593" s="153"/>
      <c r="Q593" s="153"/>
      <c r="R593" s="153"/>
      <c r="S593" s="153"/>
      <c r="T593" s="153"/>
      <c r="U593" s="153"/>
      <c r="V593" s="153"/>
      <c r="W593" s="153"/>
    </row>
    <row r="594" spans="2:23" s="14" customFormat="1" x14ac:dyDescent="0.25">
      <c r="B594" s="13"/>
      <c r="C594" s="153"/>
      <c r="D594" s="153"/>
      <c r="E594" s="153"/>
      <c r="F594" s="153"/>
      <c r="G594" s="153"/>
      <c r="H594" s="153"/>
      <c r="I594" s="153"/>
      <c r="J594" s="157"/>
      <c r="K594" s="157"/>
      <c r="L594" s="157"/>
      <c r="M594" s="157"/>
      <c r="N594" s="153"/>
      <c r="O594" s="153"/>
      <c r="P594" s="153"/>
      <c r="Q594" s="153"/>
      <c r="R594" s="153"/>
      <c r="S594" s="153"/>
      <c r="T594" s="153"/>
      <c r="U594" s="153"/>
      <c r="V594" s="153"/>
      <c r="W594" s="153"/>
    </row>
    <row r="595" spans="2:23" s="14" customFormat="1" x14ac:dyDescent="0.25">
      <c r="B595" s="13"/>
      <c r="C595" s="153"/>
      <c r="D595" s="153"/>
      <c r="E595" s="153"/>
      <c r="F595" s="153"/>
      <c r="G595" s="153"/>
      <c r="H595" s="153"/>
      <c r="I595" s="153"/>
      <c r="J595" s="157"/>
      <c r="K595" s="157"/>
      <c r="L595" s="157"/>
      <c r="M595" s="157"/>
      <c r="N595" s="153"/>
      <c r="O595" s="153"/>
      <c r="P595" s="153"/>
      <c r="Q595" s="153"/>
      <c r="R595" s="153"/>
      <c r="S595" s="153"/>
      <c r="T595" s="153"/>
      <c r="U595" s="153"/>
      <c r="V595" s="153"/>
      <c r="W595" s="153"/>
    </row>
    <row r="596" spans="2:23" s="14" customFormat="1" x14ac:dyDescent="0.25">
      <c r="B596" s="13"/>
      <c r="C596" s="153"/>
      <c r="D596" s="153"/>
      <c r="E596" s="153"/>
      <c r="F596" s="153"/>
      <c r="G596" s="153"/>
      <c r="H596" s="153"/>
      <c r="I596" s="153"/>
      <c r="J596" s="157"/>
      <c r="K596" s="157"/>
      <c r="L596" s="157"/>
      <c r="M596" s="157"/>
      <c r="N596" s="153"/>
      <c r="O596" s="153"/>
      <c r="P596" s="153"/>
      <c r="Q596" s="153"/>
      <c r="R596" s="153"/>
      <c r="S596" s="153"/>
      <c r="T596" s="153"/>
      <c r="U596" s="153"/>
      <c r="V596" s="153"/>
      <c r="W596" s="153"/>
    </row>
    <row r="597" spans="2:23" s="14" customFormat="1" x14ac:dyDescent="0.25">
      <c r="B597" s="13"/>
      <c r="C597" s="153"/>
      <c r="D597" s="153"/>
      <c r="E597" s="153"/>
      <c r="F597" s="153"/>
      <c r="G597" s="153"/>
      <c r="H597" s="153"/>
      <c r="I597" s="153"/>
      <c r="J597" s="157"/>
      <c r="K597" s="157"/>
      <c r="L597" s="157"/>
      <c r="M597" s="157"/>
      <c r="N597" s="153"/>
      <c r="O597" s="153"/>
      <c r="P597" s="153"/>
      <c r="Q597" s="153"/>
      <c r="R597" s="153"/>
      <c r="S597" s="153"/>
      <c r="T597" s="153"/>
      <c r="U597" s="153"/>
      <c r="V597" s="153"/>
      <c r="W597" s="153"/>
    </row>
    <row r="598" spans="2:23" s="14" customFormat="1" x14ac:dyDescent="0.25">
      <c r="B598" s="13"/>
      <c r="C598" s="153"/>
      <c r="D598" s="153"/>
      <c r="E598" s="153"/>
      <c r="F598" s="153"/>
      <c r="G598" s="153"/>
      <c r="H598" s="153"/>
      <c r="I598" s="153"/>
      <c r="J598" s="157"/>
      <c r="K598" s="157"/>
      <c r="L598" s="157"/>
      <c r="M598" s="157"/>
      <c r="N598" s="153"/>
      <c r="O598" s="153"/>
      <c r="P598" s="153"/>
      <c r="Q598" s="153"/>
      <c r="R598" s="153"/>
      <c r="S598" s="153"/>
      <c r="T598" s="153"/>
      <c r="U598" s="153"/>
      <c r="V598" s="153"/>
      <c r="W598" s="153"/>
    </row>
    <row r="599" spans="2:23" s="14" customFormat="1" x14ac:dyDescent="0.25">
      <c r="B599" s="13"/>
      <c r="C599" s="153"/>
      <c r="D599" s="153"/>
      <c r="E599" s="153"/>
      <c r="F599" s="153"/>
      <c r="G599" s="153"/>
      <c r="H599" s="153"/>
      <c r="I599" s="153"/>
      <c r="J599" s="157"/>
      <c r="K599" s="157"/>
      <c r="L599" s="157"/>
      <c r="M599" s="157"/>
      <c r="N599" s="153"/>
      <c r="O599" s="153"/>
      <c r="P599" s="153"/>
      <c r="Q599" s="153"/>
      <c r="R599" s="153"/>
      <c r="S599" s="153"/>
      <c r="T599" s="153"/>
      <c r="U599" s="153"/>
      <c r="V599" s="153"/>
      <c r="W599" s="153"/>
    </row>
    <row r="600" spans="2:23" s="14" customFormat="1" x14ac:dyDescent="0.25">
      <c r="B600" s="13"/>
      <c r="C600" s="153"/>
      <c r="D600" s="153"/>
      <c r="E600" s="153"/>
      <c r="F600" s="153"/>
      <c r="G600" s="153"/>
      <c r="H600" s="153"/>
      <c r="I600" s="153"/>
      <c r="J600" s="157"/>
      <c r="K600" s="157"/>
      <c r="L600" s="157"/>
      <c r="M600" s="157"/>
      <c r="N600" s="153"/>
      <c r="O600" s="153"/>
      <c r="P600" s="153"/>
      <c r="Q600" s="153"/>
      <c r="R600" s="153"/>
      <c r="S600" s="153"/>
      <c r="T600" s="153"/>
      <c r="U600" s="153"/>
      <c r="V600" s="153"/>
      <c r="W600" s="153"/>
    </row>
    <row r="601" spans="2:23" s="14" customFormat="1" x14ac:dyDescent="0.25">
      <c r="B601" s="13"/>
      <c r="C601" s="153"/>
      <c r="D601" s="153"/>
      <c r="E601" s="153"/>
      <c r="F601" s="153"/>
      <c r="G601" s="153"/>
      <c r="H601" s="153"/>
      <c r="I601" s="153"/>
      <c r="J601" s="157"/>
      <c r="K601" s="157"/>
      <c r="L601" s="157"/>
      <c r="M601" s="157"/>
      <c r="N601" s="153"/>
      <c r="O601" s="153"/>
      <c r="P601" s="153"/>
      <c r="Q601" s="153"/>
      <c r="R601" s="153"/>
      <c r="S601" s="153"/>
      <c r="T601" s="153"/>
      <c r="U601" s="153"/>
      <c r="V601" s="153"/>
      <c r="W601" s="153"/>
    </row>
    <row r="602" spans="2:23" s="14" customFormat="1" x14ac:dyDescent="0.25">
      <c r="B602" s="13"/>
      <c r="C602" s="153"/>
      <c r="D602" s="153"/>
      <c r="E602" s="153"/>
      <c r="F602" s="153"/>
      <c r="G602" s="153"/>
      <c r="H602" s="153"/>
      <c r="I602" s="153"/>
      <c r="J602" s="157"/>
      <c r="K602" s="157"/>
      <c r="L602" s="157"/>
      <c r="M602" s="157"/>
      <c r="N602" s="153"/>
      <c r="O602" s="153"/>
      <c r="P602" s="153"/>
      <c r="Q602" s="153"/>
      <c r="R602" s="153"/>
      <c r="S602" s="153"/>
      <c r="T602" s="153"/>
      <c r="U602" s="153"/>
      <c r="V602" s="153"/>
      <c r="W602" s="153"/>
    </row>
    <row r="603" spans="2:23" s="14" customFormat="1" x14ac:dyDescent="0.25">
      <c r="B603" s="13"/>
      <c r="C603" s="153"/>
      <c r="D603" s="153"/>
      <c r="E603" s="153"/>
      <c r="F603" s="153"/>
      <c r="G603" s="153"/>
      <c r="H603" s="153"/>
      <c r="I603" s="153"/>
      <c r="J603" s="157"/>
      <c r="K603" s="157"/>
      <c r="L603" s="157"/>
      <c r="M603" s="157"/>
      <c r="N603" s="153"/>
      <c r="O603" s="153"/>
      <c r="P603" s="153"/>
      <c r="Q603" s="153"/>
      <c r="R603" s="153"/>
      <c r="S603" s="153"/>
      <c r="T603" s="153"/>
      <c r="U603" s="153"/>
      <c r="V603" s="153"/>
      <c r="W603" s="153"/>
    </row>
    <row r="604" spans="2:23" s="14" customFormat="1" x14ac:dyDescent="0.25">
      <c r="B604" s="13"/>
      <c r="C604" s="153"/>
      <c r="D604" s="153"/>
      <c r="E604" s="153"/>
      <c r="F604" s="153"/>
      <c r="G604" s="153"/>
      <c r="H604" s="153"/>
      <c r="I604" s="153"/>
      <c r="J604" s="157"/>
      <c r="K604" s="157"/>
      <c r="L604" s="157"/>
      <c r="M604" s="157"/>
      <c r="N604" s="153"/>
      <c r="O604" s="153"/>
      <c r="P604" s="153"/>
      <c r="Q604" s="153"/>
      <c r="R604" s="153"/>
      <c r="S604" s="153"/>
      <c r="T604" s="153"/>
      <c r="U604" s="153"/>
      <c r="V604" s="153"/>
      <c r="W604" s="153"/>
    </row>
    <row r="605" spans="2:23" s="14" customFormat="1" x14ac:dyDescent="0.25">
      <c r="B605" s="13"/>
      <c r="C605" s="153"/>
      <c r="D605" s="153"/>
      <c r="E605" s="153"/>
      <c r="F605" s="153"/>
      <c r="G605" s="153"/>
      <c r="H605" s="153"/>
      <c r="I605" s="153"/>
      <c r="J605" s="157"/>
      <c r="K605" s="157"/>
      <c r="L605" s="157"/>
      <c r="M605" s="157"/>
      <c r="N605" s="153"/>
      <c r="O605" s="153"/>
      <c r="P605" s="153"/>
      <c r="Q605" s="153"/>
      <c r="R605" s="153"/>
      <c r="S605" s="153"/>
      <c r="T605" s="153"/>
      <c r="U605" s="153"/>
      <c r="V605" s="153"/>
      <c r="W605" s="153"/>
    </row>
    <row r="606" spans="2:23" s="14" customFormat="1" x14ac:dyDescent="0.25">
      <c r="B606" s="13"/>
      <c r="C606" s="153"/>
      <c r="D606" s="153"/>
      <c r="E606" s="153"/>
      <c r="F606" s="153"/>
      <c r="G606" s="153"/>
      <c r="H606" s="153"/>
      <c r="I606" s="153"/>
      <c r="J606" s="157"/>
      <c r="K606" s="157"/>
      <c r="L606" s="157"/>
      <c r="M606" s="157"/>
      <c r="N606" s="153"/>
      <c r="O606" s="153"/>
      <c r="P606" s="153"/>
      <c r="Q606" s="153"/>
      <c r="R606" s="153"/>
      <c r="S606" s="153"/>
      <c r="T606" s="153"/>
      <c r="U606" s="153"/>
      <c r="V606" s="153"/>
      <c r="W606" s="153"/>
    </row>
    <row r="607" spans="2:23" s="14" customFormat="1" x14ac:dyDescent="0.25">
      <c r="B607" s="13"/>
      <c r="C607" s="153"/>
      <c r="D607" s="153"/>
      <c r="E607" s="153"/>
      <c r="F607" s="153"/>
      <c r="G607" s="153"/>
      <c r="H607" s="153"/>
      <c r="I607" s="153"/>
      <c r="J607" s="157"/>
      <c r="K607" s="157"/>
      <c r="L607" s="157"/>
      <c r="M607" s="157"/>
      <c r="N607" s="153"/>
      <c r="O607" s="153"/>
      <c r="P607" s="153"/>
      <c r="Q607" s="153"/>
      <c r="R607" s="153"/>
      <c r="S607" s="153"/>
      <c r="T607" s="153"/>
      <c r="U607" s="153"/>
      <c r="V607" s="153"/>
      <c r="W607" s="153"/>
    </row>
    <row r="608" spans="2:23" s="14" customFormat="1" x14ac:dyDescent="0.25">
      <c r="B608" s="13"/>
      <c r="C608" s="153"/>
      <c r="D608" s="153"/>
      <c r="E608" s="153"/>
      <c r="F608" s="153"/>
      <c r="G608" s="153"/>
      <c r="H608" s="153"/>
      <c r="I608" s="153"/>
      <c r="J608" s="157"/>
      <c r="K608" s="157"/>
      <c r="L608" s="157"/>
      <c r="M608" s="157"/>
      <c r="N608" s="153"/>
      <c r="O608" s="153"/>
      <c r="P608" s="153"/>
      <c r="Q608" s="153"/>
      <c r="R608" s="153"/>
      <c r="S608" s="153"/>
      <c r="T608" s="153"/>
      <c r="U608" s="153"/>
      <c r="V608" s="153"/>
      <c r="W608" s="153"/>
    </row>
    <row r="609" spans="2:23" s="14" customFormat="1" x14ac:dyDescent="0.25">
      <c r="B609" s="13"/>
      <c r="C609" s="153"/>
      <c r="D609" s="153"/>
      <c r="E609" s="153"/>
      <c r="F609" s="153"/>
      <c r="G609" s="153"/>
      <c r="H609" s="153"/>
      <c r="I609" s="153"/>
      <c r="J609" s="157"/>
      <c r="K609" s="157"/>
      <c r="L609" s="157"/>
      <c r="M609" s="157"/>
      <c r="N609" s="153"/>
      <c r="O609" s="153"/>
      <c r="P609" s="153"/>
      <c r="Q609" s="153"/>
      <c r="R609" s="153"/>
      <c r="S609" s="153"/>
      <c r="T609" s="153"/>
      <c r="U609" s="153"/>
      <c r="V609" s="153"/>
      <c r="W609" s="153"/>
    </row>
    <row r="610" spans="2:23" s="14" customFormat="1" x14ac:dyDescent="0.25">
      <c r="B610" s="13"/>
      <c r="C610" s="153"/>
      <c r="D610" s="153"/>
      <c r="E610" s="153"/>
      <c r="F610" s="153"/>
      <c r="G610" s="153"/>
      <c r="H610" s="153"/>
      <c r="I610" s="153"/>
      <c r="J610" s="157"/>
      <c r="K610" s="157"/>
      <c r="L610" s="157"/>
      <c r="M610" s="157"/>
      <c r="N610" s="153"/>
      <c r="O610" s="153"/>
      <c r="P610" s="153"/>
      <c r="Q610" s="153"/>
      <c r="R610" s="153"/>
      <c r="S610" s="153"/>
      <c r="T610" s="153"/>
      <c r="U610" s="153"/>
      <c r="V610" s="153"/>
      <c r="W610" s="153"/>
    </row>
    <row r="611" spans="2:23" s="14" customFormat="1" x14ac:dyDescent="0.25">
      <c r="B611" s="13"/>
      <c r="C611" s="153"/>
      <c r="D611" s="153"/>
      <c r="E611" s="153"/>
      <c r="F611" s="153"/>
      <c r="G611" s="153"/>
      <c r="H611" s="153"/>
      <c r="I611" s="153"/>
      <c r="J611" s="157"/>
      <c r="K611" s="157"/>
      <c r="L611" s="157"/>
      <c r="M611" s="157"/>
      <c r="N611" s="153"/>
      <c r="O611" s="153"/>
      <c r="P611" s="153"/>
      <c r="Q611" s="153"/>
      <c r="R611" s="153"/>
      <c r="S611" s="153"/>
      <c r="T611" s="153"/>
      <c r="U611" s="153"/>
      <c r="V611" s="153"/>
      <c r="W611" s="153"/>
    </row>
    <row r="612" spans="2:23" s="14" customFormat="1" x14ac:dyDescent="0.25">
      <c r="B612" s="13"/>
      <c r="C612" s="153"/>
      <c r="D612" s="153"/>
      <c r="E612" s="153"/>
      <c r="F612" s="153"/>
      <c r="G612" s="153"/>
      <c r="H612" s="153"/>
      <c r="I612" s="153"/>
      <c r="J612" s="157"/>
      <c r="K612" s="157"/>
      <c r="L612" s="157"/>
      <c r="M612" s="157"/>
      <c r="N612" s="153"/>
      <c r="O612" s="153"/>
      <c r="P612" s="153"/>
      <c r="Q612" s="153"/>
      <c r="R612" s="153"/>
      <c r="S612" s="153"/>
      <c r="T612" s="153"/>
      <c r="U612" s="153"/>
      <c r="V612" s="153"/>
      <c r="W612" s="153"/>
    </row>
    <row r="613" spans="2:23" s="14" customFormat="1" x14ac:dyDescent="0.25">
      <c r="B613" s="13"/>
      <c r="C613" s="153"/>
      <c r="D613" s="153"/>
      <c r="E613" s="153"/>
      <c r="F613" s="153"/>
      <c r="G613" s="153"/>
      <c r="H613" s="153"/>
      <c r="I613" s="153"/>
      <c r="J613" s="157"/>
      <c r="K613" s="157"/>
      <c r="L613" s="157"/>
      <c r="M613" s="157"/>
      <c r="N613" s="153"/>
      <c r="O613" s="153"/>
      <c r="P613" s="153"/>
      <c r="Q613" s="153"/>
      <c r="R613" s="153"/>
      <c r="S613" s="153"/>
      <c r="T613" s="153"/>
      <c r="U613" s="153"/>
      <c r="V613" s="153"/>
      <c r="W613" s="153"/>
    </row>
    <row r="614" spans="2:23" s="14" customFormat="1" x14ac:dyDescent="0.25">
      <c r="B614" s="13"/>
      <c r="C614" s="153"/>
      <c r="D614" s="153"/>
      <c r="E614" s="153"/>
      <c r="F614" s="153"/>
      <c r="G614" s="153"/>
      <c r="H614" s="153"/>
      <c r="I614" s="153"/>
      <c r="J614" s="157"/>
      <c r="K614" s="157"/>
      <c r="L614" s="157"/>
      <c r="M614" s="157"/>
      <c r="N614" s="153"/>
      <c r="O614" s="153"/>
      <c r="P614" s="153"/>
      <c r="Q614" s="153"/>
      <c r="R614" s="153"/>
      <c r="S614" s="153"/>
      <c r="T614" s="153"/>
      <c r="U614" s="153"/>
      <c r="V614" s="153"/>
      <c r="W614" s="153"/>
    </row>
    <row r="615" spans="2:23" s="14" customFormat="1" x14ac:dyDescent="0.25">
      <c r="B615" s="13"/>
      <c r="C615" s="153"/>
      <c r="D615" s="153"/>
      <c r="E615" s="153"/>
      <c r="F615" s="153"/>
      <c r="G615" s="153"/>
      <c r="H615" s="153"/>
      <c r="I615" s="153"/>
      <c r="J615" s="157"/>
      <c r="K615" s="157"/>
      <c r="L615" s="157"/>
      <c r="M615" s="157"/>
      <c r="N615" s="153"/>
      <c r="O615" s="153"/>
      <c r="P615" s="153"/>
      <c r="Q615" s="153"/>
      <c r="R615" s="153"/>
      <c r="S615" s="153"/>
      <c r="T615" s="153"/>
      <c r="U615" s="153"/>
      <c r="V615" s="153"/>
      <c r="W615" s="153"/>
    </row>
    <row r="616" spans="2:23" s="14" customFormat="1" x14ac:dyDescent="0.25">
      <c r="B616" s="13"/>
      <c r="C616" s="153"/>
      <c r="D616" s="153"/>
      <c r="E616" s="153"/>
      <c r="F616" s="153"/>
      <c r="G616" s="153"/>
      <c r="H616" s="153"/>
      <c r="I616" s="153"/>
      <c r="J616" s="157"/>
      <c r="K616" s="157"/>
      <c r="L616" s="157"/>
      <c r="M616" s="157"/>
      <c r="N616" s="153"/>
      <c r="O616" s="153"/>
      <c r="P616" s="153"/>
      <c r="Q616" s="153"/>
      <c r="R616" s="153"/>
      <c r="S616" s="153"/>
      <c r="T616" s="153"/>
      <c r="U616" s="153"/>
      <c r="V616" s="153"/>
      <c r="W616" s="153"/>
    </row>
    <row r="617" spans="2:23" s="14" customFormat="1" x14ac:dyDescent="0.25">
      <c r="B617" s="13"/>
      <c r="C617" s="153"/>
      <c r="D617" s="153"/>
      <c r="E617" s="153"/>
      <c r="F617" s="153"/>
      <c r="G617" s="153"/>
      <c r="H617" s="153"/>
      <c r="I617" s="153"/>
      <c r="J617" s="157"/>
      <c r="K617" s="157"/>
      <c r="L617" s="157"/>
      <c r="M617" s="157"/>
      <c r="N617" s="153"/>
      <c r="O617" s="153"/>
      <c r="P617" s="153"/>
      <c r="Q617" s="153"/>
      <c r="R617" s="153"/>
      <c r="S617" s="153"/>
      <c r="T617" s="153"/>
      <c r="U617" s="153"/>
      <c r="V617" s="153"/>
      <c r="W617" s="153"/>
    </row>
    <row r="618" spans="2:23" s="14" customFormat="1" x14ac:dyDescent="0.25">
      <c r="B618" s="13"/>
      <c r="C618" s="153"/>
      <c r="D618" s="153"/>
      <c r="E618" s="153"/>
      <c r="F618" s="153"/>
      <c r="G618" s="153"/>
      <c r="H618" s="153"/>
      <c r="I618" s="153"/>
      <c r="J618" s="157"/>
      <c r="K618" s="157"/>
      <c r="L618" s="157"/>
      <c r="M618" s="157"/>
      <c r="N618" s="153"/>
      <c r="O618" s="153"/>
      <c r="P618" s="153"/>
      <c r="Q618" s="153"/>
      <c r="R618" s="153"/>
      <c r="S618" s="153"/>
      <c r="T618" s="153"/>
      <c r="U618" s="153"/>
      <c r="V618" s="153"/>
      <c r="W618" s="153"/>
    </row>
    <row r="619" spans="2:23" s="14" customFormat="1" x14ac:dyDescent="0.25">
      <c r="B619" s="13"/>
      <c r="C619" s="153"/>
      <c r="D619" s="153"/>
      <c r="E619" s="153"/>
      <c r="F619" s="153"/>
      <c r="G619" s="153"/>
      <c r="H619" s="153"/>
      <c r="I619" s="153"/>
      <c r="J619" s="157"/>
      <c r="K619" s="157"/>
      <c r="L619" s="157"/>
      <c r="M619" s="157"/>
      <c r="N619" s="153"/>
      <c r="O619" s="153"/>
      <c r="P619" s="153"/>
      <c r="Q619" s="153"/>
      <c r="R619" s="153"/>
      <c r="S619" s="153"/>
      <c r="T619" s="153"/>
      <c r="U619" s="153"/>
      <c r="V619" s="153"/>
      <c r="W619" s="153"/>
    </row>
    <row r="620" spans="2:23" s="14" customFormat="1" x14ac:dyDescent="0.25">
      <c r="B620" s="13"/>
      <c r="C620" s="153"/>
      <c r="D620" s="153"/>
      <c r="E620" s="153"/>
      <c r="F620" s="153"/>
      <c r="G620" s="153"/>
      <c r="H620" s="153"/>
      <c r="I620" s="153"/>
      <c r="J620" s="157"/>
      <c r="K620" s="157"/>
      <c r="L620" s="157"/>
      <c r="M620" s="157"/>
      <c r="N620" s="153"/>
      <c r="O620" s="153"/>
      <c r="P620" s="153"/>
      <c r="Q620" s="153"/>
      <c r="R620" s="153"/>
      <c r="S620" s="153"/>
      <c r="T620" s="153"/>
      <c r="U620" s="153"/>
      <c r="V620" s="153"/>
      <c r="W620" s="153"/>
    </row>
    <row r="621" spans="2:23" s="14" customFormat="1" x14ac:dyDescent="0.25">
      <c r="B621" s="13"/>
      <c r="C621" s="153"/>
      <c r="D621" s="153"/>
      <c r="E621" s="153"/>
      <c r="F621" s="153"/>
      <c r="G621" s="153"/>
      <c r="H621" s="153"/>
      <c r="I621" s="153"/>
      <c r="J621" s="157"/>
      <c r="K621" s="157"/>
      <c r="L621" s="157"/>
      <c r="M621" s="157"/>
      <c r="N621" s="153"/>
      <c r="O621" s="153"/>
      <c r="P621" s="153"/>
      <c r="Q621" s="153"/>
      <c r="R621" s="153"/>
      <c r="S621" s="153"/>
      <c r="T621" s="153"/>
      <c r="U621" s="153"/>
      <c r="V621" s="153"/>
      <c r="W621" s="153"/>
    </row>
    <row r="622" spans="2:23" s="14" customFormat="1" x14ac:dyDescent="0.25">
      <c r="B622" s="13"/>
      <c r="C622" s="153"/>
      <c r="D622" s="153"/>
      <c r="E622" s="153"/>
      <c r="F622" s="153"/>
      <c r="G622" s="153"/>
      <c r="H622" s="153"/>
      <c r="I622" s="153"/>
      <c r="J622" s="157"/>
      <c r="K622" s="157"/>
      <c r="L622" s="157"/>
      <c r="M622" s="157"/>
      <c r="N622" s="153"/>
      <c r="O622" s="153"/>
      <c r="P622" s="153"/>
      <c r="Q622" s="153"/>
      <c r="R622" s="153"/>
      <c r="S622" s="153"/>
      <c r="T622" s="153"/>
      <c r="U622" s="153"/>
      <c r="V622" s="153"/>
      <c r="W622" s="153"/>
    </row>
    <row r="623" spans="2:23" s="14" customFormat="1" x14ac:dyDescent="0.25">
      <c r="B623" s="13"/>
      <c r="C623" s="153"/>
      <c r="D623" s="153"/>
      <c r="E623" s="153"/>
      <c r="F623" s="153"/>
      <c r="G623" s="153"/>
      <c r="H623" s="153"/>
      <c r="I623" s="153"/>
      <c r="J623" s="157"/>
      <c r="K623" s="157"/>
      <c r="L623" s="157"/>
      <c r="M623" s="157"/>
      <c r="N623" s="153"/>
      <c r="O623" s="153"/>
      <c r="P623" s="153"/>
      <c r="Q623" s="153"/>
      <c r="R623" s="153"/>
      <c r="S623" s="153"/>
      <c r="T623" s="153"/>
      <c r="U623" s="153"/>
      <c r="V623" s="153"/>
      <c r="W623" s="153"/>
    </row>
    <row r="624" spans="2:23" s="14" customFormat="1" x14ac:dyDescent="0.25">
      <c r="B624" s="13"/>
      <c r="C624" s="153"/>
      <c r="D624" s="153"/>
      <c r="E624" s="153"/>
      <c r="F624" s="153"/>
      <c r="G624" s="153"/>
      <c r="H624" s="153"/>
      <c r="I624" s="153"/>
      <c r="J624" s="157"/>
      <c r="K624" s="157"/>
      <c r="L624" s="157"/>
      <c r="M624" s="157"/>
      <c r="N624" s="153"/>
      <c r="O624" s="153"/>
      <c r="P624" s="153"/>
      <c r="Q624" s="153"/>
      <c r="R624" s="153"/>
      <c r="S624" s="153"/>
      <c r="T624" s="153"/>
      <c r="U624" s="153"/>
      <c r="V624" s="153"/>
      <c r="W624" s="153"/>
    </row>
    <row r="625" spans="2:23" s="14" customFormat="1" x14ac:dyDescent="0.25">
      <c r="B625" s="13"/>
      <c r="C625" s="153"/>
      <c r="D625" s="153"/>
      <c r="E625" s="153"/>
      <c r="F625" s="153"/>
      <c r="G625" s="153"/>
      <c r="H625" s="153"/>
      <c r="I625" s="153"/>
      <c r="J625" s="157"/>
      <c r="K625" s="157"/>
      <c r="L625" s="157"/>
      <c r="M625" s="157"/>
      <c r="N625" s="153"/>
      <c r="O625" s="153"/>
      <c r="P625" s="153"/>
      <c r="Q625" s="153"/>
      <c r="R625" s="153"/>
      <c r="S625" s="153"/>
      <c r="T625" s="153"/>
      <c r="U625" s="153"/>
      <c r="V625" s="153"/>
      <c r="W625" s="153"/>
    </row>
    <row r="626" spans="2:23" s="14" customFormat="1" x14ac:dyDescent="0.25">
      <c r="B626" s="13"/>
      <c r="C626" s="153"/>
      <c r="D626" s="153"/>
      <c r="E626" s="153"/>
      <c r="F626" s="153"/>
      <c r="G626" s="153"/>
      <c r="H626" s="153"/>
      <c r="I626" s="153"/>
      <c r="J626" s="157"/>
      <c r="K626" s="157"/>
      <c r="L626" s="157"/>
      <c r="M626" s="157"/>
      <c r="N626" s="153"/>
      <c r="O626" s="153"/>
      <c r="P626" s="153"/>
      <c r="Q626" s="153"/>
      <c r="R626" s="153"/>
      <c r="S626" s="153"/>
      <c r="T626" s="153"/>
      <c r="U626" s="153"/>
      <c r="V626" s="153"/>
      <c r="W626" s="153"/>
    </row>
    <row r="627" spans="2:23" s="14" customFormat="1" x14ac:dyDescent="0.25">
      <c r="B627" s="13"/>
      <c r="C627" s="153"/>
      <c r="D627" s="153"/>
      <c r="E627" s="153"/>
      <c r="F627" s="153"/>
      <c r="G627" s="153"/>
      <c r="H627" s="153"/>
      <c r="I627" s="153"/>
      <c r="J627" s="157"/>
      <c r="K627" s="157"/>
      <c r="L627" s="157"/>
      <c r="M627" s="157"/>
      <c r="N627" s="153"/>
      <c r="O627" s="153"/>
      <c r="P627" s="153"/>
      <c r="Q627" s="153"/>
      <c r="R627" s="153"/>
      <c r="S627" s="153"/>
      <c r="T627" s="153"/>
      <c r="U627" s="153"/>
      <c r="V627" s="153"/>
      <c r="W627" s="153"/>
    </row>
    <row r="628" spans="2:23" s="14" customFormat="1" x14ac:dyDescent="0.25">
      <c r="B628" s="13"/>
      <c r="C628" s="153"/>
      <c r="D628" s="153"/>
      <c r="E628" s="153"/>
      <c r="F628" s="153"/>
      <c r="G628" s="153"/>
      <c r="H628" s="153"/>
      <c r="I628" s="153"/>
      <c r="J628" s="157"/>
      <c r="K628" s="157"/>
      <c r="L628" s="157"/>
      <c r="M628" s="157"/>
      <c r="N628" s="153"/>
      <c r="O628" s="153"/>
      <c r="P628" s="153"/>
      <c r="Q628" s="153"/>
      <c r="R628" s="153"/>
      <c r="S628" s="153"/>
      <c r="T628" s="153"/>
      <c r="U628" s="153"/>
      <c r="V628" s="153"/>
      <c r="W628" s="153"/>
    </row>
    <row r="629" spans="2:23" s="14" customFormat="1" x14ac:dyDescent="0.25">
      <c r="B629" s="13"/>
      <c r="C629" s="153"/>
      <c r="D629" s="153"/>
      <c r="E629" s="153"/>
      <c r="F629" s="153"/>
      <c r="G629" s="153"/>
      <c r="H629" s="153"/>
      <c r="I629" s="153"/>
      <c r="J629" s="157"/>
      <c r="K629" s="157"/>
      <c r="L629" s="157"/>
      <c r="M629" s="157"/>
      <c r="N629" s="153"/>
      <c r="O629" s="153"/>
      <c r="P629" s="153"/>
      <c r="Q629" s="153"/>
      <c r="R629" s="153"/>
      <c r="S629" s="153"/>
      <c r="T629" s="153"/>
      <c r="U629" s="153"/>
      <c r="V629" s="153"/>
      <c r="W629" s="153"/>
    </row>
    <row r="630" spans="2:23" s="14" customFormat="1" x14ac:dyDescent="0.25">
      <c r="B630" s="13"/>
      <c r="C630" s="153"/>
      <c r="D630" s="153"/>
      <c r="E630" s="153"/>
      <c r="F630" s="153"/>
      <c r="G630" s="153"/>
      <c r="H630" s="153"/>
      <c r="I630" s="153"/>
      <c r="J630" s="157"/>
      <c r="K630" s="157"/>
      <c r="L630" s="157"/>
      <c r="M630" s="157"/>
      <c r="N630" s="153"/>
      <c r="O630" s="153"/>
      <c r="P630" s="153"/>
      <c r="Q630" s="153"/>
      <c r="R630" s="153"/>
      <c r="S630" s="153"/>
      <c r="T630" s="153"/>
      <c r="U630" s="153"/>
      <c r="V630" s="153"/>
      <c r="W630" s="153"/>
    </row>
    <row r="631" spans="2:23" s="14" customFormat="1" x14ac:dyDescent="0.25">
      <c r="B631" s="13"/>
      <c r="C631" s="153"/>
      <c r="D631" s="153"/>
      <c r="E631" s="153"/>
      <c r="F631" s="153"/>
      <c r="G631" s="153"/>
      <c r="H631" s="153"/>
      <c r="I631" s="153"/>
      <c r="J631" s="157"/>
      <c r="K631" s="157"/>
      <c r="L631" s="157"/>
      <c r="M631" s="157"/>
      <c r="N631" s="153"/>
      <c r="O631" s="153"/>
      <c r="P631" s="153"/>
      <c r="Q631" s="153"/>
      <c r="R631" s="153"/>
      <c r="S631" s="153"/>
      <c r="T631" s="153"/>
      <c r="U631" s="153"/>
      <c r="V631" s="153"/>
      <c r="W631" s="153"/>
    </row>
    <row r="632" spans="2:23" s="14" customFormat="1" x14ac:dyDescent="0.25">
      <c r="B632" s="13"/>
      <c r="C632" s="153"/>
      <c r="D632" s="153"/>
      <c r="E632" s="153"/>
      <c r="F632" s="153"/>
      <c r="G632" s="153"/>
      <c r="H632" s="153"/>
      <c r="I632" s="153"/>
      <c r="J632" s="157"/>
      <c r="K632" s="157"/>
      <c r="L632" s="157"/>
      <c r="M632" s="157"/>
      <c r="N632" s="153"/>
      <c r="O632" s="153"/>
      <c r="P632" s="153"/>
      <c r="Q632" s="153"/>
      <c r="R632" s="153"/>
      <c r="S632" s="153"/>
      <c r="T632" s="153"/>
      <c r="U632" s="153"/>
      <c r="V632" s="153"/>
      <c r="W632" s="153"/>
    </row>
    <row r="633" spans="2:23" s="14" customFormat="1" x14ac:dyDescent="0.25">
      <c r="B633" s="13"/>
      <c r="C633" s="153"/>
      <c r="D633" s="153"/>
      <c r="E633" s="153"/>
      <c r="F633" s="153"/>
      <c r="G633" s="153"/>
      <c r="H633" s="153"/>
      <c r="I633" s="153"/>
      <c r="J633" s="157"/>
      <c r="K633" s="157"/>
      <c r="L633" s="157"/>
      <c r="M633" s="157"/>
      <c r="N633" s="153"/>
      <c r="O633" s="153"/>
      <c r="P633" s="153"/>
      <c r="Q633" s="153"/>
      <c r="R633" s="153"/>
      <c r="S633" s="153"/>
      <c r="T633" s="153"/>
      <c r="U633" s="153"/>
      <c r="V633" s="153"/>
      <c r="W633" s="153"/>
    </row>
    <row r="634" spans="2:23" s="14" customFormat="1" x14ac:dyDescent="0.25">
      <c r="B634" s="13"/>
      <c r="C634" s="153"/>
      <c r="D634" s="153"/>
      <c r="E634" s="153"/>
      <c r="F634" s="153"/>
      <c r="G634" s="153"/>
      <c r="H634" s="153"/>
      <c r="I634" s="153"/>
      <c r="J634" s="157"/>
      <c r="K634" s="157"/>
      <c r="L634" s="157"/>
      <c r="M634" s="157"/>
      <c r="N634" s="153"/>
      <c r="O634" s="153"/>
      <c r="P634" s="153"/>
      <c r="Q634" s="153"/>
      <c r="R634" s="153"/>
      <c r="S634" s="153"/>
      <c r="T634" s="153"/>
      <c r="U634" s="153"/>
      <c r="V634" s="153"/>
      <c r="W634" s="153"/>
    </row>
    <row r="635" spans="2:23" s="14" customFormat="1" x14ac:dyDescent="0.25">
      <c r="B635" s="13"/>
      <c r="C635" s="153"/>
      <c r="D635" s="153"/>
      <c r="E635" s="153"/>
      <c r="F635" s="153"/>
      <c r="G635" s="153"/>
      <c r="H635" s="153"/>
      <c r="I635" s="153"/>
      <c r="J635" s="157"/>
      <c r="K635" s="157"/>
      <c r="L635" s="157"/>
      <c r="M635" s="157"/>
      <c r="N635" s="153"/>
      <c r="O635" s="153"/>
      <c r="P635" s="153"/>
      <c r="Q635" s="153"/>
      <c r="R635" s="153"/>
      <c r="S635" s="153"/>
      <c r="T635" s="153"/>
      <c r="U635" s="153"/>
      <c r="V635" s="153"/>
      <c r="W635" s="153"/>
    </row>
    <row r="636" spans="2:23" s="14" customFormat="1" x14ac:dyDescent="0.25">
      <c r="B636" s="13"/>
      <c r="C636" s="153"/>
      <c r="D636" s="153"/>
      <c r="E636" s="153"/>
      <c r="F636" s="153"/>
      <c r="G636" s="153"/>
      <c r="H636" s="153"/>
      <c r="I636" s="153"/>
      <c r="J636" s="157"/>
      <c r="K636" s="157"/>
      <c r="L636" s="157"/>
      <c r="M636" s="157"/>
      <c r="N636" s="153"/>
      <c r="O636" s="153"/>
      <c r="P636" s="153"/>
      <c r="Q636" s="153"/>
      <c r="R636" s="153"/>
      <c r="S636" s="153"/>
      <c r="T636" s="153"/>
      <c r="U636" s="153"/>
      <c r="V636" s="153"/>
      <c r="W636" s="153"/>
    </row>
    <row r="637" spans="2:23" s="14" customFormat="1" x14ac:dyDescent="0.25">
      <c r="B637" s="13"/>
      <c r="C637" s="153"/>
      <c r="D637" s="153"/>
      <c r="E637" s="153"/>
      <c r="F637" s="153"/>
      <c r="G637" s="153"/>
      <c r="H637" s="153"/>
      <c r="I637" s="153"/>
      <c r="J637" s="157"/>
      <c r="K637" s="157"/>
      <c r="L637" s="157"/>
      <c r="M637" s="157"/>
      <c r="N637" s="153"/>
      <c r="O637" s="153"/>
      <c r="P637" s="153"/>
      <c r="Q637" s="153"/>
      <c r="R637" s="153"/>
      <c r="S637" s="153"/>
      <c r="T637" s="153"/>
      <c r="U637" s="153"/>
      <c r="V637" s="153"/>
      <c r="W637" s="153"/>
    </row>
    <row r="638" spans="2:23" s="14" customFormat="1" x14ac:dyDescent="0.25">
      <c r="B638" s="13"/>
      <c r="C638" s="153"/>
      <c r="D638" s="153"/>
      <c r="E638" s="153"/>
      <c r="F638" s="153"/>
      <c r="G638" s="153"/>
      <c r="H638" s="153"/>
      <c r="I638" s="153"/>
      <c r="J638" s="157"/>
      <c r="K638" s="157"/>
      <c r="L638" s="157"/>
      <c r="M638" s="157"/>
      <c r="N638" s="153"/>
      <c r="O638" s="153"/>
      <c r="P638" s="153"/>
      <c r="Q638" s="153"/>
      <c r="R638" s="153"/>
      <c r="S638" s="153"/>
      <c r="T638" s="153"/>
      <c r="U638" s="153"/>
      <c r="V638" s="153"/>
      <c r="W638" s="153"/>
    </row>
    <row r="639" spans="2:23" s="14" customFormat="1" x14ac:dyDescent="0.25">
      <c r="B639" s="13"/>
      <c r="C639" s="153"/>
      <c r="D639" s="153"/>
      <c r="E639" s="153"/>
      <c r="F639" s="153"/>
      <c r="G639" s="153"/>
      <c r="H639" s="153"/>
      <c r="I639" s="153"/>
      <c r="J639" s="157"/>
      <c r="K639" s="157"/>
      <c r="L639" s="157"/>
      <c r="M639" s="157"/>
      <c r="N639" s="153"/>
      <c r="O639" s="153"/>
      <c r="P639" s="153"/>
      <c r="Q639" s="153"/>
      <c r="R639" s="153"/>
      <c r="S639" s="153"/>
      <c r="T639" s="153"/>
      <c r="U639" s="153"/>
      <c r="V639" s="153"/>
      <c r="W639" s="153"/>
    </row>
    <row r="640" spans="2:23" s="14" customFormat="1" x14ac:dyDescent="0.25">
      <c r="B640" s="13"/>
      <c r="C640" s="153"/>
      <c r="D640" s="153"/>
      <c r="E640" s="153"/>
      <c r="F640" s="153"/>
      <c r="G640" s="153"/>
      <c r="H640" s="153"/>
      <c r="I640" s="153"/>
      <c r="J640" s="157"/>
      <c r="K640" s="157"/>
      <c r="L640" s="157"/>
      <c r="M640" s="157"/>
      <c r="N640" s="153"/>
      <c r="O640" s="153"/>
      <c r="P640" s="153"/>
      <c r="Q640" s="153"/>
      <c r="R640" s="153"/>
      <c r="S640" s="153"/>
      <c r="T640" s="153"/>
      <c r="U640" s="153"/>
      <c r="V640" s="153"/>
      <c r="W640" s="153"/>
    </row>
    <row r="641" spans="2:23" s="14" customFormat="1" x14ac:dyDescent="0.25">
      <c r="B641" s="13"/>
      <c r="C641" s="153"/>
      <c r="D641" s="153"/>
      <c r="E641" s="153"/>
      <c r="F641" s="153"/>
      <c r="G641" s="153"/>
      <c r="H641" s="153"/>
      <c r="I641" s="153"/>
      <c r="J641" s="157"/>
      <c r="K641" s="157"/>
      <c r="L641" s="157"/>
      <c r="M641" s="157"/>
      <c r="N641" s="153"/>
      <c r="O641" s="153"/>
      <c r="P641" s="153"/>
      <c r="Q641" s="153"/>
      <c r="R641" s="153"/>
      <c r="S641" s="153"/>
      <c r="T641" s="153"/>
      <c r="U641" s="153"/>
      <c r="V641" s="153"/>
      <c r="W641" s="153"/>
    </row>
    <row r="642" spans="2:23" s="14" customFormat="1" x14ac:dyDescent="0.25">
      <c r="B642" s="13"/>
      <c r="C642" s="153"/>
      <c r="D642" s="153"/>
      <c r="E642" s="153"/>
      <c r="F642" s="153"/>
      <c r="G642" s="153"/>
      <c r="H642" s="153"/>
      <c r="I642" s="153"/>
      <c r="J642" s="157"/>
      <c r="K642" s="157"/>
      <c r="L642" s="157"/>
      <c r="M642" s="157"/>
      <c r="N642" s="153"/>
      <c r="O642" s="153"/>
      <c r="P642" s="153"/>
      <c r="Q642" s="153"/>
      <c r="R642" s="153"/>
      <c r="S642" s="153"/>
      <c r="T642" s="153"/>
      <c r="U642" s="153"/>
      <c r="V642" s="153"/>
      <c r="W642" s="153"/>
    </row>
    <row r="643" spans="2:23" s="14" customFormat="1" x14ac:dyDescent="0.25">
      <c r="B643" s="13"/>
      <c r="C643" s="153"/>
      <c r="D643" s="153"/>
      <c r="E643" s="153"/>
      <c r="F643" s="153"/>
      <c r="G643" s="153"/>
      <c r="H643" s="153"/>
      <c r="I643" s="153"/>
      <c r="J643" s="157"/>
      <c r="K643" s="157"/>
      <c r="L643" s="157"/>
      <c r="M643" s="157"/>
      <c r="N643" s="153"/>
      <c r="O643" s="153"/>
      <c r="P643" s="153"/>
      <c r="Q643" s="153"/>
      <c r="R643" s="153"/>
      <c r="S643" s="153"/>
      <c r="T643" s="153"/>
      <c r="U643" s="153"/>
      <c r="V643" s="153"/>
      <c r="W643" s="153"/>
    </row>
    <row r="644" spans="2:23" s="14" customFormat="1" x14ac:dyDescent="0.25">
      <c r="B644" s="13"/>
      <c r="C644" s="153"/>
      <c r="D644" s="153"/>
      <c r="E644" s="153"/>
      <c r="F644" s="153"/>
      <c r="G644" s="153"/>
      <c r="H644" s="153"/>
      <c r="I644" s="153"/>
      <c r="J644" s="157"/>
      <c r="K644" s="157"/>
      <c r="L644" s="157"/>
      <c r="M644" s="157"/>
      <c r="N644" s="153"/>
      <c r="O644" s="153"/>
      <c r="P644" s="153"/>
      <c r="Q644" s="153"/>
      <c r="R644" s="153"/>
      <c r="S644" s="153"/>
      <c r="T644" s="153"/>
      <c r="U644" s="153"/>
      <c r="V644" s="153"/>
      <c r="W644" s="153"/>
    </row>
    <row r="645" spans="2:23" s="14" customFormat="1" x14ac:dyDescent="0.25">
      <c r="B645" s="13"/>
      <c r="C645" s="153"/>
      <c r="D645" s="153"/>
      <c r="E645" s="153"/>
      <c r="F645" s="153"/>
      <c r="G645" s="153"/>
      <c r="H645" s="153"/>
      <c r="I645" s="153"/>
      <c r="J645" s="157"/>
      <c r="K645" s="157"/>
      <c r="L645" s="157"/>
      <c r="M645" s="157"/>
      <c r="N645" s="153"/>
      <c r="O645" s="153"/>
      <c r="P645" s="153"/>
      <c r="Q645" s="153"/>
      <c r="R645" s="153"/>
      <c r="S645" s="153"/>
      <c r="T645" s="153"/>
      <c r="U645" s="153"/>
      <c r="V645" s="153"/>
      <c r="W645" s="153"/>
    </row>
    <row r="646" spans="2:23" s="14" customFormat="1" x14ac:dyDescent="0.25">
      <c r="B646" s="13"/>
      <c r="C646" s="153"/>
      <c r="D646" s="153"/>
      <c r="E646" s="153"/>
      <c r="F646" s="153"/>
      <c r="G646" s="153"/>
      <c r="H646" s="153"/>
      <c r="I646" s="153"/>
      <c r="J646" s="157"/>
      <c r="K646" s="157"/>
      <c r="L646" s="157"/>
      <c r="M646" s="157"/>
      <c r="N646" s="153"/>
      <c r="O646" s="153"/>
      <c r="P646" s="153"/>
      <c r="Q646" s="153"/>
      <c r="R646" s="153"/>
      <c r="S646" s="153"/>
      <c r="T646" s="153"/>
      <c r="U646" s="153"/>
      <c r="V646" s="153"/>
      <c r="W646" s="153"/>
    </row>
    <row r="647" spans="2:23" s="14" customFormat="1" x14ac:dyDescent="0.25">
      <c r="B647" s="13"/>
      <c r="C647" s="153"/>
      <c r="D647" s="153"/>
      <c r="E647" s="153"/>
      <c r="F647" s="153"/>
      <c r="G647" s="153"/>
      <c r="H647" s="153"/>
      <c r="I647" s="153"/>
      <c r="J647" s="157"/>
      <c r="K647" s="157"/>
      <c r="L647" s="157"/>
      <c r="M647" s="157"/>
      <c r="N647" s="153"/>
      <c r="O647" s="153"/>
      <c r="P647" s="153"/>
      <c r="Q647" s="153"/>
      <c r="R647" s="153"/>
      <c r="S647" s="153"/>
      <c r="T647" s="153"/>
      <c r="U647" s="153"/>
      <c r="V647" s="153"/>
      <c r="W647" s="153"/>
    </row>
    <row r="648" spans="2:23" s="14" customFormat="1" x14ac:dyDescent="0.25">
      <c r="B648" s="13"/>
      <c r="C648" s="153"/>
      <c r="D648" s="153"/>
      <c r="E648" s="153"/>
      <c r="F648" s="153"/>
      <c r="G648" s="153"/>
      <c r="H648" s="153"/>
      <c r="I648" s="153"/>
      <c r="J648" s="157"/>
      <c r="K648" s="157"/>
      <c r="L648" s="157"/>
      <c r="M648" s="157"/>
      <c r="N648" s="153"/>
      <c r="O648" s="153"/>
      <c r="P648" s="153"/>
      <c r="Q648" s="153"/>
      <c r="R648" s="153"/>
      <c r="S648" s="153"/>
      <c r="T648" s="153"/>
      <c r="U648" s="153"/>
      <c r="V648" s="153"/>
      <c r="W648" s="153"/>
    </row>
    <row r="649" spans="2:23" s="14" customFormat="1" x14ac:dyDescent="0.25">
      <c r="B649" s="13"/>
      <c r="C649" s="153"/>
      <c r="D649" s="153"/>
      <c r="E649" s="153"/>
      <c r="F649" s="153"/>
      <c r="G649" s="153"/>
      <c r="H649" s="153"/>
      <c r="I649" s="153"/>
      <c r="J649" s="157"/>
      <c r="K649" s="157"/>
      <c r="L649" s="157"/>
      <c r="M649" s="157"/>
      <c r="N649" s="153"/>
      <c r="O649" s="153"/>
      <c r="P649" s="153"/>
      <c r="Q649" s="153"/>
      <c r="R649" s="153"/>
      <c r="S649" s="153"/>
      <c r="T649" s="153"/>
      <c r="U649" s="153"/>
      <c r="V649" s="153"/>
      <c r="W649" s="153"/>
    </row>
    <row r="650" spans="2:23" s="14" customFormat="1" x14ac:dyDescent="0.25">
      <c r="B650" s="13"/>
      <c r="C650" s="153"/>
      <c r="D650" s="153"/>
      <c r="E650" s="153"/>
      <c r="F650" s="153"/>
      <c r="G650" s="153"/>
      <c r="H650" s="153"/>
      <c r="I650" s="153"/>
      <c r="J650" s="157"/>
      <c r="K650" s="157"/>
      <c r="L650" s="157"/>
      <c r="M650" s="157"/>
      <c r="N650" s="153"/>
      <c r="O650" s="153"/>
      <c r="P650" s="153"/>
      <c r="Q650" s="153"/>
      <c r="R650" s="153"/>
      <c r="S650" s="153"/>
      <c r="T650" s="153"/>
      <c r="U650" s="153"/>
      <c r="V650" s="153"/>
      <c r="W650" s="153"/>
    </row>
    <row r="651" spans="2:23" s="14" customFormat="1" x14ac:dyDescent="0.25">
      <c r="B651" s="13"/>
      <c r="C651" s="153"/>
      <c r="D651" s="153"/>
      <c r="E651" s="153"/>
      <c r="F651" s="153"/>
      <c r="G651" s="153"/>
      <c r="H651" s="153"/>
      <c r="I651" s="153"/>
      <c r="J651" s="157"/>
      <c r="K651" s="157"/>
      <c r="L651" s="157"/>
      <c r="M651" s="157"/>
      <c r="N651" s="153"/>
      <c r="O651" s="153"/>
      <c r="P651" s="153"/>
      <c r="Q651" s="153"/>
      <c r="R651" s="153"/>
      <c r="S651" s="153"/>
      <c r="T651" s="153"/>
      <c r="U651" s="153"/>
      <c r="V651" s="153"/>
      <c r="W651" s="153"/>
    </row>
    <row r="652" spans="2:23" s="14" customFormat="1" x14ac:dyDescent="0.25">
      <c r="B652" s="13"/>
      <c r="C652" s="153"/>
      <c r="D652" s="153"/>
      <c r="E652" s="153"/>
      <c r="F652" s="153"/>
      <c r="G652" s="153"/>
      <c r="H652" s="153"/>
      <c r="I652" s="153"/>
      <c r="J652" s="157"/>
      <c r="K652" s="157"/>
      <c r="L652" s="157"/>
      <c r="M652" s="157"/>
      <c r="N652" s="153"/>
      <c r="O652" s="153"/>
      <c r="P652" s="153"/>
      <c r="Q652" s="153"/>
      <c r="R652" s="153"/>
      <c r="S652" s="153"/>
      <c r="T652" s="153"/>
      <c r="U652" s="153"/>
      <c r="V652" s="153"/>
      <c r="W652" s="153"/>
    </row>
    <row r="653" spans="2:23" s="14" customFormat="1" x14ac:dyDescent="0.25">
      <c r="B653" s="13"/>
      <c r="C653" s="153"/>
      <c r="D653" s="153"/>
      <c r="E653" s="153"/>
      <c r="F653" s="153"/>
      <c r="G653" s="153"/>
      <c r="H653" s="153"/>
      <c r="I653" s="153"/>
      <c r="J653" s="157"/>
      <c r="K653" s="157"/>
      <c r="L653" s="157"/>
      <c r="M653" s="157"/>
      <c r="N653" s="153"/>
      <c r="O653" s="153"/>
      <c r="P653" s="153"/>
      <c r="Q653" s="153"/>
      <c r="R653" s="153"/>
      <c r="S653" s="153"/>
      <c r="T653" s="153"/>
      <c r="U653" s="153"/>
      <c r="V653" s="153"/>
      <c r="W653" s="153"/>
    </row>
    <row r="654" spans="2:23" s="14" customFormat="1" x14ac:dyDescent="0.25">
      <c r="B654" s="13"/>
      <c r="C654" s="153"/>
      <c r="D654" s="153"/>
      <c r="E654" s="153"/>
      <c r="F654" s="153"/>
      <c r="G654" s="153"/>
      <c r="H654" s="153"/>
      <c r="I654" s="153"/>
      <c r="J654" s="157"/>
      <c r="K654" s="157"/>
      <c r="L654" s="157"/>
      <c r="M654" s="157"/>
      <c r="N654" s="153"/>
      <c r="O654" s="153"/>
      <c r="P654" s="153"/>
      <c r="Q654" s="153"/>
      <c r="R654" s="153"/>
      <c r="S654" s="153"/>
      <c r="T654" s="153"/>
      <c r="U654" s="153"/>
      <c r="V654" s="153"/>
      <c r="W654" s="153"/>
    </row>
    <row r="655" spans="2:23" s="14" customFormat="1" x14ac:dyDescent="0.25">
      <c r="B655" s="13"/>
      <c r="C655" s="153"/>
      <c r="D655" s="153"/>
      <c r="E655" s="153"/>
      <c r="F655" s="153"/>
      <c r="G655" s="153"/>
      <c r="H655" s="153"/>
      <c r="I655" s="153"/>
      <c r="J655" s="157"/>
      <c r="K655" s="157"/>
      <c r="L655" s="157"/>
      <c r="M655" s="157"/>
      <c r="N655" s="153"/>
      <c r="O655" s="153"/>
      <c r="P655" s="153"/>
      <c r="Q655" s="153"/>
      <c r="R655" s="153"/>
      <c r="S655" s="153"/>
      <c r="T655" s="153"/>
      <c r="U655" s="153"/>
      <c r="V655" s="153"/>
      <c r="W655" s="153"/>
    </row>
    <row r="656" spans="2:23" s="14" customFormat="1" x14ac:dyDescent="0.25">
      <c r="B656" s="13"/>
      <c r="C656" s="153"/>
      <c r="D656" s="153"/>
      <c r="E656" s="153"/>
      <c r="F656" s="153"/>
      <c r="G656" s="153"/>
      <c r="H656" s="153"/>
      <c r="I656" s="153"/>
      <c r="J656" s="157"/>
      <c r="K656" s="157"/>
      <c r="L656" s="157"/>
      <c r="M656" s="157"/>
      <c r="N656" s="153"/>
      <c r="O656" s="153"/>
      <c r="P656" s="153"/>
      <c r="Q656" s="153"/>
      <c r="R656" s="153"/>
      <c r="S656" s="153"/>
      <c r="T656" s="153"/>
      <c r="U656" s="153"/>
      <c r="V656" s="153"/>
      <c r="W656" s="153"/>
    </row>
    <row r="657" spans="2:23" s="14" customFormat="1" x14ac:dyDescent="0.25">
      <c r="B657" s="13"/>
      <c r="C657" s="153"/>
      <c r="D657" s="153"/>
      <c r="E657" s="153"/>
      <c r="F657" s="153"/>
      <c r="G657" s="153"/>
      <c r="H657" s="153"/>
      <c r="I657" s="153"/>
      <c r="J657" s="157"/>
      <c r="K657" s="157"/>
      <c r="L657" s="157"/>
      <c r="M657" s="157"/>
      <c r="N657" s="153"/>
      <c r="O657" s="153"/>
      <c r="P657" s="153"/>
      <c r="Q657" s="153"/>
      <c r="R657" s="153"/>
      <c r="S657" s="153"/>
      <c r="T657" s="153"/>
      <c r="U657" s="153"/>
      <c r="V657" s="153"/>
      <c r="W657" s="153"/>
    </row>
    <row r="658" spans="2:23" s="14" customFormat="1" x14ac:dyDescent="0.25">
      <c r="B658" s="13"/>
      <c r="C658" s="153"/>
      <c r="D658" s="153"/>
      <c r="E658" s="153"/>
      <c r="F658" s="153"/>
      <c r="G658" s="153"/>
      <c r="H658" s="153"/>
      <c r="I658" s="153"/>
      <c r="J658" s="157"/>
      <c r="K658" s="157"/>
      <c r="L658" s="157"/>
      <c r="M658" s="157"/>
      <c r="N658" s="153"/>
      <c r="O658" s="153"/>
      <c r="P658" s="153"/>
      <c r="Q658" s="153"/>
      <c r="R658" s="153"/>
      <c r="S658" s="153"/>
      <c r="T658" s="153"/>
      <c r="U658" s="153"/>
      <c r="V658" s="153"/>
      <c r="W658" s="153"/>
    </row>
    <row r="659" spans="2:23" s="14" customFormat="1" x14ac:dyDescent="0.25">
      <c r="B659" s="13"/>
      <c r="C659" s="153"/>
      <c r="D659" s="153"/>
      <c r="E659" s="153"/>
      <c r="F659" s="153"/>
      <c r="G659" s="153"/>
      <c r="H659" s="153"/>
      <c r="I659" s="153"/>
      <c r="J659" s="157"/>
      <c r="K659" s="157"/>
      <c r="L659" s="157"/>
      <c r="M659" s="157"/>
      <c r="N659" s="153"/>
      <c r="O659" s="153"/>
      <c r="P659" s="153"/>
      <c r="Q659" s="153"/>
      <c r="R659" s="153"/>
      <c r="S659" s="153"/>
      <c r="T659" s="153"/>
      <c r="U659" s="153"/>
      <c r="V659" s="153"/>
      <c r="W659" s="153"/>
    </row>
    <row r="660" spans="2:23" s="14" customFormat="1" x14ac:dyDescent="0.25">
      <c r="B660" s="13"/>
      <c r="C660" s="153"/>
      <c r="D660" s="153"/>
      <c r="E660" s="153"/>
      <c r="F660" s="153"/>
      <c r="G660" s="153"/>
      <c r="H660" s="153"/>
      <c r="I660" s="153"/>
      <c r="J660" s="157"/>
      <c r="K660" s="157"/>
      <c r="L660" s="157"/>
      <c r="M660" s="157"/>
      <c r="N660" s="153"/>
      <c r="O660" s="153"/>
      <c r="P660" s="153"/>
      <c r="Q660" s="153"/>
      <c r="R660" s="153"/>
      <c r="S660" s="153"/>
      <c r="T660" s="153"/>
      <c r="U660" s="153"/>
      <c r="V660" s="153"/>
      <c r="W660" s="153"/>
    </row>
    <row r="661" spans="2:23" s="14" customFormat="1" x14ac:dyDescent="0.25">
      <c r="B661" s="13"/>
      <c r="C661" s="153"/>
      <c r="D661" s="153"/>
      <c r="E661" s="153"/>
      <c r="F661" s="153"/>
      <c r="G661" s="153"/>
      <c r="H661" s="153"/>
      <c r="I661" s="153"/>
      <c r="J661" s="157"/>
      <c r="K661" s="157"/>
      <c r="L661" s="157"/>
      <c r="M661" s="157"/>
      <c r="N661" s="153"/>
      <c r="O661" s="153"/>
      <c r="P661" s="153"/>
      <c r="Q661" s="153"/>
      <c r="R661" s="153"/>
      <c r="S661" s="153"/>
      <c r="T661" s="153"/>
      <c r="U661" s="153"/>
      <c r="V661" s="153"/>
      <c r="W661" s="153"/>
    </row>
    <row r="662" spans="2:23" s="14" customFormat="1" x14ac:dyDescent="0.25">
      <c r="B662" s="13"/>
      <c r="C662" s="153"/>
      <c r="D662" s="153"/>
      <c r="E662" s="153"/>
      <c r="F662" s="153"/>
      <c r="G662" s="153"/>
      <c r="H662" s="153"/>
      <c r="I662" s="153"/>
      <c r="J662" s="157"/>
      <c r="K662" s="157"/>
      <c r="L662" s="157"/>
      <c r="M662" s="157"/>
      <c r="N662" s="153"/>
      <c r="O662" s="153"/>
      <c r="P662" s="153"/>
      <c r="Q662" s="153"/>
      <c r="R662" s="153"/>
      <c r="S662" s="153"/>
      <c r="T662" s="153"/>
      <c r="U662" s="153"/>
      <c r="V662" s="153"/>
      <c r="W662" s="153"/>
    </row>
    <row r="663" spans="2:23" s="14" customFormat="1" x14ac:dyDescent="0.25">
      <c r="B663" s="13"/>
      <c r="C663" s="153"/>
      <c r="D663" s="153"/>
      <c r="E663" s="153"/>
      <c r="F663" s="153"/>
      <c r="G663" s="153"/>
      <c r="H663" s="153"/>
      <c r="I663" s="153"/>
      <c r="J663" s="157"/>
      <c r="K663" s="157"/>
      <c r="L663" s="157"/>
      <c r="M663" s="157"/>
      <c r="N663" s="153"/>
      <c r="O663" s="153"/>
      <c r="P663" s="153"/>
      <c r="Q663" s="153"/>
      <c r="R663" s="153"/>
      <c r="S663" s="153"/>
      <c r="T663" s="153"/>
      <c r="U663" s="153"/>
      <c r="V663" s="153"/>
      <c r="W663" s="153"/>
    </row>
    <row r="664" spans="2:23" s="14" customFormat="1" x14ac:dyDescent="0.25">
      <c r="B664" s="13"/>
      <c r="C664" s="153"/>
      <c r="D664" s="153"/>
      <c r="E664" s="153"/>
      <c r="F664" s="153"/>
      <c r="G664" s="153"/>
      <c r="H664" s="153"/>
      <c r="I664" s="153"/>
      <c r="J664" s="157"/>
      <c r="K664" s="157"/>
      <c r="L664" s="157"/>
      <c r="M664" s="157"/>
      <c r="N664" s="153"/>
      <c r="O664" s="153"/>
      <c r="P664" s="153"/>
      <c r="Q664" s="153"/>
      <c r="R664" s="153"/>
      <c r="S664" s="153"/>
      <c r="T664" s="153"/>
      <c r="U664" s="153"/>
      <c r="V664" s="153"/>
      <c r="W664" s="153"/>
    </row>
    <row r="665" spans="2:23" s="14" customFormat="1" x14ac:dyDescent="0.25">
      <c r="B665" s="13"/>
      <c r="C665" s="153"/>
      <c r="D665" s="153"/>
      <c r="E665" s="153"/>
      <c r="F665" s="153"/>
      <c r="G665" s="153"/>
      <c r="H665" s="153"/>
      <c r="I665" s="153"/>
      <c r="J665" s="157"/>
      <c r="K665" s="157"/>
      <c r="L665" s="157"/>
      <c r="M665" s="157"/>
      <c r="N665" s="153"/>
      <c r="O665" s="153"/>
      <c r="P665" s="153"/>
      <c r="Q665" s="153"/>
      <c r="R665" s="153"/>
      <c r="S665" s="153"/>
      <c r="T665" s="153"/>
      <c r="U665" s="153"/>
      <c r="V665" s="153"/>
      <c r="W665" s="153"/>
    </row>
    <row r="666" spans="2:23" s="14" customFormat="1" x14ac:dyDescent="0.25">
      <c r="B666" s="13"/>
      <c r="C666" s="153"/>
      <c r="D666" s="153"/>
      <c r="E666" s="153"/>
      <c r="F666" s="153"/>
      <c r="G666" s="153"/>
      <c r="H666" s="153"/>
      <c r="I666" s="153"/>
      <c r="J666" s="157"/>
      <c r="K666" s="157"/>
      <c r="L666" s="157"/>
      <c r="M666" s="157"/>
      <c r="N666" s="153"/>
      <c r="O666" s="153"/>
      <c r="P666" s="153"/>
      <c r="Q666" s="153"/>
      <c r="R666" s="153"/>
      <c r="S666" s="153"/>
      <c r="T666" s="153"/>
      <c r="U666" s="153"/>
      <c r="V666" s="153"/>
      <c r="W666" s="153"/>
    </row>
    <row r="667" spans="2:23" s="14" customFormat="1" x14ac:dyDescent="0.25">
      <c r="B667" s="13"/>
      <c r="C667" s="153"/>
      <c r="D667" s="153"/>
      <c r="E667" s="153"/>
      <c r="F667" s="153"/>
      <c r="G667" s="153"/>
      <c r="H667" s="153"/>
      <c r="I667" s="153"/>
      <c r="J667" s="157"/>
      <c r="K667" s="157"/>
      <c r="L667" s="157"/>
      <c r="M667" s="157"/>
      <c r="N667" s="153"/>
      <c r="O667" s="153"/>
      <c r="P667" s="153"/>
      <c r="Q667" s="153"/>
      <c r="R667" s="153"/>
      <c r="S667" s="153"/>
      <c r="T667" s="153"/>
      <c r="U667" s="153"/>
      <c r="V667" s="153"/>
      <c r="W667" s="153"/>
    </row>
    <row r="668" spans="2:23" s="14" customFormat="1" x14ac:dyDescent="0.25">
      <c r="B668" s="13"/>
      <c r="C668" s="153"/>
      <c r="D668" s="153"/>
      <c r="E668" s="153"/>
      <c r="F668" s="153"/>
      <c r="G668" s="153"/>
      <c r="H668" s="153"/>
      <c r="I668" s="153"/>
      <c r="J668" s="157"/>
      <c r="K668" s="157"/>
      <c r="L668" s="157"/>
      <c r="M668" s="157"/>
      <c r="N668" s="153"/>
      <c r="O668" s="153"/>
      <c r="P668" s="153"/>
      <c r="Q668" s="153"/>
      <c r="R668" s="153"/>
      <c r="S668" s="153"/>
      <c r="T668" s="153"/>
      <c r="U668" s="153"/>
      <c r="V668" s="153"/>
      <c r="W668" s="153"/>
    </row>
    <row r="669" spans="2:23" s="14" customFormat="1" x14ac:dyDescent="0.25">
      <c r="B669" s="13"/>
      <c r="C669" s="153"/>
      <c r="D669" s="153"/>
      <c r="E669" s="153"/>
      <c r="F669" s="153"/>
      <c r="G669" s="153"/>
      <c r="H669" s="153"/>
      <c r="I669" s="153"/>
      <c r="J669" s="157"/>
      <c r="K669" s="157"/>
      <c r="L669" s="157"/>
      <c r="M669" s="157"/>
      <c r="N669" s="153"/>
      <c r="O669" s="153"/>
      <c r="P669" s="153"/>
      <c r="Q669" s="153"/>
      <c r="R669" s="153"/>
      <c r="S669" s="153"/>
      <c r="T669" s="153"/>
      <c r="U669" s="153"/>
      <c r="V669" s="153"/>
      <c r="W669" s="153"/>
    </row>
    <row r="670" spans="2:23" s="14" customFormat="1" x14ac:dyDescent="0.25">
      <c r="B670" s="13"/>
      <c r="C670" s="153"/>
      <c r="D670" s="153"/>
      <c r="E670" s="153"/>
      <c r="F670" s="153"/>
      <c r="G670" s="153"/>
      <c r="H670" s="153"/>
      <c r="I670" s="153"/>
      <c r="J670" s="157"/>
      <c r="K670" s="157"/>
      <c r="L670" s="157"/>
      <c r="M670" s="157"/>
      <c r="N670" s="153"/>
      <c r="O670" s="153"/>
      <c r="P670" s="153"/>
      <c r="Q670" s="153"/>
      <c r="R670" s="153"/>
      <c r="S670" s="153"/>
      <c r="T670" s="153"/>
      <c r="U670" s="153"/>
      <c r="V670" s="153"/>
      <c r="W670" s="153"/>
    </row>
    <row r="671" spans="2:23" s="14" customFormat="1" x14ac:dyDescent="0.25">
      <c r="B671" s="13"/>
      <c r="C671" s="153"/>
      <c r="D671" s="153"/>
      <c r="E671" s="153"/>
      <c r="F671" s="153"/>
      <c r="G671" s="153"/>
      <c r="H671" s="153"/>
      <c r="I671" s="153"/>
      <c r="J671" s="157"/>
      <c r="K671" s="157"/>
      <c r="L671" s="157"/>
      <c r="M671" s="157"/>
      <c r="N671" s="153"/>
      <c r="O671" s="153"/>
      <c r="P671" s="153"/>
      <c r="Q671" s="153"/>
      <c r="R671" s="153"/>
      <c r="S671" s="153"/>
      <c r="T671" s="153"/>
      <c r="U671" s="153"/>
      <c r="V671" s="153"/>
      <c r="W671" s="153"/>
    </row>
    <row r="672" spans="2:23" s="14" customFormat="1" x14ac:dyDescent="0.25">
      <c r="B672" s="13"/>
      <c r="C672" s="153"/>
      <c r="D672" s="153"/>
      <c r="E672" s="153"/>
      <c r="F672" s="153"/>
      <c r="G672" s="153"/>
      <c r="H672" s="153"/>
      <c r="I672" s="153"/>
      <c r="J672" s="157"/>
      <c r="K672" s="157"/>
      <c r="L672" s="157"/>
      <c r="M672" s="157"/>
      <c r="N672" s="153"/>
      <c r="O672" s="153"/>
      <c r="P672" s="153"/>
      <c r="Q672" s="153"/>
      <c r="R672" s="153"/>
      <c r="S672" s="153"/>
      <c r="T672" s="153"/>
      <c r="U672" s="153"/>
      <c r="V672" s="153"/>
      <c r="W672" s="153"/>
    </row>
    <row r="673" spans="2:23" s="14" customFormat="1" x14ac:dyDescent="0.25">
      <c r="B673" s="13"/>
      <c r="C673" s="153"/>
      <c r="D673" s="153"/>
      <c r="E673" s="153"/>
      <c r="F673" s="153"/>
      <c r="G673" s="153"/>
      <c r="H673" s="153"/>
      <c r="I673" s="153"/>
      <c r="J673" s="157"/>
      <c r="K673" s="157"/>
      <c r="L673" s="157"/>
      <c r="M673" s="157"/>
      <c r="N673" s="153"/>
      <c r="O673" s="153"/>
      <c r="P673" s="153"/>
      <c r="Q673" s="153"/>
      <c r="R673" s="153"/>
      <c r="S673" s="153"/>
      <c r="T673" s="153"/>
      <c r="U673" s="153"/>
      <c r="V673" s="153"/>
      <c r="W673" s="153"/>
    </row>
    <row r="674" spans="2:23" s="14" customFormat="1" x14ac:dyDescent="0.25">
      <c r="B674" s="13"/>
      <c r="C674" s="153"/>
      <c r="D674" s="153"/>
      <c r="E674" s="153"/>
      <c r="F674" s="153"/>
      <c r="G674" s="153"/>
      <c r="H674" s="153"/>
      <c r="I674" s="153"/>
      <c r="J674" s="157"/>
      <c r="K674" s="157"/>
      <c r="L674" s="157"/>
      <c r="M674" s="157"/>
      <c r="N674" s="153"/>
      <c r="O674" s="153"/>
      <c r="P674" s="153"/>
      <c r="Q674" s="153"/>
      <c r="R674" s="153"/>
      <c r="S674" s="153"/>
      <c r="T674" s="153"/>
      <c r="U674" s="153"/>
      <c r="V674" s="153"/>
      <c r="W674" s="153"/>
    </row>
    <row r="675" spans="2:23" s="14" customFormat="1" x14ac:dyDescent="0.25">
      <c r="B675" s="13"/>
      <c r="C675" s="153"/>
      <c r="D675" s="153"/>
      <c r="E675" s="153"/>
      <c r="F675" s="153"/>
      <c r="G675" s="153"/>
      <c r="H675" s="153"/>
      <c r="I675" s="153"/>
      <c r="J675" s="157"/>
      <c r="K675" s="157"/>
      <c r="L675" s="157"/>
      <c r="M675" s="157"/>
      <c r="N675" s="153"/>
      <c r="O675" s="153"/>
      <c r="P675" s="153"/>
      <c r="Q675" s="153"/>
      <c r="R675" s="153"/>
      <c r="S675" s="153"/>
      <c r="T675" s="153"/>
      <c r="U675" s="153"/>
      <c r="V675" s="153"/>
      <c r="W675" s="153"/>
    </row>
    <row r="676" spans="2:23" s="14" customFormat="1" x14ac:dyDescent="0.25">
      <c r="B676" s="13"/>
      <c r="C676" s="153"/>
      <c r="D676" s="153"/>
      <c r="E676" s="153"/>
      <c r="F676" s="153"/>
      <c r="G676" s="153"/>
      <c r="H676" s="153"/>
      <c r="I676" s="153"/>
      <c r="J676" s="157"/>
      <c r="K676" s="157"/>
      <c r="L676" s="157"/>
      <c r="M676" s="157"/>
      <c r="N676" s="153"/>
      <c r="O676" s="153"/>
      <c r="P676" s="153"/>
      <c r="Q676" s="153"/>
      <c r="R676" s="153"/>
      <c r="S676" s="153"/>
      <c r="T676" s="153"/>
      <c r="U676" s="153"/>
      <c r="V676" s="153"/>
      <c r="W676" s="153"/>
    </row>
    <row r="677" spans="2:23" s="14" customFormat="1" x14ac:dyDescent="0.25">
      <c r="B677" s="13"/>
      <c r="C677" s="153"/>
      <c r="D677" s="153"/>
      <c r="E677" s="153"/>
      <c r="F677" s="153"/>
      <c r="G677" s="153"/>
      <c r="H677" s="153"/>
      <c r="I677" s="153"/>
      <c r="J677" s="157"/>
      <c r="K677" s="157"/>
      <c r="L677" s="157"/>
      <c r="M677" s="157"/>
      <c r="N677" s="153"/>
      <c r="O677" s="153"/>
      <c r="P677" s="153"/>
      <c r="Q677" s="153"/>
      <c r="R677" s="153"/>
      <c r="S677" s="153"/>
      <c r="T677" s="153"/>
      <c r="U677" s="153"/>
      <c r="V677" s="153"/>
      <c r="W677" s="153"/>
    </row>
    <row r="678" spans="2:23" s="14" customFormat="1" x14ac:dyDescent="0.25">
      <c r="B678" s="13"/>
      <c r="C678" s="153"/>
      <c r="D678" s="153"/>
      <c r="E678" s="153"/>
      <c r="F678" s="153"/>
      <c r="G678" s="153"/>
      <c r="H678" s="153"/>
      <c r="I678" s="153"/>
      <c r="J678" s="157"/>
      <c r="K678" s="157"/>
      <c r="L678" s="157"/>
      <c r="M678" s="157"/>
      <c r="N678" s="153"/>
      <c r="O678" s="153"/>
      <c r="P678" s="153"/>
      <c r="Q678" s="153"/>
      <c r="R678" s="153"/>
      <c r="S678" s="153"/>
      <c r="T678" s="153"/>
      <c r="U678" s="153"/>
      <c r="V678" s="153"/>
      <c r="W678" s="153"/>
    </row>
    <row r="679" spans="2:23" s="14" customFormat="1" x14ac:dyDescent="0.25">
      <c r="B679" s="13"/>
      <c r="C679" s="153"/>
      <c r="D679" s="153"/>
      <c r="E679" s="153"/>
      <c r="F679" s="153"/>
      <c r="G679" s="153"/>
      <c r="H679" s="153"/>
      <c r="I679" s="153"/>
      <c r="J679" s="157"/>
      <c r="K679" s="157"/>
      <c r="L679" s="157"/>
      <c r="M679" s="157"/>
      <c r="N679" s="153"/>
      <c r="O679" s="153"/>
      <c r="P679" s="153"/>
      <c r="Q679" s="153"/>
      <c r="R679" s="153"/>
      <c r="S679" s="153"/>
      <c r="T679" s="153"/>
      <c r="U679" s="153"/>
      <c r="V679" s="153"/>
      <c r="W679" s="153"/>
    </row>
    <row r="680" spans="2:23" s="14" customFormat="1" x14ac:dyDescent="0.25">
      <c r="B680" s="13"/>
      <c r="C680" s="153"/>
      <c r="D680" s="153"/>
      <c r="E680" s="153"/>
      <c r="F680" s="153"/>
      <c r="G680" s="153"/>
      <c r="H680" s="153"/>
      <c r="I680" s="153"/>
      <c r="J680" s="157"/>
      <c r="K680" s="157"/>
      <c r="L680" s="157"/>
      <c r="M680" s="157"/>
      <c r="N680" s="153"/>
      <c r="O680" s="153"/>
      <c r="P680" s="153"/>
      <c r="Q680" s="153"/>
      <c r="R680" s="153"/>
      <c r="S680" s="153"/>
      <c r="T680" s="153"/>
      <c r="U680" s="153"/>
      <c r="V680" s="153"/>
      <c r="W680" s="153"/>
    </row>
    <row r="681" spans="2:23" s="14" customFormat="1" x14ac:dyDescent="0.25">
      <c r="B681" s="13"/>
      <c r="C681" s="153"/>
      <c r="D681" s="153"/>
      <c r="E681" s="153"/>
      <c r="F681" s="153"/>
      <c r="G681" s="153"/>
      <c r="H681" s="153"/>
      <c r="I681" s="153"/>
      <c r="J681" s="157"/>
      <c r="K681" s="157"/>
      <c r="L681" s="157"/>
      <c r="M681" s="157"/>
      <c r="N681" s="153"/>
      <c r="O681" s="153"/>
      <c r="P681" s="153"/>
      <c r="Q681" s="153"/>
      <c r="R681" s="153"/>
      <c r="S681" s="153"/>
      <c r="T681" s="153"/>
      <c r="U681" s="153"/>
      <c r="V681" s="153"/>
      <c r="W681" s="153"/>
    </row>
    <row r="682" spans="2:23" s="14" customFormat="1" x14ac:dyDescent="0.25">
      <c r="B682" s="13"/>
      <c r="C682" s="153"/>
      <c r="D682" s="153"/>
      <c r="E682" s="153"/>
      <c r="F682" s="153"/>
      <c r="G682" s="153"/>
      <c r="H682" s="153"/>
      <c r="I682" s="153"/>
      <c r="J682" s="157"/>
      <c r="K682" s="157"/>
      <c r="L682" s="157"/>
      <c r="M682" s="157"/>
      <c r="N682" s="153"/>
      <c r="O682" s="153"/>
      <c r="P682" s="153"/>
      <c r="Q682" s="153"/>
      <c r="R682" s="153"/>
      <c r="S682" s="153"/>
      <c r="T682" s="153"/>
      <c r="U682" s="153"/>
      <c r="V682" s="153"/>
      <c r="W682" s="153"/>
    </row>
    <row r="683" spans="2:23" s="14" customFormat="1" x14ac:dyDescent="0.25">
      <c r="B683" s="13"/>
      <c r="C683" s="153"/>
      <c r="D683" s="153"/>
      <c r="E683" s="153"/>
      <c r="F683" s="153"/>
      <c r="G683" s="153"/>
      <c r="H683" s="153"/>
      <c r="I683" s="153"/>
      <c r="J683" s="157"/>
      <c r="K683" s="157"/>
      <c r="L683" s="157"/>
      <c r="M683" s="157"/>
      <c r="N683" s="153"/>
      <c r="O683" s="153"/>
      <c r="P683" s="153"/>
      <c r="Q683" s="153"/>
      <c r="R683" s="153"/>
      <c r="S683" s="153"/>
      <c r="T683" s="153"/>
      <c r="U683" s="153"/>
      <c r="V683" s="153"/>
      <c r="W683" s="153"/>
    </row>
    <row r="684" spans="2:23" s="14" customFormat="1" x14ac:dyDescent="0.25">
      <c r="B684" s="13"/>
      <c r="C684" s="153"/>
      <c r="D684" s="153"/>
      <c r="E684" s="153"/>
      <c r="F684" s="153"/>
      <c r="G684" s="153"/>
      <c r="H684" s="153"/>
      <c r="I684" s="153"/>
      <c r="J684" s="157"/>
      <c r="K684" s="157"/>
      <c r="L684" s="157"/>
      <c r="M684" s="157"/>
      <c r="N684" s="153"/>
      <c r="O684" s="153"/>
      <c r="P684" s="153"/>
      <c r="Q684" s="153"/>
      <c r="R684" s="153"/>
      <c r="S684" s="153"/>
      <c r="T684" s="153"/>
      <c r="U684" s="153"/>
      <c r="V684" s="153"/>
      <c r="W684" s="153"/>
    </row>
    <row r="685" spans="2:23" s="14" customFormat="1" x14ac:dyDescent="0.25">
      <c r="B685" s="13"/>
      <c r="C685" s="153"/>
      <c r="D685" s="153"/>
      <c r="E685" s="153"/>
      <c r="F685" s="153"/>
      <c r="G685" s="153"/>
      <c r="H685" s="153"/>
      <c r="I685" s="153"/>
      <c r="J685" s="157"/>
      <c r="K685" s="157"/>
      <c r="L685" s="157"/>
      <c r="M685" s="157"/>
      <c r="N685" s="153"/>
      <c r="O685" s="153"/>
      <c r="P685" s="153"/>
      <c r="Q685" s="153"/>
      <c r="R685" s="153"/>
      <c r="S685" s="153"/>
      <c r="T685" s="153"/>
      <c r="U685" s="153"/>
      <c r="V685" s="153"/>
      <c r="W685" s="153"/>
    </row>
    <row r="686" spans="2:23" s="14" customFormat="1" x14ac:dyDescent="0.25">
      <c r="B686" s="13"/>
      <c r="C686" s="153"/>
      <c r="D686" s="153"/>
      <c r="E686" s="153"/>
      <c r="F686" s="153"/>
      <c r="G686" s="153"/>
      <c r="H686" s="153"/>
      <c r="I686" s="153"/>
      <c r="J686" s="157"/>
      <c r="K686" s="157"/>
      <c r="L686" s="157"/>
      <c r="M686" s="157"/>
      <c r="N686" s="153"/>
      <c r="O686" s="153"/>
      <c r="P686" s="153"/>
      <c r="Q686" s="153"/>
      <c r="R686" s="153"/>
      <c r="S686" s="153"/>
      <c r="T686" s="153"/>
      <c r="U686" s="153"/>
      <c r="V686" s="153"/>
      <c r="W686" s="153"/>
    </row>
    <row r="687" spans="2:23" s="14" customFormat="1" x14ac:dyDescent="0.25">
      <c r="B687" s="13"/>
      <c r="C687" s="153"/>
      <c r="D687" s="153"/>
      <c r="E687" s="153"/>
      <c r="F687" s="153"/>
      <c r="G687" s="153"/>
      <c r="H687" s="153"/>
      <c r="I687" s="153"/>
      <c r="J687" s="157"/>
      <c r="K687" s="157"/>
      <c r="L687" s="157"/>
      <c r="M687" s="157"/>
      <c r="N687" s="153"/>
      <c r="O687" s="153"/>
      <c r="P687" s="153"/>
      <c r="Q687" s="153"/>
      <c r="R687" s="153"/>
      <c r="S687" s="153"/>
      <c r="T687" s="153"/>
      <c r="U687" s="153"/>
      <c r="V687" s="153"/>
      <c r="W687" s="153"/>
    </row>
    <row r="688" spans="2:23" s="14" customFormat="1" x14ac:dyDescent="0.25">
      <c r="B688" s="13"/>
      <c r="C688" s="153"/>
      <c r="D688" s="153"/>
      <c r="E688" s="153"/>
      <c r="F688" s="153"/>
      <c r="G688" s="153"/>
      <c r="H688" s="153"/>
      <c r="I688" s="153"/>
      <c r="J688" s="157"/>
      <c r="K688" s="157"/>
      <c r="L688" s="157"/>
      <c r="M688" s="157"/>
      <c r="N688" s="153"/>
      <c r="O688" s="153"/>
      <c r="P688" s="153"/>
      <c r="Q688" s="153"/>
      <c r="R688" s="153"/>
      <c r="S688" s="153"/>
      <c r="T688" s="153"/>
      <c r="U688" s="153"/>
      <c r="V688" s="153"/>
      <c r="W688" s="153"/>
    </row>
    <row r="689" spans="2:23" s="14" customFormat="1" x14ac:dyDescent="0.25">
      <c r="B689" s="13"/>
      <c r="C689" s="153"/>
      <c r="D689" s="153"/>
      <c r="E689" s="153"/>
      <c r="F689" s="153"/>
      <c r="G689" s="153"/>
      <c r="H689" s="153"/>
      <c r="I689" s="153"/>
      <c r="J689" s="157"/>
      <c r="K689" s="157"/>
      <c r="L689" s="157"/>
      <c r="M689" s="157"/>
      <c r="N689" s="153"/>
      <c r="O689" s="153"/>
      <c r="P689" s="153"/>
      <c r="Q689" s="153"/>
      <c r="R689" s="153"/>
      <c r="S689" s="153"/>
      <c r="T689" s="153"/>
      <c r="U689" s="153"/>
      <c r="V689" s="153"/>
      <c r="W689" s="153"/>
    </row>
    <row r="690" spans="2:23" s="14" customFormat="1" x14ac:dyDescent="0.25">
      <c r="B690" s="13"/>
      <c r="C690" s="153"/>
      <c r="D690" s="153"/>
      <c r="E690" s="153"/>
      <c r="F690" s="153"/>
      <c r="G690" s="153"/>
      <c r="H690" s="153"/>
      <c r="I690" s="153"/>
      <c r="J690" s="157"/>
      <c r="K690" s="157"/>
      <c r="L690" s="157"/>
      <c r="M690" s="157"/>
      <c r="N690" s="153"/>
      <c r="O690" s="153"/>
      <c r="P690" s="153"/>
      <c r="Q690" s="153"/>
      <c r="R690" s="153"/>
      <c r="S690" s="153"/>
      <c r="T690" s="153"/>
      <c r="U690" s="153"/>
      <c r="V690" s="153"/>
      <c r="W690" s="153"/>
    </row>
    <row r="691" spans="2:23" s="14" customFormat="1" x14ac:dyDescent="0.25">
      <c r="B691" s="13"/>
      <c r="C691" s="153"/>
      <c r="D691" s="153"/>
      <c r="E691" s="153"/>
      <c r="F691" s="153"/>
      <c r="G691" s="153"/>
      <c r="H691" s="153"/>
      <c r="I691" s="153"/>
      <c r="J691" s="157"/>
      <c r="K691" s="157"/>
      <c r="L691" s="157"/>
      <c r="M691" s="157"/>
      <c r="N691" s="153"/>
      <c r="O691" s="153"/>
      <c r="P691" s="153"/>
      <c r="Q691" s="153"/>
      <c r="R691" s="153"/>
      <c r="S691" s="153"/>
      <c r="T691" s="153"/>
      <c r="U691" s="153"/>
      <c r="V691" s="153"/>
      <c r="W691" s="153"/>
    </row>
    <row r="692" spans="2:23" s="14" customFormat="1" x14ac:dyDescent="0.25">
      <c r="B692" s="13"/>
      <c r="C692" s="153"/>
      <c r="D692" s="153"/>
      <c r="E692" s="153"/>
      <c r="F692" s="153"/>
      <c r="G692" s="153"/>
      <c r="H692" s="153"/>
      <c r="I692" s="153"/>
      <c r="J692" s="157"/>
      <c r="K692" s="157"/>
      <c r="L692" s="157"/>
      <c r="M692" s="157"/>
      <c r="N692" s="153"/>
      <c r="O692" s="153"/>
      <c r="P692" s="153"/>
      <c r="Q692" s="153"/>
      <c r="R692" s="153"/>
      <c r="S692" s="153"/>
      <c r="T692" s="153"/>
      <c r="U692" s="153"/>
      <c r="V692" s="153"/>
      <c r="W692" s="153"/>
    </row>
    <row r="693" spans="2:23" s="14" customFormat="1" x14ac:dyDescent="0.25">
      <c r="B693" s="13"/>
      <c r="C693" s="153"/>
      <c r="D693" s="153"/>
      <c r="E693" s="153"/>
      <c r="F693" s="153"/>
      <c r="G693" s="153"/>
      <c r="H693" s="153"/>
      <c r="I693" s="153"/>
      <c r="J693" s="157"/>
      <c r="K693" s="157"/>
      <c r="L693" s="157"/>
      <c r="M693" s="157"/>
      <c r="N693" s="153"/>
      <c r="O693" s="153"/>
      <c r="P693" s="153"/>
      <c r="Q693" s="153"/>
      <c r="R693" s="153"/>
      <c r="S693" s="153"/>
      <c r="T693" s="153"/>
      <c r="U693" s="153"/>
      <c r="V693" s="153"/>
      <c r="W693" s="153"/>
    </row>
    <row r="694" spans="2:23" s="14" customFormat="1" x14ac:dyDescent="0.25">
      <c r="B694" s="13"/>
      <c r="C694" s="153"/>
      <c r="D694" s="153"/>
      <c r="E694" s="153"/>
      <c r="F694" s="153"/>
      <c r="G694" s="153"/>
      <c r="H694" s="153"/>
      <c r="I694" s="153"/>
      <c r="J694" s="157"/>
      <c r="K694" s="157"/>
      <c r="L694" s="157"/>
      <c r="M694" s="157"/>
      <c r="N694" s="153"/>
      <c r="O694" s="153"/>
      <c r="P694" s="153"/>
      <c r="Q694" s="153"/>
      <c r="R694" s="153"/>
      <c r="S694" s="153"/>
      <c r="T694" s="153"/>
      <c r="U694" s="153"/>
      <c r="V694" s="153"/>
      <c r="W694" s="153"/>
    </row>
    <row r="695" spans="2:23" s="14" customFormat="1" x14ac:dyDescent="0.25">
      <c r="B695" s="13"/>
      <c r="C695" s="153"/>
      <c r="D695" s="153"/>
      <c r="E695" s="153"/>
      <c r="F695" s="153"/>
      <c r="G695" s="153"/>
      <c r="H695" s="153"/>
      <c r="I695" s="153"/>
      <c r="J695" s="157"/>
      <c r="K695" s="157"/>
      <c r="L695" s="157"/>
      <c r="M695" s="157"/>
      <c r="N695" s="153"/>
      <c r="O695" s="153"/>
      <c r="P695" s="153"/>
      <c r="Q695" s="153"/>
      <c r="R695" s="153"/>
      <c r="S695" s="153"/>
      <c r="T695" s="153"/>
      <c r="U695" s="153"/>
      <c r="V695" s="153"/>
      <c r="W695" s="153"/>
    </row>
    <row r="696" spans="2:23" s="14" customFormat="1" x14ac:dyDescent="0.25">
      <c r="B696" s="13"/>
      <c r="C696" s="153"/>
      <c r="D696" s="153"/>
      <c r="E696" s="153"/>
      <c r="F696" s="153"/>
      <c r="G696" s="153"/>
      <c r="H696" s="153"/>
      <c r="I696" s="153"/>
      <c r="J696" s="157"/>
      <c r="K696" s="157"/>
      <c r="L696" s="157"/>
      <c r="M696" s="157"/>
      <c r="N696" s="153"/>
      <c r="O696" s="153"/>
      <c r="P696" s="153"/>
      <c r="Q696" s="153"/>
      <c r="R696" s="153"/>
      <c r="S696" s="153"/>
      <c r="T696" s="153"/>
      <c r="U696" s="153"/>
      <c r="V696" s="153"/>
      <c r="W696" s="153"/>
    </row>
    <row r="697" spans="2:23" s="14" customFormat="1" x14ac:dyDescent="0.25">
      <c r="B697" s="13"/>
      <c r="C697" s="153"/>
      <c r="D697" s="153"/>
      <c r="E697" s="153"/>
      <c r="F697" s="153"/>
      <c r="G697" s="153"/>
      <c r="H697" s="153"/>
      <c r="I697" s="153"/>
      <c r="J697" s="157"/>
      <c r="K697" s="157"/>
      <c r="L697" s="157"/>
      <c r="M697" s="157"/>
      <c r="N697" s="153"/>
      <c r="O697" s="153"/>
      <c r="P697" s="153"/>
      <c r="Q697" s="153"/>
      <c r="R697" s="153"/>
      <c r="S697" s="153"/>
      <c r="T697" s="153"/>
      <c r="U697" s="153"/>
      <c r="V697" s="153"/>
      <c r="W697" s="153"/>
    </row>
    <row r="698" spans="2:23" s="14" customFormat="1" x14ac:dyDescent="0.25">
      <c r="B698" s="13"/>
      <c r="C698" s="153"/>
      <c r="D698" s="153"/>
      <c r="E698" s="153"/>
      <c r="F698" s="153"/>
      <c r="G698" s="153"/>
      <c r="H698" s="153"/>
      <c r="I698" s="153"/>
      <c r="J698" s="157"/>
      <c r="K698" s="157"/>
      <c r="L698" s="157"/>
      <c r="M698" s="157"/>
      <c r="N698" s="153"/>
      <c r="O698" s="153"/>
      <c r="P698" s="153"/>
      <c r="Q698" s="153"/>
      <c r="R698" s="153"/>
      <c r="S698" s="153"/>
      <c r="T698" s="153"/>
      <c r="U698" s="153"/>
      <c r="V698" s="153"/>
      <c r="W698" s="153"/>
    </row>
    <row r="699" spans="2:23" s="14" customFormat="1" x14ac:dyDescent="0.25">
      <c r="B699" s="13"/>
      <c r="C699" s="153"/>
      <c r="D699" s="153"/>
      <c r="E699" s="153"/>
      <c r="F699" s="153"/>
      <c r="G699" s="153"/>
      <c r="H699" s="153"/>
      <c r="I699" s="153"/>
      <c r="J699" s="157"/>
      <c r="K699" s="157"/>
      <c r="L699" s="157"/>
      <c r="M699" s="157"/>
      <c r="N699" s="153"/>
      <c r="O699" s="153"/>
      <c r="P699" s="153"/>
      <c r="Q699" s="153"/>
      <c r="R699" s="153"/>
      <c r="S699" s="153"/>
      <c r="T699" s="153"/>
      <c r="U699" s="153"/>
      <c r="V699" s="153"/>
      <c r="W699" s="153"/>
    </row>
    <row r="700" spans="2:23" s="14" customFormat="1" x14ac:dyDescent="0.25">
      <c r="B700" s="13"/>
      <c r="C700" s="153"/>
      <c r="D700" s="153"/>
      <c r="E700" s="153"/>
      <c r="F700" s="153"/>
      <c r="G700" s="153"/>
      <c r="H700" s="153"/>
      <c r="I700" s="153"/>
      <c r="J700" s="157"/>
      <c r="K700" s="157"/>
      <c r="L700" s="157"/>
      <c r="M700" s="157"/>
      <c r="N700" s="153"/>
      <c r="O700" s="153"/>
      <c r="P700" s="153"/>
      <c r="Q700" s="153"/>
      <c r="R700" s="153"/>
      <c r="S700" s="153"/>
      <c r="T700" s="153"/>
      <c r="U700" s="153"/>
      <c r="V700" s="153"/>
      <c r="W700" s="153"/>
    </row>
    <row r="701" spans="2:23" s="14" customFormat="1" x14ac:dyDescent="0.25">
      <c r="B701" s="13"/>
      <c r="C701" s="153"/>
      <c r="D701" s="153"/>
      <c r="E701" s="153"/>
      <c r="F701" s="153"/>
      <c r="G701" s="153"/>
      <c r="H701" s="153"/>
      <c r="I701" s="153"/>
      <c r="J701" s="157"/>
      <c r="K701" s="157"/>
      <c r="L701" s="157"/>
      <c r="M701" s="157"/>
      <c r="N701" s="153"/>
      <c r="O701" s="153"/>
      <c r="P701" s="153"/>
      <c r="Q701" s="153"/>
      <c r="R701" s="153"/>
      <c r="S701" s="153"/>
      <c r="T701" s="153"/>
      <c r="U701" s="153"/>
      <c r="V701" s="153"/>
      <c r="W701" s="153"/>
    </row>
    <row r="702" spans="2:23" s="14" customFormat="1" x14ac:dyDescent="0.25">
      <c r="B702" s="13"/>
      <c r="C702" s="153"/>
      <c r="D702" s="153"/>
      <c r="E702" s="153"/>
      <c r="F702" s="153"/>
      <c r="G702" s="153"/>
      <c r="H702" s="153"/>
      <c r="I702" s="153"/>
      <c r="J702" s="157"/>
      <c r="K702" s="157"/>
      <c r="L702" s="157"/>
      <c r="M702" s="157"/>
      <c r="N702" s="153"/>
      <c r="O702" s="153"/>
      <c r="P702" s="153"/>
      <c r="Q702" s="153"/>
      <c r="R702" s="153"/>
      <c r="S702" s="153"/>
      <c r="T702" s="153"/>
      <c r="U702" s="153"/>
      <c r="V702" s="153"/>
      <c r="W702" s="153"/>
    </row>
    <row r="703" spans="2:23" s="14" customFormat="1" x14ac:dyDescent="0.25">
      <c r="B703" s="13"/>
      <c r="C703" s="153"/>
      <c r="D703" s="153"/>
      <c r="E703" s="153"/>
      <c r="F703" s="153"/>
      <c r="G703" s="153"/>
      <c r="H703" s="153"/>
      <c r="I703" s="153"/>
      <c r="J703" s="157"/>
      <c r="K703" s="157"/>
      <c r="L703" s="157"/>
      <c r="M703" s="157"/>
      <c r="N703" s="153"/>
      <c r="O703" s="153"/>
      <c r="P703" s="153"/>
      <c r="Q703" s="153"/>
      <c r="R703" s="153"/>
      <c r="S703" s="153"/>
      <c r="T703" s="153"/>
      <c r="U703" s="153"/>
      <c r="V703" s="153"/>
      <c r="W703" s="153"/>
    </row>
    <row r="704" spans="2:23" s="14" customFormat="1" x14ac:dyDescent="0.25">
      <c r="B704" s="13"/>
      <c r="C704" s="153"/>
      <c r="D704" s="153"/>
      <c r="E704" s="153"/>
      <c r="F704" s="153"/>
      <c r="G704" s="153"/>
      <c r="H704" s="153"/>
      <c r="I704" s="153"/>
      <c r="J704" s="157"/>
      <c r="K704" s="157"/>
      <c r="L704" s="157"/>
      <c r="M704" s="157"/>
      <c r="N704" s="153"/>
      <c r="O704" s="153"/>
      <c r="P704" s="153"/>
      <c r="Q704" s="153"/>
      <c r="R704" s="153"/>
      <c r="S704" s="153"/>
      <c r="T704" s="153"/>
      <c r="U704" s="153"/>
      <c r="V704" s="153"/>
      <c r="W704" s="153"/>
    </row>
    <row r="705" spans="2:23" s="14" customFormat="1" x14ac:dyDescent="0.25">
      <c r="B705" s="13"/>
      <c r="C705" s="153"/>
      <c r="D705" s="153"/>
      <c r="E705" s="153"/>
      <c r="F705" s="153"/>
      <c r="G705" s="153"/>
      <c r="H705" s="153"/>
      <c r="I705" s="153"/>
      <c r="J705" s="157"/>
      <c r="K705" s="157"/>
      <c r="L705" s="157"/>
      <c r="M705" s="157"/>
      <c r="N705" s="153"/>
      <c r="O705" s="153"/>
      <c r="P705" s="153"/>
      <c r="Q705" s="153"/>
      <c r="R705" s="153"/>
      <c r="S705" s="153"/>
      <c r="T705" s="153"/>
      <c r="U705" s="153"/>
      <c r="V705" s="153"/>
      <c r="W705" s="153"/>
    </row>
    <row r="706" spans="2:23" s="14" customFormat="1" x14ac:dyDescent="0.25">
      <c r="B706" s="13"/>
      <c r="C706" s="153"/>
      <c r="D706" s="153"/>
      <c r="E706" s="153"/>
      <c r="F706" s="153"/>
      <c r="G706" s="153"/>
      <c r="H706" s="153"/>
      <c r="I706" s="153"/>
      <c r="J706" s="157"/>
      <c r="K706" s="157"/>
      <c r="L706" s="157"/>
      <c r="M706" s="157"/>
      <c r="N706" s="153"/>
      <c r="O706" s="153"/>
      <c r="P706" s="153"/>
      <c r="Q706" s="153"/>
      <c r="R706" s="153"/>
      <c r="S706" s="153"/>
      <c r="T706" s="153"/>
      <c r="U706" s="153"/>
      <c r="V706" s="153"/>
      <c r="W706" s="153"/>
    </row>
    <row r="707" spans="2:23" s="14" customFormat="1" x14ac:dyDescent="0.25">
      <c r="B707" s="13"/>
      <c r="C707" s="153"/>
      <c r="D707" s="153"/>
      <c r="E707" s="153"/>
      <c r="F707" s="153"/>
      <c r="G707" s="153"/>
      <c r="H707" s="153"/>
      <c r="I707" s="153"/>
      <c r="J707" s="157"/>
      <c r="K707" s="157"/>
      <c r="L707" s="157"/>
      <c r="M707" s="157"/>
      <c r="N707" s="153"/>
      <c r="O707" s="153"/>
      <c r="P707" s="153"/>
      <c r="Q707" s="153"/>
      <c r="R707" s="153"/>
      <c r="S707" s="153"/>
      <c r="T707" s="153"/>
      <c r="U707" s="153"/>
      <c r="V707" s="153"/>
      <c r="W707" s="153"/>
    </row>
    <row r="708" spans="2:23" s="14" customFormat="1" x14ac:dyDescent="0.25">
      <c r="B708" s="13"/>
      <c r="C708" s="153"/>
      <c r="D708" s="153"/>
      <c r="E708" s="153"/>
      <c r="F708" s="153"/>
      <c r="G708" s="153"/>
      <c r="H708" s="153"/>
      <c r="I708" s="153"/>
      <c r="J708" s="157"/>
      <c r="K708" s="157"/>
      <c r="L708" s="157"/>
      <c r="M708" s="157"/>
      <c r="N708" s="153"/>
      <c r="O708" s="153"/>
      <c r="P708" s="153"/>
      <c r="Q708" s="153"/>
      <c r="R708" s="153"/>
      <c r="S708" s="153"/>
      <c r="T708" s="153"/>
      <c r="U708" s="153"/>
      <c r="V708" s="153"/>
      <c r="W708" s="153"/>
    </row>
    <row r="709" spans="2:23" s="14" customFormat="1" x14ac:dyDescent="0.25">
      <c r="B709" s="13"/>
      <c r="C709" s="153"/>
      <c r="D709" s="153"/>
      <c r="E709" s="153"/>
      <c r="F709" s="153"/>
      <c r="G709" s="153"/>
      <c r="H709" s="153"/>
      <c r="I709" s="153"/>
      <c r="J709" s="157"/>
      <c r="K709" s="157"/>
      <c r="L709" s="157"/>
      <c r="M709" s="157"/>
      <c r="N709" s="153"/>
      <c r="O709" s="153"/>
      <c r="P709" s="153"/>
      <c r="Q709" s="153"/>
      <c r="R709" s="153"/>
      <c r="S709" s="153"/>
      <c r="T709" s="153"/>
      <c r="U709" s="153"/>
      <c r="V709" s="153"/>
      <c r="W709" s="153"/>
    </row>
    <row r="710" spans="2:23" s="14" customFormat="1" x14ac:dyDescent="0.25">
      <c r="B710" s="13"/>
      <c r="C710" s="153"/>
      <c r="D710" s="153"/>
      <c r="E710" s="153"/>
      <c r="F710" s="153"/>
      <c r="G710" s="153"/>
      <c r="H710" s="153"/>
      <c r="I710" s="153"/>
      <c r="J710" s="157"/>
      <c r="K710" s="157"/>
      <c r="L710" s="157"/>
      <c r="M710" s="157"/>
      <c r="N710" s="153"/>
      <c r="O710" s="153"/>
      <c r="P710" s="153"/>
      <c r="Q710" s="153"/>
      <c r="R710" s="153"/>
      <c r="S710" s="153"/>
      <c r="T710" s="153"/>
      <c r="U710" s="153"/>
      <c r="V710" s="153"/>
      <c r="W710" s="153"/>
    </row>
    <row r="711" spans="2:23" s="14" customFormat="1" x14ac:dyDescent="0.25">
      <c r="B711" s="13"/>
      <c r="C711" s="153"/>
      <c r="D711" s="153"/>
      <c r="E711" s="153"/>
      <c r="F711" s="153"/>
      <c r="G711" s="153"/>
      <c r="H711" s="153"/>
      <c r="I711" s="153"/>
      <c r="J711" s="157"/>
      <c r="K711" s="157"/>
      <c r="L711" s="157"/>
      <c r="M711" s="157"/>
      <c r="N711" s="153"/>
      <c r="O711" s="153"/>
      <c r="P711" s="153"/>
      <c r="Q711" s="153"/>
      <c r="R711" s="153"/>
      <c r="S711" s="153"/>
      <c r="T711" s="153"/>
      <c r="U711" s="153"/>
      <c r="V711" s="153"/>
      <c r="W711" s="153"/>
    </row>
    <row r="712" spans="2:23" s="14" customFormat="1" x14ac:dyDescent="0.25">
      <c r="B712" s="13"/>
      <c r="C712" s="153"/>
      <c r="D712" s="153"/>
      <c r="E712" s="153"/>
      <c r="F712" s="153"/>
      <c r="G712" s="153"/>
      <c r="H712" s="153"/>
      <c r="I712" s="153"/>
      <c r="J712" s="157"/>
      <c r="K712" s="157"/>
      <c r="L712" s="157"/>
      <c r="M712" s="157"/>
      <c r="N712" s="153"/>
      <c r="O712" s="153"/>
      <c r="P712" s="153"/>
      <c r="Q712" s="153"/>
      <c r="R712" s="153"/>
      <c r="S712" s="153"/>
      <c r="T712" s="153"/>
      <c r="U712" s="153"/>
      <c r="V712" s="153"/>
      <c r="W712" s="153"/>
    </row>
    <row r="713" spans="2:23" s="14" customFormat="1" x14ac:dyDescent="0.25">
      <c r="B713" s="13"/>
      <c r="C713" s="153"/>
      <c r="D713" s="153"/>
      <c r="E713" s="153"/>
      <c r="F713" s="153"/>
      <c r="G713" s="153"/>
      <c r="H713" s="153"/>
      <c r="I713" s="153"/>
      <c r="J713" s="157"/>
      <c r="K713" s="157"/>
      <c r="L713" s="157"/>
      <c r="M713" s="157"/>
      <c r="N713" s="153"/>
      <c r="O713" s="153"/>
      <c r="P713" s="153"/>
      <c r="Q713" s="153"/>
      <c r="R713" s="153"/>
      <c r="S713" s="153"/>
      <c r="T713" s="153"/>
      <c r="U713" s="153"/>
      <c r="V713" s="153"/>
      <c r="W713" s="153"/>
    </row>
    <row r="714" spans="2:23" s="14" customFormat="1" x14ac:dyDescent="0.25">
      <c r="B714" s="13"/>
      <c r="C714" s="153"/>
      <c r="D714" s="153"/>
      <c r="E714" s="153"/>
      <c r="F714" s="153"/>
      <c r="G714" s="153"/>
      <c r="H714" s="153"/>
      <c r="I714" s="153"/>
      <c r="J714" s="157"/>
      <c r="K714" s="157"/>
      <c r="L714" s="157"/>
      <c r="M714" s="157"/>
      <c r="N714" s="153"/>
      <c r="O714" s="153"/>
      <c r="P714" s="153"/>
      <c r="Q714" s="153"/>
      <c r="R714" s="153"/>
      <c r="S714" s="153"/>
      <c r="T714" s="153"/>
      <c r="U714" s="153"/>
      <c r="V714" s="153"/>
      <c r="W714" s="153"/>
    </row>
    <row r="715" spans="2:23" s="14" customFormat="1" x14ac:dyDescent="0.25">
      <c r="B715" s="13"/>
      <c r="C715" s="153"/>
      <c r="D715" s="153"/>
      <c r="E715" s="153"/>
      <c r="F715" s="153"/>
      <c r="G715" s="153"/>
      <c r="H715" s="153"/>
      <c r="I715" s="153"/>
      <c r="J715" s="157"/>
      <c r="K715" s="157"/>
      <c r="L715" s="157"/>
      <c r="M715" s="157"/>
      <c r="N715" s="153"/>
      <c r="O715" s="153"/>
      <c r="P715" s="153"/>
      <c r="Q715" s="153"/>
      <c r="R715" s="153"/>
      <c r="S715" s="153"/>
      <c r="T715" s="153"/>
      <c r="U715" s="153"/>
      <c r="V715" s="153"/>
      <c r="W715" s="153"/>
    </row>
    <row r="716" spans="2:23" s="14" customFormat="1" x14ac:dyDescent="0.25">
      <c r="B716" s="13"/>
      <c r="C716" s="153"/>
      <c r="D716" s="153"/>
      <c r="E716" s="153"/>
      <c r="F716" s="153"/>
      <c r="G716" s="153"/>
      <c r="H716" s="153"/>
      <c r="I716" s="153"/>
      <c r="J716" s="157"/>
      <c r="K716" s="157"/>
      <c r="L716" s="157"/>
      <c r="M716" s="157"/>
      <c r="N716" s="153"/>
      <c r="O716" s="153"/>
      <c r="P716" s="153"/>
      <c r="Q716" s="153"/>
      <c r="R716" s="153"/>
      <c r="S716" s="153"/>
      <c r="T716" s="153"/>
      <c r="U716" s="153"/>
      <c r="V716" s="153"/>
      <c r="W716" s="153"/>
    </row>
    <row r="717" spans="2:23" s="14" customFormat="1" x14ac:dyDescent="0.25">
      <c r="B717" s="13"/>
      <c r="C717" s="153"/>
      <c r="D717" s="153"/>
      <c r="E717" s="153"/>
      <c r="F717" s="153"/>
      <c r="G717" s="153"/>
      <c r="H717" s="153"/>
      <c r="I717" s="153"/>
      <c r="J717" s="157"/>
      <c r="K717" s="157"/>
      <c r="L717" s="157"/>
      <c r="M717" s="157"/>
      <c r="N717" s="153"/>
      <c r="O717" s="153"/>
      <c r="P717" s="153"/>
      <c r="Q717" s="153"/>
      <c r="R717" s="153"/>
      <c r="S717" s="153"/>
      <c r="T717" s="153"/>
      <c r="U717" s="153"/>
      <c r="V717" s="153"/>
      <c r="W717" s="153"/>
    </row>
    <row r="718" spans="2:23" s="14" customFormat="1" x14ac:dyDescent="0.25">
      <c r="B718" s="13"/>
      <c r="C718" s="153"/>
      <c r="D718" s="153"/>
      <c r="E718" s="153"/>
      <c r="F718" s="153"/>
      <c r="G718" s="153"/>
      <c r="H718" s="153"/>
      <c r="I718" s="153"/>
      <c r="J718" s="157"/>
      <c r="K718" s="157"/>
      <c r="L718" s="157"/>
      <c r="M718" s="157"/>
      <c r="N718" s="153"/>
      <c r="O718" s="153"/>
      <c r="P718" s="153"/>
      <c r="Q718" s="153"/>
      <c r="R718" s="153"/>
      <c r="S718" s="153"/>
      <c r="T718" s="153"/>
      <c r="U718" s="153"/>
      <c r="V718" s="153"/>
      <c r="W718" s="153"/>
    </row>
    <row r="719" spans="2:23" s="14" customFormat="1" x14ac:dyDescent="0.25">
      <c r="B719" s="13"/>
      <c r="C719" s="153"/>
      <c r="D719" s="153"/>
      <c r="E719" s="153"/>
      <c r="F719" s="153"/>
      <c r="G719" s="153"/>
      <c r="H719" s="153"/>
      <c r="I719" s="153"/>
      <c r="J719" s="157"/>
      <c r="K719" s="157"/>
      <c r="L719" s="157"/>
      <c r="M719" s="157"/>
      <c r="N719" s="153"/>
      <c r="O719" s="153"/>
      <c r="P719" s="153"/>
      <c r="Q719" s="153"/>
      <c r="R719" s="153"/>
      <c r="S719" s="153"/>
      <c r="T719" s="153"/>
      <c r="U719" s="153"/>
      <c r="V719" s="153"/>
      <c r="W719" s="153"/>
    </row>
    <row r="720" spans="2:23" s="14" customFormat="1" x14ac:dyDescent="0.25">
      <c r="B720" s="13"/>
      <c r="C720" s="153"/>
      <c r="D720" s="153"/>
      <c r="E720" s="153"/>
      <c r="F720" s="153"/>
      <c r="G720" s="153"/>
      <c r="H720" s="153"/>
      <c r="I720" s="153"/>
      <c r="J720" s="157"/>
      <c r="K720" s="157"/>
      <c r="L720" s="157"/>
      <c r="M720" s="157"/>
      <c r="N720" s="153"/>
      <c r="O720" s="153"/>
      <c r="P720" s="153"/>
      <c r="Q720" s="153"/>
      <c r="R720" s="153"/>
      <c r="S720" s="153"/>
      <c r="T720" s="153"/>
      <c r="U720" s="153"/>
      <c r="V720" s="153"/>
      <c r="W720" s="153"/>
    </row>
    <row r="721" spans="2:23" s="14" customFormat="1" x14ac:dyDescent="0.25">
      <c r="B721" s="13"/>
      <c r="C721" s="153"/>
      <c r="D721" s="153"/>
      <c r="E721" s="153"/>
      <c r="F721" s="153"/>
      <c r="G721" s="153"/>
      <c r="H721" s="153"/>
      <c r="I721" s="153"/>
      <c r="J721" s="157"/>
      <c r="K721" s="157"/>
      <c r="L721" s="157"/>
      <c r="M721" s="157"/>
      <c r="N721" s="153"/>
      <c r="O721" s="153"/>
      <c r="P721" s="153"/>
      <c r="Q721" s="153"/>
      <c r="R721" s="153"/>
      <c r="S721" s="153"/>
      <c r="T721" s="153"/>
      <c r="U721" s="153"/>
      <c r="V721" s="153"/>
      <c r="W721" s="153"/>
    </row>
    <row r="722" spans="2:23" s="14" customFormat="1" x14ac:dyDescent="0.25">
      <c r="B722" s="13"/>
      <c r="C722" s="153"/>
      <c r="D722" s="153"/>
      <c r="E722" s="153"/>
      <c r="F722" s="153"/>
      <c r="G722" s="153"/>
      <c r="H722" s="153"/>
      <c r="I722" s="153"/>
      <c r="J722" s="157"/>
      <c r="K722" s="157"/>
      <c r="L722" s="157"/>
      <c r="M722" s="157"/>
      <c r="N722" s="153"/>
      <c r="O722" s="153"/>
      <c r="P722" s="153"/>
      <c r="Q722" s="153"/>
      <c r="R722" s="153"/>
      <c r="S722" s="153"/>
      <c r="T722" s="153"/>
      <c r="U722" s="153"/>
      <c r="V722" s="153"/>
      <c r="W722" s="153"/>
    </row>
    <row r="723" spans="2:23" s="14" customFormat="1" x14ac:dyDescent="0.25">
      <c r="B723" s="13"/>
      <c r="C723" s="153"/>
      <c r="D723" s="153"/>
      <c r="E723" s="153"/>
      <c r="F723" s="153"/>
      <c r="G723" s="153"/>
      <c r="H723" s="153"/>
      <c r="I723" s="153"/>
      <c r="J723" s="157"/>
      <c r="K723" s="157"/>
      <c r="L723" s="157"/>
      <c r="M723" s="157"/>
      <c r="N723" s="153"/>
      <c r="O723" s="153"/>
      <c r="P723" s="153"/>
      <c r="Q723" s="153"/>
      <c r="R723" s="153"/>
      <c r="S723" s="153"/>
      <c r="T723" s="153"/>
      <c r="U723" s="153"/>
      <c r="V723" s="153"/>
      <c r="W723" s="153"/>
    </row>
    <row r="724" spans="2:23" s="14" customFormat="1" x14ac:dyDescent="0.25">
      <c r="B724" s="13"/>
      <c r="C724" s="153"/>
      <c r="D724" s="153"/>
      <c r="E724" s="153"/>
      <c r="F724" s="153"/>
      <c r="G724" s="153"/>
      <c r="H724" s="153"/>
      <c r="I724" s="153"/>
      <c r="J724" s="157"/>
      <c r="K724" s="157"/>
      <c r="L724" s="157"/>
      <c r="M724" s="157"/>
      <c r="N724" s="153"/>
      <c r="O724" s="153"/>
      <c r="P724" s="153"/>
      <c r="Q724" s="153"/>
      <c r="R724" s="153"/>
      <c r="S724" s="153"/>
      <c r="T724" s="153"/>
      <c r="U724" s="153"/>
      <c r="V724" s="153"/>
      <c r="W724" s="153"/>
    </row>
    <row r="725" spans="2:23" s="14" customFormat="1" x14ac:dyDescent="0.25">
      <c r="B725" s="13"/>
      <c r="C725" s="153"/>
      <c r="D725" s="153"/>
      <c r="E725" s="153"/>
      <c r="F725" s="153"/>
      <c r="G725" s="153"/>
      <c r="H725" s="153"/>
      <c r="I725" s="153"/>
      <c r="J725" s="157"/>
      <c r="K725" s="157"/>
      <c r="L725" s="157"/>
      <c r="M725" s="157"/>
      <c r="N725" s="153"/>
      <c r="O725" s="153"/>
      <c r="P725" s="153"/>
      <c r="Q725" s="153"/>
      <c r="R725" s="153"/>
      <c r="S725" s="153"/>
      <c r="T725" s="153"/>
      <c r="U725" s="153"/>
      <c r="V725" s="153"/>
      <c r="W725" s="153"/>
    </row>
    <row r="726" spans="2:23" s="14" customFormat="1" x14ac:dyDescent="0.25">
      <c r="B726" s="13"/>
      <c r="C726" s="153"/>
      <c r="D726" s="153"/>
      <c r="E726" s="153"/>
      <c r="F726" s="153"/>
      <c r="G726" s="153"/>
      <c r="H726" s="153"/>
      <c r="I726" s="153"/>
      <c r="J726" s="157"/>
      <c r="K726" s="157"/>
      <c r="L726" s="157"/>
      <c r="M726" s="157"/>
      <c r="N726" s="153"/>
      <c r="O726" s="153"/>
      <c r="P726" s="153"/>
      <c r="Q726" s="153"/>
      <c r="R726" s="153"/>
      <c r="S726" s="153"/>
      <c r="T726" s="153"/>
      <c r="U726" s="153"/>
      <c r="V726" s="153"/>
      <c r="W726" s="153"/>
    </row>
    <row r="727" spans="2:23" s="14" customFormat="1" x14ac:dyDescent="0.25">
      <c r="B727" s="13"/>
      <c r="C727" s="153"/>
      <c r="D727" s="153"/>
      <c r="E727" s="153"/>
      <c r="F727" s="153"/>
      <c r="G727" s="153"/>
      <c r="H727" s="153"/>
      <c r="I727" s="153"/>
      <c r="J727" s="157"/>
      <c r="K727" s="157"/>
      <c r="L727" s="157"/>
      <c r="M727" s="157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</row>
    <row r="728" spans="2:23" s="14" customFormat="1" x14ac:dyDescent="0.25">
      <c r="B728" s="13"/>
      <c r="C728" s="153"/>
      <c r="D728" s="153"/>
      <c r="E728" s="153"/>
      <c r="F728" s="153"/>
      <c r="G728" s="153"/>
      <c r="H728" s="153"/>
      <c r="I728" s="153"/>
      <c r="J728" s="157"/>
      <c r="K728" s="157"/>
      <c r="L728" s="157"/>
      <c r="M728" s="157"/>
      <c r="N728" s="153"/>
      <c r="O728" s="153"/>
      <c r="P728" s="153"/>
      <c r="Q728" s="153"/>
      <c r="R728" s="153"/>
      <c r="S728" s="153"/>
      <c r="T728" s="153"/>
      <c r="U728" s="153"/>
      <c r="V728" s="153"/>
      <c r="W728" s="153"/>
    </row>
    <row r="729" spans="2:23" s="14" customFormat="1" x14ac:dyDescent="0.25">
      <c r="B729" s="13"/>
      <c r="C729" s="153"/>
      <c r="D729" s="153"/>
      <c r="E729" s="153"/>
      <c r="F729" s="153"/>
      <c r="G729" s="153"/>
      <c r="H729" s="153"/>
      <c r="I729" s="153"/>
      <c r="J729" s="157"/>
      <c r="K729" s="157"/>
      <c r="L729" s="157"/>
      <c r="M729" s="157"/>
      <c r="N729" s="153"/>
      <c r="O729" s="153"/>
      <c r="P729" s="153"/>
      <c r="Q729" s="153"/>
      <c r="R729" s="153"/>
      <c r="S729" s="153"/>
      <c r="T729" s="153"/>
      <c r="U729" s="153"/>
      <c r="V729" s="153"/>
      <c r="W729" s="153"/>
    </row>
    <row r="730" spans="2:23" s="14" customFormat="1" x14ac:dyDescent="0.25">
      <c r="B730" s="13"/>
      <c r="C730" s="153"/>
      <c r="D730" s="153"/>
      <c r="E730" s="153"/>
      <c r="F730" s="153"/>
      <c r="G730" s="153"/>
      <c r="H730" s="153"/>
      <c r="I730" s="153"/>
      <c r="J730" s="157"/>
      <c r="K730" s="157"/>
      <c r="L730" s="157"/>
      <c r="M730" s="157"/>
      <c r="N730" s="153"/>
      <c r="O730" s="153"/>
      <c r="P730" s="153"/>
      <c r="Q730" s="153"/>
      <c r="R730" s="153"/>
      <c r="S730" s="153"/>
      <c r="T730" s="153"/>
      <c r="U730" s="153"/>
      <c r="V730" s="153"/>
      <c r="W730" s="153"/>
    </row>
    <row r="731" spans="2:23" s="14" customFormat="1" x14ac:dyDescent="0.25">
      <c r="B731" s="13"/>
      <c r="C731" s="153"/>
      <c r="D731" s="153"/>
      <c r="E731" s="153"/>
      <c r="F731" s="153"/>
      <c r="G731" s="153"/>
      <c r="H731" s="153"/>
      <c r="I731" s="153"/>
      <c r="J731" s="157"/>
      <c r="K731" s="157"/>
      <c r="L731" s="157"/>
      <c r="M731" s="157"/>
      <c r="N731" s="153"/>
      <c r="O731" s="153"/>
      <c r="P731" s="153"/>
      <c r="Q731" s="153"/>
      <c r="R731" s="153"/>
      <c r="S731" s="153"/>
      <c r="T731" s="153"/>
      <c r="U731" s="153"/>
      <c r="V731" s="153"/>
      <c r="W731" s="153"/>
    </row>
    <row r="732" spans="2:23" s="14" customFormat="1" x14ac:dyDescent="0.25">
      <c r="B732" s="13"/>
      <c r="C732" s="153"/>
      <c r="D732" s="153"/>
      <c r="E732" s="153"/>
      <c r="F732" s="153"/>
      <c r="G732" s="153"/>
      <c r="H732" s="153"/>
      <c r="I732" s="153"/>
      <c r="J732" s="157"/>
      <c r="K732" s="157"/>
      <c r="L732" s="157"/>
      <c r="M732" s="157"/>
      <c r="N732" s="153"/>
      <c r="O732" s="153"/>
      <c r="P732" s="153"/>
      <c r="Q732" s="153"/>
      <c r="R732" s="153"/>
      <c r="S732" s="153"/>
      <c r="T732" s="153"/>
      <c r="U732" s="153"/>
      <c r="V732" s="153"/>
      <c r="W732" s="153"/>
    </row>
    <row r="733" spans="2:23" s="14" customFormat="1" x14ac:dyDescent="0.25">
      <c r="B733" s="13"/>
      <c r="C733" s="153"/>
      <c r="D733" s="153"/>
      <c r="E733" s="153"/>
      <c r="F733" s="153"/>
      <c r="G733" s="153"/>
      <c r="H733" s="153"/>
      <c r="I733" s="153"/>
      <c r="J733" s="157"/>
      <c r="K733" s="157"/>
      <c r="L733" s="157"/>
      <c r="M733" s="157"/>
      <c r="N733" s="153"/>
      <c r="O733" s="153"/>
      <c r="P733" s="153"/>
      <c r="Q733" s="153"/>
      <c r="R733" s="153"/>
      <c r="S733" s="153"/>
      <c r="T733" s="153"/>
      <c r="U733" s="153"/>
      <c r="V733" s="153"/>
      <c r="W733" s="153"/>
    </row>
    <row r="734" spans="2:23" s="14" customFormat="1" x14ac:dyDescent="0.25">
      <c r="B734" s="13"/>
      <c r="C734" s="153"/>
      <c r="D734" s="153"/>
      <c r="E734" s="153"/>
      <c r="F734" s="153"/>
      <c r="G734" s="153"/>
      <c r="H734" s="153"/>
      <c r="I734" s="153"/>
      <c r="J734" s="157"/>
      <c r="K734" s="157"/>
      <c r="L734" s="157"/>
      <c r="M734" s="157"/>
      <c r="N734" s="153"/>
      <c r="O734" s="153"/>
      <c r="P734" s="153"/>
      <c r="Q734" s="153"/>
      <c r="R734" s="153"/>
      <c r="S734" s="153"/>
      <c r="T734" s="153"/>
      <c r="U734" s="153"/>
      <c r="V734" s="153"/>
      <c r="W734" s="153"/>
    </row>
    <row r="735" spans="2:23" s="14" customFormat="1" x14ac:dyDescent="0.25">
      <c r="B735" s="13"/>
      <c r="C735" s="153"/>
      <c r="D735" s="153"/>
      <c r="E735" s="153"/>
      <c r="F735" s="153"/>
      <c r="G735" s="153"/>
      <c r="H735" s="153"/>
      <c r="I735" s="153"/>
      <c r="J735" s="157"/>
      <c r="K735" s="157"/>
      <c r="L735" s="157"/>
      <c r="M735" s="157"/>
      <c r="N735" s="153"/>
      <c r="O735" s="153"/>
      <c r="P735" s="153"/>
      <c r="Q735" s="153"/>
      <c r="R735" s="153"/>
      <c r="S735" s="153"/>
      <c r="T735" s="153"/>
      <c r="U735" s="153"/>
      <c r="V735" s="153"/>
      <c r="W735" s="153"/>
    </row>
    <row r="736" spans="2:23" s="14" customFormat="1" x14ac:dyDescent="0.25">
      <c r="B736" s="13"/>
      <c r="C736" s="153"/>
      <c r="D736" s="153"/>
      <c r="E736" s="153"/>
      <c r="F736" s="153"/>
      <c r="G736" s="153"/>
      <c r="H736" s="153"/>
      <c r="I736" s="153"/>
      <c r="J736" s="157"/>
      <c r="K736" s="157"/>
      <c r="L736" s="157"/>
      <c r="M736" s="157"/>
      <c r="N736" s="153"/>
      <c r="O736" s="153"/>
      <c r="P736" s="153"/>
      <c r="Q736" s="153"/>
      <c r="R736" s="153"/>
      <c r="S736" s="153"/>
      <c r="T736" s="153"/>
      <c r="U736" s="153"/>
      <c r="V736" s="153"/>
      <c r="W736" s="153"/>
    </row>
    <row r="737" spans="2:23" s="14" customFormat="1" x14ac:dyDescent="0.25">
      <c r="B737" s="13"/>
      <c r="C737" s="153"/>
      <c r="D737" s="153"/>
      <c r="E737" s="153"/>
      <c r="F737" s="153"/>
      <c r="G737" s="153"/>
      <c r="H737" s="153"/>
      <c r="I737" s="153"/>
      <c r="J737" s="157"/>
      <c r="K737" s="157"/>
      <c r="L737" s="157"/>
      <c r="M737" s="157"/>
      <c r="N737" s="153"/>
      <c r="O737" s="153"/>
      <c r="P737" s="153"/>
      <c r="Q737" s="153"/>
      <c r="R737" s="153"/>
      <c r="S737" s="153"/>
      <c r="T737" s="153"/>
      <c r="U737" s="153"/>
      <c r="V737" s="153"/>
      <c r="W737" s="153"/>
    </row>
    <row r="738" spans="2:23" s="14" customFormat="1" x14ac:dyDescent="0.25">
      <c r="B738" s="13"/>
      <c r="C738" s="153"/>
      <c r="D738" s="153"/>
      <c r="E738" s="153"/>
      <c r="F738" s="153"/>
      <c r="G738" s="153"/>
      <c r="H738" s="153"/>
      <c r="I738" s="153"/>
      <c r="J738" s="157"/>
      <c r="K738" s="157"/>
      <c r="L738" s="157"/>
      <c r="M738" s="157"/>
      <c r="N738" s="153"/>
      <c r="O738" s="153"/>
      <c r="P738" s="153"/>
      <c r="Q738" s="153"/>
      <c r="R738" s="153"/>
      <c r="S738" s="153"/>
      <c r="T738" s="153"/>
      <c r="U738" s="153"/>
      <c r="V738" s="153"/>
      <c r="W738" s="153"/>
    </row>
    <row r="739" spans="2:23" s="14" customFormat="1" x14ac:dyDescent="0.25">
      <c r="B739" s="13"/>
      <c r="C739" s="153"/>
      <c r="D739" s="153"/>
      <c r="E739" s="153"/>
      <c r="F739" s="153"/>
      <c r="G739" s="153"/>
      <c r="H739" s="153"/>
      <c r="I739" s="153"/>
      <c r="J739" s="157"/>
      <c r="K739" s="157"/>
      <c r="L739" s="157"/>
      <c r="M739" s="157"/>
      <c r="N739" s="153"/>
      <c r="O739" s="153"/>
      <c r="P739" s="153"/>
      <c r="Q739" s="153"/>
      <c r="R739" s="153"/>
      <c r="S739" s="153"/>
      <c r="T739" s="153"/>
      <c r="U739" s="153"/>
      <c r="V739" s="153"/>
      <c r="W739" s="153"/>
    </row>
    <row r="740" spans="2:23" s="14" customFormat="1" x14ac:dyDescent="0.25">
      <c r="B740" s="13"/>
      <c r="C740" s="153"/>
      <c r="D740" s="153"/>
      <c r="E740" s="153"/>
      <c r="F740" s="153"/>
      <c r="G740" s="153"/>
      <c r="H740" s="153"/>
      <c r="I740" s="153"/>
      <c r="J740" s="157"/>
      <c r="K740" s="157"/>
      <c r="L740" s="157"/>
      <c r="M740" s="157"/>
      <c r="N740" s="153"/>
      <c r="O740" s="153"/>
      <c r="P740" s="153"/>
      <c r="Q740" s="153"/>
      <c r="R740" s="153"/>
      <c r="S740" s="153"/>
      <c r="T740" s="153"/>
      <c r="U740" s="153"/>
      <c r="V740" s="153"/>
      <c r="W740" s="153"/>
    </row>
    <row r="741" spans="2:23" s="14" customFormat="1" x14ac:dyDescent="0.25">
      <c r="B741" s="13"/>
      <c r="C741" s="153"/>
      <c r="D741" s="153"/>
      <c r="E741" s="153"/>
      <c r="F741" s="153"/>
      <c r="G741" s="153"/>
      <c r="H741" s="153"/>
      <c r="I741" s="153"/>
      <c r="J741" s="157"/>
      <c r="K741" s="157"/>
      <c r="L741" s="157"/>
      <c r="M741" s="157"/>
      <c r="N741" s="153"/>
      <c r="O741" s="153"/>
      <c r="P741" s="153"/>
      <c r="Q741" s="153"/>
      <c r="R741" s="153"/>
      <c r="S741" s="153"/>
      <c r="T741" s="153"/>
      <c r="U741" s="153"/>
      <c r="V741" s="153"/>
      <c r="W741" s="153"/>
    </row>
    <row r="742" spans="2:23" s="14" customFormat="1" x14ac:dyDescent="0.25">
      <c r="B742" s="13"/>
      <c r="C742" s="153"/>
      <c r="D742" s="153"/>
      <c r="E742" s="153"/>
      <c r="F742" s="153"/>
      <c r="G742" s="153"/>
      <c r="H742" s="153"/>
      <c r="I742" s="153"/>
      <c r="J742" s="157"/>
      <c r="K742" s="157"/>
      <c r="L742" s="157"/>
      <c r="M742" s="157"/>
      <c r="N742" s="153"/>
      <c r="O742" s="153"/>
      <c r="P742" s="153"/>
      <c r="Q742" s="153"/>
      <c r="R742" s="153"/>
      <c r="S742" s="153"/>
      <c r="T742" s="153"/>
      <c r="U742" s="153"/>
      <c r="V742" s="153"/>
      <c r="W742" s="153"/>
    </row>
    <row r="743" spans="2:23" s="14" customFormat="1" x14ac:dyDescent="0.25">
      <c r="B743" s="13"/>
      <c r="C743" s="153"/>
      <c r="D743" s="153"/>
      <c r="E743" s="153"/>
      <c r="F743" s="153"/>
      <c r="G743" s="153"/>
      <c r="H743" s="153"/>
      <c r="I743" s="153"/>
      <c r="J743" s="157"/>
      <c r="K743" s="157"/>
      <c r="L743" s="157"/>
      <c r="M743" s="157"/>
      <c r="N743" s="153"/>
      <c r="O743" s="153"/>
      <c r="P743" s="153"/>
      <c r="Q743" s="153"/>
      <c r="R743" s="153"/>
      <c r="S743" s="153"/>
      <c r="T743" s="153"/>
      <c r="U743" s="153"/>
      <c r="V743" s="153"/>
      <c r="W743" s="153"/>
    </row>
    <row r="744" spans="2:23" s="14" customFormat="1" x14ac:dyDescent="0.25">
      <c r="B744" s="13"/>
      <c r="C744" s="153"/>
      <c r="D744" s="153"/>
      <c r="E744" s="153"/>
      <c r="F744" s="153"/>
      <c r="G744" s="153"/>
      <c r="H744" s="153"/>
      <c r="I744" s="153"/>
      <c r="J744" s="157"/>
      <c r="K744" s="157"/>
      <c r="L744" s="157"/>
      <c r="M744" s="157"/>
      <c r="N744" s="153"/>
      <c r="O744" s="153"/>
      <c r="P744" s="153"/>
      <c r="Q744" s="153"/>
      <c r="R744" s="153"/>
      <c r="S744" s="153"/>
      <c r="T744" s="153"/>
      <c r="U744" s="153"/>
      <c r="V744" s="153"/>
      <c r="W744" s="153"/>
    </row>
    <row r="745" spans="2:23" s="14" customFormat="1" x14ac:dyDescent="0.25">
      <c r="B745" s="13"/>
      <c r="C745" s="153"/>
      <c r="D745" s="153"/>
      <c r="E745" s="153"/>
      <c r="F745" s="153"/>
      <c r="G745" s="153"/>
      <c r="H745" s="153"/>
      <c r="I745" s="153"/>
      <c r="J745" s="157"/>
      <c r="K745" s="157"/>
      <c r="L745" s="157"/>
      <c r="M745" s="157"/>
      <c r="N745" s="153"/>
      <c r="O745" s="153"/>
      <c r="P745" s="153"/>
      <c r="Q745" s="153"/>
      <c r="R745" s="153"/>
      <c r="S745" s="153"/>
      <c r="T745" s="153"/>
      <c r="U745" s="153"/>
      <c r="V745" s="153"/>
      <c r="W745" s="153"/>
    </row>
    <row r="746" spans="2:23" s="14" customFormat="1" x14ac:dyDescent="0.25">
      <c r="B746" s="13"/>
      <c r="C746" s="153"/>
      <c r="D746" s="153"/>
      <c r="E746" s="153"/>
      <c r="F746" s="153"/>
      <c r="G746" s="153"/>
      <c r="H746" s="153"/>
      <c r="I746" s="153"/>
      <c r="J746" s="157"/>
      <c r="K746" s="157"/>
      <c r="L746" s="157"/>
      <c r="M746" s="157"/>
      <c r="N746" s="153"/>
      <c r="O746" s="153"/>
      <c r="P746" s="153"/>
      <c r="Q746" s="153"/>
      <c r="R746" s="153"/>
      <c r="S746" s="153"/>
      <c r="T746" s="153"/>
      <c r="U746" s="153"/>
      <c r="V746" s="153"/>
      <c r="W746" s="153"/>
    </row>
    <row r="747" spans="2:23" s="14" customFormat="1" x14ac:dyDescent="0.25">
      <c r="B747" s="13"/>
      <c r="C747" s="153"/>
      <c r="D747" s="153"/>
      <c r="E747" s="153"/>
      <c r="F747" s="153"/>
      <c r="G747" s="153"/>
      <c r="H747" s="153"/>
      <c r="I747" s="153"/>
      <c r="J747" s="157"/>
      <c r="K747" s="157"/>
      <c r="L747" s="157"/>
      <c r="M747" s="157"/>
      <c r="N747" s="153"/>
      <c r="O747" s="153"/>
      <c r="P747" s="153"/>
      <c r="Q747" s="153"/>
      <c r="R747" s="153"/>
      <c r="S747" s="153"/>
      <c r="T747" s="153"/>
      <c r="U747" s="153"/>
      <c r="V747" s="153"/>
      <c r="W747" s="153"/>
    </row>
    <row r="748" spans="2:23" s="14" customFormat="1" x14ac:dyDescent="0.25">
      <c r="B748" s="13"/>
      <c r="C748" s="153"/>
      <c r="D748" s="153"/>
      <c r="E748" s="153"/>
      <c r="F748" s="153"/>
      <c r="G748" s="153"/>
      <c r="H748" s="153"/>
      <c r="I748" s="153"/>
      <c r="J748" s="157"/>
      <c r="K748" s="157"/>
      <c r="L748" s="157"/>
      <c r="M748" s="157"/>
      <c r="N748" s="153"/>
      <c r="O748" s="153"/>
      <c r="P748" s="153"/>
      <c r="Q748" s="153"/>
      <c r="R748" s="153"/>
      <c r="S748" s="153"/>
      <c r="T748" s="153"/>
      <c r="U748" s="153"/>
      <c r="V748" s="153"/>
      <c r="W748" s="153"/>
    </row>
    <row r="749" spans="2:23" s="14" customFormat="1" x14ac:dyDescent="0.25">
      <c r="B749" s="13"/>
      <c r="C749" s="153"/>
      <c r="D749" s="153"/>
      <c r="E749" s="153"/>
      <c r="F749" s="153"/>
      <c r="G749" s="153"/>
      <c r="H749" s="153"/>
      <c r="I749" s="153"/>
      <c r="J749" s="157"/>
      <c r="K749" s="157"/>
      <c r="L749" s="157"/>
      <c r="M749" s="157"/>
      <c r="N749" s="153"/>
      <c r="O749" s="153"/>
      <c r="P749" s="153"/>
      <c r="Q749" s="153"/>
      <c r="R749" s="153"/>
      <c r="S749" s="153"/>
      <c r="T749" s="153"/>
      <c r="U749" s="153"/>
      <c r="V749" s="153"/>
      <c r="W749" s="153"/>
    </row>
    <row r="750" spans="2:23" s="14" customFormat="1" x14ac:dyDescent="0.25">
      <c r="B750" s="13"/>
      <c r="C750" s="153"/>
      <c r="D750" s="153"/>
      <c r="E750" s="153"/>
      <c r="F750" s="153"/>
      <c r="G750" s="153"/>
      <c r="H750" s="153"/>
      <c r="I750" s="153"/>
      <c r="J750" s="157"/>
      <c r="K750" s="157"/>
      <c r="L750" s="157"/>
      <c r="M750" s="157"/>
      <c r="N750" s="153"/>
      <c r="O750" s="153"/>
      <c r="P750" s="153"/>
      <c r="Q750" s="153"/>
      <c r="R750" s="153"/>
      <c r="S750" s="153"/>
      <c r="T750" s="153"/>
      <c r="U750" s="153"/>
      <c r="V750" s="153"/>
      <c r="W750" s="153"/>
    </row>
    <row r="751" spans="2:23" s="14" customFormat="1" x14ac:dyDescent="0.25">
      <c r="B751" s="13"/>
      <c r="C751" s="153"/>
      <c r="D751" s="153"/>
      <c r="E751" s="153"/>
      <c r="F751" s="153"/>
      <c r="G751" s="153"/>
      <c r="H751" s="153"/>
      <c r="I751" s="153"/>
      <c r="J751" s="157"/>
      <c r="K751" s="157"/>
      <c r="L751" s="157"/>
      <c r="M751" s="157"/>
      <c r="N751" s="153"/>
      <c r="O751" s="153"/>
      <c r="P751" s="153"/>
      <c r="Q751" s="153"/>
      <c r="R751" s="153"/>
      <c r="S751" s="153"/>
      <c r="T751" s="153"/>
      <c r="U751" s="153"/>
      <c r="V751" s="153"/>
      <c r="W751" s="153"/>
    </row>
    <row r="752" spans="2:23" s="14" customFormat="1" x14ac:dyDescent="0.25">
      <c r="B752" s="13"/>
      <c r="C752" s="153"/>
      <c r="D752" s="153"/>
      <c r="E752" s="153"/>
      <c r="F752" s="153"/>
      <c r="G752" s="153"/>
      <c r="H752" s="153"/>
      <c r="I752" s="153"/>
      <c r="J752" s="157"/>
      <c r="K752" s="157"/>
      <c r="L752" s="157"/>
      <c r="M752" s="157"/>
      <c r="N752" s="153"/>
      <c r="O752" s="153"/>
      <c r="P752" s="153"/>
      <c r="Q752" s="153"/>
      <c r="R752" s="153"/>
      <c r="S752" s="153"/>
      <c r="T752" s="153"/>
      <c r="U752" s="153"/>
      <c r="V752" s="153"/>
      <c r="W752" s="153"/>
    </row>
    <row r="753" spans="2:23" s="14" customFormat="1" x14ac:dyDescent="0.25">
      <c r="B753" s="13"/>
      <c r="C753" s="153"/>
      <c r="D753" s="153"/>
      <c r="E753" s="153"/>
      <c r="F753" s="153"/>
      <c r="G753" s="153"/>
      <c r="H753" s="153"/>
      <c r="I753" s="153"/>
      <c r="J753" s="157"/>
      <c r="K753" s="157"/>
      <c r="L753" s="157"/>
      <c r="M753" s="157"/>
      <c r="N753" s="153"/>
      <c r="O753" s="153"/>
      <c r="P753" s="153"/>
      <c r="Q753" s="153"/>
      <c r="R753" s="153"/>
      <c r="S753" s="153"/>
      <c r="T753" s="153"/>
      <c r="U753" s="153"/>
      <c r="V753" s="153"/>
      <c r="W753" s="153"/>
    </row>
    <row r="754" spans="2:23" s="14" customFormat="1" x14ac:dyDescent="0.25">
      <c r="B754" s="13"/>
      <c r="C754" s="153"/>
      <c r="D754" s="153"/>
      <c r="E754" s="153"/>
      <c r="F754" s="153"/>
      <c r="G754" s="153"/>
      <c r="H754" s="153"/>
      <c r="I754" s="153"/>
      <c r="J754" s="157"/>
      <c r="K754" s="157"/>
      <c r="L754" s="157"/>
      <c r="M754" s="157"/>
      <c r="N754" s="153"/>
      <c r="O754" s="153"/>
      <c r="P754" s="153"/>
      <c r="Q754" s="153"/>
      <c r="R754" s="153"/>
      <c r="S754" s="153"/>
      <c r="T754" s="153"/>
      <c r="U754" s="153"/>
      <c r="V754" s="153"/>
      <c r="W754" s="153"/>
    </row>
    <row r="755" spans="2:23" s="14" customFormat="1" x14ac:dyDescent="0.25">
      <c r="B755" s="13"/>
      <c r="C755" s="153"/>
      <c r="D755" s="153"/>
      <c r="E755" s="153"/>
      <c r="F755" s="153"/>
      <c r="G755" s="153"/>
      <c r="H755" s="153"/>
      <c r="I755" s="153"/>
      <c r="J755" s="157"/>
      <c r="K755" s="157"/>
      <c r="L755" s="157"/>
      <c r="M755" s="157"/>
      <c r="N755" s="153"/>
      <c r="O755" s="153"/>
      <c r="P755" s="153"/>
      <c r="Q755" s="153"/>
      <c r="R755" s="153"/>
      <c r="S755" s="153"/>
      <c r="T755" s="153"/>
      <c r="U755" s="153"/>
      <c r="V755" s="153"/>
      <c r="W755" s="153"/>
    </row>
    <row r="756" spans="2:23" s="14" customFormat="1" x14ac:dyDescent="0.25">
      <c r="B756" s="13"/>
      <c r="C756" s="153"/>
      <c r="D756" s="153"/>
      <c r="E756" s="153"/>
      <c r="F756" s="153"/>
      <c r="G756" s="153"/>
      <c r="H756" s="153"/>
      <c r="I756" s="153"/>
      <c r="J756" s="157"/>
      <c r="K756" s="157"/>
      <c r="L756" s="157"/>
      <c r="M756" s="157"/>
      <c r="N756" s="153"/>
      <c r="O756" s="153"/>
      <c r="P756" s="153"/>
      <c r="Q756" s="153"/>
      <c r="R756" s="153"/>
      <c r="S756" s="153"/>
      <c r="T756" s="153"/>
      <c r="U756" s="153"/>
      <c r="V756" s="153"/>
      <c r="W756" s="153"/>
    </row>
    <row r="757" spans="2:23" s="14" customFormat="1" x14ac:dyDescent="0.25">
      <c r="B757" s="13"/>
      <c r="C757" s="153"/>
      <c r="D757" s="153"/>
      <c r="E757" s="153"/>
      <c r="F757" s="153"/>
      <c r="G757" s="153"/>
      <c r="H757" s="153"/>
      <c r="I757" s="153"/>
      <c r="J757" s="157"/>
      <c r="K757" s="157"/>
      <c r="L757" s="157"/>
      <c r="M757" s="157"/>
      <c r="N757" s="153"/>
      <c r="O757" s="153"/>
      <c r="P757" s="153"/>
      <c r="Q757" s="153"/>
      <c r="R757" s="153"/>
      <c r="S757" s="153"/>
      <c r="T757" s="153"/>
      <c r="U757" s="153"/>
      <c r="V757" s="153"/>
      <c r="W757" s="153"/>
    </row>
    <row r="758" spans="2:23" s="14" customFormat="1" x14ac:dyDescent="0.25">
      <c r="B758" s="13"/>
      <c r="C758" s="153"/>
      <c r="D758" s="153"/>
      <c r="E758" s="153"/>
      <c r="F758" s="153"/>
      <c r="G758" s="153"/>
      <c r="H758" s="153"/>
      <c r="I758" s="153"/>
      <c r="J758" s="157"/>
      <c r="K758" s="157"/>
      <c r="L758" s="157"/>
      <c r="M758" s="157"/>
      <c r="N758" s="153"/>
      <c r="O758" s="153"/>
      <c r="P758" s="153"/>
      <c r="Q758" s="153"/>
      <c r="R758" s="153"/>
      <c r="S758" s="153"/>
      <c r="T758" s="153"/>
      <c r="U758" s="153"/>
      <c r="V758" s="153"/>
      <c r="W758" s="153"/>
    </row>
    <row r="759" spans="2:23" s="14" customFormat="1" x14ac:dyDescent="0.25">
      <c r="B759" s="13"/>
      <c r="C759" s="153"/>
      <c r="D759" s="153"/>
      <c r="E759" s="153"/>
      <c r="F759" s="153"/>
      <c r="G759" s="153"/>
      <c r="H759" s="153"/>
      <c r="I759" s="153"/>
      <c r="J759" s="157"/>
      <c r="K759" s="157"/>
      <c r="L759" s="157"/>
      <c r="M759" s="157"/>
      <c r="N759" s="153"/>
      <c r="O759" s="153"/>
      <c r="P759" s="153"/>
      <c r="Q759" s="153"/>
      <c r="R759" s="153"/>
      <c r="S759" s="153"/>
      <c r="T759" s="153"/>
      <c r="U759" s="153"/>
      <c r="V759" s="153"/>
      <c r="W759" s="153"/>
    </row>
    <row r="760" spans="2:23" s="14" customFormat="1" x14ac:dyDescent="0.25">
      <c r="B760" s="13"/>
      <c r="C760" s="153"/>
      <c r="D760" s="153"/>
      <c r="E760" s="153"/>
      <c r="F760" s="153"/>
      <c r="G760" s="153"/>
      <c r="H760" s="153"/>
      <c r="I760" s="153"/>
      <c r="J760" s="157"/>
      <c r="K760" s="157"/>
      <c r="L760" s="157"/>
      <c r="M760" s="157"/>
      <c r="N760" s="153"/>
      <c r="O760" s="153"/>
      <c r="P760" s="153"/>
      <c r="Q760" s="153"/>
      <c r="R760" s="153"/>
      <c r="S760" s="153"/>
      <c r="T760" s="153"/>
      <c r="U760" s="153"/>
      <c r="V760" s="153"/>
      <c r="W760" s="153"/>
    </row>
    <row r="761" spans="2:23" s="14" customFormat="1" x14ac:dyDescent="0.25">
      <c r="B761" s="13"/>
      <c r="C761" s="153"/>
      <c r="D761" s="153"/>
      <c r="E761" s="153"/>
      <c r="F761" s="153"/>
      <c r="G761" s="153"/>
      <c r="H761" s="153"/>
      <c r="I761" s="153"/>
      <c r="J761" s="157"/>
      <c r="K761" s="157"/>
      <c r="L761" s="157"/>
      <c r="M761" s="157"/>
      <c r="N761" s="153"/>
      <c r="O761" s="153"/>
      <c r="P761" s="153"/>
      <c r="Q761" s="153"/>
      <c r="R761" s="153"/>
      <c r="S761" s="153"/>
      <c r="T761" s="153"/>
      <c r="U761" s="153"/>
      <c r="V761" s="153"/>
      <c r="W761" s="153"/>
    </row>
    <row r="762" spans="2:23" s="14" customFormat="1" x14ac:dyDescent="0.25">
      <c r="B762" s="13"/>
      <c r="C762" s="153"/>
      <c r="D762" s="153"/>
      <c r="E762" s="153"/>
      <c r="F762" s="153"/>
      <c r="G762" s="153"/>
      <c r="H762" s="153"/>
      <c r="I762" s="153"/>
      <c r="J762" s="157"/>
      <c r="K762" s="157"/>
      <c r="L762" s="157"/>
      <c r="M762" s="157"/>
      <c r="N762" s="153"/>
      <c r="O762" s="153"/>
      <c r="P762" s="153"/>
      <c r="Q762" s="153"/>
      <c r="R762" s="153"/>
      <c r="S762" s="153"/>
      <c r="T762" s="153"/>
      <c r="U762" s="153"/>
      <c r="V762" s="153"/>
      <c r="W762" s="153"/>
    </row>
    <row r="763" spans="2:23" s="14" customFormat="1" x14ac:dyDescent="0.25">
      <c r="B763" s="13"/>
      <c r="C763" s="153"/>
      <c r="D763" s="153"/>
      <c r="E763" s="153"/>
      <c r="F763" s="153"/>
      <c r="G763" s="153"/>
      <c r="H763" s="153"/>
      <c r="I763" s="153"/>
      <c r="J763" s="157"/>
      <c r="K763" s="157"/>
      <c r="L763" s="157"/>
      <c r="M763" s="157"/>
      <c r="N763" s="153"/>
      <c r="O763" s="153"/>
      <c r="P763" s="153"/>
      <c r="Q763" s="153"/>
      <c r="R763" s="153"/>
      <c r="S763" s="153"/>
      <c r="T763" s="153"/>
      <c r="U763" s="153"/>
      <c r="V763" s="153"/>
      <c r="W763" s="153"/>
    </row>
    <row r="764" spans="2:23" s="14" customFormat="1" x14ac:dyDescent="0.25">
      <c r="B764" s="13"/>
      <c r="C764" s="153"/>
      <c r="D764" s="153"/>
      <c r="E764" s="153"/>
      <c r="F764" s="153"/>
      <c r="G764" s="153"/>
      <c r="H764" s="153"/>
      <c r="I764" s="153"/>
      <c r="J764" s="157"/>
      <c r="K764" s="157"/>
      <c r="L764" s="157"/>
      <c r="M764" s="157"/>
      <c r="N764" s="153"/>
      <c r="O764" s="153"/>
      <c r="P764" s="153"/>
      <c r="Q764" s="153"/>
      <c r="R764" s="153"/>
      <c r="S764" s="153"/>
      <c r="T764" s="153"/>
      <c r="U764" s="153"/>
      <c r="V764" s="153"/>
      <c r="W764" s="153"/>
    </row>
    <row r="765" spans="2:23" s="14" customFormat="1" x14ac:dyDescent="0.25">
      <c r="B765" s="13"/>
      <c r="C765" s="153"/>
      <c r="D765" s="153"/>
      <c r="E765" s="153"/>
      <c r="F765" s="153"/>
      <c r="G765" s="153"/>
      <c r="H765" s="153"/>
      <c r="I765" s="153"/>
      <c r="J765" s="157"/>
      <c r="K765" s="157"/>
      <c r="L765" s="157"/>
      <c r="M765" s="157"/>
      <c r="N765" s="153"/>
      <c r="O765" s="153"/>
      <c r="P765" s="153"/>
      <c r="Q765" s="153"/>
      <c r="R765" s="153"/>
      <c r="S765" s="153"/>
      <c r="T765" s="153"/>
      <c r="U765" s="153"/>
      <c r="V765" s="153"/>
      <c r="W765" s="153"/>
    </row>
    <row r="766" spans="2:23" s="14" customFormat="1" x14ac:dyDescent="0.25">
      <c r="B766" s="13"/>
      <c r="C766" s="153"/>
      <c r="D766" s="153"/>
      <c r="E766" s="153"/>
      <c r="F766" s="153"/>
      <c r="G766" s="153"/>
      <c r="H766" s="153"/>
      <c r="I766" s="153"/>
      <c r="J766" s="157"/>
      <c r="K766" s="157"/>
      <c r="L766" s="157"/>
      <c r="M766" s="157"/>
      <c r="N766" s="153"/>
      <c r="O766" s="153"/>
      <c r="P766" s="153"/>
      <c r="Q766" s="153"/>
      <c r="R766" s="153"/>
      <c r="S766" s="153"/>
      <c r="T766" s="153"/>
      <c r="U766" s="153"/>
      <c r="V766" s="153"/>
      <c r="W766" s="153"/>
    </row>
    <row r="767" spans="2:23" s="14" customFormat="1" x14ac:dyDescent="0.25">
      <c r="B767" s="13"/>
      <c r="C767" s="153"/>
      <c r="D767" s="153"/>
      <c r="E767" s="153"/>
      <c r="F767" s="153"/>
      <c r="G767" s="153"/>
      <c r="H767" s="153"/>
      <c r="I767" s="153"/>
      <c r="J767" s="157"/>
      <c r="K767" s="157"/>
      <c r="L767" s="157"/>
      <c r="M767" s="157"/>
      <c r="N767" s="153"/>
      <c r="O767" s="153"/>
      <c r="P767" s="153"/>
      <c r="Q767" s="153"/>
      <c r="R767" s="153"/>
      <c r="S767" s="153"/>
      <c r="T767" s="153"/>
      <c r="U767" s="153"/>
      <c r="V767" s="153"/>
      <c r="W767" s="153"/>
    </row>
    <row r="768" spans="2:23" s="14" customFormat="1" x14ac:dyDescent="0.25">
      <c r="B768" s="13"/>
      <c r="C768" s="153"/>
      <c r="D768" s="153"/>
      <c r="E768" s="153"/>
      <c r="F768" s="153"/>
      <c r="G768" s="153"/>
      <c r="H768" s="153"/>
      <c r="I768" s="153"/>
      <c r="J768" s="157"/>
      <c r="K768" s="157"/>
      <c r="L768" s="157"/>
      <c r="M768" s="157"/>
      <c r="N768" s="153"/>
      <c r="O768" s="153"/>
      <c r="P768" s="153"/>
      <c r="Q768" s="153"/>
      <c r="R768" s="153"/>
      <c r="S768" s="153"/>
      <c r="T768" s="153"/>
      <c r="U768" s="153"/>
      <c r="V768" s="153"/>
      <c r="W768" s="153"/>
    </row>
    <row r="769" spans="2:23" s="14" customFormat="1" x14ac:dyDescent="0.25">
      <c r="B769" s="13"/>
      <c r="C769" s="153"/>
      <c r="D769" s="153"/>
      <c r="E769" s="153"/>
      <c r="F769" s="153"/>
      <c r="G769" s="153"/>
      <c r="H769" s="153"/>
      <c r="I769" s="153"/>
      <c r="J769" s="157"/>
      <c r="K769" s="157"/>
      <c r="L769" s="157"/>
      <c r="M769" s="157"/>
      <c r="N769" s="153"/>
      <c r="O769" s="153"/>
      <c r="P769" s="153"/>
      <c r="Q769" s="153"/>
      <c r="R769" s="153"/>
      <c r="S769" s="153"/>
      <c r="T769" s="153"/>
      <c r="U769" s="153"/>
      <c r="V769" s="153"/>
      <c r="W769" s="153"/>
    </row>
    <row r="770" spans="2:23" s="14" customFormat="1" x14ac:dyDescent="0.25">
      <c r="B770" s="13"/>
      <c r="C770" s="153"/>
      <c r="D770" s="153"/>
      <c r="E770" s="153"/>
      <c r="F770" s="153"/>
      <c r="G770" s="153"/>
      <c r="H770" s="153"/>
      <c r="I770" s="153"/>
      <c r="J770" s="157"/>
      <c r="K770" s="157"/>
      <c r="L770" s="157"/>
      <c r="M770" s="157"/>
      <c r="N770" s="153"/>
      <c r="O770" s="153"/>
      <c r="P770" s="153"/>
      <c r="Q770" s="153"/>
      <c r="R770" s="153"/>
      <c r="S770" s="153"/>
      <c r="T770" s="153"/>
      <c r="U770" s="153"/>
      <c r="V770" s="153"/>
      <c r="W770" s="153"/>
    </row>
    <row r="771" spans="2:23" s="14" customFormat="1" x14ac:dyDescent="0.25">
      <c r="B771" s="13"/>
      <c r="C771" s="153"/>
      <c r="D771" s="153"/>
      <c r="E771" s="153"/>
      <c r="F771" s="153"/>
      <c r="G771" s="153"/>
      <c r="H771" s="153"/>
      <c r="I771" s="153"/>
      <c r="J771" s="157"/>
      <c r="K771" s="157"/>
      <c r="L771" s="157"/>
      <c r="M771" s="157"/>
      <c r="N771" s="153"/>
      <c r="O771" s="153"/>
      <c r="P771" s="153"/>
      <c r="Q771" s="153"/>
      <c r="R771" s="153"/>
      <c r="S771" s="153"/>
      <c r="T771" s="153"/>
      <c r="U771" s="153"/>
      <c r="V771" s="153"/>
      <c r="W771" s="153"/>
    </row>
    <row r="772" spans="2:23" s="14" customFormat="1" x14ac:dyDescent="0.25">
      <c r="B772" s="13"/>
      <c r="C772" s="153"/>
      <c r="D772" s="153"/>
      <c r="E772" s="153"/>
      <c r="F772" s="153"/>
      <c r="G772" s="153"/>
      <c r="H772" s="153"/>
      <c r="I772" s="153"/>
      <c r="J772" s="157"/>
      <c r="K772" s="157"/>
      <c r="L772" s="157"/>
      <c r="M772" s="157"/>
      <c r="N772" s="153"/>
      <c r="O772" s="153"/>
      <c r="P772" s="153"/>
      <c r="Q772" s="153"/>
      <c r="R772" s="153"/>
      <c r="S772" s="153"/>
      <c r="T772" s="153"/>
      <c r="U772" s="153"/>
      <c r="V772" s="153"/>
      <c r="W772" s="153"/>
    </row>
    <row r="773" spans="2:23" s="14" customFormat="1" x14ac:dyDescent="0.25">
      <c r="B773" s="13"/>
      <c r="C773" s="153"/>
      <c r="D773" s="153"/>
      <c r="E773" s="153"/>
      <c r="F773" s="153"/>
      <c r="G773" s="153"/>
      <c r="H773" s="153"/>
      <c r="I773" s="153"/>
      <c r="J773" s="157"/>
      <c r="K773" s="157"/>
      <c r="L773" s="157"/>
      <c r="M773" s="157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</row>
    <row r="774" spans="2:23" s="14" customFormat="1" x14ac:dyDescent="0.25">
      <c r="B774" s="13"/>
      <c r="C774" s="153"/>
      <c r="D774" s="153"/>
      <c r="E774" s="153"/>
      <c r="F774" s="153"/>
      <c r="G774" s="153"/>
      <c r="H774" s="153"/>
      <c r="I774" s="153"/>
      <c r="J774" s="157"/>
      <c r="K774" s="157"/>
      <c r="L774" s="157"/>
      <c r="M774" s="157"/>
      <c r="N774" s="153"/>
      <c r="O774" s="153"/>
      <c r="P774" s="153"/>
      <c r="Q774" s="153"/>
      <c r="R774" s="153"/>
      <c r="S774" s="153"/>
      <c r="T774" s="153"/>
      <c r="U774" s="153"/>
      <c r="V774" s="153"/>
      <c r="W774" s="153"/>
    </row>
    <row r="775" spans="2:23" s="14" customFormat="1" x14ac:dyDescent="0.25">
      <c r="B775" s="13"/>
      <c r="C775" s="153"/>
      <c r="D775" s="153"/>
      <c r="E775" s="153"/>
      <c r="F775" s="153"/>
      <c r="G775" s="153"/>
      <c r="H775" s="153"/>
      <c r="I775" s="153"/>
      <c r="J775" s="157"/>
      <c r="K775" s="157"/>
      <c r="L775" s="157"/>
      <c r="M775" s="157"/>
      <c r="N775" s="153"/>
      <c r="O775" s="153"/>
      <c r="P775" s="153"/>
      <c r="Q775" s="153"/>
      <c r="R775" s="153"/>
      <c r="S775" s="153"/>
      <c r="T775" s="153"/>
      <c r="U775" s="153"/>
      <c r="V775" s="153"/>
      <c r="W775" s="153"/>
    </row>
    <row r="776" spans="2:23" s="14" customFormat="1" x14ac:dyDescent="0.25">
      <c r="B776" s="13"/>
      <c r="C776" s="153"/>
      <c r="D776" s="153"/>
      <c r="E776" s="153"/>
      <c r="F776" s="153"/>
      <c r="G776" s="153"/>
      <c r="H776" s="153"/>
      <c r="I776" s="153"/>
      <c r="J776" s="157"/>
      <c r="K776" s="157"/>
      <c r="L776" s="157"/>
      <c r="M776" s="157"/>
      <c r="N776" s="153"/>
      <c r="O776" s="153"/>
      <c r="P776" s="153"/>
      <c r="Q776" s="153"/>
      <c r="R776" s="153"/>
      <c r="S776" s="153"/>
      <c r="T776" s="153"/>
      <c r="U776" s="153"/>
      <c r="V776" s="153"/>
      <c r="W776" s="153"/>
    </row>
    <row r="777" spans="2:23" s="14" customFormat="1" x14ac:dyDescent="0.25">
      <c r="B777" s="13"/>
      <c r="C777" s="153"/>
      <c r="D777" s="153"/>
      <c r="E777" s="153"/>
      <c r="F777" s="153"/>
      <c r="G777" s="153"/>
      <c r="H777" s="153"/>
      <c r="I777" s="153"/>
      <c r="J777" s="157"/>
      <c r="K777" s="157"/>
      <c r="L777" s="157"/>
      <c r="M777" s="157"/>
      <c r="N777" s="153"/>
      <c r="O777" s="153"/>
      <c r="P777" s="153"/>
      <c r="Q777" s="153"/>
      <c r="R777" s="153"/>
      <c r="S777" s="153"/>
      <c r="T777" s="153"/>
      <c r="U777" s="153"/>
      <c r="V777" s="153"/>
      <c r="W777" s="153"/>
    </row>
    <row r="778" spans="2:23" s="14" customFormat="1" x14ac:dyDescent="0.25">
      <c r="B778" s="13"/>
      <c r="C778" s="153"/>
      <c r="D778" s="153"/>
      <c r="E778" s="153"/>
      <c r="F778" s="153"/>
      <c r="G778" s="153"/>
      <c r="H778" s="153"/>
      <c r="I778" s="153"/>
      <c r="J778" s="157"/>
      <c r="K778" s="157"/>
      <c r="L778" s="157"/>
      <c r="M778" s="157"/>
      <c r="N778" s="153"/>
      <c r="O778" s="153"/>
      <c r="P778" s="153"/>
      <c r="Q778" s="153"/>
      <c r="R778" s="153"/>
      <c r="S778" s="153"/>
      <c r="T778" s="153"/>
      <c r="U778" s="153"/>
      <c r="V778" s="153"/>
      <c r="W778" s="153"/>
    </row>
    <row r="779" spans="2:23" s="14" customFormat="1" x14ac:dyDescent="0.25">
      <c r="B779" s="13"/>
      <c r="C779" s="153"/>
      <c r="D779" s="153"/>
      <c r="E779" s="153"/>
      <c r="F779" s="153"/>
      <c r="G779" s="153"/>
      <c r="H779" s="153"/>
      <c r="I779" s="153"/>
      <c r="J779" s="157"/>
      <c r="K779" s="157"/>
      <c r="L779" s="157"/>
      <c r="M779" s="157"/>
      <c r="N779" s="153"/>
      <c r="O779" s="153"/>
      <c r="P779" s="153"/>
      <c r="Q779" s="153"/>
      <c r="R779" s="153"/>
      <c r="S779" s="153"/>
      <c r="T779" s="153"/>
      <c r="U779" s="153"/>
      <c r="V779" s="153"/>
      <c r="W779" s="153"/>
    </row>
    <row r="780" spans="2:23" s="14" customFormat="1" x14ac:dyDescent="0.25">
      <c r="B780" s="13"/>
      <c r="C780" s="153"/>
      <c r="D780" s="153"/>
      <c r="E780" s="153"/>
      <c r="F780" s="153"/>
      <c r="G780" s="153"/>
      <c r="H780" s="153"/>
      <c r="I780" s="153"/>
      <c r="J780" s="157"/>
      <c r="K780" s="157"/>
      <c r="L780" s="157"/>
      <c r="M780" s="157"/>
      <c r="N780" s="153"/>
      <c r="O780" s="153"/>
      <c r="P780" s="153"/>
      <c r="Q780" s="153"/>
      <c r="R780" s="153"/>
      <c r="S780" s="153"/>
      <c r="T780" s="153"/>
      <c r="U780" s="153"/>
      <c r="V780" s="153"/>
      <c r="W780" s="153"/>
    </row>
    <row r="781" spans="2:23" s="14" customFormat="1" x14ac:dyDescent="0.25">
      <c r="B781" s="13"/>
      <c r="C781" s="153"/>
      <c r="D781" s="153"/>
      <c r="E781" s="153"/>
      <c r="F781" s="153"/>
      <c r="G781" s="153"/>
      <c r="H781" s="153"/>
      <c r="I781" s="153"/>
      <c r="J781" s="157"/>
      <c r="K781" s="157"/>
      <c r="L781" s="157"/>
      <c r="M781" s="157"/>
      <c r="N781" s="153"/>
      <c r="O781" s="153"/>
      <c r="P781" s="153"/>
      <c r="Q781" s="153"/>
      <c r="R781" s="153"/>
      <c r="S781" s="153"/>
      <c r="T781" s="153"/>
      <c r="U781" s="153"/>
      <c r="V781" s="153"/>
      <c r="W781" s="153"/>
    </row>
    <row r="782" spans="2:23" s="14" customFormat="1" x14ac:dyDescent="0.25">
      <c r="B782" s="13"/>
      <c r="C782" s="153"/>
      <c r="D782" s="153"/>
      <c r="E782" s="153"/>
      <c r="F782" s="153"/>
      <c r="G782" s="153"/>
      <c r="H782" s="153"/>
      <c r="I782" s="153"/>
      <c r="J782" s="157"/>
      <c r="K782" s="157"/>
      <c r="L782" s="157"/>
      <c r="M782" s="157"/>
      <c r="N782" s="153"/>
      <c r="O782" s="153"/>
      <c r="P782" s="153"/>
      <c r="Q782" s="153"/>
      <c r="R782" s="153"/>
      <c r="S782" s="153"/>
      <c r="T782" s="153"/>
      <c r="U782" s="153"/>
      <c r="V782" s="153"/>
      <c r="W782" s="153"/>
    </row>
    <row r="783" spans="2:23" s="14" customFormat="1" x14ac:dyDescent="0.25">
      <c r="B783" s="13"/>
      <c r="C783" s="153"/>
      <c r="D783" s="153"/>
      <c r="E783" s="153"/>
      <c r="F783" s="153"/>
      <c r="G783" s="153"/>
      <c r="H783" s="153"/>
      <c r="I783" s="153"/>
      <c r="J783" s="157"/>
      <c r="K783" s="157"/>
      <c r="L783" s="157"/>
      <c r="M783" s="157"/>
      <c r="N783" s="153"/>
      <c r="O783" s="153"/>
      <c r="P783" s="153"/>
      <c r="Q783" s="153"/>
      <c r="R783" s="153"/>
      <c r="S783" s="153"/>
      <c r="T783" s="153"/>
      <c r="U783" s="153"/>
      <c r="V783" s="153"/>
      <c r="W783" s="153"/>
    </row>
    <row r="784" spans="2:23" s="14" customFormat="1" x14ac:dyDescent="0.25">
      <c r="B784" s="13"/>
      <c r="C784" s="153"/>
      <c r="D784" s="153"/>
      <c r="E784" s="153"/>
      <c r="F784" s="153"/>
      <c r="G784" s="153"/>
      <c r="H784" s="153"/>
      <c r="I784" s="153"/>
      <c r="J784" s="157"/>
      <c r="K784" s="157"/>
      <c r="L784" s="157"/>
      <c r="M784" s="157"/>
      <c r="N784" s="153"/>
      <c r="O784" s="153"/>
      <c r="P784" s="153"/>
      <c r="Q784" s="153"/>
      <c r="R784" s="153"/>
      <c r="S784" s="153"/>
      <c r="T784" s="153"/>
      <c r="U784" s="153"/>
      <c r="V784" s="153"/>
      <c r="W784" s="153"/>
    </row>
    <row r="785" spans="2:23" s="14" customFormat="1" x14ac:dyDescent="0.25">
      <c r="B785" s="13"/>
      <c r="C785" s="153"/>
      <c r="D785" s="153"/>
      <c r="E785" s="153"/>
      <c r="F785" s="153"/>
      <c r="G785" s="153"/>
      <c r="H785" s="153"/>
      <c r="I785" s="153"/>
      <c r="J785" s="157"/>
      <c r="K785" s="157"/>
      <c r="L785" s="157"/>
      <c r="M785" s="157"/>
      <c r="N785" s="153"/>
      <c r="O785" s="153"/>
      <c r="P785" s="153"/>
      <c r="Q785" s="153"/>
      <c r="R785" s="153"/>
      <c r="S785" s="153"/>
      <c r="T785" s="153"/>
      <c r="U785" s="153"/>
      <c r="V785" s="153"/>
      <c r="W785" s="153"/>
    </row>
    <row r="786" spans="2:23" s="14" customFormat="1" x14ac:dyDescent="0.25">
      <c r="B786" s="13"/>
      <c r="C786" s="153"/>
      <c r="D786" s="153"/>
      <c r="E786" s="153"/>
      <c r="F786" s="153"/>
      <c r="G786" s="153"/>
      <c r="H786" s="153"/>
      <c r="I786" s="153"/>
      <c r="J786" s="157"/>
      <c r="K786" s="157"/>
      <c r="L786" s="157"/>
      <c r="M786" s="157"/>
      <c r="N786" s="153"/>
      <c r="O786" s="153"/>
      <c r="P786" s="153"/>
      <c r="Q786" s="153"/>
      <c r="R786" s="153"/>
      <c r="S786" s="153"/>
      <c r="T786" s="153"/>
      <c r="U786" s="153"/>
      <c r="V786" s="153"/>
      <c r="W786" s="153"/>
    </row>
    <row r="787" spans="2:23" s="14" customFormat="1" x14ac:dyDescent="0.25">
      <c r="B787" s="13"/>
      <c r="C787" s="153"/>
      <c r="D787" s="153"/>
      <c r="E787" s="153"/>
      <c r="F787" s="153"/>
      <c r="G787" s="153"/>
      <c r="H787" s="153"/>
      <c r="I787" s="153"/>
      <c r="J787" s="157"/>
      <c r="K787" s="157"/>
      <c r="L787" s="157"/>
      <c r="M787" s="157"/>
      <c r="N787" s="153"/>
      <c r="O787" s="153"/>
      <c r="P787" s="153"/>
      <c r="Q787" s="153"/>
      <c r="R787" s="153"/>
      <c r="S787" s="153"/>
      <c r="T787" s="153"/>
      <c r="U787" s="153"/>
      <c r="V787" s="153"/>
      <c r="W787" s="153"/>
    </row>
    <row r="788" spans="2:23" s="14" customFormat="1" x14ac:dyDescent="0.25">
      <c r="B788" s="13"/>
      <c r="C788" s="153"/>
      <c r="D788" s="153"/>
      <c r="E788" s="153"/>
      <c r="F788" s="153"/>
      <c r="G788" s="153"/>
      <c r="H788" s="153"/>
      <c r="I788" s="153"/>
      <c r="J788" s="157"/>
      <c r="K788" s="157"/>
      <c r="L788" s="157"/>
      <c r="M788" s="157"/>
      <c r="N788" s="153"/>
      <c r="O788" s="153"/>
      <c r="P788" s="153"/>
      <c r="Q788" s="153"/>
      <c r="R788" s="153"/>
      <c r="S788" s="153"/>
      <c r="T788" s="153"/>
      <c r="U788" s="153"/>
      <c r="V788" s="153"/>
      <c r="W788" s="153"/>
    </row>
    <row r="789" spans="2:23" s="14" customFormat="1" x14ac:dyDescent="0.25">
      <c r="B789" s="13"/>
      <c r="C789" s="153"/>
      <c r="D789" s="153"/>
      <c r="E789" s="153"/>
      <c r="F789" s="153"/>
      <c r="G789" s="153"/>
      <c r="H789" s="153"/>
      <c r="I789" s="153"/>
      <c r="J789" s="157"/>
      <c r="K789" s="157"/>
      <c r="L789" s="157"/>
      <c r="M789" s="157"/>
      <c r="N789" s="153"/>
      <c r="O789" s="153"/>
      <c r="P789" s="153"/>
      <c r="Q789" s="153"/>
      <c r="R789" s="153"/>
      <c r="S789" s="153"/>
      <c r="T789" s="153"/>
      <c r="U789" s="153"/>
      <c r="V789" s="153"/>
      <c r="W789" s="153"/>
    </row>
    <row r="790" spans="2:23" s="14" customFormat="1" x14ac:dyDescent="0.25">
      <c r="B790" s="13"/>
      <c r="C790" s="153"/>
      <c r="D790" s="153"/>
      <c r="E790" s="153"/>
      <c r="F790" s="153"/>
      <c r="G790" s="153"/>
      <c r="H790" s="153"/>
      <c r="I790" s="153"/>
      <c r="J790" s="157"/>
      <c r="K790" s="157"/>
      <c r="L790" s="157"/>
      <c r="M790" s="157"/>
      <c r="N790" s="153"/>
      <c r="O790" s="153"/>
      <c r="P790" s="153"/>
      <c r="Q790" s="153"/>
      <c r="R790" s="153"/>
      <c r="S790" s="153"/>
      <c r="T790" s="153"/>
      <c r="U790" s="153"/>
      <c r="V790" s="153"/>
      <c r="W790" s="153"/>
    </row>
    <row r="791" spans="2:23" s="14" customFormat="1" x14ac:dyDescent="0.25">
      <c r="B791" s="13"/>
      <c r="C791" s="153"/>
      <c r="D791" s="153"/>
      <c r="E791" s="153"/>
      <c r="F791" s="153"/>
      <c r="G791" s="153"/>
      <c r="H791" s="153"/>
      <c r="I791" s="153"/>
      <c r="J791" s="157"/>
      <c r="K791" s="157"/>
      <c r="L791" s="157"/>
      <c r="M791" s="157"/>
      <c r="N791" s="153"/>
      <c r="O791" s="153"/>
      <c r="P791" s="153"/>
      <c r="Q791" s="153"/>
      <c r="R791" s="153"/>
      <c r="S791" s="153"/>
      <c r="T791" s="153"/>
      <c r="U791" s="153"/>
      <c r="V791" s="153"/>
      <c r="W791" s="153"/>
    </row>
    <row r="792" spans="2:23" s="14" customFormat="1" x14ac:dyDescent="0.25">
      <c r="B792" s="13"/>
      <c r="C792" s="153"/>
      <c r="D792" s="153"/>
      <c r="E792" s="153"/>
      <c r="F792" s="153"/>
      <c r="G792" s="153"/>
      <c r="H792" s="153"/>
      <c r="I792" s="153"/>
      <c r="J792" s="157"/>
      <c r="K792" s="157"/>
      <c r="L792" s="157"/>
      <c r="M792" s="157"/>
      <c r="N792" s="153"/>
      <c r="O792" s="153"/>
      <c r="P792" s="153"/>
      <c r="Q792" s="153"/>
      <c r="R792" s="153"/>
      <c r="S792" s="153"/>
      <c r="T792" s="153"/>
      <c r="U792" s="153"/>
      <c r="V792" s="153"/>
      <c r="W792" s="153"/>
    </row>
    <row r="793" spans="2:23" s="14" customFormat="1" x14ac:dyDescent="0.25">
      <c r="B793" s="13"/>
      <c r="C793" s="153"/>
      <c r="D793" s="153"/>
      <c r="E793" s="153"/>
      <c r="F793" s="153"/>
      <c r="G793" s="153"/>
      <c r="H793" s="153"/>
      <c r="I793" s="153"/>
      <c r="J793" s="157"/>
      <c r="K793" s="157"/>
      <c r="L793" s="157"/>
      <c r="M793" s="157"/>
      <c r="N793" s="153"/>
      <c r="O793" s="153"/>
      <c r="P793" s="153"/>
      <c r="Q793" s="153"/>
      <c r="R793" s="153"/>
      <c r="S793" s="153"/>
      <c r="T793" s="153"/>
      <c r="U793" s="153"/>
      <c r="V793" s="153"/>
      <c r="W793" s="153"/>
    </row>
    <row r="794" spans="2:23" s="14" customFormat="1" x14ac:dyDescent="0.25">
      <c r="B794" s="13"/>
      <c r="C794" s="153"/>
      <c r="D794" s="153"/>
      <c r="E794" s="153"/>
      <c r="F794" s="153"/>
      <c r="G794" s="153"/>
      <c r="H794" s="153"/>
      <c r="I794" s="153"/>
      <c r="J794" s="157"/>
      <c r="K794" s="157"/>
      <c r="L794" s="157"/>
      <c r="M794" s="157"/>
      <c r="N794" s="153"/>
      <c r="O794" s="153"/>
      <c r="P794" s="153"/>
      <c r="Q794" s="153"/>
      <c r="R794" s="153"/>
      <c r="S794" s="153"/>
      <c r="T794" s="153"/>
      <c r="U794" s="153"/>
      <c r="V794" s="153"/>
      <c r="W794" s="153"/>
    </row>
    <row r="795" spans="2:23" s="14" customFormat="1" x14ac:dyDescent="0.25">
      <c r="B795" s="13"/>
      <c r="C795" s="153"/>
      <c r="D795" s="153"/>
      <c r="E795" s="153"/>
      <c r="F795" s="153"/>
      <c r="G795" s="153"/>
      <c r="H795" s="153"/>
      <c r="I795" s="153"/>
      <c r="J795" s="157"/>
      <c r="K795" s="157"/>
      <c r="L795" s="157"/>
      <c r="M795" s="157"/>
      <c r="N795" s="153"/>
      <c r="O795" s="153"/>
      <c r="P795" s="153"/>
      <c r="Q795" s="153"/>
      <c r="R795" s="153"/>
      <c r="S795" s="153"/>
      <c r="T795" s="153"/>
      <c r="U795" s="153"/>
      <c r="V795" s="153"/>
      <c r="W795" s="153"/>
    </row>
    <row r="796" spans="2:23" s="14" customFormat="1" x14ac:dyDescent="0.25">
      <c r="B796" s="13"/>
      <c r="C796" s="153"/>
      <c r="D796" s="153"/>
      <c r="E796" s="153"/>
      <c r="F796" s="153"/>
      <c r="G796" s="153"/>
      <c r="H796" s="153"/>
      <c r="I796" s="153"/>
      <c r="J796" s="157"/>
      <c r="K796" s="157"/>
      <c r="L796" s="157"/>
      <c r="M796" s="157"/>
      <c r="N796" s="153"/>
      <c r="O796" s="153"/>
      <c r="P796" s="153"/>
      <c r="Q796" s="153"/>
      <c r="R796" s="153"/>
      <c r="S796" s="153"/>
      <c r="T796" s="153"/>
      <c r="U796" s="153"/>
      <c r="V796" s="153"/>
      <c r="W796" s="153"/>
    </row>
    <row r="797" spans="2:23" s="14" customFormat="1" x14ac:dyDescent="0.25">
      <c r="B797" s="13"/>
      <c r="C797" s="153"/>
      <c r="D797" s="153"/>
      <c r="E797" s="153"/>
      <c r="F797" s="153"/>
      <c r="G797" s="153"/>
      <c r="H797" s="153"/>
      <c r="I797" s="153"/>
      <c r="J797" s="157"/>
      <c r="K797" s="157"/>
      <c r="L797" s="157"/>
      <c r="M797" s="157"/>
      <c r="N797" s="153"/>
      <c r="O797" s="153"/>
      <c r="P797" s="153"/>
      <c r="Q797" s="153"/>
      <c r="R797" s="153"/>
      <c r="S797" s="153"/>
      <c r="T797" s="153"/>
      <c r="U797" s="153"/>
      <c r="V797" s="153"/>
      <c r="W797" s="153"/>
    </row>
    <row r="798" spans="2:23" s="14" customFormat="1" x14ac:dyDescent="0.25">
      <c r="B798" s="13"/>
      <c r="C798" s="153"/>
      <c r="D798" s="153"/>
      <c r="E798" s="153"/>
      <c r="F798" s="153"/>
      <c r="G798" s="153"/>
      <c r="H798" s="153"/>
      <c r="I798" s="153"/>
      <c r="J798" s="157"/>
      <c r="K798" s="157"/>
      <c r="L798" s="157"/>
      <c r="M798" s="157"/>
      <c r="N798" s="153"/>
      <c r="O798" s="153"/>
      <c r="P798" s="153"/>
      <c r="Q798" s="153"/>
      <c r="R798" s="153"/>
      <c r="S798" s="153"/>
      <c r="T798" s="153"/>
      <c r="U798" s="153"/>
      <c r="V798" s="153"/>
      <c r="W798" s="153"/>
    </row>
    <row r="799" spans="2:23" s="14" customFormat="1" x14ac:dyDescent="0.25">
      <c r="B799" s="13"/>
      <c r="C799" s="153"/>
      <c r="D799" s="153"/>
      <c r="E799" s="153"/>
      <c r="F799" s="153"/>
      <c r="G799" s="153"/>
      <c r="H799" s="153"/>
      <c r="I799" s="153"/>
      <c r="J799" s="157"/>
      <c r="K799" s="157"/>
      <c r="L799" s="157"/>
      <c r="M799" s="157"/>
      <c r="N799" s="153"/>
      <c r="O799" s="153"/>
      <c r="P799" s="153"/>
      <c r="Q799" s="153"/>
      <c r="R799" s="153"/>
      <c r="S799" s="153"/>
      <c r="T799" s="153"/>
      <c r="U799" s="153"/>
      <c r="V799" s="153"/>
      <c r="W799" s="153"/>
    </row>
    <row r="800" spans="2:23" s="14" customFormat="1" x14ac:dyDescent="0.25">
      <c r="B800" s="13"/>
      <c r="C800" s="153"/>
      <c r="D800" s="153"/>
      <c r="E800" s="153"/>
      <c r="F800" s="153"/>
      <c r="G800" s="153"/>
      <c r="H800" s="153"/>
      <c r="I800" s="153"/>
      <c r="J800" s="157"/>
      <c r="K800" s="157"/>
      <c r="L800" s="157"/>
      <c r="M800" s="157"/>
      <c r="N800" s="153"/>
      <c r="O800" s="153"/>
      <c r="P800" s="153"/>
      <c r="Q800" s="153"/>
      <c r="R800" s="153"/>
      <c r="S800" s="153"/>
      <c r="T800" s="153"/>
      <c r="U800" s="153"/>
      <c r="V800" s="153"/>
      <c r="W800" s="153"/>
    </row>
    <row r="801" spans="2:23" s="14" customFormat="1" x14ac:dyDescent="0.25">
      <c r="B801" s="13"/>
      <c r="C801" s="153"/>
      <c r="D801" s="153"/>
      <c r="E801" s="153"/>
      <c r="F801" s="153"/>
      <c r="G801" s="153"/>
      <c r="H801" s="153"/>
      <c r="I801" s="153"/>
      <c r="J801" s="157"/>
      <c r="K801" s="157"/>
      <c r="L801" s="157"/>
      <c r="M801" s="157"/>
      <c r="N801" s="153"/>
      <c r="O801" s="153"/>
      <c r="P801" s="153"/>
      <c r="Q801" s="153"/>
      <c r="R801" s="153"/>
      <c r="S801" s="153"/>
      <c r="T801" s="153"/>
      <c r="U801" s="153"/>
      <c r="V801" s="153"/>
      <c r="W801" s="153"/>
    </row>
    <row r="802" spans="2:23" s="14" customFormat="1" x14ac:dyDescent="0.25">
      <c r="B802" s="13"/>
      <c r="C802" s="153"/>
      <c r="D802" s="153"/>
      <c r="E802" s="153"/>
      <c r="F802" s="153"/>
      <c r="G802" s="153"/>
      <c r="H802" s="153"/>
      <c r="I802" s="153"/>
      <c r="J802" s="157"/>
      <c r="K802" s="157"/>
      <c r="L802" s="157"/>
      <c r="M802" s="157"/>
      <c r="N802" s="153"/>
      <c r="O802" s="153"/>
      <c r="P802" s="153"/>
      <c r="Q802" s="153"/>
      <c r="R802" s="153"/>
      <c r="S802" s="153"/>
      <c r="T802" s="153"/>
      <c r="U802" s="153"/>
      <c r="V802" s="153"/>
      <c r="W802" s="153"/>
    </row>
    <row r="803" spans="2:23" s="14" customFormat="1" x14ac:dyDescent="0.25">
      <c r="B803" s="13"/>
      <c r="C803" s="153"/>
      <c r="D803" s="153"/>
      <c r="E803" s="153"/>
      <c r="F803" s="153"/>
      <c r="G803" s="153"/>
      <c r="H803" s="153"/>
      <c r="I803" s="153"/>
      <c r="J803" s="157"/>
      <c r="K803" s="157"/>
      <c r="L803" s="157"/>
      <c r="M803" s="157"/>
      <c r="N803" s="153"/>
      <c r="O803" s="153"/>
      <c r="P803" s="153"/>
      <c r="Q803" s="153"/>
      <c r="R803" s="153"/>
      <c r="S803" s="153"/>
      <c r="T803" s="153"/>
      <c r="U803" s="153"/>
      <c r="V803" s="153"/>
      <c r="W803" s="153"/>
    </row>
    <row r="804" spans="2:23" s="14" customFormat="1" x14ac:dyDescent="0.25">
      <c r="B804" s="13"/>
      <c r="C804" s="153"/>
      <c r="D804" s="153"/>
      <c r="E804" s="153"/>
      <c r="F804" s="153"/>
      <c r="G804" s="153"/>
      <c r="H804" s="153"/>
      <c r="I804" s="153"/>
      <c r="J804" s="157"/>
      <c r="K804" s="157"/>
      <c r="L804" s="157"/>
      <c r="M804" s="157"/>
      <c r="N804" s="153"/>
      <c r="O804" s="153"/>
      <c r="P804" s="153"/>
      <c r="Q804" s="153"/>
      <c r="R804" s="153"/>
      <c r="S804" s="153"/>
      <c r="T804" s="153"/>
      <c r="U804" s="153"/>
      <c r="V804" s="153"/>
      <c r="W804" s="153"/>
    </row>
    <row r="805" spans="2:23" s="14" customFormat="1" x14ac:dyDescent="0.25">
      <c r="B805" s="13"/>
      <c r="C805" s="153"/>
      <c r="D805" s="153"/>
      <c r="E805" s="153"/>
      <c r="F805" s="153"/>
      <c r="G805" s="153"/>
      <c r="H805" s="153"/>
      <c r="I805" s="153"/>
      <c r="J805" s="157"/>
      <c r="K805" s="157"/>
      <c r="L805" s="157"/>
      <c r="M805" s="157"/>
      <c r="N805" s="153"/>
      <c r="O805" s="153"/>
      <c r="P805" s="153"/>
      <c r="Q805" s="153"/>
      <c r="R805" s="153"/>
      <c r="S805" s="153"/>
      <c r="T805" s="153"/>
      <c r="U805" s="153"/>
      <c r="V805" s="153"/>
      <c r="W805" s="153"/>
    </row>
    <row r="806" spans="2:23" s="14" customFormat="1" x14ac:dyDescent="0.25">
      <c r="B806" s="13"/>
      <c r="C806" s="153"/>
      <c r="D806" s="153"/>
      <c r="E806" s="153"/>
      <c r="F806" s="153"/>
      <c r="G806" s="153"/>
      <c r="H806" s="153"/>
      <c r="I806" s="153"/>
      <c r="J806" s="157"/>
      <c r="K806" s="157"/>
      <c r="L806" s="157"/>
      <c r="M806" s="157"/>
      <c r="N806" s="153"/>
      <c r="O806" s="153"/>
      <c r="P806" s="153"/>
      <c r="Q806" s="153"/>
      <c r="R806" s="153"/>
      <c r="S806" s="153"/>
      <c r="T806" s="153"/>
      <c r="U806" s="153"/>
      <c r="V806" s="153"/>
      <c r="W806" s="153"/>
    </row>
    <row r="807" spans="2:23" s="14" customFormat="1" x14ac:dyDescent="0.25">
      <c r="B807" s="13"/>
      <c r="C807" s="153"/>
      <c r="D807" s="153"/>
      <c r="E807" s="153"/>
      <c r="F807" s="153"/>
      <c r="G807" s="153"/>
      <c r="H807" s="153"/>
      <c r="I807" s="153"/>
      <c r="J807" s="157"/>
      <c r="K807" s="157"/>
      <c r="L807" s="157"/>
      <c r="M807" s="157"/>
      <c r="N807" s="153"/>
      <c r="O807" s="153"/>
      <c r="P807" s="153"/>
      <c r="Q807" s="153"/>
      <c r="R807" s="153"/>
      <c r="S807" s="153"/>
      <c r="T807" s="153"/>
      <c r="U807" s="153"/>
      <c r="V807" s="153"/>
      <c r="W807" s="153"/>
    </row>
    <row r="808" spans="2:23" s="14" customFormat="1" x14ac:dyDescent="0.25">
      <c r="B808" s="13"/>
      <c r="C808" s="153"/>
      <c r="D808" s="153"/>
      <c r="E808" s="153"/>
      <c r="F808" s="153"/>
      <c r="G808" s="153"/>
      <c r="H808" s="153"/>
      <c r="I808" s="153"/>
      <c r="J808" s="157"/>
      <c r="K808" s="157"/>
      <c r="L808" s="157"/>
      <c r="M808" s="157"/>
      <c r="N808" s="153"/>
      <c r="O808" s="153"/>
      <c r="P808" s="153"/>
      <c r="Q808" s="153"/>
      <c r="R808" s="153"/>
      <c r="S808" s="153"/>
      <c r="T808" s="153"/>
      <c r="U808" s="153"/>
      <c r="V808" s="153"/>
      <c r="W808" s="153"/>
    </row>
    <row r="809" spans="2:23" s="14" customFormat="1" x14ac:dyDescent="0.25">
      <c r="B809" s="13"/>
      <c r="C809" s="153"/>
      <c r="D809" s="153"/>
      <c r="E809" s="153"/>
      <c r="F809" s="153"/>
      <c r="G809" s="153"/>
      <c r="H809" s="153"/>
      <c r="I809" s="153"/>
      <c r="J809" s="157"/>
      <c r="K809" s="157"/>
      <c r="L809" s="157"/>
      <c r="M809" s="157"/>
      <c r="N809" s="153"/>
      <c r="O809" s="153"/>
      <c r="P809" s="153"/>
      <c r="Q809" s="153"/>
      <c r="R809" s="153"/>
      <c r="S809" s="153"/>
      <c r="T809" s="153"/>
      <c r="U809" s="153"/>
      <c r="V809" s="153"/>
      <c r="W809" s="153"/>
    </row>
    <row r="810" spans="2:23" s="14" customFormat="1" x14ac:dyDescent="0.25">
      <c r="B810" s="13"/>
      <c r="C810" s="153"/>
      <c r="D810" s="153"/>
      <c r="E810" s="153"/>
      <c r="F810" s="153"/>
      <c r="G810" s="153"/>
      <c r="H810" s="153"/>
      <c r="I810" s="153"/>
      <c r="J810" s="157"/>
      <c r="K810" s="157"/>
      <c r="L810" s="157"/>
      <c r="M810" s="157"/>
      <c r="N810" s="153"/>
      <c r="O810" s="153"/>
      <c r="P810" s="153"/>
      <c r="Q810" s="153"/>
      <c r="R810" s="153"/>
      <c r="S810" s="153"/>
      <c r="T810" s="153"/>
      <c r="U810" s="153"/>
      <c r="V810" s="153"/>
      <c r="W810" s="153"/>
    </row>
    <row r="811" spans="2:23" s="14" customFormat="1" x14ac:dyDescent="0.25">
      <c r="B811" s="13"/>
      <c r="C811" s="153"/>
      <c r="D811" s="153"/>
      <c r="E811" s="153"/>
      <c r="F811" s="153"/>
      <c r="G811" s="153"/>
      <c r="H811" s="153"/>
      <c r="I811" s="153"/>
      <c r="J811" s="157"/>
      <c r="K811" s="157"/>
      <c r="L811" s="157"/>
      <c r="M811" s="157"/>
      <c r="N811" s="153"/>
      <c r="O811" s="153"/>
      <c r="P811" s="153"/>
      <c r="Q811" s="153"/>
      <c r="R811" s="153"/>
      <c r="S811" s="153"/>
      <c r="T811" s="153"/>
      <c r="U811" s="153"/>
      <c r="V811" s="153"/>
      <c r="W811" s="153"/>
    </row>
    <row r="812" spans="2:23" s="14" customFormat="1" x14ac:dyDescent="0.25">
      <c r="B812" s="13"/>
      <c r="C812" s="153"/>
      <c r="D812" s="153"/>
      <c r="E812" s="153"/>
      <c r="F812" s="153"/>
      <c r="G812" s="153"/>
      <c r="H812" s="153"/>
      <c r="I812" s="153"/>
      <c r="J812" s="157"/>
      <c r="K812" s="157"/>
      <c r="L812" s="157"/>
      <c r="M812" s="157"/>
      <c r="N812" s="153"/>
      <c r="O812" s="153"/>
      <c r="P812" s="153"/>
      <c r="Q812" s="153"/>
      <c r="R812" s="153"/>
      <c r="S812" s="153"/>
      <c r="T812" s="153"/>
      <c r="U812" s="153"/>
      <c r="V812" s="153"/>
      <c r="W812" s="153"/>
    </row>
    <row r="813" spans="2:23" s="14" customFormat="1" x14ac:dyDescent="0.25">
      <c r="B813" s="13"/>
      <c r="C813" s="153"/>
      <c r="D813" s="153"/>
      <c r="E813" s="153"/>
      <c r="F813" s="153"/>
      <c r="G813" s="153"/>
      <c r="H813" s="153"/>
      <c r="I813" s="153"/>
      <c r="J813" s="157"/>
      <c r="K813" s="157"/>
      <c r="L813" s="157"/>
      <c r="M813" s="157"/>
      <c r="N813" s="153"/>
      <c r="O813" s="153"/>
      <c r="P813" s="153"/>
      <c r="Q813" s="153"/>
      <c r="R813" s="153"/>
      <c r="S813" s="153"/>
      <c r="T813" s="153"/>
      <c r="U813" s="153"/>
      <c r="V813" s="153"/>
      <c r="W813" s="153"/>
    </row>
    <row r="814" spans="2:23" s="14" customFormat="1" x14ac:dyDescent="0.25">
      <c r="B814" s="13"/>
      <c r="C814" s="153"/>
      <c r="D814" s="153"/>
      <c r="E814" s="153"/>
      <c r="F814" s="153"/>
      <c r="G814" s="153"/>
      <c r="H814" s="153"/>
      <c r="I814" s="153"/>
      <c r="J814" s="157"/>
      <c r="K814" s="157"/>
      <c r="L814" s="157"/>
      <c r="M814" s="157"/>
      <c r="N814" s="153"/>
      <c r="O814" s="153"/>
      <c r="P814" s="153"/>
      <c r="Q814" s="153"/>
      <c r="R814" s="153"/>
      <c r="S814" s="153"/>
      <c r="T814" s="153"/>
      <c r="U814" s="153"/>
      <c r="V814" s="153"/>
      <c r="W814" s="153"/>
    </row>
    <row r="815" spans="2:23" s="14" customFormat="1" x14ac:dyDescent="0.25">
      <c r="B815" s="13"/>
      <c r="C815" s="153"/>
      <c r="D815" s="153"/>
      <c r="E815" s="153"/>
      <c r="F815" s="153"/>
      <c r="G815" s="153"/>
      <c r="H815" s="153"/>
      <c r="I815" s="153"/>
      <c r="J815" s="157"/>
      <c r="K815" s="157"/>
      <c r="L815" s="157"/>
      <c r="M815" s="157"/>
      <c r="N815" s="153"/>
      <c r="O815" s="153"/>
      <c r="P815" s="153"/>
      <c r="Q815" s="153"/>
      <c r="R815" s="153"/>
      <c r="S815" s="153"/>
      <c r="T815" s="153"/>
      <c r="U815" s="153"/>
      <c r="V815" s="153"/>
      <c r="W815" s="153"/>
    </row>
    <row r="816" spans="2:23" s="14" customFormat="1" x14ac:dyDescent="0.25">
      <c r="B816" s="13"/>
      <c r="C816" s="153"/>
      <c r="D816" s="153"/>
      <c r="E816" s="153"/>
      <c r="F816" s="153"/>
      <c r="G816" s="153"/>
      <c r="H816" s="153"/>
      <c r="I816" s="153"/>
      <c r="J816" s="157"/>
      <c r="K816" s="157"/>
      <c r="L816" s="157"/>
      <c r="M816" s="157"/>
      <c r="N816" s="153"/>
      <c r="O816" s="153"/>
      <c r="P816" s="153"/>
      <c r="Q816" s="153"/>
      <c r="R816" s="153"/>
      <c r="S816" s="153"/>
      <c r="T816" s="153"/>
      <c r="U816" s="153"/>
      <c r="V816" s="153"/>
      <c r="W816" s="153"/>
    </row>
    <row r="817" spans="2:23" s="14" customFormat="1" x14ac:dyDescent="0.25">
      <c r="B817" s="13"/>
      <c r="C817" s="153"/>
      <c r="D817" s="153"/>
      <c r="E817" s="153"/>
      <c r="F817" s="153"/>
      <c r="G817" s="153"/>
      <c r="H817" s="153"/>
      <c r="I817" s="153"/>
      <c r="J817" s="157"/>
      <c r="K817" s="157"/>
      <c r="L817" s="157"/>
      <c r="M817" s="157"/>
      <c r="N817" s="153"/>
      <c r="O817" s="153"/>
      <c r="P817" s="153"/>
      <c r="Q817" s="153"/>
      <c r="R817" s="153"/>
      <c r="S817" s="153"/>
      <c r="T817" s="153"/>
      <c r="U817" s="153"/>
      <c r="V817" s="153"/>
      <c r="W817" s="153"/>
    </row>
    <row r="818" spans="2:23" s="14" customFormat="1" x14ac:dyDescent="0.25">
      <c r="B818" s="13"/>
      <c r="C818" s="153"/>
      <c r="D818" s="153"/>
      <c r="E818" s="153"/>
      <c r="F818" s="153"/>
      <c r="G818" s="153"/>
      <c r="H818" s="153"/>
      <c r="I818" s="153"/>
      <c r="J818" s="157"/>
      <c r="K818" s="157"/>
      <c r="L818" s="157"/>
      <c r="M818" s="157"/>
      <c r="N818" s="153"/>
      <c r="O818" s="153"/>
      <c r="P818" s="153"/>
      <c r="Q818" s="153"/>
      <c r="R818" s="153"/>
      <c r="S818" s="153"/>
      <c r="T818" s="153"/>
      <c r="U818" s="153"/>
      <c r="V818" s="153"/>
      <c r="W818" s="153"/>
    </row>
    <row r="819" spans="2:23" s="14" customFormat="1" x14ac:dyDescent="0.25">
      <c r="B819" s="13"/>
      <c r="C819" s="153"/>
      <c r="D819" s="153"/>
      <c r="E819" s="153"/>
      <c r="F819" s="153"/>
      <c r="G819" s="153"/>
      <c r="H819" s="153"/>
      <c r="I819" s="153"/>
      <c r="J819" s="157"/>
      <c r="K819" s="157"/>
      <c r="L819" s="157"/>
      <c r="M819" s="157"/>
      <c r="N819" s="153"/>
      <c r="O819" s="153"/>
      <c r="P819" s="153"/>
      <c r="Q819" s="153"/>
      <c r="R819" s="153"/>
      <c r="S819" s="153"/>
      <c r="T819" s="153"/>
      <c r="U819" s="153"/>
      <c r="V819" s="153"/>
      <c r="W819" s="153"/>
    </row>
    <row r="820" spans="2:23" s="14" customFormat="1" x14ac:dyDescent="0.25">
      <c r="B820" s="13"/>
      <c r="C820" s="153"/>
      <c r="D820" s="153"/>
      <c r="E820" s="153"/>
      <c r="F820" s="153"/>
      <c r="G820" s="153"/>
      <c r="H820" s="153"/>
      <c r="I820" s="153"/>
      <c r="J820" s="157"/>
      <c r="K820" s="157"/>
      <c r="L820" s="157"/>
      <c r="M820" s="157"/>
      <c r="N820" s="153"/>
      <c r="O820" s="153"/>
      <c r="P820" s="153"/>
      <c r="Q820" s="153"/>
      <c r="R820" s="153"/>
      <c r="S820" s="153"/>
      <c r="T820" s="153"/>
      <c r="U820" s="153"/>
      <c r="V820" s="153"/>
      <c r="W820" s="153"/>
    </row>
    <row r="821" spans="2:23" s="14" customFormat="1" x14ac:dyDescent="0.25">
      <c r="B821" s="13"/>
      <c r="C821" s="153"/>
      <c r="D821" s="153"/>
      <c r="E821" s="153"/>
      <c r="F821" s="153"/>
      <c r="G821" s="153"/>
      <c r="H821" s="153"/>
      <c r="I821" s="153"/>
      <c r="J821" s="157"/>
      <c r="K821" s="157"/>
      <c r="L821" s="157"/>
      <c r="M821" s="157"/>
      <c r="N821" s="153"/>
      <c r="O821" s="153"/>
      <c r="P821" s="153"/>
      <c r="Q821" s="153"/>
      <c r="R821" s="153"/>
      <c r="S821" s="153"/>
      <c r="T821" s="153"/>
      <c r="U821" s="153"/>
      <c r="V821" s="153"/>
      <c r="W821" s="153"/>
    </row>
    <row r="822" spans="2:23" s="14" customFormat="1" x14ac:dyDescent="0.25">
      <c r="B822" s="13"/>
      <c r="C822" s="153"/>
      <c r="D822" s="153"/>
      <c r="E822" s="153"/>
      <c r="F822" s="153"/>
      <c r="G822" s="153"/>
      <c r="H822" s="153"/>
      <c r="I822" s="153"/>
      <c r="J822" s="157"/>
      <c r="K822" s="157"/>
      <c r="L822" s="157"/>
      <c r="M822" s="157"/>
      <c r="N822" s="153"/>
      <c r="O822" s="153"/>
      <c r="P822" s="153"/>
      <c r="Q822" s="153"/>
      <c r="R822" s="153"/>
      <c r="S822" s="153"/>
      <c r="T822" s="153"/>
      <c r="U822" s="153"/>
      <c r="V822" s="153"/>
      <c r="W822" s="153"/>
    </row>
    <row r="823" spans="2:23" s="14" customFormat="1" x14ac:dyDescent="0.25">
      <c r="B823" s="13"/>
      <c r="C823" s="153"/>
      <c r="D823" s="153"/>
      <c r="E823" s="153"/>
      <c r="F823" s="153"/>
      <c r="G823" s="153"/>
      <c r="H823" s="153"/>
      <c r="I823" s="153"/>
      <c r="J823" s="157"/>
      <c r="K823" s="157"/>
      <c r="L823" s="157"/>
      <c r="M823" s="157"/>
      <c r="N823" s="153"/>
      <c r="O823" s="153"/>
      <c r="P823" s="153"/>
      <c r="Q823" s="153"/>
      <c r="R823" s="153"/>
      <c r="S823" s="153"/>
      <c r="T823" s="153"/>
      <c r="U823" s="153"/>
      <c r="V823" s="153"/>
      <c r="W823" s="153"/>
    </row>
    <row r="824" spans="2:23" s="14" customFormat="1" x14ac:dyDescent="0.25">
      <c r="B824" s="13"/>
      <c r="C824" s="153"/>
      <c r="D824" s="153"/>
      <c r="E824" s="153"/>
      <c r="F824" s="153"/>
      <c r="G824" s="153"/>
      <c r="H824" s="153"/>
      <c r="I824" s="153"/>
      <c r="J824" s="157"/>
      <c r="K824" s="157"/>
      <c r="L824" s="157"/>
      <c r="M824" s="157"/>
      <c r="N824" s="153"/>
      <c r="O824" s="153"/>
      <c r="P824" s="153"/>
      <c r="Q824" s="153"/>
      <c r="R824" s="153"/>
      <c r="S824" s="153"/>
      <c r="T824" s="153"/>
      <c r="U824" s="153"/>
      <c r="V824" s="153"/>
      <c r="W824" s="153"/>
    </row>
    <row r="825" spans="2:23" s="14" customFormat="1" x14ac:dyDescent="0.25">
      <c r="B825" s="13"/>
      <c r="C825" s="153"/>
      <c r="D825" s="153"/>
      <c r="E825" s="153"/>
      <c r="F825" s="153"/>
      <c r="G825" s="153"/>
      <c r="H825" s="153"/>
      <c r="I825" s="153"/>
      <c r="J825" s="157"/>
      <c r="K825" s="157"/>
      <c r="L825" s="157"/>
      <c r="M825" s="157"/>
      <c r="N825" s="153"/>
      <c r="O825" s="153"/>
      <c r="P825" s="153"/>
      <c r="Q825" s="153"/>
      <c r="R825" s="153"/>
      <c r="S825" s="153"/>
      <c r="T825" s="153"/>
      <c r="U825" s="153"/>
      <c r="V825" s="153"/>
      <c r="W825" s="153"/>
    </row>
    <row r="826" spans="2:23" s="14" customFormat="1" x14ac:dyDescent="0.25">
      <c r="B826" s="13"/>
      <c r="C826" s="153"/>
      <c r="D826" s="153"/>
      <c r="E826" s="153"/>
      <c r="F826" s="153"/>
      <c r="G826" s="153"/>
      <c r="H826" s="153"/>
      <c r="I826" s="153"/>
      <c r="J826" s="157"/>
      <c r="K826" s="157"/>
      <c r="L826" s="157"/>
      <c r="M826" s="157"/>
      <c r="N826" s="153"/>
      <c r="O826" s="153"/>
      <c r="P826" s="153"/>
      <c r="Q826" s="153"/>
      <c r="R826" s="153"/>
      <c r="S826" s="153"/>
      <c r="T826" s="153"/>
      <c r="U826" s="153"/>
      <c r="V826" s="153"/>
      <c r="W826" s="153"/>
    </row>
    <row r="827" spans="2:23" s="14" customFormat="1" x14ac:dyDescent="0.25">
      <c r="B827" s="13"/>
      <c r="C827" s="153"/>
      <c r="D827" s="153"/>
      <c r="E827" s="153"/>
      <c r="F827" s="153"/>
      <c r="G827" s="153"/>
      <c r="H827" s="153"/>
      <c r="I827" s="153"/>
      <c r="J827" s="157"/>
      <c r="K827" s="157"/>
      <c r="L827" s="157"/>
      <c r="M827" s="157"/>
      <c r="N827" s="153"/>
      <c r="O827" s="153"/>
      <c r="P827" s="153"/>
      <c r="Q827" s="153"/>
      <c r="R827" s="153"/>
      <c r="S827" s="153"/>
      <c r="T827" s="153"/>
      <c r="U827" s="153"/>
      <c r="V827" s="153"/>
      <c r="W827" s="153"/>
    </row>
    <row r="828" spans="2:23" s="14" customFormat="1" x14ac:dyDescent="0.25">
      <c r="B828" s="13"/>
      <c r="C828" s="153"/>
      <c r="D828" s="153"/>
      <c r="E828" s="153"/>
      <c r="F828" s="153"/>
      <c r="G828" s="153"/>
      <c r="H828" s="153"/>
      <c r="I828" s="153"/>
      <c r="J828" s="157"/>
      <c r="K828" s="157"/>
      <c r="L828" s="157"/>
      <c r="M828" s="157"/>
      <c r="N828" s="153"/>
      <c r="O828" s="153"/>
      <c r="P828" s="153"/>
      <c r="Q828" s="153"/>
      <c r="R828" s="153"/>
      <c r="S828" s="153"/>
      <c r="T828" s="153"/>
      <c r="U828" s="153"/>
      <c r="V828" s="153"/>
      <c r="W828" s="153"/>
    </row>
    <row r="829" spans="2:23" s="14" customFormat="1" x14ac:dyDescent="0.25">
      <c r="B829" s="13"/>
      <c r="C829" s="153"/>
      <c r="D829" s="153"/>
      <c r="E829" s="153"/>
      <c r="F829" s="153"/>
      <c r="G829" s="153"/>
      <c r="H829" s="153"/>
      <c r="I829" s="153"/>
      <c r="J829" s="157"/>
      <c r="K829" s="157"/>
      <c r="L829" s="157"/>
      <c r="M829" s="157"/>
      <c r="N829" s="153"/>
      <c r="O829" s="153"/>
      <c r="P829" s="153"/>
      <c r="Q829" s="153"/>
      <c r="R829" s="153"/>
      <c r="S829" s="153"/>
      <c r="T829" s="153"/>
      <c r="U829" s="153"/>
      <c r="V829" s="153"/>
      <c r="W829" s="153"/>
    </row>
    <row r="830" spans="2:23" s="14" customFormat="1" x14ac:dyDescent="0.25">
      <c r="B830" s="13"/>
      <c r="C830" s="153"/>
      <c r="D830" s="153"/>
      <c r="E830" s="153"/>
      <c r="F830" s="153"/>
      <c r="G830" s="153"/>
      <c r="H830" s="153"/>
      <c r="I830" s="153"/>
      <c r="J830" s="157"/>
      <c r="K830" s="157"/>
      <c r="L830" s="157"/>
      <c r="M830" s="157"/>
      <c r="N830" s="153"/>
      <c r="O830" s="153"/>
      <c r="P830" s="153"/>
      <c r="Q830" s="153"/>
      <c r="R830" s="153"/>
      <c r="S830" s="153"/>
      <c r="T830" s="153"/>
      <c r="U830" s="153"/>
      <c r="V830" s="153"/>
      <c r="W830" s="153"/>
    </row>
    <row r="831" spans="2:23" s="14" customFormat="1" x14ac:dyDescent="0.25">
      <c r="B831" s="13"/>
      <c r="C831" s="153"/>
      <c r="D831" s="153"/>
      <c r="E831" s="153"/>
      <c r="F831" s="153"/>
      <c r="G831" s="153"/>
      <c r="H831" s="153"/>
      <c r="I831" s="153"/>
      <c r="J831" s="157"/>
      <c r="K831" s="157"/>
      <c r="L831" s="157"/>
      <c r="M831" s="157"/>
      <c r="N831" s="153"/>
      <c r="O831" s="153"/>
      <c r="P831" s="153"/>
      <c r="Q831" s="153"/>
      <c r="R831" s="153"/>
      <c r="S831" s="153"/>
      <c r="T831" s="153"/>
      <c r="U831" s="153"/>
      <c r="V831" s="153"/>
      <c r="W831" s="153"/>
    </row>
    <row r="832" spans="2:23" s="14" customFormat="1" x14ac:dyDescent="0.25">
      <c r="B832" s="13"/>
      <c r="C832" s="153"/>
      <c r="D832" s="153"/>
      <c r="E832" s="153"/>
      <c r="F832" s="153"/>
      <c r="G832" s="153"/>
      <c r="H832" s="153"/>
      <c r="I832" s="153"/>
      <c r="J832" s="157"/>
      <c r="K832" s="157"/>
      <c r="L832" s="157"/>
      <c r="M832" s="157"/>
      <c r="N832" s="153"/>
      <c r="O832" s="153"/>
      <c r="P832" s="153"/>
      <c r="Q832" s="153"/>
      <c r="R832" s="153"/>
      <c r="S832" s="153"/>
      <c r="T832" s="153"/>
      <c r="U832" s="153"/>
      <c r="V832" s="153"/>
      <c r="W832" s="153"/>
    </row>
    <row r="833" spans="2:23" s="14" customFormat="1" x14ac:dyDescent="0.25">
      <c r="B833" s="13"/>
      <c r="C833" s="153"/>
      <c r="D833" s="153"/>
      <c r="E833" s="153"/>
      <c r="F833" s="153"/>
      <c r="G833" s="153"/>
      <c r="H833" s="153"/>
      <c r="I833" s="153"/>
      <c r="J833" s="157"/>
      <c r="K833" s="157"/>
      <c r="L833" s="157"/>
      <c r="M833" s="157"/>
      <c r="N833" s="153"/>
      <c r="O833" s="153"/>
      <c r="P833" s="153"/>
      <c r="Q833" s="153"/>
      <c r="R833" s="153"/>
      <c r="S833" s="153"/>
      <c r="T833" s="153"/>
      <c r="U833" s="153"/>
      <c r="V833" s="153"/>
      <c r="W833" s="153"/>
    </row>
    <row r="834" spans="2:23" s="14" customFormat="1" x14ac:dyDescent="0.25">
      <c r="B834" s="13"/>
      <c r="C834" s="153"/>
      <c r="D834" s="153"/>
      <c r="E834" s="153"/>
      <c r="F834" s="153"/>
      <c r="G834" s="153"/>
      <c r="H834" s="153"/>
      <c r="I834" s="153"/>
      <c r="J834" s="157"/>
      <c r="K834" s="157"/>
      <c r="L834" s="157"/>
      <c r="M834" s="157"/>
      <c r="N834" s="153"/>
      <c r="O834" s="153"/>
      <c r="P834" s="153"/>
      <c r="Q834" s="153"/>
      <c r="R834" s="153"/>
      <c r="S834" s="153"/>
      <c r="T834" s="153"/>
      <c r="U834" s="153"/>
      <c r="V834" s="153"/>
      <c r="W834" s="153"/>
    </row>
    <row r="835" spans="2:23" s="14" customFormat="1" x14ac:dyDescent="0.25">
      <c r="B835" s="13"/>
      <c r="C835" s="153"/>
      <c r="D835" s="153"/>
      <c r="E835" s="153"/>
      <c r="F835" s="153"/>
      <c r="G835" s="153"/>
      <c r="H835" s="153"/>
      <c r="I835" s="153"/>
      <c r="J835" s="157"/>
      <c r="K835" s="157"/>
      <c r="L835" s="157"/>
      <c r="M835" s="157"/>
      <c r="N835" s="153"/>
      <c r="O835" s="153"/>
      <c r="P835" s="153"/>
      <c r="Q835" s="153"/>
      <c r="R835" s="153"/>
      <c r="S835" s="153"/>
      <c r="T835" s="153"/>
      <c r="U835" s="153"/>
      <c r="V835" s="153"/>
      <c r="W835" s="153"/>
    </row>
    <row r="836" spans="2:23" s="14" customFormat="1" x14ac:dyDescent="0.25">
      <c r="B836" s="13"/>
      <c r="C836" s="153"/>
      <c r="D836" s="153"/>
      <c r="E836" s="153"/>
      <c r="F836" s="153"/>
      <c r="G836" s="153"/>
      <c r="H836" s="153"/>
      <c r="I836" s="153"/>
      <c r="J836" s="157"/>
      <c r="K836" s="157"/>
      <c r="L836" s="157"/>
      <c r="M836" s="157"/>
      <c r="N836" s="153"/>
      <c r="O836" s="153"/>
      <c r="P836" s="153"/>
      <c r="Q836" s="153"/>
      <c r="R836" s="153"/>
      <c r="S836" s="153"/>
      <c r="T836" s="153"/>
      <c r="U836" s="153"/>
      <c r="V836" s="153"/>
      <c r="W836" s="153"/>
    </row>
    <row r="837" spans="2:23" s="14" customFormat="1" x14ac:dyDescent="0.25">
      <c r="B837" s="13"/>
      <c r="C837" s="153"/>
      <c r="D837" s="153"/>
      <c r="E837" s="153"/>
      <c r="F837" s="153"/>
      <c r="G837" s="153"/>
      <c r="H837" s="153"/>
      <c r="I837" s="153"/>
      <c r="J837" s="157"/>
      <c r="K837" s="157"/>
      <c r="L837" s="157"/>
      <c r="M837" s="157"/>
      <c r="N837" s="153"/>
      <c r="O837" s="153"/>
      <c r="P837" s="153"/>
      <c r="Q837" s="153"/>
      <c r="R837" s="153"/>
      <c r="S837" s="153"/>
      <c r="T837" s="153"/>
      <c r="U837" s="153"/>
      <c r="V837" s="153"/>
      <c r="W837" s="153"/>
    </row>
    <row r="838" spans="2:23" s="14" customFormat="1" x14ac:dyDescent="0.25">
      <c r="B838" s="13"/>
      <c r="C838" s="153"/>
      <c r="D838" s="153"/>
      <c r="E838" s="153"/>
      <c r="F838" s="153"/>
      <c r="G838" s="153"/>
      <c r="H838" s="153"/>
      <c r="I838" s="153"/>
      <c r="J838" s="157"/>
      <c r="K838" s="157"/>
      <c r="L838" s="157"/>
      <c r="M838" s="157"/>
      <c r="N838" s="153"/>
      <c r="O838" s="153"/>
      <c r="P838" s="153"/>
      <c r="Q838" s="153"/>
      <c r="R838" s="153"/>
      <c r="S838" s="153"/>
      <c r="T838" s="153"/>
      <c r="U838" s="153"/>
      <c r="V838" s="153"/>
      <c r="W838" s="153"/>
    </row>
    <row r="839" spans="2:23" s="14" customFormat="1" x14ac:dyDescent="0.25">
      <c r="B839" s="13"/>
      <c r="C839" s="153"/>
      <c r="D839" s="153"/>
      <c r="E839" s="153"/>
      <c r="F839" s="153"/>
      <c r="G839" s="153"/>
      <c r="H839" s="153"/>
      <c r="I839" s="153"/>
      <c r="J839" s="157"/>
      <c r="K839" s="157"/>
      <c r="L839" s="157"/>
      <c r="M839" s="157"/>
      <c r="N839" s="153"/>
      <c r="O839" s="153"/>
      <c r="P839" s="153"/>
      <c r="Q839" s="153"/>
      <c r="R839" s="153"/>
      <c r="S839" s="153"/>
      <c r="T839" s="153"/>
      <c r="U839" s="153"/>
      <c r="V839" s="153"/>
      <c r="W839" s="153"/>
    </row>
    <row r="840" spans="2:23" s="14" customFormat="1" x14ac:dyDescent="0.25">
      <c r="B840" s="13"/>
      <c r="C840" s="153"/>
      <c r="D840" s="153"/>
      <c r="E840" s="153"/>
      <c r="F840" s="153"/>
      <c r="G840" s="153"/>
      <c r="H840" s="153"/>
      <c r="I840" s="153"/>
      <c r="J840" s="157"/>
      <c r="K840" s="157"/>
      <c r="L840" s="157"/>
      <c r="M840" s="157"/>
      <c r="N840" s="153"/>
      <c r="O840" s="153"/>
      <c r="P840" s="153"/>
      <c r="Q840" s="153"/>
      <c r="R840" s="153"/>
      <c r="S840" s="153"/>
      <c r="T840" s="153"/>
      <c r="U840" s="153"/>
      <c r="V840" s="153"/>
      <c r="W840" s="153"/>
    </row>
    <row r="841" spans="2:23" s="14" customFormat="1" x14ac:dyDescent="0.25">
      <c r="B841" s="13"/>
      <c r="C841" s="153"/>
      <c r="D841" s="153"/>
      <c r="E841" s="153"/>
      <c r="F841" s="153"/>
      <c r="G841" s="153"/>
      <c r="H841" s="153"/>
      <c r="I841" s="153"/>
      <c r="J841" s="157"/>
      <c r="K841" s="157"/>
      <c r="L841" s="157"/>
      <c r="M841" s="157"/>
      <c r="N841" s="153"/>
      <c r="O841" s="153"/>
      <c r="P841" s="153"/>
      <c r="Q841" s="153"/>
      <c r="R841" s="153"/>
      <c r="S841" s="153"/>
      <c r="T841" s="153"/>
      <c r="U841" s="153"/>
      <c r="V841" s="153"/>
      <c r="W841" s="153"/>
    </row>
    <row r="842" spans="2:23" s="14" customFormat="1" x14ac:dyDescent="0.25">
      <c r="B842" s="13"/>
      <c r="C842" s="153"/>
      <c r="D842" s="153"/>
      <c r="E842" s="153"/>
      <c r="F842" s="153"/>
      <c r="G842" s="153"/>
      <c r="H842" s="153"/>
      <c r="I842" s="153"/>
      <c r="J842" s="157"/>
      <c r="K842" s="157"/>
      <c r="L842" s="157"/>
      <c r="M842" s="157"/>
      <c r="N842" s="153"/>
      <c r="O842" s="153"/>
      <c r="P842" s="153"/>
      <c r="Q842" s="153"/>
      <c r="R842" s="153"/>
      <c r="S842" s="153"/>
      <c r="T842" s="153"/>
      <c r="U842" s="153"/>
      <c r="V842" s="153"/>
      <c r="W842" s="153"/>
    </row>
    <row r="843" spans="2:23" s="14" customFormat="1" x14ac:dyDescent="0.25">
      <c r="B843" s="13"/>
      <c r="C843" s="153"/>
      <c r="D843" s="153"/>
      <c r="E843" s="153"/>
      <c r="F843" s="153"/>
      <c r="G843" s="153"/>
      <c r="H843" s="153"/>
      <c r="I843" s="153"/>
      <c r="J843" s="157"/>
      <c r="K843" s="157"/>
      <c r="L843" s="157"/>
      <c r="M843" s="157"/>
      <c r="N843" s="153"/>
      <c r="O843" s="153"/>
      <c r="P843" s="153"/>
      <c r="Q843" s="153"/>
      <c r="R843" s="153"/>
      <c r="S843" s="153"/>
      <c r="T843" s="153"/>
      <c r="U843" s="153"/>
      <c r="V843" s="153"/>
      <c r="W843" s="153"/>
    </row>
    <row r="844" spans="2:23" s="14" customFormat="1" x14ac:dyDescent="0.25">
      <c r="B844" s="13"/>
      <c r="C844" s="153"/>
      <c r="D844" s="153"/>
      <c r="E844" s="153"/>
      <c r="F844" s="153"/>
      <c r="G844" s="153"/>
      <c r="H844" s="153"/>
      <c r="I844" s="153"/>
      <c r="J844" s="157"/>
      <c r="K844" s="157"/>
      <c r="L844" s="157"/>
      <c r="M844" s="157"/>
      <c r="N844" s="153"/>
      <c r="O844" s="153"/>
      <c r="P844" s="153"/>
      <c r="Q844" s="153"/>
      <c r="R844" s="153"/>
      <c r="S844" s="153"/>
      <c r="T844" s="153"/>
      <c r="U844" s="153"/>
      <c r="V844" s="153"/>
      <c r="W844" s="153"/>
    </row>
    <row r="845" spans="2:23" s="14" customFormat="1" x14ac:dyDescent="0.25">
      <c r="B845" s="13"/>
      <c r="C845" s="153"/>
      <c r="D845" s="153"/>
      <c r="E845" s="153"/>
      <c r="F845" s="153"/>
      <c r="G845" s="153"/>
      <c r="H845" s="153"/>
      <c r="I845" s="153"/>
      <c r="J845" s="157"/>
      <c r="K845" s="157"/>
      <c r="L845" s="157"/>
      <c r="M845" s="157"/>
      <c r="N845" s="153"/>
      <c r="O845" s="153"/>
      <c r="P845" s="153"/>
      <c r="Q845" s="153"/>
      <c r="R845" s="153"/>
      <c r="S845" s="153"/>
      <c r="T845" s="153"/>
      <c r="U845" s="153"/>
      <c r="V845" s="153"/>
      <c r="W845" s="153"/>
    </row>
    <row r="846" spans="2:23" s="14" customFormat="1" x14ac:dyDescent="0.25">
      <c r="B846" s="13"/>
      <c r="C846" s="153"/>
      <c r="D846" s="153"/>
      <c r="E846" s="153"/>
      <c r="F846" s="153"/>
      <c r="G846" s="153"/>
      <c r="H846" s="153"/>
      <c r="I846" s="153"/>
      <c r="J846" s="157"/>
      <c r="K846" s="157"/>
      <c r="L846" s="157"/>
      <c r="M846" s="157"/>
      <c r="N846" s="153"/>
      <c r="O846" s="153"/>
      <c r="P846" s="153"/>
      <c r="Q846" s="153"/>
      <c r="R846" s="153"/>
      <c r="S846" s="153"/>
      <c r="T846" s="153"/>
      <c r="U846" s="153"/>
      <c r="V846" s="153"/>
      <c r="W846" s="153"/>
    </row>
    <row r="847" spans="2:23" s="14" customFormat="1" x14ac:dyDescent="0.25">
      <c r="B847" s="13"/>
      <c r="C847" s="153"/>
      <c r="D847" s="153"/>
      <c r="E847" s="153"/>
      <c r="F847" s="153"/>
      <c r="G847" s="153"/>
      <c r="H847" s="153"/>
      <c r="I847" s="153"/>
      <c r="J847" s="157"/>
      <c r="K847" s="157"/>
      <c r="L847" s="157"/>
      <c r="M847" s="157"/>
      <c r="N847" s="153"/>
      <c r="O847" s="153"/>
      <c r="P847" s="153"/>
      <c r="Q847" s="153"/>
      <c r="R847" s="153"/>
      <c r="S847" s="153"/>
      <c r="T847" s="153"/>
      <c r="U847" s="153"/>
      <c r="V847" s="153"/>
      <c r="W847" s="153"/>
    </row>
    <row r="848" spans="2:23" s="14" customFormat="1" x14ac:dyDescent="0.25">
      <c r="B848" s="13"/>
      <c r="C848" s="153"/>
      <c r="D848" s="153"/>
      <c r="E848" s="153"/>
      <c r="F848" s="153"/>
      <c r="G848" s="153"/>
      <c r="H848" s="153"/>
      <c r="I848" s="153"/>
      <c r="J848" s="157"/>
      <c r="K848" s="157"/>
      <c r="L848" s="157"/>
      <c r="M848" s="157"/>
      <c r="N848" s="153"/>
      <c r="O848" s="153"/>
      <c r="P848" s="153"/>
      <c r="Q848" s="153"/>
      <c r="R848" s="153"/>
      <c r="S848" s="153"/>
      <c r="T848" s="153"/>
      <c r="U848" s="153"/>
      <c r="V848" s="153"/>
      <c r="W848" s="153"/>
    </row>
    <row r="849" spans="2:23" s="14" customFormat="1" x14ac:dyDescent="0.25">
      <c r="B849" s="13"/>
      <c r="C849" s="153"/>
      <c r="D849" s="153"/>
      <c r="E849" s="153"/>
      <c r="F849" s="153"/>
      <c r="G849" s="153"/>
      <c r="H849" s="153"/>
      <c r="I849" s="153"/>
      <c r="J849" s="157"/>
      <c r="K849" s="157"/>
      <c r="L849" s="157"/>
      <c r="M849" s="157"/>
      <c r="N849" s="153"/>
      <c r="O849" s="153"/>
      <c r="P849" s="153"/>
      <c r="Q849" s="153"/>
      <c r="R849" s="153"/>
      <c r="S849" s="153"/>
      <c r="T849" s="153"/>
      <c r="U849" s="153"/>
      <c r="V849" s="153"/>
      <c r="W849" s="153"/>
    </row>
    <row r="850" spans="2:23" s="14" customFormat="1" x14ac:dyDescent="0.25">
      <c r="B850" s="13"/>
      <c r="C850" s="153"/>
      <c r="D850" s="153"/>
      <c r="E850" s="153"/>
      <c r="F850" s="153"/>
      <c r="G850" s="153"/>
      <c r="H850" s="153"/>
      <c r="I850" s="153"/>
      <c r="J850" s="157"/>
      <c r="K850" s="157"/>
      <c r="L850" s="157"/>
      <c r="M850" s="157"/>
      <c r="N850" s="153"/>
      <c r="O850" s="153"/>
      <c r="P850" s="153"/>
      <c r="Q850" s="153"/>
      <c r="R850" s="153"/>
      <c r="S850" s="153"/>
      <c r="T850" s="153"/>
      <c r="U850" s="153"/>
      <c r="V850" s="153"/>
      <c r="W850" s="153"/>
    </row>
    <row r="851" spans="2:23" s="14" customFormat="1" x14ac:dyDescent="0.25">
      <c r="B851" s="13"/>
      <c r="C851" s="153"/>
      <c r="D851" s="153"/>
      <c r="E851" s="153"/>
      <c r="F851" s="153"/>
      <c r="G851" s="153"/>
      <c r="H851" s="153"/>
      <c r="I851" s="153"/>
      <c r="J851" s="157"/>
      <c r="K851" s="157"/>
      <c r="L851" s="157"/>
      <c r="M851" s="157"/>
      <c r="N851" s="153"/>
      <c r="O851" s="153"/>
      <c r="P851" s="153"/>
      <c r="Q851" s="153"/>
      <c r="R851" s="153"/>
      <c r="S851" s="153"/>
      <c r="T851" s="153"/>
      <c r="U851" s="153"/>
      <c r="V851" s="153"/>
      <c r="W851" s="153"/>
    </row>
    <row r="852" spans="2:23" s="14" customFormat="1" x14ac:dyDescent="0.25">
      <c r="B852" s="13"/>
      <c r="C852" s="153"/>
      <c r="D852" s="153"/>
      <c r="E852" s="153"/>
      <c r="F852" s="153"/>
      <c r="G852" s="153"/>
      <c r="H852" s="153"/>
      <c r="I852" s="153"/>
      <c r="J852" s="157"/>
      <c r="K852" s="157"/>
      <c r="L852" s="157"/>
      <c r="M852" s="157"/>
      <c r="N852" s="153"/>
      <c r="O852" s="153"/>
      <c r="P852" s="153"/>
      <c r="Q852" s="153"/>
      <c r="R852" s="153"/>
      <c r="S852" s="153"/>
      <c r="T852" s="153"/>
      <c r="U852" s="153"/>
      <c r="V852" s="153"/>
      <c r="W852" s="153"/>
    </row>
    <row r="853" spans="2:23" s="14" customFormat="1" x14ac:dyDescent="0.25">
      <c r="B853" s="13"/>
      <c r="C853" s="153"/>
      <c r="D853" s="153"/>
      <c r="E853" s="153"/>
      <c r="F853" s="153"/>
      <c r="G853" s="153"/>
      <c r="H853" s="153"/>
      <c r="I853" s="153"/>
      <c r="J853" s="157"/>
      <c r="K853" s="157"/>
      <c r="L853" s="157"/>
      <c r="M853" s="157"/>
      <c r="N853" s="153"/>
      <c r="O853" s="153"/>
      <c r="P853" s="153"/>
      <c r="Q853" s="153"/>
      <c r="R853" s="153"/>
      <c r="S853" s="153"/>
      <c r="T853" s="153"/>
      <c r="U853" s="153"/>
      <c r="V853" s="153"/>
      <c r="W853" s="153"/>
    </row>
    <row r="854" spans="2:23" s="14" customFormat="1" x14ac:dyDescent="0.25">
      <c r="B854" s="13"/>
      <c r="C854" s="153"/>
      <c r="D854" s="153"/>
      <c r="E854" s="153"/>
      <c r="F854" s="153"/>
      <c r="G854" s="153"/>
      <c r="H854" s="153"/>
      <c r="I854" s="153"/>
      <c r="J854" s="157"/>
      <c r="K854" s="157"/>
      <c r="L854" s="157"/>
      <c r="M854" s="157"/>
      <c r="N854" s="153"/>
      <c r="O854" s="153"/>
      <c r="P854" s="153"/>
      <c r="Q854" s="153"/>
      <c r="R854" s="153"/>
      <c r="S854" s="153"/>
      <c r="T854" s="153"/>
      <c r="U854" s="153"/>
      <c r="V854" s="153"/>
      <c r="W854" s="153"/>
    </row>
    <row r="855" spans="2:23" s="14" customFormat="1" x14ac:dyDescent="0.25">
      <c r="B855" s="13"/>
      <c r="C855" s="153"/>
      <c r="D855" s="153"/>
      <c r="E855" s="153"/>
      <c r="F855" s="153"/>
      <c r="G855" s="153"/>
      <c r="H855" s="153"/>
      <c r="I855" s="153"/>
      <c r="J855" s="157"/>
      <c r="K855" s="157"/>
      <c r="L855" s="157"/>
      <c r="M855" s="157"/>
      <c r="N855" s="153"/>
      <c r="O855" s="153"/>
      <c r="P855" s="153"/>
      <c r="Q855" s="153"/>
      <c r="R855" s="153"/>
      <c r="S855" s="153"/>
      <c r="T855" s="153"/>
      <c r="U855" s="153"/>
      <c r="V855" s="153"/>
      <c r="W855" s="153"/>
    </row>
    <row r="856" spans="2:23" s="14" customFormat="1" x14ac:dyDescent="0.25">
      <c r="B856" s="13"/>
      <c r="C856" s="153"/>
      <c r="D856" s="153"/>
      <c r="E856" s="153"/>
      <c r="F856" s="153"/>
      <c r="G856" s="153"/>
      <c r="H856" s="153"/>
      <c r="I856" s="153"/>
      <c r="J856" s="157"/>
      <c r="K856" s="157"/>
      <c r="L856" s="157"/>
      <c r="M856" s="157"/>
      <c r="N856" s="153"/>
      <c r="O856" s="153"/>
      <c r="P856" s="153"/>
      <c r="Q856" s="153"/>
      <c r="R856" s="153"/>
      <c r="S856" s="153"/>
      <c r="T856" s="153"/>
      <c r="U856" s="153"/>
      <c r="V856" s="153"/>
      <c r="W856" s="153"/>
    </row>
    <row r="857" spans="2:23" s="14" customFormat="1" x14ac:dyDescent="0.25">
      <c r="B857" s="13"/>
      <c r="C857" s="153"/>
      <c r="D857" s="153"/>
      <c r="E857" s="153"/>
      <c r="F857" s="153"/>
      <c r="G857" s="153"/>
      <c r="H857" s="153"/>
      <c r="I857" s="153"/>
      <c r="J857" s="157"/>
      <c r="K857" s="157"/>
      <c r="L857" s="157"/>
      <c r="M857" s="157"/>
      <c r="N857" s="153"/>
      <c r="O857" s="153"/>
      <c r="P857" s="153"/>
      <c r="Q857" s="153"/>
      <c r="R857" s="153"/>
      <c r="S857" s="153"/>
      <c r="T857" s="153"/>
      <c r="U857" s="153"/>
      <c r="V857" s="153"/>
      <c r="W857" s="153"/>
    </row>
    <row r="858" spans="2:23" s="14" customFormat="1" x14ac:dyDescent="0.25">
      <c r="B858" s="13"/>
      <c r="C858" s="153"/>
      <c r="D858" s="153"/>
      <c r="E858" s="153"/>
      <c r="F858" s="153"/>
      <c r="G858" s="153"/>
      <c r="H858" s="153"/>
      <c r="I858" s="153"/>
      <c r="J858" s="157"/>
      <c r="K858" s="157"/>
      <c r="L858" s="157"/>
      <c r="M858" s="157"/>
      <c r="N858" s="153"/>
      <c r="O858" s="153"/>
      <c r="P858" s="153"/>
      <c r="Q858" s="153"/>
      <c r="R858" s="153"/>
      <c r="S858" s="153"/>
      <c r="T858" s="153"/>
      <c r="U858" s="153"/>
      <c r="V858" s="153"/>
      <c r="W858" s="153"/>
    </row>
    <row r="859" spans="2:23" s="14" customFormat="1" x14ac:dyDescent="0.25">
      <c r="B859" s="13"/>
      <c r="C859" s="153"/>
      <c r="D859" s="153"/>
      <c r="E859" s="153"/>
      <c r="F859" s="153"/>
      <c r="G859" s="153"/>
      <c r="H859" s="153"/>
      <c r="I859" s="153"/>
      <c r="J859" s="157"/>
      <c r="K859" s="157"/>
      <c r="L859" s="157"/>
      <c r="M859" s="157"/>
      <c r="N859" s="153"/>
      <c r="O859" s="153"/>
      <c r="P859" s="153"/>
      <c r="Q859" s="153"/>
      <c r="R859" s="153"/>
      <c r="S859" s="153"/>
      <c r="T859" s="153"/>
      <c r="U859" s="153"/>
      <c r="V859" s="153"/>
      <c r="W859" s="153"/>
    </row>
    <row r="860" spans="2:23" s="14" customFormat="1" x14ac:dyDescent="0.25">
      <c r="B860" s="13"/>
      <c r="C860" s="153"/>
      <c r="D860" s="153"/>
      <c r="E860" s="153"/>
      <c r="F860" s="153"/>
      <c r="G860" s="153"/>
      <c r="H860" s="153"/>
      <c r="I860" s="153"/>
      <c r="J860" s="157"/>
      <c r="K860" s="157"/>
      <c r="L860" s="157"/>
      <c r="M860" s="157"/>
      <c r="N860" s="153"/>
      <c r="O860" s="153"/>
      <c r="P860" s="153"/>
      <c r="Q860" s="153"/>
      <c r="R860" s="153"/>
      <c r="S860" s="153"/>
      <c r="T860" s="153"/>
      <c r="U860" s="153"/>
      <c r="V860" s="153"/>
      <c r="W860" s="153"/>
    </row>
    <row r="861" spans="2:23" s="14" customFormat="1" x14ac:dyDescent="0.25">
      <c r="B861" s="13"/>
      <c r="C861" s="153"/>
      <c r="D861" s="153"/>
      <c r="E861" s="153"/>
      <c r="F861" s="153"/>
      <c r="G861" s="153"/>
      <c r="H861" s="153"/>
      <c r="I861" s="153"/>
      <c r="J861" s="157"/>
      <c r="K861" s="157"/>
      <c r="L861" s="157"/>
      <c r="M861" s="157"/>
      <c r="N861" s="153"/>
      <c r="O861" s="153"/>
      <c r="P861" s="153"/>
      <c r="Q861" s="153"/>
      <c r="R861" s="153"/>
      <c r="S861" s="153"/>
      <c r="T861" s="153"/>
      <c r="U861" s="153"/>
      <c r="V861" s="153"/>
      <c r="W861" s="153"/>
    </row>
    <row r="862" spans="2:23" s="14" customFormat="1" x14ac:dyDescent="0.25">
      <c r="B862" s="13"/>
      <c r="C862" s="153"/>
      <c r="D862" s="153"/>
      <c r="E862" s="153"/>
      <c r="F862" s="153"/>
      <c r="G862" s="153"/>
      <c r="H862" s="153"/>
      <c r="I862" s="153"/>
      <c r="J862" s="157"/>
      <c r="K862" s="157"/>
      <c r="L862" s="157"/>
      <c r="M862" s="157"/>
      <c r="N862" s="153"/>
      <c r="O862" s="153"/>
      <c r="P862" s="153"/>
      <c r="Q862" s="153"/>
      <c r="R862" s="153"/>
      <c r="S862" s="153"/>
      <c r="T862" s="153"/>
      <c r="U862" s="153"/>
      <c r="V862" s="153"/>
      <c r="W862" s="153"/>
    </row>
    <row r="863" spans="2:23" s="14" customFormat="1" x14ac:dyDescent="0.25">
      <c r="B863" s="13"/>
      <c r="C863" s="153"/>
      <c r="D863" s="153"/>
      <c r="E863" s="153"/>
      <c r="F863" s="153"/>
      <c r="G863" s="153"/>
      <c r="H863" s="153"/>
      <c r="I863" s="153"/>
      <c r="J863" s="157"/>
      <c r="K863" s="157"/>
      <c r="L863" s="157"/>
      <c r="M863" s="157"/>
      <c r="N863" s="153"/>
      <c r="O863" s="153"/>
      <c r="P863" s="153"/>
      <c r="Q863" s="153"/>
      <c r="R863" s="153"/>
      <c r="S863" s="153"/>
      <c r="T863" s="153"/>
      <c r="U863" s="153"/>
      <c r="V863" s="153"/>
      <c r="W863" s="153"/>
    </row>
    <row r="864" spans="2:23" s="14" customFormat="1" x14ac:dyDescent="0.25">
      <c r="B864" s="13"/>
      <c r="C864" s="153"/>
      <c r="D864" s="153"/>
      <c r="E864" s="153"/>
      <c r="F864" s="153"/>
      <c r="G864" s="153"/>
      <c r="H864" s="153"/>
      <c r="I864" s="153"/>
      <c r="J864" s="157"/>
      <c r="K864" s="157"/>
      <c r="L864" s="157"/>
      <c r="M864" s="157"/>
      <c r="N864" s="153"/>
      <c r="O864" s="153"/>
      <c r="P864" s="153"/>
      <c r="Q864" s="153"/>
      <c r="R864" s="153"/>
      <c r="S864" s="153"/>
      <c r="T864" s="153"/>
      <c r="U864" s="153"/>
      <c r="V864" s="153"/>
      <c r="W864" s="153"/>
    </row>
    <row r="865" spans="2:23" s="14" customFormat="1" x14ac:dyDescent="0.25">
      <c r="B865" s="13"/>
      <c r="C865" s="153"/>
      <c r="D865" s="153"/>
      <c r="E865" s="153"/>
      <c r="F865" s="153"/>
      <c r="G865" s="153"/>
      <c r="H865" s="153"/>
      <c r="I865" s="153"/>
      <c r="J865" s="157"/>
      <c r="K865" s="157"/>
      <c r="L865" s="157"/>
      <c r="M865" s="157"/>
      <c r="N865" s="153"/>
      <c r="O865" s="153"/>
      <c r="P865" s="153"/>
      <c r="Q865" s="153"/>
      <c r="R865" s="153"/>
      <c r="S865" s="153"/>
      <c r="T865" s="153"/>
      <c r="U865" s="153"/>
      <c r="V865" s="153"/>
      <c r="W865" s="153"/>
    </row>
    <row r="866" spans="2:23" s="14" customFormat="1" x14ac:dyDescent="0.25">
      <c r="B866" s="13"/>
      <c r="C866" s="153"/>
      <c r="D866" s="153"/>
      <c r="E866" s="153"/>
      <c r="F866" s="153"/>
      <c r="G866" s="153"/>
      <c r="H866" s="153"/>
      <c r="I866" s="153"/>
      <c r="J866" s="157"/>
      <c r="K866" s="157"/>
      <c r="L866" s="157"/>
      <c r="M866" s="157"/>
      <c r="N866" s="153"/>
      <c r="O866" s="153"/>
      <c r="P866" s="153"/>
      <c r="Q866" s="153"/>
      <c r="R866" s="153"/>
      <c r="S866" s="153"/>
      <c r="T866" s="153"/>
      <c r="U866" s="153"/>
      <c r="V866" s="153"/>
      <c r="W866" s="153"/>
    </row>
    <row r="867" spans="2:23" s="14" customFormat="1" x14ac:dyDescent="0.25">
      <c r="B867" s="13"/>
      <c r="C867" s="153"/>
      <c r="D867" s="153"/>
      <c r="E867" s="153"/>
      <c r="F867" s="153"/>
      <c r="G867" s="153"/>
      <c r="H867" s="153"/>
      <c r="I867" s="153"/>
      <c r="J867" s="157"/>
      <c r="K867" s="157"/>
      <c r="L867" s="157"/>
      <c r="M867" s="157"/>
      <c r="N867" s="153"/>
      <c r="O867" s="153"/>
      <c r="P867" s="153"/>
      <c r="Q867" s="153"/>
      <c r="R867" s="153"/>
      <c r="S867" s="153"/>
      <c r="T867" s="153"/>
      <c r="U867" s="153"/>
      <c r="V867" s="153"/>
      <c r="W867" s="153"/>
    </row>
    <row r="868" spans="2:23" s="14" customFormat="1" x14ac:dyDescent="0.25">
      <c r="B868" s="13"/>
      <c r="C868" s="153"/>
      <c r="D868" s="153"/>
      <c r="E868" s="153"/>
      <c r="F868" s="153"/>
      <c r="G868" s="153"/>
      <c r="H868" s="153"/>
      <c r="I868" s="153"/>
      <c r="J868" s="157"/>
      <c r="K868" s="157"/>
      <c r="L868" s="157"/>
      <c r="M868" s="157"/>
      <c r="N868" s="153"/>
      <c r="O868" s="153"/>
      <c r="P868" s="153"/>
      <c r="Q868" s="153"/>
      <c r="R868" s="153"/>
      <c r="S868" s="153"/>
      <c r="T868" s="153"/>
      <c r="U868" s="153"/>
      <c r="V868" s="153"/>
      <c r="W868" s="153"/>
    </row>
    <row r="869" spans="2:23" s="14" customFormat="1" x14ac:dyDescent="0.25">
      <c r="B869" s="13"/>
      <c r="C869" s="153"/>
      <c r="D869" s="153"/>
      <c r="E869" s="153"/>
      <c r="F869" s="153"/>
      <c r="G869" s="153"/>
      <c r="H869" s="153"/>
      <c r="I869" s="153"/>
      <c r="J869" s="157"/>
      <c r="K869" s="157"/>
      <c r="L869" s="157"/>
      <c r="M869" s="157"/>
      <c r="N869" s="153"/>
      <c r="O869" s="153"/>
      <c r="P869" s="153"/>
      <c r="Q869" s="153"/>
      <c r="R869" s="153"/>
      <c r="S869" s="153"/>
      <c r="T869" s="153"/>
      <c r="U869" s="153"/>
      <c r="V869" s="153"/>
      <c r="W869" s="153"/>
    </row>
    <row r="870" spans="2:23" s="14" customFormat="1" x14ac:dyDescent="0.25">
      <c r="B870" s="13"/>
      <c r="C870" s="153"/>
      <c r="D870" s="153"/>
      <c r="E870" s="153"/>
      <c r="F870" s="153"/>
      <c r="G870" s="153"/>
      <c r="H870" s="153"/>
      <c r="I870" s="153"/>
      <c r="J870" s="157"/>
      <c r="K870" s="157"/>
      <c r="L870" s="157"/>
      <c r="M870" s="157"/>
      <c r="N870" s="153"/>
      <c r="O870" s="153"/>
      <c r="P870" s="153"/>
      <c r="Q870" s="153"/>
      <c r="R870" s="153"/>
      <c r="S870" s="153"/>
      <c r="T870" s="153"/>
      <c r="U870" s="153"/>
      <c r="V870" s="153"/>
      <c r="W870" s="153"/>
    </row>
    <row r="871" spans="2:23" s="14" customFormat="1" x14ac:dyDescent="0.25">
      <c r="B871" s="13"/>
      <c r="C871" s="153"/>
      <c r="D871" s="153"/>
      <c r="E871" s="153"/>
      <c r="F871" s="153"/>
      <c r="G871" s="153"/>
      <c r="H871" s="153"/>
      <c r="I871" s="153"/>
      <c r="J871" s="157"/>
      <c r="K871" s="157"/>
      <c r="L871" s="157"/>
      <c r="M871" s="157"/>
      <c r="N871" s="153"/>
      <c r="O871" s="153"/>
      <c r="P871" s="153"/>
      <c r="Q871" s="153"/>
      <c r="R871" s="153"/>
      <c r="S871" s="153"/>
      <c r="T871" s="153"/>
      <c r="U871" s="153"/>
      <c r="V871" s="153"/>
      <c r="W871" s="153"/>
    </row>
    <row r="872" spans="2:23" s="14" customFormat="1" x14ac:dyDescent="0.25">
      <c r="B872" s="13"/>
      <c r="C872" s="153"/>
      <c r="D872" s="153"/>
      <c r="E872" s="153"/>
      <c r="F872" s="153"/>
      <c r="G872" s="153"/>
      <c r="H872" s="153"/>
      <c r="I872" s="153"/>
      <c r="J872" s="157"/>
      <c r="K872" s="157"/>
      <c r="L872" s="157"/>
      <c r="M872" s="157"/>
      <c r="N872" s="153"/>
      <c r="O872" s="153"/>
      <c r="P872" s="153"/>
      <c r="Q872" s="153"/>
      <c r="R872" s="153"/>
      <c r="S872" s="153"/>
      <c r="T872" s="153"/>
      <c r="U872" s="153"/>
      <c r="V872" s="153"/>
      <c r="W872" s="153"/>
    </row>
    <row r="873" spans="2:23" s="14" customFormat="1" x14ac:dyDescent="0.25">
      <c r="B873" s="13"/>
      <c r="C873" s="153"/>
      <c r="D873" s="153"/>
      <c r="E873" s="153"/>
      <c r="F873" s="153"/>
      <c r="G873" s="153"/>
      <c r="H873" s="153"/>
      <c r="I873" s="153"/>
      <c r="J873" s="157"/>
      <c r="K873" s="157"/>
      <c r="L873" s="157"/>
      <c r="M873" s="157"/>
      <c r="N873" s="153"/>
      <c r="O873" s="153"/>
      <c r="P873" s="153"/>
      <c r="Q873" s="153"/>
      <c r="R873" s="153"/>
      <c r="S873" s="153"/>
      <c r="T873" s="153"/>
      <c r="U873" s="153"/>
      <c r="V873" s="153"/>
      <c r="W873" s="153"/>
    </row>
    <row r="874" spans="2:23" s="14" customFormat="1" x14ac:dyDescent="0.25">
      <c r="B874" s="13"/>
      <c r="C874" s="153"/>
      <c r="D874" s="153"/>
      <c r="E874" s="153"/>
      <c r="F874" s="153"/>
      <c r="G874" s="153"/>
      <c r="H874" s="153"/>
      <c r="I874" s="153"/>
      <c r="J874" s="157"/>
      <c r="K874" s="157"/>
      <c r="L874" s="157"/>
      <c r="M874" s="157"/>
      <c r="N874" s="153"/>
      <c r="O874" s="153"/>
      <c r="P874" s="153"/>
      <c r="Q874" s="153"/>
      <c r="R874" s="153"/>
      <c r="S874" s="153"/>
      <c r="T874" s="153"/>
      <c r="U874" s="153"/>
      <c r="V874" s="153"/>
      <c r="W874" s="153"/>
    </row>
    <row r="875" spans="2:23" s="14" customFormat="1" x14ac:dyDescent="0.25">
      <c r="B875" s="13"/>
      <c r="C875" s="153"/>
      <c r="D875" s="153"/>
      <c r="E875" s="153"/>
      <c r="F875" s="153"/>
      <c r="G875" s="153"/>
      <c r="H875" s="153"/>
      <c r="I875" s="153"/>
      <c r="J875" s="157"/>
      <c r="K875" s="157"/>
      <c r="L875" s="157"/>
      <c r="M875" s="157"/>
      <c r="N875" s="153"/>
      <c r="O875" s="153"/>
      <c r="P875" s="153"/>
      <c r="Q875" s="153"/>
      <c r="R875" s="153"/>
      <c r="S875" s="153"/>
      <c r="T875" s="153"/>
      <c r="U875" s="153"/>
      <c r="V875" s="153"/>
      <c r="W875" s="153"/>
    </row>
    <row r="876" spans="2:23" s="14" customFormat="1" x14ac:dyDescent="0.25">
      <c r="B876" s="13"/>
      <c r="C876" s="153"/>
      <c r="D876" s="153"/>
      <c r="E876" s="153"/>
      <c r="F876" s="153"/>
      <c r="G876" s="153"/>
      <c r="H876" s="153"/>
      <c r="I876" s="153"/>
      <c r="J876" s="157"/>
      <c r="K876" s="157"/>
      <c r="L876" s="157"/>
      <c r="M876" s="157"/>
      <c r="N876" s="153"/>
      <c r="O876" s="153"/>
      <c r="P876" s="153"/>
      <c r="Q876" s="153"/>
      <c r="R876" s="153"/>
      <c r="S876" s="153"/>
      <c r="T876" s="153"/>
      <c r="U876" s="153"/>
      <c r="V876" s="153"/>
      <c r="W876" s="153"/>
    </row>
    <row r="877" spans="2:23" s="14" customFormat="1" x14ac:dyDescent="0.25">
      <c r="B877" s="13"/>
      <c r="C877" s="153"/>
      <c r="D877" s="153"/>
      <c r="E877" s="153"/>
      <c r="F877" s="153"/>
      <c r="G877" s="153"/>
      <c r="H877" s="153"/>
      <c r="I877" s="153"/>
      <c r="J877" s="157"/>
      <c r="K877" s="157"/>
      <c r="L877" s="157"/>
      <c r="M877" s="157"/>
      <c r="N877" s="153"/>
      <c r="O877" s="153"/>
      <c r="P877" s="153"/>
      <c r="Q877" s="153"/>
      <c r="R877" s="153"/>
      <c r="S877" s="153"/>
      <c r="T877" s="153"/>
      <c r="U877" s="153"/>
      <c r="V877" s="153"/>
      <c r="W877" s="153"/>
    </row>
    <row r="878" spans="2:23" s="14" customFormat="1" x14ac:dyDescent="0.25">
      <c r="B878" s="13"/>
      <c r="C878" s="153"/>
      <c r="D878" s="153"/>
      <c r="E878" s="153"/>
      <c r="F878" s="153"/>
      <c r="G878" s="153"/>
      <c r="H878" s="153"/>
      <c r="I878" s="153"/>
      <c r="J878" s="157"/>
      <c r="K878" s="157"/>
      <c r="L878" s="157"/>
      <c r="M878" s="157"/>
      <c r="N878" s="153"/>
      <c r="O878" s="153"/>
      <c r="P878" s="153"/>
      <c r="Q878" s="153"/>
      <c r="R878" s="153"/>
      <c r="S878" s="153"/>
      <c r="T878" s="153"/>
      <c r="U878" s="153"/>
      <c r="V878" s="153"/>
      <c r="W878" s="153"/>
    </row>
    <row r="879" spans="2:23" s="14" customFormat="1" x14ac:dyDescent="0.25">
      <c r="B879" s="13"/>
      <c r="C879" s="153"/>
      <c r="D879" s="153"/>
      <c r="E879" s="153"/>
      <c r="F879" s="153"/>
      <c r="G879" s="153"/>
      <c r="H879" s="153"/>
      <c r="I879" s="153"/>
      <c r="J879" s="157"/>
      <c r="K879" s="157"/>
      <c r="L879" s="157"/>
      <c r="M879" s="157"/>
      <c r="N879" s="153"/>
      <c r="O879" s="153"/>
      <c r="P879" s="153"/>
      <c r="Q879" s="153"/>
      <c r="R879" s="153"/>
      <c r="S879" s="153"/>
      <c r="T879" s="153"/>
      <c r="U879" s="153"/>
      <c r="V879" s="153"/>
      <c r="W879" s="153"/>
    </row>
    <row r="880" spans="2:23" s="14" customFormat="1" x14ac:dyDescent="0.25">
      <c r="B880" s="13"/>
      <c r="C880" s="153"/>
      <c r="D880" s="153"/>
      <c r="E880" s="153"/>
      <c r="F880" s="153"/>
      <c r="G880" s="153"/>
      <c r="H880" s="153"/>
      <c r="I880" s="153"/>
      <c r="J880" s="157"/>
      <c r="K880" s="157"/>
      <c r="L880" s="157"/>
      <c r="M880" s="157"/>
      <c r="N880" s="153"/>
      <c r="O880" s="153"/>
      <c r="P880" s="153"/>
      <c r="Q880" s="153"/>
      <c r="R880" s="153"/>
      <c r="S880" s="153"/>
      <c r="T880" s="153"/>
      <c r="U880" s="153"/>
      <c r="V880" s="153"/>
      <c r="W880" s="153"/>
    </row>
    <row r="881" spans="2:23" s="14" customFormat="1" x14ac:dyDescent="0.25">
      <c r="B881" s="13"/>
      <c r="C881" s="153"/>
      <c r="D881" s="153"/>
      <c r="E881" s="153"/>
      <c r="F881" s="153"/>
      <c r="G881" s="153"/>
      <c r="H881" s="153"/>
      <c r="I881" s="153"/>
      <c r="J881" s="157"/>
      <c r="K881" s="157"/>
      <c r="L881" s="157"/>
      <c r="M881" s="157"/>
      <c r="N881" s="153"/>
      <c r="O881" s="153"/>
      <c r="P881" s="153"/>
      <c r="Q881" s="153"/>
      <c r="R881" s="153"/>
      <c r="S881" s="153"/>
      <c r="T881" s="153"/>
      <c r="U881" s="153"/>
      <c r="V881" s="153"/>
      <c r="W881" s="153"/>
    </row>
    <row r="882" spans="2:23" s="14" customFormat="1" x14ac:dyDescent="0.25">
      <c r="B882" s="13"/>
      <c r="C882" s="153"/>
      <c r="D882" s="153"/>
      <c r="E882" s="153"/>
      <c r="F882" s="153"/>
      <c r="G882" s="153"/>
      <c r="H882" s="153"/>
      <c r="I882" s="153"/>
      <c r="J882" s="157"/>
      <c r="K882" s="157"/>
      <c r="L882" s="157"/>
      <c r="M882" s="157"/>
      <c r="N882" s="153"/>
      <c r="O882" s="153"/>
      <c r="P882" s="153"/>
      <c r="Q882" s="153"/>
      <c r="R882" s="153"/>
      <c r="S882" s="153"/>
      <c r="T882" s="153"/>
      <c r="U882" s="153"/>
      <c r="V882" s="153"/>
      <c r="W882" s="153"/>
    </row>
    <row r="883" spans="2:23" s="14" customFormat="1" x14ac:dyDescent="0.25">
      <c r="B883" s="13"/>
      <c r="C883" s="153"/>
      <c r="D883" s="153"/>
      <c r="E883" s="153"/>
      <c r="F883" s="153"/>
      <c r="G883" s="153"/>
      <c r="H883" s="153"/>
      <c r="I883" s="153"/>
      <c r="J883" s="157"/>
      <c r="K883" s="157"/>
      <c r="L883" s="157"/>
      <c r="M883" s="157"/>
      <c r="N883" s="153"/>
      <c r="O883" s="153"/>
      <c r="P883" s="153"/>
      <c r="Q883" s="153"/>
      <c r="R883" s="153"/>
      <c r="S883" s="153"/>
      <c r="T883" s="153"/>
      <c r="U883" s="153"/>
      <c r="V883" s="153"/>
      <c r="W883" s="153"/>
    </row>
    <row r="884" spans="2:23" s="14" customFormat="1" x14ac:dyDescent="0.25">
      <c r="B884" s="13"/>
      <c r="C884" s="153"/>
      <c r="D884" s="153"/>
      <c r="E884" s="153"/>
      <c r="F884" s="153"/>
      <c r="G884" s="153"/>
      <c r="H884" s="153"/>
      <c r="I884" s="153"/>
      <c r="J884" s="157"/>
      <c r="K884" s="157"/>
      <c r="L884" s="157"/>
      <c r="M884" s="157"/>
      <c r="N884" s="153"/>
      <c r="O884" s="153"/>
      <c r="P884" s="153"/>
      <c r="Q884" s="153"/>
      <c r="R884" s="153"/>
      <c r="S884" s="153"/>
      <c r="T884" s="153"/>
      <c r="U884" s="153"/>
      <c r="V884" s="153"/>
      <c r="W884" s="153"/>
    </row>
    <row r="885" spans="2:23" s="14" customFormat="1" x14ac:dyDescent="0.25">
      <c r="B885" s="13"/>
      <c r="C885" s="153"/>
      <c r="D885" s="153"/>
      <c r="E885" s="153"/>
      <c r="F885" s="153"/>
      <c r="G885" s="153"/>
      <c r="H885" s="153"/>
      <c r="I885" s="153"/>
      <c r="J885" s="157"/>
      <c r="K885" s="157"/>
      <c r="L885" s="157"/>
      <c r="M885" s="157"/>
      <c r="N885" s="153"/>
      <c r="O885" s="153"/>
      <c r="P885" s="153"/>
      <c r="Q885" s="153"/>
      <c r="R885" s="153"/>
      <c r="S885" s="153"/>
      <c r="T885" s="153"/>
      <c r="U885" s="153"/>
      <c r="V885" s="153"/>
      <c r="W885" s="153"/>
    </row>
    <row r="886" spans="2:23" s="14" customFormat="1" x14ac:dyDescent="0.25">
      <c r="B886" s="13"/>
      <c r="C886" s="153"/>
      <c r="D886" s="153"/>
      <c r="E886" s="153"/>
      <c r="F886" s="153"/>
      <c r="G886" s="153"/>
      <c r="H886" s="153"/>
      <c r="I886" s="153"/>
      <c r="J886" s="157"/>
      <c r="K886" s="157"/>
      <c r="L886" s="157"/>
      <c r="M886" s="157"/>
      <c r="N886" s="153"/>
      <c r="O886" s="153"/>
      <c r="P886" s="153"/>
      <c r="Q886" s="153"/>
      <c r="R886" s="153"/>
      <c r="S886" s="153"/>
      <c r="T886" s="153"/>
      <c r="U886" s="153"/>
      <c r="V886" s="153"/>
      <c r="W886" s="153"/>
    </row>
    <row r="887" spans="2:23" s="14" customFormat="1" x14ac:dyDescent="0.25">
      <c r="B887" s="13"/>
      <c r="C887" s="153"/>
      <c r="D887" s="153"/>
      <c r="E887" s="153"/>
      <c r="F887" s="153"/>
      <c r="G887" s="153"/>
      <c r="H887" s="153"/>
      <c r="I887" s="153"/>
      <c r="J887" s="157"/>
      <c r="K887" s="157"/>
      <c r="L887" s="157"/>
      <c r="M887" s="157"/>
      <c r="N887" s="153"/>
      <c r="O887" s="153"/>
      <c r="P887" s="153"/>
      <c r="Q887" s="153"/>
      <c r="R887" s="153"/>
      <c r="S887" s="153"/>
      <c r="T887" s="153"/>
      <c r="U887" s="153"/>
      <c r="V887" s="153"/>
      <c r="W887" s="153"/>
    </row>
    <row r="888" spans="2:23" s="14" customFormat="1" x14ac:dyDescent="0.25">
      <c r="B888" s="13"/>
      <c r="C888" s="153"/>
      <c r="D888" s="153"/>
      <c r="E888" s="153"/>
      <c r="F888" s="153"/>
      <c r="G888" s="153"/>
      <c r="H888" s="153"/>
      <c r="I888" s="153"/>
      <c r="J888" s="157"/>
      <c r="K888" s="157"/>
      <c r="L888" s="157"/>
      <c r="M888" s="157"/>
      <c r="N888" s="153"/>
      <c r="O888" s="153"/>
      <c r="P888" s="153"/>
      <c r="Q888" s="153"/>
      <c r="R888" s="153"/>
      <c r="S888" s="153"/>
      <c r="T888" s="153"/>
      <c r="U888" s="153"/>
      <c r="V888" s="153"/>
      <c r="W888" s="153"/>
    </row>
    <row r="889" spans="2:23" s="14" customFormat="1" x14ac:dyDescent="0.25">
      <c r="B889" s="13"/>
      <c r="C889" s="153"/>
      <c r="D889" s="153"/>
      <c r="E889" s="153"/>
      <c r="F889" s="153"/>
      <c r="G889" s="153"/>
      <c r="H889" s="153"/>
      <c r="I889" s="153"/>
      <c r="J889" s="157"/>
      <c r="K889" s="157"/>
      <c r="L889" s="157"/>
      <c r="M889" s="157"/>
      <c r="N889" s="153"/>
      <c r="O889" s="153"/>
      <c r="P889" s="153"/>
      <c r="Q889" s="153"/>
      <c r="R889" s="153"/>
      <c r="S889" s="153"/>
      <c r="T889" s="153"/>
      <c r="U889" s="153"/>
      <c r="V889" s="153"/>
      <c r="W889" s="153"/>
    </row>
    <row r="890" spans="2:23" s="14" customFormat="1" x14ac:dyDescent="0.25">
      <c r="B890" s="13"/>
      <c r="C890" s="153"/>
      <c r="D890" s="153"/>
      <c r="E890" s="153"/>
      <c r="F890" s="153"/>
      <c r="G890" s="153"/>
      <c r="H890" s="153"/>
      <c r="I890" s="153"/>
      <c r="J890" s="157"/>
      <c r="K890" s="157"/>
      <c r="L890" s="157"/>
      <c r="M890" s="157"/>
      <c r="N890" s="153"/>
      <c r="O890" s="153"/>
      <c r="P890" s="153"/>
      <c r="Q890" s="153"/>
      <c r="R890" s="153"/>
      <c r="S890" s="153"/>
      <c r="T890" s="153"/>
      <c r="U890" s="153"/>
      <c r="V890" s="153"/>
      <c r="W890" s="153"/>
    </row>
    <row r="891" spans="2:23" s="14" customFormat="1" x14ac:dyDescent="0.25">
      <c r="B891" s="13"/>
      <c r="C891" s="153"/>
      <c r="D891" s="153"/>
      <c r="E891" s="153"/>
      <c r="F891" s="153"/>
      <c r="G891" s="153"/>
      <c r="H891" s="153"/>
      <c r="I891" s="153"/>
      <c r="J891" s="157"/>
      <c r="K891" s="157"/>
      <c r="L891" s="157"/>
      <c r="M891" s="157"/>
      <c r="N891" s="153"/>
      <c r="O891" s="153"/>
      <c r="P891" s="153"/>
      <c r="Q891" s="153"/>
      <c r="R891" s="153"/>
      <c r="S891" s="153"/>
      <c r="T891" s="153"/>
      <c r="U891" s="153"/>
      <c r="V891" s="153"/>
      <c r="W891" s="153"/>
    </row>
    <row r="892" spans="2:23" s="14" customFormat="1" x14ac:dyDescent="0.25">
      <c r="B892" s="13"/>
      <c r="C892" s="153"/>
      <c r="D892" s="153"/>
      <c r="E892" s="153"/>
      <c r="F892" s="153"/>
      <c r="G892" s="153"/>
      <c r="H892" s="153"/>
      <c r="I892" s="153"/>
      <c r="J892" s="157"/>
      <c r="K892" s="157"/>
      <c r="L892" s="157"/>
      <c r="M892" s="157"/>
      <c r="N892" s="153"/>
      <c r="O892" s="153"/>
      <c r="P892" s="153"/>
      <c r="Q892" s="153"/>
      <c r="R892" s="153"/>
      <c r="S892" s="153"/>
      <c r="T892" s="153"/>
      <c r="U892" s="153"/>
      <c r="V892" s="153"/>
      <c r="W892" s="153"/>
    </row>
    <row r="893" spans="2:23" s="14" customFormat="1" x14ac:dyDescent="0.25">
      <c r="B893" s="13"/>
      <c r="C893" s="153"/>
      <c r="D893" s="153"/>
      <c r="E893" s="153"/>
      <c r="F893" s="153"/>
      <c r="G893" s="153"/>
      <c r="H893" s="153"/>
      <c r="I893" s="153"/>
      <c r="J893" s="157"/>
      <c r="K893" s="157"/>
      <c r="L893" s="157"/>
      <c r="M893" s="157"/>
      <c r="N893" s="153"/>
      <c r="O893" s="153"/>
      <c r="P893" s="153"/>
      <c r="Q893" s="153"/>
      <c r="R893" s="153"/>
      <c r="S893" s="153"/>
      <c r="T893" s="153"/>
      <c r="U893" s="153"/>
      <c r="V893" s="153"/>
      <c r="W893" s="153"/>
    </row>
    <row r="894" spans="2:23" s="14" customFormat="1" x14ac:dyDescent="0.25">
      <c r="B894" s="13"/>
      <c r="C894" s="153"/>
      <c r="D894" s="153"/>
      <c r="E894" s="153"/>
      <c r="F894" s="153"/>
      <c r="G894" s="153"/>
      <c r="H894" s="153"/>
      <c r="I894" s="153"/>
      <c r="J894" s="157"/>
      <c r="K894" s="157"/>
      <c r="L894" s="157"/>
      <c r="M894" s="157"/>
      <c r="N894" s="153"/>
      <c r="O894" s="153"/>
      <c r="P894" s="153"/>
      <c r="Q894" s="153"/>
      <c r="R894" s="153"/>
      <c r="S894" s="153"/>
      <c r="T894" s="153"/>
      <c r="U894" s="153"/>
      <c r="V894" s="153"/>
      <c r="W894" s="153"/>
    </row>
    <row r="895" spans="2:23" s="14" customFormat="1" x14ac:dyDescent="0.25">
      <c r="B895" s="13"/>
      <c r="C895" s="153"/>
      <c r="D895" s="153"/>
      <c r="E895" s="153"/>
      <c r="F895" s="153"/>
      <c r="G895" s="153"/>
      <c r="H895" s="153"/>
      <c r="I895" s="153"/>
      <c r="J895" s="157"/>
      <c r="K895" s="157"/>
      <c r="L895" s="157"/>
      <c r="M895" s="157"/>
      <c r="N895" s="153"/>
      <c r="O895" s="153"/>
      <c r="P895" s="153"/>
      <c r="Q895" s="153"/>
      <c r="R895" s="153"/>
      <c r="S895" s="153"/>
      <c r="T895" s="153"/>
      <c r="U895" s="153"/>
      <c r="V895" s="153"/>
      <c r="W895" s="153"/>
    </row>
    <row r="896" spans="2:23" s="14" customFormat="1" x14ac:dyDescent="0.25">
      <c r="B896" s="13"/>
      <c r="C896" s="153"/>
      <c r="D896" s="153"/>
      <c r="E896" s="153"/>
      <c r="F896" s="153"/>
      <c r="G896" s="153"/>
      <c r="H896" s="153"/>
      <c r="I896" s="153"/>
      <c r="J896" s="157"/>
      <c r="K896" s="157"/>
      <c r="L896" s="157"/>
      <c r="M896" s="157"/>
      <c r="N896" s="153"/>
      <c r="O896" s="153"/>
      <c r="P896" s="153"/>
      <c r="Q896" s="153"/>
      <c r="R896" s="153"/>
      <c r="S896" s="153"/>
      <c r="T896" s="153"/>
      <c r="U896" s="153"/>
      <c r="V896" s="153"/>
      <c r="W896" s="153"/>
    </row>
    <row r="897" spans="2:23" s="14" customFormat="1" x14ac:dyDescent="0.25">
      <c r="B897" s="13"/>
      <c r="C897" s="153"/>
      <c r="D897" s="153"/>
      <c r="E897" s="153"/>
      <c r="F897" s="153"/>
      <c r="G897" s="153"/>
      <c r="H897" s="153"/>
      <c r="I897" s="153"/>
      <c r="J897" s="157"/>
      <c r="K897" s="157"/>
      <c r="L897" s="157"/>
      <c r="M897" s="157"/>
      <c r="N897" s="153"/>
      <c r="O897" s="153"/>
      <c r="P897" s="153"/>
      <c r="Q897" s="153"/>
      <c r="R897" s="153"/>
      <c r="S897" s="153"/>
      <c r="T897" s="153"/>
      <c r="U897" s="153"/>
      <c r="V897" s="153"/>
      <c r="W897" s="153"/>
    </row>
    <row r="898" spans="2:23" s="14" customFormat="1" x14ac:dyDescent="0.25">
      <c r="B898" s="13"/>
      <c r="C898" s="153"/>
      <c r="D898" s="153"/>
      <c r="E898" s="153"/>
      <c r="F898" s="153"/>
      <c r="G898" s="153"/>
      <c r="H898" s="153"/>
      <c r="I898" s="153"/>
      <c r="J898" s="157"/>
      <c r="K898" s="157"/>
      <c r="L898" s="157"/>
      <c r="M898" s="157"/>
      <c r="N898" s="153"/>
      <c r="O898" s="153"/>
      <c r="P898" s="153"/>
      <c r="Q898" s="153"/>
      <c r="R898" s="153"/>
      <c r="S898" s="153"/>
      <c r="T898" s="153"/>
      <c r="U898" s="153"/>
      <c r="V898" s="153"/>
      <c r="W898" s="153"/>
    </row>
    <row r="899" spans="2:23" s="14" customFormat="1" x14ac:dyDescent="0.25">
      <c r="B899" s="13"/>
      <c r="C899" s="153"/>
      <c r="D899" s="153"/>
      <c r="E899" s="153"/>
      <c r="F899" s="153"/>
      <c r="G899" s="153"/>
      <c r="H899" s="153"/>
      <c r="I899" s="153"/>
      <c r="J899" s="157"/>
      <c r="K899" s="157"/>
      <c r="L899" s="157"/>
      <c r="M899" s="157"/>
      <c r="N899" s="153"/>
      <c r="O899" s="153"/>
      <c r="P899" s="153"/>
      <c r="Q899" s="153"/>
      <c r="R899" s="153"/>
      <c r="S899" s="153"/>
      <c r="T899" s="153"/>
      <c r="U899" s="153"/>
      <c r="V899" s="153"/>
      <c r="W899" s="153"/>
    </row>
    <row r="900" spans="2:23" s="14" customFormat="1" x14ac:dyDescent="0.25">
      <c r="B900" s="13"/>
      <c r="C900" s="153"/>
      <c r="D900" s="153"/>
      <c r="E900" s="153"/>
      <c r="F900" s="153"/>
      <c r="G900" s="153"/>
      <c r="H900" s="153"/>
      <c r="I900" s="153"/>
      <c r="J900" s="157"/>
      <c r="K900" s="157"/>
      <c r="L900" s="157"/>
      <c r="M900" s="157"/>
      <c r="N900" s="153"/>
      <c r="O900" s="153"/>
      <c r="P900" s="153"/>
      <c r="Q900" s="153"/>
      <c r="R900" s="153"/>
      <c r="S900" s="153"/>
      <c r="T900" s="153"/>
      <c r="U900" s="153"/>
      <c r="V900" s="153"/>
      <c r="W900" s="153"/>
    </row>
    <row r="901" spans="2:23" s="14" customFormat="1" x14ac:dyDescent="0.25">
      <c r="B901" s="13"/>
      <c r="C901" s="153"/>
      <c r="D901" s="153"/>
      <c r="E901" s="153"/>
      <c r="F901" s="153"/>
      <c r="G901" s="153"/>
      <c r="H901" s="153"/>
      <c r="I901" s="153"/>
      <c r="J901" s="157"/>
      <c r="K901" s="157"/>
      <c r="L901" s="157"/>
      <c r="M901" s="157"/>
      <c r="N901" s="153"/>
      <c r="O901" s="153"/>
      <c r="P901" s="153"/>
      <c r="Q901" s="153"/>
      <c r="R901" s="153"/>
      <c r="S901" s="153"/>
      <c r="T901" s="153"/>
      <c r="U901" s="153"/>
      <c r="V901" s="153"/>
      <c r="W901" s="153"/>
    </row>
    <row r="902" spans="2:23" s="14" customFormat="1" x14ac:dyDescent="0.25">
      <c r="B902" s="13"/>
      <c r="C902" s="153"/>
      <c r="D902" s="153"/>
      <c r="E902" s="153"/>
      <c r="F902" s="153"/>
      <c r="G902" s="153"/>
      <c r="H902" s="153"/>
      <c r="I902" s="153"/>
      <c r="J902" s="157"/>
      <c r="K902" s="157"/>
      <c r="L902" s="157"/>
      <c r="M902" s="157"/>
      <c r="N902" s="153"/>
      <c r="O902" s="153"/>
      <c r="P902" s="153"/>
      <c r="Q902" s="153"/>
      <c r="R902" s="153"/>
      <c r="S902" s="153"/>
      <c r="T902" s="153"/>
      <c r="U902" s="153"/>
      <c r="V902" s="153"/>
      <c r="W902" s="153"/>
    </row>
    <row r="903" spans="2:23" s="14" customFormat="1" x14ac:dyDescent="0.25">
      <c r="B903" s="13"/>
      <c r="C903" s="153"/>
      <c r="D903" s="153"/>
      <c r="E903" s="153"/>
      <c r="F903" s="153"/>
      <c r="G903" s="153"/>
      <c r="H903" s="153"/>
      <c r="I903" s="153"/>
      <c r="J903" s="157"/>
      <c r="K903" s="157"/>
      <c r="L903" s="157"/>
      <c r="M903" s="157"/>
      <c r="N903" s="153"/>
      <c r="O903" s="153"/>
      <c r="P903" s="153"/>
      <c r="Q903" s="153"/>
      <c r="R903" s="153"/>
      <c r="S903" s="153"/>
      <c r="T903" s="153"/>
      <c r="U903" s="153"/>
      <c r="V903" s="153"/>
      <c r="W903" s="153"/>
    </row>
    <row r="904" spans="2:23" s="14" customFormat="1" x14ac:dyDescent="0.25">
      <c r="B904" s="13"/>
      <c r="C904" s="153"/>
      <c r="D904" s="153"/>
      <c r="E904" s="153"/>
      <c r="F904" s="153"/>
      <c r="G904" s="153"/>
      <c r="H904" s="153"/>
      <c r="I904" s="153"/>
      <c r="J904" s="157"/>
      <c r="K904" s="157"/>
      <c r="L904" s="157"/>
      <c r="M904" s="157"/>
      <c r="N904" s="153"/>
      <c r="O904" s="153"/>
      <c r="P904" s="153"/>
      <c r="Q904" s="153"/>
      <c r="R904" s="153"/>
      <c r="S904" s="153"/>
      <c r="T904" s="153"/>
      <c r="U904" s="153"/>
      <c r="V904" s="153"/>
      <c r="W904" s="153"/>
    </row>
    <row r="905" spans="2:23" s="14" customFormat="1" x14ac:dyDescent="0.25">
      <c r="B905" s="13"/>
      <c r="C905" s="153"/>
      <c r="D905" s="153"/>
      <c r="E905" s="153"/>
      <c r="F905" s="153"/>
      <c r="G905" s="153"/>
      <c r="H905" s="153"/>
      <c r="I905" s="153"/>
      <c r="J905" s="157"/>
      <c r="K905" s="157"/>
      <c r="L905" s="157"/>
      <c r="M905" s="157"/>
      <c r="N905" s="153"/>
      <c r="O905" s="153"/>
      <c r="P905" s="153"/>
      <c r="Q905" s="153"/>
      <c r="R905" s="153"/>
      <c r="S905" s="153"/>
      <c r="T905" s="153"/>
      <c r="U905" s="153"/>
      <c r="V905" s="153"/>
      <c r="W905" s="153"/>
    </row>
    <row r="906" spans="2:23" s="14" customFormat="1" x14ac:dyDescent="0.25">
      <c r="B906" s="13"/>
      <c r="C906" s="153"/>
      <c r="D906" s="153"/>
      <c r="E906" s="153"/>
      <c r="F906" s="153"/>
      <c r="G906" s="153"/>
      <c r="H906" s="153"/>
      <c r="I906" s="153"/>
      <c r="J906" s="157"/>
      <c r="K906" s="157"/>
      <c r="L906" s="157"/>
      <c r="M906" s="157"/>
      <c r="N906" s="153"/>
      <c r="O906" s="153"/>
      <c r="P906" s="153"/>
      <c r="Q906" s="153"/>
      <c r="R906" s="153"/>
      <c r="S906" s="153"/>
      <c r="T906" s="153"/>
      <c r="U906" s="153"/>
      <c r="V906" s="153"/>
      <c r="W906" s="153"/>
    </row>
    <row r="907" spans="2:23" s="14" customFormat="1" x14ac:dyDescent="0.25">
      <c r="B907" s="13"/>
      <c r="C907" s="153"/>
      <c r="D907" s="153"/>
      <c r="E907" s="153"/>
      <c r="F907" s="153"/>
      <c r="G907" s="153"/>
      <c r="H907" s="153"/>
      <c r="I907" s="153"/>
      <c r="J907" s="157"/>
      <c r="K907" s="157"/>
      <c r="L907" s="157"/>
      <c r="M907" s="157"/>
      <c r="N907" s="153"/>
      <c r="O907" s="153"/>
      <c r="P907" s="153"/>
      <c r="Q907" s="153"/>
      <c r="R907" s="153"/>
      <c r="S907" s="153"/>
      <c r="T907" s="153"/>
      <c r="U907" s="153"/>
      <c r="V907" s="153"/>
      <c r="W907" s="153"/>
    </row>
    <row r="908" spans="2:23" s="14" customFormat="1" x14ac:dyDescent="0.25">
      <c r="B908" s="13"/>
      <c r="C908" s="153"/>
      <c r="D908" s="153"/>
      <c r="E908" s="153"/>
      <c r="F908" s="153"/>
      <c r="G908" s="153"/>
      <c r="H908" s="153"/>
      <c r="I908" s="153"/>
      <c r="J908" s="157"/>
      <c r="K908" s="157"/>
      <c r="L908" s="157"/>
      <c r="M908" s="157"/>
      <c r="N908" s="153"/>
      <c r="O908" s="153"/>
      <c r="P908" s="153"/>
      <c r="Q908" s="153"/>
      <c r="R908" s="153"/>
      <c r="S908" s="153"/>
      <c r="T908" s="153"/>
      <c r="U908" s="153"/>
      <c r="V908" s="153"/>
      <c r="W908" s="153"/>
    </row>
    <row r="909" spans="2:23" s="14" customFormat="1" x14ac:dyDescent="0.25">
      <c r="B909" s="13"/>
      <c r="C909" s="153"/>
      <c r="D909" s="153"/>
      <c r="E909" s="153"/>
      <c r="F909" s="153"/>
      <c r="G909" s="153"/>
      <c r="H909" s="153"/>
      <c r="I909" s="153"/>
      <c r="J909" s="157"/>
      <c r="K909" s="157"/>
      <c r="L909" s="157"/>
      <c r="M909" s="157"/>
      <c r="N909" s="153"/>
      <c r="O909" s="153"/>
      <c r="P909" s="153"/>
      <c r="Q909" s="153"/>
      <c r="R909" s="153"/>
      <c r="S909" s="153"/>
      <c r="T909" s="153"/>
      <c r="U909" s="153"/>
      <c r="V909" s="153"/>
      <c r="W909" s="153"/>
    </row>
    <row r="910" spans="2:23" s="14" customFormat="1" x14ac:dyDescent="0.25">
      <c r="B910" s="13"/>
      <c r="C910" s="153"/>
      <c r="D910" s="153"/>
      <c r="E910" s="153"/>
      <c r="F910" s="153"/>
      <c r="G910" s="153"/>
      <c r="H910" s="153"/>
      <c r="I910" s="153"/>
      <c r="J910" s="157"/>
      <c r="K910" s="157"/>
      <c r="L910" s="157"/>
      <c r="M910" s="157"/>
      <c r="N910" s="153"/>
      <c r="O910" s="153"/>
      <c r="P910" s="153"/>
      <c r="Q910" s="153"/>
      <c r="R910" s="153"/>
      <c r="S910" s="153"/>
      <c r="T910" s="153"/>
      <c r="U910" s="153"/>
      <c r="V910" s="153"/>
      <c r="W910" s="153"/>
    </row>
    <row r="911" spans="2:23" s="14" customFormat="1" x14ac:dyDescent="0.25">
      <c r="B911" s="13"/>
      <c r="C911" s="153"/>
      <c r="D911" s="153"/>
      <c r="E911" s="153"/>
      <c r="F911" s="153"/>
      <c r="G911" s="153"/>
      <c r="H911" s="153"/>
      <c r="I911" s="153"/>
      <c r="J911" s="157"/>
      <c r="K911" s="157"/>
      <c r="L911" s="157"/>
      <c r="M911" s="157"/>
      <c r="N911" s="153"/>
      <c r="O911" s="153"/>
      <c r="P911" s="153"/>
      <c r="Q911" s="153"/>
      <c r="R911" s="153"/>
      <c r="S911" s="153"/>
      <c r="T911" s="153"/>
      <c r="U911" s="153"/>
      <c r="V911" s="153"/>
      <c r="W911" s="153"/>
    </row>
    <row r="912" spans="2:23" s="14" customFormat="1" x14ac:dyDescent="0.25">
      <c r="B912" s="13"/>
      <c r="C912" s="153"/>
      <c r="D912" s="153"/>
      <c r="E912" s="153"/>
      <c r="F912" s="153"/>
      <c r="G912" s="153"/>
      <c r="H912" s="153"/>
      <c r="I912" s="153"/>
      <c r="J912" s="157"/>
      <c r="K912" s="157"/>
      <c r="L912" s="157"/>
      <c r="M912" s="157"/>
      <c r="N912" s="153"/>
      <c r="O912" s="153"/>
      <c r="P912" s="153"/>
      <c r="Q912" s="153"/>
      <c r="R912" s="153"/>
      <c r="S912" s="153"/>
      <c r="T912" s="153"/>
      <c r="U912" s="153"/>
      <c r="V912" s="153"/>
      <c r="W912" s="153"/>
    </row>
    <row r="913" spans="2:23" s="14" customFormat="1" x14ac:dyDescent="0.25">
      <c r="B913" s="13"/>
      <c r="C913" s="153"/>
      <c r="D913" s="153"/>
      <c r="E913" s="153"/>
      <c r="F913" s="153"/>
      <c r="G913" s="153"/>
      <c r="H913" s="153"/>
      <c r="I913" s="153"/>
      <c r="J913" s="157"/>
      <c r="K913" s="157"/>
      <c r="L913" s="157"/>
      <c r="M913" s="157"/>
      <c r="N913" s="153"/>
      <c r="O913" s="153"/>
      <c r="P913" s="153"/>
      <c r="Q913" s="153"/>
      <c r="R913" s="153"/>
      <c r="S913" s="153"/>
      <c r="T913" s="153"/>
      <c r="U913" s="153"/>
      <c r="V913" s="153"/>
      <c r="W913" s="153"/>
    </row>
    <row r="914" spans="2:23" s="14" customFormat="1" x14ac:dyDescent="0.25">
      <c r="B914" s="13"/>
      <c r="C914" s="153"/>
      <c r="D914" s="153"/>
      <c r="E914" s="153"/>
      <c r="F914" s="153"/>
      <c r="G914" s="153"/>
      <c r="H914" s="153"/>
      <c r="I914" s="153"/>
      <c r="J914" s="157"/>
      <c r="K914" s="157"/>
      <c r="L914" s="157"/>
      <c r="M914" s="157"/>
      <c r="N914" s="153"/>
      <c r="O914" s="153"/>
      <c r="P914" s="153"/>
      <c r="Q914" s="153"/>
      <c r="R914" s="153"/>
      <c r="S914" s="153"/>
      <c r="T914" s="153"/>
      <c r="U914" s="153"/>
      <c r="V914" s="153"/>
      <c r="W914" s="153"/>
    </row>
    <row r="915" spans="2:23" s="14" customFormat="1" x14ac:dyDescent="0.25">
      <c r="B915" s="13"/>
      <c r="C915" s="153"/>
      <c r="D915" s="153"/>
      <c r="E915" s="153"/>
      <c r="F915" s="153"/>
      <c r="G915" s="153"/>
      <c r="H915" s="153"/>
      <c r="I915" s="153"/>
      <c r="J915" s="157"/>
      <c r="K915" s="157"/>
      <c r="L915" s="157"/>
      <c r="M915" s="157"/>
      <c r="N915" s="153"/>
      <c r="O915" s="153"/>
      <c r="P915" s="153"/>
      <c r="Q915" s="153"/>
      <c r="R915" s="153"/>
      <c r="S915" s="153"/>
      <c r="T915" s="153"/>
      <c r="U915" s="153"/>
      <c r="V915" s="153"/>
      <c r="W915" s="153"/>
    </row>
    <row r="916" spans="2:23" s="14" customFormat="1" x14ac:dyDescent="0.25">
      <c r="B916" s="13"/>
      <c r="C916" s="153"/>
      <c r="D916" s="153"/>
      <c r="E916" s="153"/>
      <c r="F916" s="153"/>
      <c r="G916" s="153"/>
      <c r="H916" s="153"/>
      <c r="I916" s="153"/>
      <c r="J916" s="157"/>
      <c r="K916" s="157"/>
      <c r="L916" s="157"/>
      <c r="M916" s="157"/>
      <c r="N916" s="153"/>
      <c r="O916" s="153"/>
      <c r="P916" s="153"/>
      <c r="Q916" s="153"/>
      <c r="R916" s="153"/>
      <c r="S916" s="153"/>
      <c r="T916" s="153"/>
      <c r="U916" s="153"/>
      <c r="V916" s="153"/>
      <c r="W916" s="153"/>
    </row>
    <row r="917" spans="2:23" s="14" customFormat="1" x14ac:dyDescent="0.25">
      <c r="B917" s="13"/>
      <c r="C917" s="153"/>
      <c r="D917" s="153"/>
      <c r="E917" s="153"/>
      <c r="F917" s="153"/>
      <c r="G917" s="153"/>
      <c r="H917" s="153"/>
      <c r="I917" s="153"/>
      <c r="J917" s="157"/>
      <c r="K917" s="157"/>
      <c r="L917" s="157"/>
      <c r="M917" s="157"/>
      <c r="N917" s="153"/>
      <c r="O917" s="153"/>
      <c r="P917" s="153"/>
      <c r="Q917" s="153"/>
      <c r="R917" s="153"/>
      <c r="S917" s="153"/>
      <c r="T917" s="153"/>
      <c r="U917" s="153"/>
      <c r="V917" s="153"/>
      <c r="W917" s="153"/>
    </row>
    <row r="918" spans="2:23" s="14" customFormat="1" x14ac:dyDescent="0.25">
      <c r="B918" s="13"/>
      <c r="C918" s="153"/>
      <c r="D918" s="153"/>
      <c r="E918" s="153"/>
      <c r="F918" s="153"/>
      <c r="G918" s="153"/>
      <c r="H918" s="153"/>
      <c r="I918" s="153"/>
      <c r="J918" s="157"/>
      <c r="K918" s="157"/>
      <c r="L918" s="157"/>
      <c r="M918" s="157"/>
      <c r="N918" s="153"/>
      <c r="O918" s="153"/>
      <c r="P918" s="153"/>
      <c r="Q918" s="153"/>
      <c r="R918" s="153"/>
      <c r="S918" s="153"/>
      <c r="T918" s="153"/>
      <c r="U918" s="153"/>
      <c r="V918" s="153"/>
      <c r="W918" s="153"/>
    </row>
    <row r="919" spans="2:23" s="14" customFormat="1" x14ac:dyDescent="0.25">
      <c r="B919" s="13"/>
      <c r="C919" s="153"/>
      <c r="D919" s="153"/>
      <c r="E919" s="153"/>
      <c r="F919" s="153"/>
      <c r="G919" s="153"/>
      <c r="H919" s="153"/>
      <c r="I919" s="153"/>
      <c r="J919" s="157"/>
      <c r="K919" s="157"/>
      <c r="L919" s="157"/>
      <c r="M919" s="157"/>
      <c r="N919" s="153"/>
      <c r="O919" s="153"/>
      <c r="P919" s="153"/>
      <c r="Q919" s="153"/>
      <c r="R919" s="153"/>
      <c r="S919" s="153"/>
      <c r="T919" s="153"/>
      <c r="U919" s="153"/>
      <c r="V919" s="153"/>
      <c r="W919" s="153"/>
    </row>
    <row r="920" spans="2:23" s="14" customFormat="1" x14ac:dyDescent="0.25">
      <c r="B920" s="13"/>
      <c r="C920" s="153"/>
      <c r="D920" s="153"/>
      <c r="E920" s="153"/>
      <c r="F920" s="153"/>
      <c r="G920" s="153"/>
      <c r="H920" s="153"/>
      <c r="I920" s="153"/>
      <c r="J920" s="157"/>
      <c r="K920" s="157"/>
      <c r="L920" s="157"/>
      <c r="M920" s="157"/>
      <c r="N920" s="153"/>
      <c r="O920" s="153"/>
      <c r="P920" s="153"/>
      <c r="Q920" s="153"/>
      <c r="R920" s="153"/>
      <c r="S920" s="153"/>
      <c r="T920" s="153"/>
      <c r="U920" s="153"/>
      <c r="V920" s="153"/>
      <c r="W920" s="153"/>
    </row>
    <row r="921" spans="2:23" s="14" customFormat="1" x14ac:dyDescent="0.25">
      <c r="B921" s="13"/>
      <c r="C921" s="153"/>
      <c r="D921" s="153"/>
      <c r="E921" s="153"/>
      <c r="F921" s="153"/>
      <c r="G921" s="153"/>
      <c r="H921" s="153"/>
      <c r="I921" s="153"/>
      <c r="J921" s="157"/>
      <c r="K921" s="157"/>
      <c r="L921" s="157"/>
      <c r="M921" s="157"/>
      <c r="N921" s="153"/>
      <c r="O921" s="153"/>
      <c r="P921" s="153"/>
      <c r="Q921" s="153"/>
      <c r="R921" s="153"/>
      <c r="S921" s="153"/>
      <c r="T921" s="153"/>
      <c r="U921" s="153"/>
      <c r="V921" s="153"/>
      <c r="W921" s="153"/>
    </row>
    <row r="922" spans="2:23" s="14" customFormat="1" x14ac:dyDescent="0.25">
      <c r="B922" s="13"/>
      <c r="C922" s="153"/>
      <c r="D922" s="153"/>
      <c r="E922" s="153"/>
      <c r="F922" s="153"/>
      <c r="G922" s="153"/>
      <c r="H922" s="153"/>
      <c r="I922" s="153"/>
      <c r="J922" s="157"/>
      <c r="K922" s="157"/>
      <c r="L922" s="157"/>
      <c r="M922" s="157"/>
      <c r="N922" s="153"/>
      <c r="O922" s="153"/>
      <c r="P922" s="153"/>
      <c r="Q922" s="153"/>
      <c r="R922" s="153"/>
      <c r="S922" s="153"/>
      <c r="T922" s="153"/>
      <c r="U922" s="153"/>
      <c r="V922" s="153"/>
      <c r="W922" s="153"/>
    </row>
    <row r="923" spans="2:23" s="14" customFormat="1" x14ac:dyDescent="0.25">
      <c r="B923" s="13"/>
      <c r="C923" s="153"/>
      <c r="D923" s="153"/>
      <c r="E923" s="153"/>
      <c r="F923" s="153"/>
      <c r="G923" s="153"/>
      <c r="H923" s="153"/>
      <c r="I923" s="153"/>
      <c r="J923" s="157"/>
      <c r="K923" s="157"/>
      <c r="L923" s="157"/>
      <c r="M923" s="157"/>
      <c r="N923" s="153"/>
      <c r="O923" s="153"/>
      <c r="P923" s="153"/>
      <c r="Q923" s="153"/>
      <c r="R923" s="153"/>
      <c r="S923" s="153"/>
      <c r="T923" s="153"/>
      <c r="U923" s="153"/>
      <c r="V923" s="153"/>
      <c r="W923" s="153"/>
    </row>
    <row r="924" spans="2:23" s="14" customFormat="1" x14ac:dyDescent="0.25">
      <c r="B924" s="13"/>
      <c r="C924" s="153"/>
      <c r="D924" s="153"/>
      <c r="E924" s="153"/>
      <c r="F924" s="153"/>
      <c r="G924" s="153"/>
      <c r="H924" s="153"/>
      <c r="I924" s="153"/>
      <c r="J924" s="157"/>
      <c r="K924" s="157"/>
      <c r="L924" s="157"/>
      <c r="M924" s="157"/>
      <c r="N924" s="153"/>
      <c r="O924" s="153"/>
      <c r="P924" s="153"/>
      <c r="Q924" s="153"/>
      <c r="R924" s="153"/>
      <c r="S924" s="153"/>
      <c r="T924" s="153"/>
      <c r="U924" s="153"/>
      <c r="V924" s="153"/>
      <c r="W924" s="153"/>
    </row>
    <row r="925" spans="2:23" s="14" customFormat="1" x14ac:dyDescent="0.25">
      <c r="B925" s="13"/>
      <c r="C925" s="153"/>
      <c r="D925" s="153"/>
      <c r="E925" s="153"/>
      <c r="F925" s="153"/>
      <c r="G925" s="153"/>
      <c r="H925" s="153"/>
      <c r="I925" s="153"/>
      <c r="J925" s="157"/>
      <c r="K925" s="157"/>
      <c r="L925" s="157"/>
      <c r="M925" s="157"/>
      <c r="N925" s="153"/>
      <c r="O925" s="153"/>
      <c r="P925" s="153"/>
      <c r="Q925" s="153"/>
      <c r="R925" s="153"/>
      <c r="S925" s="153"/>
      <c r="T925" s="153"/>
      <c r="U925" s="153"/>
      <c r="V925" s="153"/>
      <c r="W925" s="153"/>
    </row>
    <row r="926" spans="2:23" s="14" customFormat="1" x14ac:dyDescent="0.25">
      <c r="B926" s="13"/>
      <c r="C926" s="153"/>
      <c r="D926" s="153"/>
      <c r="E926" s="153"/>
      <c r="F926" s="153"/>
      <c r="G926" s="153"/>
      <c r="H926" s="153"/>
      <c r="I926" s="153"/>
      <c r="J926" s="157"/>
      <c r="K926" s="157"/>
      <c r="L926" s="157"/>
      <c r="M926" s="157"/>
      <c r="N926" s="153"/>
      <c r="O926" s="153"/>
      <c r="P926" s="153"/>
      <c r="Q926" s="153"/>
      <c r="R926" s="153"/>
      <c r="S926" s="153"/>
      <c r="T926" s="153"/>
      <c r="U926" s="153"/>
      <c r="V926" s="153"/>
      <c r="W926" s="153"/>
    </row>
    <row r="927" spans="2:23" s="14" customFormat="1" x14ac:dyDescent="0.25">
      <c r="B927" s="13"/>
      <c r="C927" s="153"/>
      <c r="D927" s="153"/>
      <c r="E927" s="153"/>
      <c r="F927" s="153"/>
      <c r="G927" s="153"/>
      <c r="H927" s="153"/>
      <c r="I927" s="153"/>
      <c r="J927" s="157"/>
      <c r="K927" s="157"/>
      <c r="L927" s="157"/>
      <c r="M927" s="157"/>
      <c r="N927" s="153"/>
      <c r="O927" s="153"/>
      <c r="P927" s="153"/>
      <c r="Q927" s="153"/>
      <c r="R927" s="153"/>
      <c r="S927" s="153"/>
      <c r="T927" s="153"/>
      <c r="U927" s="153"/>
      <c r="V927" s="153"/>
      <c r="W927" s="153"/>
    </row>
    <row r="928" spans="2:23" s="14" customFormat="1" x14ac:dyDescent="0.25">
      <c r="B928" s="13"/>
      <c r="C928" s="153"/>
      <c r="D928" s="153"/>
      <c r="E928" s="153"/>
      <c r="F928" s="153"/>
      <c r="G928" s="153"/>
      <c r="H928" s="153"/>
      <c r="I928" s="153"/>
      <c r="J928" s="157"/>
      <c r="K928" s="157"/>
      <c r="L928" s="157"/>
      <c r="M928" s="157"/>
      <c r="N928" s="153"/>
      <c r="O928" s="153"/>
      <c r="P928" s="153"/>
      <c r="Q928" s="153"/>
      <c r="R928" s="153"/>
      <c r="S928" s="153"/>
      <c r="T928" s="153"/>
      <c r="U928" s="153"/>
      <c r="V928" s="153"/>
      <c r="W928" s="153"/>
    </row>
    <row r="929" spans="2:23" s="14" customFormat="1" x14ac:dyDescent="0.25">
      <c r="B929" s="13"/>
      <c r="C929" s="153"/>
      <c r="D929" s="153"/>
      <c r="E929" s="153"/>
      <c r="F929" s="153"/>
      <c r="G929" s="153"/>
      <c r="H929" s="153"/>
      <c r="I929" s="153"/>
      <c r="J929" s="157"/>
      <c r="K929" s="157"/>
      <c r="L929" s="157"/>
      <c r="M929" s="157"/>
      <c r="N929" s="153"/>
      <c r="O929" s="153"/>
      <c r="P929" s="153"/>
      <c r="Q929" s="153"/>
      <c r="R929" s="153"/>
      <c r="S929" s="153"/>
      <c r="T929" s="153"/>
      <c r="U929" s="153"/>
      <c r="V929" s="153"/>
      <c r="W929" s="153"/>
    </row>
    <row r="930" spans="2:23" s="14" customFormat="1" x14ac:dyDescent="0.25">
      <c r="B930" s="13"/>
      <c r="C930" s="153"/>
      <c r="D930" s="153"/>
      <c r="E930" s="153"/>
      <c r="F930" s="153"/>
      <c r="G930" s="153"/>
      <c r="H930" s="153"/>
      <c r="I930" s="153"/>
      <c r="J930" s="157"/>
      <c r="K930" s="157"/>
      <c r="L930" s="157"/>
      <c r="M930" s="157"/>
      <c r="N930" s="153"/>
      <c r="O930" s="153"/>
      <c r="P930" s="153"/>
      <c r="Q930" s="153"/>
      <c r="R930" s="153"/>
      <c r="S930" s="153"/>
      <c r="T930" s="153"/>
      <c r="U930" s="153"/>
      <c r="V930" s="153"/>
      <c r="W930" s="153"/>
    </row>
    <row r="931" spans="2:23" s="14" customFormat="1" x14ac:dyDescent="0.25">
      <c r="B931" s="13"/>
      <c r="C931" s="153"/>
      <c r="D931" s="153"/>
      <c r="E931" s="153"/>
      <c r="F931" s="153"/>
      <c r="G931" s="153"/>
      <c r="H931" s="153"/>
      <c r="I931" s="153"/>
      <c r="J931" s="157"/>
      <c r="K931" s="157"/>
      <c r="L931" s="157"/>
      <c r="M931" s="157"/>
      <c r="N931" s="153"/>
      <c r="O931" s="153"/>
      <c r="P931" s="153"/>
      <c r="Q931" s="153"/>
      <c r="R931" s="153"/>
      <c r="S931" s="153"/>
      <c r="T931" s="153"/>
      <c r="U931" s="153"/>
      <c r="V931" s="153"/>
      <c r="W931" s="153"/>
    </row>
    <row r="932" spans="2:23" s="14" customFormat="1" x14ac:dyDescent="0.25">
      <c r="B932" s="13"/>
      <c r="C932" s="153"/>
      <c r="D932" s="153"/>
      <c r="E932" s="153"/>
      <c r="F932" s="153"/>
      <c r="G932" s="153"/>
      <c r="H932" s="153"/>
      <c r="I932" s="153"/>
      <c r="J932" s="157"/>
      <c r="K932" s="157"/>
      <c r="L932" s="157"/>
      <c r="M932" s="157"/>
      <c r="N932" s="153"/>
      <c r="O932" s="153"/>
      <c r="P932" s="153"/>
      <c r="Q932" s="153"/>
      <c r="R932" s="153"/>
      <c r="S932" s="153"/>
      <c r="T932" s="153"/>
      <c r="U932" s="153"/>
      <c r="V932" s="153"/>
      <c r="W932" s="153"/>
    </row>
    <row r="933" spans="2:23" s="14" customFormat="1" x14ac:dyDescent="0.25">
      <c r="B933" s="13"/>
      <c r="C933" s="153"/>
      <c r="D933" s="153"/>
      <c r="E933" s="153"/>
      <c r="F933" s="153"/>
      <c r="G933" s="153"/>
      <c r="H933" s="153"/>
      <c r="I933" s="153"/>
      <c r="J933" s="157"/>
      <c r="K933" s="157"/>
      <c r="L933" s="157"/>
      <c r="M933" s="157"/>
      <c r="N933" s="153"/>
      <c r="O933" s="153"/>
      <c r="P933" s="153"/>
      <c r="Q933" s="153"/>
      <c r="R933" s="153"/>
      <c r="S933" s="153"/>
      <c r="T933" s="153"/>
      <c r="U933" s="153"/>
      <c r="V933" s="153"/>
      <c r="W933" s="153"/>
    </row>
    <row r="934" spans="2:23" s="14" customFormat="1" x14ac:dyDescent="0.25">
      <c r="B934" s="13"/>
      <c r="C934" s="153"/>
      <c r="D934" s="153"/>
      <c r="E934" s="153"/>
      <c r="F934" s="153"/>
      <c r="G934" s="153"/>
      <c r="H934" s="153"/>
      <c r="I934" s="153"/>
      <c r="J934" s="157"/>
      <c r="K934" s="157"/>
      <c r="L934" s="157"/>
      <c r="M934" s="157"/>
      <c r="N934" s="153"/>
      <c r="O934" s="153"/>
      <c r="P934" s="153"/>
      <c r="Q934" s="153"/>
      <c r="R934" s="153"/>
      <c r="S934" s="153"/>
      <c r="T934" s="153"/>
      <c r="U934" s="153"/>
      <c r="V934" s="153"/>
      <c r="W934" s="153"/>
    </row>
    <row r="935" spans="2:23" s="14" customFormat="1" x14ac:dyDescent="0.25">
      <c r="B935" s="13"/>
      <c r="C935" s="153"/>
      <c r="D935" s="153"/>
      <c r="E935" s="153"/>
      <c r="F935" s="153"/>
      <c r="G935" s="153"/>
      <c r="H935" s="153"/>
      <c r="I935" s="153"/>
      <c r="J935" s="157"/>
      <c r="K935" s="157"/>
      <c r="L935" s="157"/>
      <c r="M935" s="157"/>
      <c r="N935" s="153"/>
      <c r="O935" s="153"/>
      <c r="P935" s="153"/>
      <c r="Q935" s="153"/>
      <c r="R935" s="153"/>
      <c r="S935" s="153"/>
      <c r="T935" s="153"/>
      <c r="U935" s="153"/>
      <c r="V935" s="153"/>
      <c r="W935" s="153"/>
    </row>
    <row r="936" spans="2:23" s="14" customFormat="1" x14ac:dyDescent="0.25">
      <c r="B936" s="13"/>
      <c r="C936" s="153"/>
      <c r="D936" s="153"/>
      <c r="E936" s="153"/>
      <c r="F936" s="153"/>
      <c r="G936" s="153"/>
      <c r="H936" s="153"/>
      <c r="I936" s="153"/>
      <c r="J936" s="157"/>
      <c r="K936" s="157"/>
      <c r="L936" s="157"/>
      <c r="M936" s="157"/>
      <c r="N936" s="153"/>
      <c r="O936" s="153"/>
      <c r="P936" s="153"/>
      <c r="Q936" s="153"/>
      <c r="R936" s="153"/>
      <c r="S936" s="153"/>
      <c r="T936" s="153"/>
      <c r="U936" s="153"/>
      <c r="V936" s="153"/>
      <c r="W936" s="153"/>
    </row>
    <row r="937" spans="2:23" s="14" customFormat="1" x14ac:dyDescent="0.25">
      <c r="B937" s="13"/>
      <c r="C937" s="153"/>
      <c r="D937" s="153"/>
      <c r="E937" s="153"/>
      <c r="F937" s="153"/>
      <c r="G937" s="153"/>
      <c r="H937" s="153"/>
      <c r="I937" s="153"/>
      <c r="J937" s="157"/>
      <c r="K937" s="157"/>
      <c r="L937" s="157"/>
      <c r="M937" s="157"/>
      <c r="N937" s="153"/>
      <c r="O937" s="153"/>
      <c r="P937" s="153"/>
      <c r="Q937" s="153"/>
      <c r="R937" s="153"/>
      <c r="S937" s="153"/>
      <c r="T937" s="153"/>
      <c r="U937" s="153"/>
      <c r="V937" s="153"/>
      <c r="W937" s="153"/>
    </row>
    <row r="938" spans="2:23" s="14" customFormat="1" x14ac:dyDescent="0.25">
      <c r="B938" s="13"/>
      <c r="C938" s="153"/>
      <c r="D938" s="153"/>
      <c r="E938" s="153"/>
      <c r="F938" s="153"/>
      <c r="G938" s="153"/>
      <c r="H938" s="153"/>
      <c r="I938" s="153"/>
      <c r="J938" s="157"/>
      <c r="K938" s="157"/>
      <c r="L938" s="157"/>
      <c r="M938" s="157"/>
      <c r="N938" s="153"/>
      <c r="O938" s="153"/>
      <c r="P938" s="153"/>
      <c r="Q938" s="153"/>
      <c r="R938" s="153"/>
      <c r="S938" s="153"/>
      <c r="T938" s="153"/>
      <c r="U938" s="153"/>
      <c r="V938" s="153"/>
      <c r="W938" s="153"/>
    </row>
    <row r="939" spans="2:23" s="14" customFormat="1" x14ac:dyDescent="0.25">
      <c r="B939" s="13"/>
      <c r="C939" s="153"/>
      <c r="D939" s="153"/>
      <c r="E939" s="153"/>
      <c r="F939" s="153"/>
      <c r="G939" s="153"/>
      <c r="H939" s="153"/>
      <c r="I939" s="153"/>
      <c r="J939" s="157"/>
      <c r="K939" s="157"/>
      <c r="L939" s="157"/>
      <c r="M939" s="157"/>
      <c r="N939" s="153"/>
      <c r="O939" s="153"/>
      <c r="P939" s="153"/>
      <c r="Q939" s="153"/>
      <c r="R939" s="153"/>
      <c r="S939" s="153"/>
      <c r="T939" s="153"/>
      <c r="U939" s="153"/>
      <c r="V939" s="153"/>
      <c r="W939" s="153"/>
    </row>
    <row r="940" spans="2:23" s="14" customFormat="1" x14ac:dyDescent="0.25">
      <c r="B940" s="13"/>
      <c r="C940" s="153"/>
      <c r="D940" s="153"/>
      <c r="E940" s="153"/>
      <c r="F940" s="153"/>
      <c r="G940" s="153"/>
      <c r="H940" s="153"/>
      <c r="I940" s="153"/>
      <c r="J940" s="157"/>
      <c r="K940" s="157"/>
      <c r="L940" s="157"/>
      <c r="M940" s="157"/>
      <c r="N940" s="153"/>
      <c r="O940" s="153"/>
      <c r="P940" s="153"/>
      <c r="Q940" s="153"/>
      <c r="R940" s="153"/>
      <c r="S940" s="153"/>
      <c r="T940" s="153"/>
      <c r="U940" s="153"/>
      <c r="V940" s="153"/>
      <c r="W940" s="153"/>
    </row>
    <row r="941" spans="2:23" s="14" customFormat="1" x14ac:dyDescent="0.25">
      <c r="B941" s="13"/>
      <c r="C941" s="153"/>
      <c r="D941" s="153"/>
      <c r="E941" s="153"/>
      <c r="F941" s="153"/>
      <c r="G941" s="153"/>
      <c r="H941" s="153"/>
      <c r="I941" s="153"/>
      <c r="J941" s="157"/>
      <c r="K941" s="157"/>
      <c r="L941" s="157"/>
      <c r="M941" s="157"/>
      <c r="N941" s="153"/>
      <c r="O941" s="153"/>
      <c r="P941" s="153"/>
      <c r="Q941" s="153"/>
      <c r="R941" s="153"/>
      <c r="S941" s="153"/>
      <c r="T941" s="153"/>
      <c r="U941" s="153"/>
      <c r="V941" s="153"/>
      <c r="W941" s="153"/>
    </row>
    <row r="942" spans="2:23" s="14" customFormat="1" x14ac:dyDescent="0.25">
      <c r="B942" s="13"/>
      <c r="C942" s="153"/>
      <c r="D942" s="153"/>
      <c r="E942" s="153"/>
      <c r="F942" s="153"/>
      <c r="G942" s="153"/>
      <c r="H942" s="153"/>
      <c r="I942" s="153"/>
      <c r="J942" s="157"/>
      <c r="K942" s="157"/>
      <c r="L942" s="157"/>
      <c r="M942" s="157"/>
      <c r="N942" s="153"/>
      <c r="O942" s="153"/>
      <c r="P942" s="153"/>
      <c r="Q942" s="153"/>
      <c r="R942" s="153"/>
      <c r="S942" s="153"/>
      <c r="T942" s="153"/>
      <c r="U942" s="153"/>
      <c r="V942" s="153"/>
      <c r="W942" s="153"/>
    </row>
    <row r="943" spans="2:23" s="14" customFormat="1" x14ac:dyDescent="0.25">
      <c r="B943" s="13"/>
      <c r="C943" s="153"/>
      <c r="D943" s="153"/>
      <c r="E943" s="153"/>
      <c r="F943" s="153"/>
      <c r="G943" s="153"/>
      <c r="H943" s="153"/>
      <c r="I943" s="153"/>
      <c r="J943" s="157"/>
      <c r="K943" s="157"/>
      <c r="L943" s="157"/>
      <c r="M943" s="157"/>
      <c r="N943" s="153"/>
      <c r="O943" s="153"/>
      <c r="P943" s="153"/>
      <c r="Q943" s="153"/>
      <c r="R943" s="153"/>
      <c r="S943" s="153"/>
      <c r="T943" s="153"/>
      <c r="U943" s="153"/>
      <c r="V943" s="153"/>
      <c r="W943" s="153"/>
    </row>
    <row r="944" spans="2:23" s="14" customFormat="1" x14ac:dyDescent="0.25">
      <c r="B944" s="13"/>
      <c r="C944" s="153"/>
      <c r="D944" s="153"/>
      <c r="E944" s="153"/>
      <c r="F944" s="153"/>
      <c r="G944" s="153"/>
      <c r="H944" s="153"/>
      <c r="I944" s="153"/>
      <c r="J944" s="157"/>
      <c r="K944" s="157"/>
      <c r="L944" s="157"/>
      <c r="M944" s="157"/>
      <c r="N944" s="153"/>
      <c r="O944" s="153"/>
      <c r="P944" s="153"/>
      <c r="Q944" s="153"/>
      <c r="R944" s="153"/>
      <c r="S944" s="153"/>
      <c r="T944" s="153"/>
      <c r="U944" s="153"/>
      <c r="V944" s="153"/>
      <c r="W944" s="153"/>
    </row>
    <row r="945" spans="2:23" s="14" customFormat="1" x14ac:dyDescent="0.25">
      <c r="B945" s="13"/>
      <c r="C945" s="153"/>
      <c r="D945" s="153"/>
      <c r="E945" s="153"/>
      <c r="F945" s="153"/>
      <c r="G945" s="153"/>
      <c r="H945" s="153"/>
      <c r="I945" s="153"/>
      <c r="J945" s="157"/>
      <c r="K945" s="157"/>
      <c r="L945" s="157"/>
      <c r="M945" s="157"/>
      <c r="N945" s="153"/>
      <c r="O945" s="153"/>
      <c r="P945" s="153"/>
      <c r="Q945" s="153"/>
      <c r="R945" s="153"/>
      <c r="S945" s="153"/>
      <c r="T945" s="153"/>
      <c r="U945" s="153"/>
      <c r="V945" s="153"/>
      <c r="W945" s="153"/>
    </row>
    <row r="946" spans="2:23" s="14" customFormat="1" x14ac:dyDescent="0.25">
      <c r="B946" s="13"/>
      <c r="C946" s="153"/>
      <c r="D946" s="153"/>
      <c r="E946" s="153"/>
      <c r="F946" s="153"/>
      <c r="G946" s="153"/>
      <c r="H946" s="153"/>
      <c r="I946" s="153"/>
      <c r="J946" s="157"/>
      <c r="K946" s="157"/>
      <c r="L946" s="157"/>
      <c r="M946" s="157"/>
      <c r="N946" s="153"/>
      <c r="O946" s="153"/>
      <c r="P946" s="153"/>
      <c r="Q946" s="153"/>
      <c r="R946" s="153"/>
      <c r="S946" s="153"/>
      <c r="T946" s="153"/>
      <c r="U946" s="153"/>
      <c r="V946" s="153"/>
      <c r="W946" s="153"/>
    </row>
    <row r="947" spans="2:23" s="14" customFormat="1" x14ac:dyDescent="0.25">
      <c r="B947" s="13"/>
      <c r="C947" s="153"/>
      <c r="D947" s="153"/>
      <c r="E947" s="153"/>
      <c r="F947" s="153"/>
      <c r="G947" s="153"/>
      <c r="H947" s="153"/>
      <c r="I947" s="153"/>
      <c r="J947" s="157"/>
      <c r="K947" s="157"/>
      <c r="L947" s="157"/>
      <c r="M947" s="157"/>
      <c r="N947" s="153"/>
      <c r="O947" s="153"/>
      <c r="P947" s="153"/>
      <c r="Q947" s="153"/>
      <c r="R947" s="153"/>
      <c r="S947" s="153"/>
      <c r="T947" s="153"/>
      <c r="U947" s="153"/>
      <c r="V947" s="153"/>
      <c r="W947" s="153"/>
    </row>
    <row r="948" spans="2:23" s="14" customFormat="1" x14ac:dyDescent="0.25">
      <c r="B948" s="13"/>
      <c r="C948" s="153"/>
      <c r="D948" s="153"/>
      <c r="E948" s="153"/>
      <c r="F948" s="153"/>
      <c r="G948" s="153"/>
      <c r="H948" s="153"/>
      <c r="I948" s="153"/>
      <c r="J948" s="157"/>
      <c r="K948" s="157"/>
      <c r="L948" s="157"/>
      <c r="M948" s="157"/>
      <c r="N948" s="153"/>
      <c r="O948" s="153"/>
      <c r="P948" s="153"/>
      <c r="Q948" s="153"/>
      <c r="R948" s="153"/>
      <c r="S948" s="153"/>
      <c r="T948" s="153"/>
      <c r="U948" s="153"/>
      <c r="V948" s="153"/>
      <c r="W948" s="153"/>
    </row>
    <row r="949" spans="2:23" s="14" customFormat="1" x14ac:dyDescent="0.25">
      <c r="B949" s="13"/>
      <c r="C949" s="153"/>
      <c r="D949" s="153"/>
      <c r="E949" s="153"/>
      <c r="F949" s="153"/>
      <c r="G949" s="153"/>
      <c r="H949" s="153"/>
      <c r="I949" s="153"/>
      <c r="J949" s="157"/>
      <c r="K949" s="157"/>
      <c r="L949" s="157"/>
      <c r="M949" s="157"/>
      <c r="N949" s="153"/>
      <c r="O949" s="153"/>
      <c r="P949" s="153"/>
      <c r="Q949" s="153"/>
      <c r="R949" s="153"/>
      <c r="S949" s="153"/>
      <c r="T949" s="153"/>
      <c r="U949" s="153"/>
      <c r="V949" s="153"/>
      <c r="W949" s="153"/>
    </row>
    <row r="950" spans="2:23" s="14" customFormat="1" x14ac:dyDescent="0.25">
      <c r="B950" s="13"/>
      <c r="C950" s="153"/>
      <c r="D950" s="153"/>
      <c r="E950" s="153"/>
      <c r="F950" s="153"/>
      <c r="G950" s="153"/>
      <c r="H950" s="153"/>
      <c r="I950" s="153"/>
      <c r="J950" s="157"/>
      <c r="K950" s="157"/>
      <c r="L950" s="157"/>
      <c r="M950" s="157"/>
      <c r="N950" s="153"/>
      <c r="O950" s="153"/>
      <c r="P950" s="153"/>
      <c r="Q950" s="153"/>
      <c r="R950" s="153"/>
      <c r="S950" s="153"/>
      <c r="T950" s="153"/>
      <c r="U950" s="153"/>
      <c r="V950" s="153"/>
      <c r="W950" s="153"/>
    </row>
    <row r="951" spans="2:23" s="14" customFormat="1" x14ac:dyDescent="0.25">
      <c r="B951" s="13"/>
      <c r="C951" s="153"/>
      <c r="D951" s="153"/>
      <c r="E951" s="153"/>
      <c r="F951" s="153"/>
      <c r="G951" s="153"/>
      <c r="H951" s="153"/>
      <c r="I951" s="153"/>
      <c r="J951" s="157"/>
      <c r="K951" s="157"/>
      <c r="L951" s="157"/>
      <c r="M951" s="157"/>
      <c r="N951" s="153"/>
      <c r="O951" s="153"/>
      <c r="P951" s="153"/>
      <c r="Q951" s="153"/>
      <c r="R951" s="153"/>
      <c r="S951" s="153"/>
      <c r="T951" s="153"/>
      <c r="U951" s="153"/>
      <c r="V951" s="153"/>
      <c r="W951" s="153"/>
    </row>
    <row r="952" spans="2:23" s="14" customFormat="1" x14ac:dyDescent="0.25">
      <c r="B952" s="13"/>
      <c r="C952" s="153"/>
      <c r="D952" s="153"/>
      <c r="E952" s="153"/>
      <c r="F952" s="153"/>
      <c r="G952" s="153"/>
      <c r="H952" s="153"/>
      <c r="I952" s="153"/>
      <c r="J952" s="157"/>
      <c r="K952" s="157"/>
      <c r="L952" s="157"/>
      <c r="M952" s="157"/>
      <c r="N952" s="153"/>
      <c r="O952" s="153"/>
      <c r="P952" s="153"/>
      <c r="Q952" s="153"/>
      <c r="R952" s="153"/>
      <c r="S952" s="153"/>
      <c r="T952" s="153"/>
      <c r="U952" s="153"/>
      <c r="V952" s="153"/>
      <c r="W952" s="153"/>
    </row>
    <row r="953" spans="2:23" s="14" customFormat="1" x14ac:dyDescent="0.25">
      <c r="B953" s="13"/>
      <c r="C953" s="153"/>
      <c r="D953" s="153"/>
      <c r="E953" s="153"/>
      <c r="F953" s="153"/>
      <c r="G953" s="153"/>
      <c r="H953" s="153"/>
      <c r="I953" s="153"/>
      <c r="J953" s="157"/>
      <c r="K953" s="157"/>
      <c r="L953" s="157"/>
      <c r="M953" s="157"/>
      <c r="N953" s="153"/>
      <c r="O953" s="153"/>
      <c r="P953" s="153"/>
      <c r="Q953" s="153"/>
      <c r="R953" s="153"/>
      <c r="S953" s="153"/>
      <c r="T953" s="153"/>
      <c r="U953" s="153"/>
      <c r="V953" s="153"/>
      <c r="W953" s="153"/>
    </row>
    <row r="954" spans="2:23" s="14" customFormat="1" x14ac:dyDescent="0.25">
      <c r="B954" s="13"/>
      <c r="C954" s="153"/>
      <c r="D954" s="153"/>
      <c r="E954" s="153"/>
      <c r="F954" s="153"/>
      <c r="G954" s="153"/>
      <c r="H954" s="153"/>
      <c r="I954" s="153"/>
      <c r="J954" s="157"/>
      <c r="K954" s="157"/>
      <c r="L954" s="157"/>
      <c r="M954" s="157"/>
      <c r="N954" s="153"/>
      <c r="O954" s="153"/>
      <c r="P954" s="153"/>
      <c r="Q954" s="153"/>
      <c r="R954" s="153"/>
      <c r="S954" s="153"/>
      <c r="T954" s="153"/>
      <c r="U954" s="153"/>
      <c r="V954" s="153"/>
      <c r="W954" s="153"/>
    </row>
    <row r="955" spans="2:23" s="14" customFormat="1" x14ac:dyDescent="0.25">
      <c r="B955" s="13"/>
      <c r="C955" s="153"/>
      <c r="D955" s="153"/>
      <c r="E955" s="153"/>
      <c r="F955" s="153"/>
      <c r="G955" s="153"/>
      <c r="H955" s="153"/>
      <c r="I955" s="153"/>
      <c r="J955" s="157"/>
      <c r="K955" s="157"/>
      <c r="L955" s="157"/>
      <c r="M955" s="157"/>
      <c r="N955" s="153"/>
      <c r="O955" s="153"/>
      <c r="P955" s="153"/>
      <c r="Q955" s="153"/>
      <c r="R955" s="153"/>
      <c r="S955" s="153"/>
      <c r="T955" s="153"/>
      <c r="U955" s="153"/>
      <c r="V955" s="153"/>
      <c r="W955" s="153"/>
    </row>
    <row r="956" spans="2:23" s="14" customFormat="1" x14ac:dyDescent="0.25">
      <c r="B956" s="13"/>
      <c r="C956" s="153"/>
      <c r="D956" s="153"/>
      <c r="E956" s="153"/>
      <c r="F956" s="153"/>
      <c r="G956" s="153"/>
      <c r="H956" s="153"/>
      <c r="I956" s="153"/>
      <c r="J956" s="157"/>
      <c r="K956" s="157"/>
      <c r="L956" s="157"/>
      <c r="M956" s="157"/>
      <c r="N956" s="153"/>
      <c r="O956" s="153"/>
      <c r="P956" s="153"/>
      <c r="Q956" s="153"/>
      <c r="R956" s="153"/>
      <c r="S956" s="153"/>
      <c r="T956" s="153"/>
      <c r="U956" s="153"/>
      <c r="V956" s="153"/>
      <c r="W956" s="153"/>
    </row>
    <row r="957" spans="2:23" s="14" customFormat="1" x14ac:dyDescent="0.25">
      <c r="B957" s="13"/>
      <c r="C957" s="153"/>
      <c r="D957" s="153"/>
      <c r="E957" s="153"/>
      <c r="F957" s="153"/>
      <c r="G957" s="153"/>
      <c r="H957" s="153"/>
      <c r="I957" s="153"/>
      <c r="J957" s="157"/>
      <c r="K957" s="157"/>
      <c r="L957" s="157"/>
      <c r="M957" s="157"/>
      <c r="N957" s="153"/>
      <c r="O957" s="153"/>
      <c r="P957" s="153"/>
      <c r="Q957" s="153"/>
      <c r="R957" s="153"/>
      <c r="S957" s="153"/>
      <c r="T957" s="153"/>
      <c r="U957" s="153"/>
      <c r="V957" s="153"/>
      <c r="W957" s="153"/>
    </row>
    <row r="958" spans="2:23" s="14" customFormat="1" x14ac:dyDescent="0.25">
      <c r="B958" s="13"/>
      <c r="C958" s="153"/>
      <c r="D958" s="153"/>
      <c r="E958" s="153"/>
      <c r="F958" s="153"/>
      <c r="G958" s="153"/>
      <c r="H958" s="153"/>
      <c r="I958" s="153"/>
      <c r="J958" s="157"/>
      <c r="K958" s="157"/>
      <c r="L958" s="157"/>
      <c r="M958" s="157"/>
      <c r="N958" s="153"/>
      <c r="O958" s="153"/>
      <c r="P958" s="153"/>
      <c r="Q958" s="153"/>
      <c r="R958" s="153"/>
      <c r="S958" s="153"/>
      <c r="T958" s="153"/>
      <c r="U958" s="153"/>
      <c r="V958" s="153"/>
      <c r="W958" s="153"/>
    </row>
    <row r="959" spans="2:23" s="14" customFormat="1" x14ac:dyDescent="0.25">
      <c r="B959" s="13"/>
      <c r="C959" s="153"/>
      <c r="D959" s="153"/>
      <c r="E959" s="153"/>
      <c r="F959" s="153"/>
      <c r="G959" s="153"/>
      <c r="H959" s="153"/>
      <c r="I959" s="153"/>
      <c r="J959" s="157"/>
      <c r="K959" s="157"/>
      <c r="L959" s="157"/>
      <c r="M959" s="157"/>
      <c r="N959" s="153"/>
      <c r="O959" s="153"/>
      <c r="P959" s="153"/>
      <c r="Q959" s="153"/>
      <c r="R959" s="153"/>
      <c r="S959" s="153"/>
      <c r="T959" s="153"/>
      <c r="U959" s="153"/>
      <c r="V959" s="153"/>
      <c r="W959" s="153"/>
    </row>
    <row r="960" spans="2:23" s="14" customFormat="1" x14ac:dyDescent="0.25">
      <c r="B960" s="13"/>
      <c r="C960" s="153"/>
      <c r="D960" s="153"/>
      <c r="E960" s="153"/>
      <c r="F960" s="153"/>
      <c r="G960" s="153"/>
      <c r="H960" s="153"/>
      <c r="I960" s="153"/>
      <c r="J960" s="157"/>
      <c r="K960" s="157"/>
      <c r="L960" s="157"/>
      <c r="M960" s="157"/>
      <c r="N960" s="153"/>
      <c r="O960" s="153"/>
      <c r="P960" s="153"/>
      <c r="Q960" s="153"/>
      <c r="R960" s="153"/>
      <c r="S960" s="153"/>
      <c r="T960" s="153"/>
      <c r="U960" s="153"/>
      <c r="V960" s="153"/>
      <c r="W960" s="153"/>
    </row>
    <row r="961" spans="2:23" s="14" customFormat="1" x14ac:dyDescent="0.25">
      <c r="B961" s="13"/>
      <c r="C961" s="153"/>
      <c r="D961" s="153"/>
      <c r="E961" s="153"/>
      <c r="F961" s="153"/>
      <c r="G961" s="153"/>
      <c r="H961" s="153"/>
      <c r="I961" s="153"/>
      <c r="J961" s="157"/>
      <c r="K961" s="157"/>
      <c r="L961" s="157"/>
      <c r="M961" s="157"/>
      <c r="N961" s="153"/>
      <c r="O961" s="153"/>
      <c r="P961" s="153"/>
      <c r="Q961" s="153"/>
      <c r="R961" s="153"/>
      <c r="S961" s="153"/>
      <c r="T961" s="153"/>
      <c r="U961" s="153"/>
      <c r="V961" s="153"/>
      <c r="W961" s="153"/>
    </row>
    <row r="962" spans="2:23" s="14" customFormat="1" x14ac:dyDescent="0.25">
      <c r="B962" s="13"/>
      <c r="C962" s="153"/>
      <c r="D962" s="153"/>
      <c r="E962" s="153"/>
      <c r="F962" s="153"/>
      <c r="G962" s="153"/>
      <c r="H962" s="153"/>
      <c r="I962" s="153"/>
      <c r="J962" s="157"/>
      <c r="K962" s="157"/>
      <c r="L962" s="157"/>
      <c r="M962" s="157"/>
      <c r="N962" s="153"/>
      <c r="O962" s="153"/>
      <c r="P962" s="153"/>
      <c r="Q962" s="153"/>
      <c r="R962" s="153"/>
      <c r="S962" s="153"/>
      <c r="T962" s="153"/>
      <c r="U962" s="153"/>
      <c r="V962" s="153"/>
      <c r="W962" s="153"/>
    </row>
    <row r="963" spans="2:23" s="14" customFormat="1" x14ac:dyDescent="0.25">
      <c r="B963" s="13"/>
      <c r="C963" s="153"/>
      <c r="D963" s="153"/>
      <c r="E963" s="153"/>
      <c r="F963" s="153"/>
      <c r="G963" s="153"/>
      <c r="H963" s="153"/>
      <c r="I963" s="153"/>
      <c r="J963" s="157"/>
      <c r="K963" s="157"/>
      <c r="L963" s="157"/>
      <c r="M963" s="157"/>
      <c r="N963" s="153"/>
      <c r="O963" s="153"/>
      <c r="P963" s="153"/>
      <c r="Q963" s="153"/>
      <c r="R963" s="153"/>
      <c r="S963" s="153"/>
      <c r="T963" s="153"/>
      <c r="U963" s="153"/>
      <c r="V963" s="153"/>
      <c r="W963" s="153"/>
    </row>
    <row r="964" spans="2:23" s="14" customFormat="1" x14ac:dyDescent="0.25">
      <c r="B964" s="13"/>
      <c r="C964" s="153"/>
      <c r="D964" s="153"/>
      <c r="E964" s="153"/>
      <c r="F964" s="153"/>
      <c r="G964" s="153"/>
      <c r="H964" s="153"/>
      <c r="I964" s="153"/>
      <c r="J964" s="157"/>
      <c r="K964" s="157"/>
      <c r="L964" s="157"/>
      <c r="M964" s="157"/>
      <c r="N964" s="153"/>
      <c r="O964" s="153"/>
      <c r="P964" s="153"/>
      <c r="Q964" s="153"/>
      <c r="R964" s="153"/>
      <c r="S964" s="153"/>
      <c r="T964" s="153"/>
      <c r="U964" s="153"/>
      <c r="V964" s="153"/>
      <c r="W964" s="153"/>
    </row>
    <row r="965" spans="2:23" s="14" customFormat="1" x14ac:dyDescent="0.25">
      <c r="B965" s="13"/>
      <c r="C965" s="153"/>
      <c r="D965" s="153"/>
      <c r="E965" s="153"/>
      <c r="F965" s="153"/>
      <c r="G965" s="153"/>
      <c r="H965" s="153"/>
      <c r="I965" s="153"/>
      <c r="J965" s="157"/>
      <c r="K965" s="157"/>
      <c r="L965" s="157"/>
      <c r="M965" s="157"/>
      <c r="N965" s="153"/>
      <c r="O965" s="153"/>
      <c r="P965" s="153"/>
      <c r="Q965" s="153"/>
      <c r="R965" s="153"/>
      <c r="S965" s="153"/>
      <c r="T965" s="153"/>
      <c r="U965" s="153"/>
      <c r="V965" s="153"/>
      <c r="W965" s="153"/>
    </row>
    <row r="966" spans="2:23" s="14" customFormat="1" x14ac:dyDescent="0.25">
      <c r="B966" s="13"/>
      <c r="C966" s="153"/>
      <c r="D966" s="153"/>
      <c r="E966" s="153"/>
      <c r="F966" s="153"/>
      <c r="G966" s="153"/>
      <c r="H966" s="153"/>
      <c r="I966" s="153"/>
      <c r="J966" s="157"/>
      <c r="K966" s="157"/>
      <c r="L966" s="157"/>
      <c r="M966" s="157"/>
      <c r="N966" s="153"/>
      <c r="O966" s="153"/>
      <c r="P966" s="153"/>
      <c r="Q966" s="153"/>
      <c r="R966" s="153"/>
      <c r="S966" s="153"/>
      <c r="T966" s="153"/>
      <c r="U966" s="153"/>
      <c r="V966" s="153"/>
      <c r="W966" s="153"/>
    </row>
    <row r="967" spans="2:23" s="14" customFormat="1" x14ac:dyDescent="0.25">
      <c r="B967" s="13"/>
      <c r="C967" s="153"/>
      <c r="D967" s="153"/>
      <c r="E967" s="153"/>
      <c r="F967" s="153"/>
      <c r="G967" s="153"/>
      <c r="H967" s="153"/>
      <c r="I967" s="153"/>
      <c r="J967" s="157"/>
      <c r="K967" s="157"/>
      <c r="L967" s="157"/>
      <c r="M967" s="157"/>
      <c r="N967" s="153"/>
      <c r="O967" s="153"/>
      <c r="P967" s="153"/>
      <c r="Q967" s="153"/>
      <c r="R967" s="153"/>
      <c r="S967" s="153"/>
      <c r="T967" s="153"/>
      <c r="U967" s="153"/>
      <c r="V967" s="153"/>
      <c r="W967" s="153"/>
    </row>
    <row r="968" spans="2:23" s="14" customFormat="1" x14ac:dyDescent="0.25">
      <c r="B968" s="13"/>
      <c r="C968" s="153"/>
      <c r="D968" s="153"/>
      <c r="E968" s="153"/>
      <c r="F968" s="153"/>
      <c r="G968" s="153"/>
      <c r="H968" s="153"/>
      <c r="I968" s="153"/>
      <c r="J968" s="157"/>
      <c r="K968" s="157"/>
      <c r="L968" s="157"/>
      <c r="M968" s="157"/>
      <c r="N968" s="153"/>
      <c r="O968" s="153"/>
      <c r="P968" s="153"/>
      <c r="Q968" s="153"/>
      <c r="R968" s="153"/>
      <c r="S968" s="153"/>
      <c r="T968" s="153"/>
      <c r="U968" s="153"/>
      <c r="V968" s="153"/>
      <c r="W968" s="153"/>
    </row>
    <row r="969" spans="2:23" s="14" customFormat="1" x14ac:dyDescent="0.25">
      <c r="B969" s="13"/>
      <c r="C969" s="153"/>
      <c r="D969" s="153"/>
      <c r="E969" s="153"/>
      <c r="F969" s="153"/>
      <c r="G969" s="153"/>
      <c r="H969" s="153"/>
      <c r="I969" s="153"/>
      <c r="J969" s="157"/>
      <c r="K969" s="157"/>
      <c r="L969" s="157"/>
      <c r="M969" s="157"/>
      <c r="N969" s="153"/>
      <c r="O969" s="153"/>
      <c r="P969" s="153"/>
      <c r="Q969" s="153"/>
      <c r="R969" s="153"/>
      <c r="S969" s="153"/>
      <c r="T969" s="153"/>
      <c r="U969" s="153"/>
      <c r="V969" s="153"/>
      <c r="W969" s="153"/>
    </row>
    <row r="970" spans="2:23" s="14" customFormat="1" x14ac:dyDescent="0.25">
      <c r="B970" s="13"/>
      <c r="C970" s="153"/>
      <c r="D970" s="153"/>
      <c r="E970" s="153"/>
      <c r="F970" s="153"/>
      <c r="G970" s="153"/>
      <c r="H970" s="153"/>
      <c r="I970" s="153"/>
      <c r="J970" s="157"/>
      <c r="K970" s="157"/>
      <c r="L970" s="157"/>
      <c r="M970" s="157"/>
      <c r="N970" s="153"/>
      <c r="O970" s="153"/>
      <c r="P970" s="153"/>
      <c r="Q970" s="153"/>
      <c r="R970" s="153"/>
      <c r="S970" s="153"/>
      <c r="T970" s="153"/>
      <c r="U970" s="153"/>
      <c r="V970" s="153"/>
      <c r="W970" s="153"/>
    </row>
    <row r="971" spans="2:23" s="14" customFormat="1" x14ac:dyDescent="0.25">
      <c r="B971" s="13"/>
      <c r="C971" s="153"/>
      <c r="D971" s="153"/>
      <c r="E971" s="153"/>
      <c r="F971" s="153"/>
      <c r="G971" s="153"/>
      <c r="H971" s="153"/>
      <c r="I971" s="153"/>
      <c r="J971" s="157"/>
      <c r="K971" s="157"/>
      <c r="L971" s="157"/>
      <c r="M971" s="157"/>
      <c r="N971" s="153"/>
      <c r="O971" s="153"/>
      <c r="P971" s="153"/>
      <c r="Q971" s="153"/>
      <c r="R971" s="153"/>
      <c r="S971" s="153"/>
      <c r="T971" s="153"/>
      <c r="U971" s="153"/>
      <c r="V971" s="153"/>
      <c r="W971" s="153"/>
    </row>
    <row r="972" spans="2:23" s="14" customFormat="1" x14ac:dyDescent="0.25">
      <c r="B972" s="13"/>
      <c r="C972" s="153"/>
      <c r="D972" s="153"/>
      <c r="E972" s="153"/>
      <c r="F972" s="153"/>
      <c r="G972" s="153"/>
      <c r="H972" s="153"/>
      <c r="I972" s="153"/>
      <c r="J972" s="157"/>
      <c r="K972" s="157"/>
      <c r="L972" s="157"/>
      <c r="M972" s="157"/>
      <c r="N972" s="153"/>
      <c r="O972" s="153"/>
      <c r="P972" s="153"/>
      <c r="Q972" s="153"/>
      <c r="R972" s="153"/>
      <c r="S972" s="153"/>
      <c r="T972" s="153"/>
      <c r="U972" s="153"/>
      <c r="V972" s="153"/>
      <c r="W972" s="153"/>
    </row>
    <row r="973" spans="2:23" s="14" customFormat="1" x14ac:dyDescent="0.25">
      <c r="B973" s="13"/>
      <c r="C973" s="153"/>
      <c r="D973" s="153"/>
      <c r="E973" s="153"/>
      <c r="F973" s="153"/>
      <c r="G973" s="153"/>
      <c r="H973" s="153"/>
      <c r="I973" s="153"/>
      <c r="J973" s="157"/>
      <c r="K973" s="157"/>
      <c r="L973" s="157"/>
      <c r="M973" s="157"/>
      <c r="N973" s="153"/>
      <c r="O973" s="153"/>
      <c r="P973" s="153"/>
      <c r="Q973" s="153"/>
      <c r="R973" s="153"/>
      <c r="S973" s="153"/>
      <c r="T973" s="153"/>
      <c r="U973" s="153"/>
      <c r="V973" s="153"/>
      <c r="W973" s="153"/>
    </row>
    <row r="974" spans="2:23" s="14" customFormat="1" x14ac:dyDescent="0.25">
      <c r="B974" s="13"/>
      <c r="C974" s="153"/>
      <c r="D974" s="153"/>
      <c r="E974" s="153"/>
      <c r="F974" s="153"/>
      <c r="G974" s="153"/>
      <c r="H974" s="153"/>
      <c r="I974" s="153"/>
      <c r="J974" s="157"/>
      <c r="K974" s="157"/>
      <c r="L974" s="157"/>
      <c r="M974" s="157"/>
      <c r="N974" s="153"/>
      <c r="O974" s="153"/>
      <c r="P974" s="153"/>
      <c r="Q974" s="153"/>
      <c r="R974" s="153"/>
      <c r="S974" s="153"/>
      <c r="T974" s="153"/>
      <c r="U974" s="153"/>
      <c r="V974" s="153"/>
      <c r="W974" s="153"/>
    </row>
    <row r="975" spans="2:23" s="14" customFormat="1" x14ac:dyDescent="0.25">
      <c r="B975" s="13"/>
      <c r="C975" s="153"/>
      <c r="D975" s="153"/>
      <c r="E975" s="153"/>
      <c r="F975" s="153"/>
      <c r="G975" s="153"/>
      <c r="H975" s="153"/>
      <c r="I975" s="153"/>
      <c r="J975" s="157"/>
      <c r="K975" s="157"/>
      <c r="L975" s="157"/>
      <c r="M975" s="157"/>
      <c r="N975" s="153"/>
      <c r="O975" s="153"/>
      <c r="P975" s="153"/>
      <c r="Q975" s="153"/>
      <c r="R975" s="153"/>
      <c r="S975" s="153"/>
      <c r="T975" s="153"/>
      <c r="U975" s="153"/>
      <c r="V975" s="153"/>
      <c r="W975" s="153"/>
    </row>
    <row r="976" spans="2:23" s="14" customFormat="1" x14ac:dyDescent="0.25">
      <c r="B976" s="13"/>
      <c r="C976" s="153"/>
      <c r="D976" s="153"/>
      <c r="E976" s="153"/>
      <c r="F976" s="153"/>
      <c r="G976" s="153"/>
      <c r="H976" s="153"/>
      <c r="I976" s="153"/>
      <c r="J976" s="157"/>
      <c r="K976" s="157"/>
      <c r="L976" s="157"/>
      <c r="M976" s="157"/>
      <c r="N976" s="153"/>
      <c r="O976" s="153"/>
      <c r="P976" s="153"/>
      <c r="Q976" s="153"/>
      <c r="R976" s="153"/>
      <c r="S976" s="153"/>
      <c r="T976" s="153"/>
      <c r="U976" s="153"/>
      <c r="V976" s="153"/>
      <c r="W976" s="153"/>
    </row>
    <row r="977" spans="2:23" s="14" customFormat="1" x14ac:dyDescent="0.25">
      <c r="B977" s="13"/>
      <c r="C977" s="153"/>
      <c r="D977" s="153"/>
      <c r="E977" s="153"/>
      <c r="F977" s="153"/>
      <c r="G977" s="153"/>
      <c r="H977" s="153"/>
      <c r="I977" s="153"/>
      <c r="J977" s="157"/>
      <c r="K977" s="157"/>
      <c r="L977" s="157"/>
      <c r="M977" s="157"/>
      <c r="N977" s="153"/>
      <c r="O977" s="153"/>
      <c r="P977" s="153"/>
      <c r="Q977" s="153"/>
      <c r="R977" s="153"/>
      <c r="S977" s="153"/>
      <c r="T977" s="153"/>
      <c r="U977" s="153"/>
      <c r="V977" s="153"/>
      <c r="W977" s="153"/>
    </row>
    <row r="978" spans="2:23" s="14" customFormat="1" x14ac:dyDescent="0.25">
      <c r="B978" s="13"/>
      <c r="C978" s="153"/>
      <c r="D978" s="153"/>
      <c r="E978" s="153"/>
      <c r="F978" s="153"/>
      <c r="G978" s="153"/>
      <c r="H978" s="153"/>
      <c r="I978" s="153"/>
      <c r="J978" s="157"/>
      <c r="K978" s="157"/>
      <c r="L978" s="157"/>
      <c r="M978" s="157"/>
      <c r="N978" s="153"/>
      <c r="O978" s="153"/>
      <c r="P978" s="153"/>
      <c r="Q978" s="153"/>
      <c r="R978" s="153"/>
      <c r="S978" s="153"/>
      <c r="T978" s="153"/>
      <c r="U978" s="153"/>
      <c r="V978" s="153"/>
      <c r="W978" s="153"/>
    </row>
    <row r="979" spans="2:23" s="14" customFormat="1" x14ac:dyDescent="0.25">
      <c r="B979" s="13"/>
      <c r="C979" s="153"/>
      <c r="D979" s="153"/>
      <c r="E979" s="153"/>
      <c r="F979" s="153"/>
      <c r="G979" s="153"/>
      <c r="H979" s="153"/>
      <c r="I979" s="153"/>
      <c r="J979" s="157"/>
      <c r="K979" s="157"/>
      <c r="L979" s="157"/>
      <c r="M979" s="157"/>
      <c r="N979" s="153"/>
      <c r="O979" s="153"/>
      <c r="P979" s="153"/>
      <c r="Q979" s="153"/>
      <c r="R979" s="153"/>
      <c r="S979" s="153"/>
      <c r="T979" s="153"/>
      <c r="U979" s="153"/>
      <c r="V979" s="153"/>
      <c r="W979" s="153"/>
    </row>
    <row r="980" spans="2:23" s="14" customFormat="1" x14ac:dyDescent="0.25">
      <c r="B980" s="13"/>
      <c r="C980" s="153"/>
      <c r="D980" s="153"/>
      <c r="E980" s="153"/>
      <c r="F980" s="153"/>
      <c r="G980" s="153"/>
      <c r="H980" s="153"/>
      <c r="I980" s="153"/>
      <c r="J980" s="157"/>
      <c r="K980" s="157"/>
      <c r="L980" s="157"/>
      <c r="M980" s="157"/>
      <c r="N980" s="153"/>
      <c r="O980" s="153"/>
      <c r="P980" s="153"/>
      <c r="Q980" s="153"/>
      <c r="R980" s="153"/>
      <c r="S980" s="153"/>
      <c r="T980" s="153"/>
      <c r="U980" s="153"/>
      <c r="V980" s="153"/>
      <c r="W980" s="153"/>
    </row>
    <row r="981" spans="2:23" s="14" customFormat="1" x14ac:dyDescent="0.25">
      <c r="B981" s="13"/>
      <c r="C981" s="153"/>
      <c r="D981" s="153"/>
      <c r="E981" s="153"/>
      <c r="F981" s="153"/>
      <c r="G981" s="153"/>
      <c r="H981" s="153"/>
      <c r="I981" s="153"/>
      <c r="J981" s="157"/>
      <c r="K981" s="157"/>
      <c r="L981" s="157"/>
      <c r="M981" s="157"/>
      <c r="N981" s="153"/>
      <c r="O981" s="153"/>
      <c r="P981" s="153"/>
      <c r="Q981" s="153"/>
      <c r="R981" s="153"/>
      <c r="S981" s="153"/>
      <c r="T981" s="153"/>
      <c r="U981" s="153"/>
      <c r="V981" s="153"/>
      <c r="W981" s="153"/>
    </row>
    <row r="982" spans="2:23" s="14" customFormat="1" x14ac:dyDescent="0.25">
      <c r="B982" s="13"/>
      <c r="C982" s="153"/>
      <c r="D982" s="153"/>
      <c r="E982" s="153"/>
      <c r="F982" s="153"/>
      <c r="G982" s="153"/>
      <c r="H982" s="153"/>
      <c r="I982" s="153"/>
      <c r="J982" s="157"/>
      <c r="K982" s="157"/>
      <c r="L982" s="157"/>
      <c r="M982" s="157"/>
      <c r="N982" s="153"/>
      <c r="O982" s="153"/>
      <c r="P982" s="153"/>
      <c r="Q982" s="153"/>
      <c r="R982" s="153"/>
      <c r="S982" s="153"/>
      <c r="T982" s="153"/>
      <c r="U982" s="153"/>
      <c r="V982" s="153"/>
      <c r="W982" s="153"/>
    </row>
    <row r="983" spans="2:23" s="14" customFormat="1" x14ac:dyDescent="0.25">
      <c r="B983" s="13"/>
      <c r="C983" s="153"/>
      <c r="D983" s="153"/>
      <c r="E983" s="153"/>
      <c r="F983" s="153"/>
      <c r="G983" s="153"/>
      <c r="H983" s="153"/>
      <c r="I983" s="153"/>
      <c r="J983" s="157"/>
      <c r="K983" s="157"/>
      <c r="L983" s="157"/>
      <c r="M983" s="157"/>
      <c r="N983" s="153"/>
      <c r="O983" s="153"/>
      <c r="P983" s="153"/>
      <c r="Q983" s="153"/>
      <c r="R983" s="153"/>
      <c r="S983" s="153"/>
      <c r="T983" s="153"/>
      <c r="U983" s="153"/>
      <c r="V983" s="153"/>
      <c r="W983" s="153"/>
    </row>
    <row r="984" spans="2:23" s="14" customFormat="1" x14ac:dyDescent="0.25">
      <c r="B984" s="13"/>
      <c r="C984" s="153"/>
      <c r="D984" s="153"/>
      <c r="E984" s="153"/>
      <c r="F984" s="153"/>
      <c r="G984" s="153"/>
      <c r="H984" s="153"/>
      <c r="I984" s="153"/>
      <c r="J984" s="157"/>
      <c r="K984" s="157"/>
      <c r="L984" s="157"/>
      <c r="M984" s="157"/>
      <c r="N984" s="153"/>
      <c r="O984" s="153"/>
      <c r="P984" s="153"/>
      <c r="Q984" s="153"/>
      <c r="R984" s="153"/>
      <c r="S984" s="153"/>
      <c r="T984" s="153"/>
      <c r="U984" s="153"/>
      <c r="V984" s="153"/>
      <c r="W984" s="153"/>
    </row>
    <row r="985" spans="2:23" s="14" customFormat="1" x14ac:dyDescent="0.25">
      <c r="B985" s="13"/>
      <c r="C985" s="153"/>
      <c r="D985" s="153"/>
      <c r="E985" s="153"/>
      <c r="F985" s="153"/>
      <c r="G985" s="153"/>
      <c r="H985" s="153"/>
      <c r="I985" s="153"/>
      <c r="J985" s="157"/>
      <c r="K985" s="157"/>
      <c r="L985" s="157"/>
      <c r="M985" s="157"/>
      <c r="N985" s="153"/>
      <c r="O985" s="153"/>
      <c r="P985" s="153"/>
      <c r="Q985" s="153"/>
      <c r="R985" s="153"/>
      <c r="S985" s="153"/>
      <c r="T985" s="153"/>
      <c r="U985" s="153"/>
      <c r="V985" s="153"/>
      <c r="W985" s="153"/>
    </row>
    <row r="986" spans="2:23" s="14" customFormat="1" x14ac:dyDescent="0.25">
      <c r="B986" s="13"/>
      <c r="C986" s="153"/>
      <c r="D986" s="153"/>
      <c r="E986" s="153"/>
      <c r="F986" s="153"/>
      <c r="G986" s="153"/>
      <c r="H986" s="153"/>
      <c r="I986" s="153"/>
      <c r="J986" s="157"/>
      <c r="K986" s="157"/>
      <c r="L986" s="157"/>
      <c r="M986" s="157"/>
      <c r="N986" s="153"/>
      <c r="O986" s="153"/>
      <c r="P986" s="153"/>
      <c r="Q986" s="153"/>
      <c r="R986" s="153"/>
      <c r="S986" s="153"/>
      <c r="T986" s="153"/>
      <c r="U986" s="153"/>
      <c r="V986" s="153"/>
      <c r="W986" s="153"/>
    </row>
    <row r="987" spans="2:23" s="14" customFormat="1" x14ac:dyDescent="0.25">
      <c r="B987" s="13"/>
      <c r="C987" s="153"/>
      <c r="D987" s="153"/>
      <c r="E987" s="153"/>
      <c r="F987" s="153"/>
      <c r="G987" s="153"/>
      <c r="H987" s="153"/>
      <c r="I987" s="153"/>
      <c r="J987" s="157"/>
      <c r="K987" s="157"/>
      <c r="L987" s="157"/>
      <c r="M987" s="157"/>
      <c r="N987" s="153"/>
      <c r="O987" s="153"/>
      <c r="P987" s="153"/>
      <c r="Q987" s="153"/>
      <c r="R987" s="153"/>
      <c r="S987" s="153"/>
      <c r="T987" s="153"/>
      <c r="U987" s="153"/>
      <c r="V987" s="153"/>
      <c r="W987" s="153"/>
    </row>
    <row r="988" spans="2:23" s="14" customFormat="1" x14ac:dyDescent="0.25">
      <c r="B988" s="13"/>
      <c r="C988" s="153"/>
      <c r="D988" s="153"/>
      <c r="E988" s="153"/>
      <c r="F988" s="153"/>
      <c r="G988" s="153"/>
      <c r="H988" s="153"/>
      <c r="I988" s="153"/>
      <c r="J988" s="157"/>
      <c r="K988" s="157"/>
      <c r="L988" s="157"/>
      <c r="M988" s="157"/>
      <c r="N988" s="153"/>
      <c r="O988" s="153"/>
      <c r="P988" s="153"/>
      <c r="Q988" s="153"/>
      <c r="R988" s="153"/>
      <c r="S988" s="153"/>
      <c r="T988" s="153"/>
      <c r="U988" s="153"/>
      <c r="V988" s="153"/>
      <c r="W988" s="153"/>
    </row>
    <row r="989" spans="2:23" s="14" customFormat="1" x14ac:dyDescent="0.25">
      <c r="B989" s="13"/>
      <c r="C989" s="153"/>
      <c r="D989" s="153"/>
      <c r="E989" s="153"/>
      <c r="F989" s="153"/>
      <c r="G989" s="153"/>
      <c r="H989" s="153"/>
      <c r="I989" s="153"/>
      <c r="J989" s="157"/>
      <c r="K989" s="157"/>
      <c r="L989" s="157"/>
      <c r="M989" s="157"/>
      <c r="N989" s="153"/>
      <c r="O989" s="153"/>
      <c r="P989" s="153"/>
      <c r="Q989" s="153"/>
      <c r="R989" s="153"/>
      <c r="S989" s="153"/>
      <c r="T989" s="153"/>
      <c r="U989" s="153"/>
      <c r="V989" s="153"/>
      <c r="W989" s="153"/>
    </row>
    <row r="990" spans="2:23" s="14" customFormat="1" x14ac:dyDescent="0.25">
      <c r="B990" s="13"/>
      <c r="C990" s="153"/>
      <c r="D990" s="153"/>
      <c r="E990" s="153"/>
      <c r="F990" s="153"/>
      <c r="G990" s="153"/>
      <c r="H990" s="153"/>
      <c r="I990" s="153"/>
      <c r="J990" s="157"/>
      <c r="K990" s="157"/>
      <c r="L990" s="157"/>
      <c r="M990" s="157"/>
      <c r="N990" s="153"/>
      <c r="O990" s="153"/>
      <c r="P990" s="153"/>
      <c r="Q990" s="153"/>
      <c r="R990" s="153"/>
      <c r="S990" s="153"/>
      <c r="T990" s="153"/>
      <c r="U990" s="153"/>
      <c r="V990" s="153"/>
      <c r="W990" s="153"/>
    </row>
    <row r="991" spans="2:23" s="14" customFormat="1" x14ac:dyDescent="0.25">
      <c r="B991" s="13"/>
      <c r="C991" s="153"/>
      <c r="D991" s="153"/>
      <c r="E991" s="153"/>
      <c r="F991" s="153"/>
      <c r="G991" s="153"/>
      <c r="H991" s="153"/>
      <c r="I991" s="153"/>
      <c r="J991" s="157"/>
      <c r="K991" s="157"/>
      <c r="L991" s="157"/>
      <c r="M991" s="157"/>
      <c r="N991" s="153"/>
      <c r="O991" s="153"/>
      <c r="P991" s="153"/>
      <c r="Q991" s="153"/>
      <c r="R991" s="153"/>
      <c r="S991" s="153"/>
      <c r="T991" s="153"/>
      <c r="U991" s="153"/>
      <c r="V991" s="153"/>
      <c r="W991" s="153"/>
    </row>
    <row r="992" spans="2:23" s="14" customFormat="1" x14ac:dyDescent="0.25">
      <c r="B992" s="13"/>
      <c r="C992" s="153"/>
      <c r="D992" s="153"/>
      <c r="E992" s="153"/>
      <c r="F992" s="153"/>
      <c r="G992" s="153"/>
      <c r="H992" s="153"/>
      <c r="I992" s="153"/>
      <c r="J992" s="157"/>
      <c r="K992" s="157"/>
      <c r="L992" s="157"/>
      <c r="M992" s="157"/>
      <c r="N992" s="153"/>
      <c r="O992" s="153"/>
      <c r="P992" s="153"/>
      <c r="Q992" s="153"/>
      <c r="R992" s="153"/>
      <c r="S992" s="153"/>
      <c r="T992" s="153"/>
      <c r="U992" s="153"/>
      <c r="V992" s="153"/>
      <c r="W992" s="153"/>
    </row>
    <row r="993" spans="2:23" s="14" customFormat="1" x14ac:dyDescent="0.25">
      <c r="B993" s="13"/>
      <c r="C993" s="153"/>
      <c r="D993" s="153"/>
      <c r="E993" s="153"/>
      <c r="F993" s="153"/>
      <c r="G993" s="153"/>
      <c r="H993" s="153"/>
      <c r="I993" s="153"/>
      <c r="J993" s="157"/>
      <c r="K993" s="157"/>
      <c r="L993" s="157"/>
      <c r="M993" s="157"/>
      <c r="N993" s="153"/>
      <c r="O993" s="153"/>
      <c r="P993" s="153"/>
      <c r="Q993" s="153"/>
      <c r="R993" s="153"/>
      <c r="S993" s="153"/>
      <c r="T993" s="153"/>
      <c r="U993" s="153"/>
      <c r="V993" s="153"/>
      <c r="W993" s="153"/>
    </row>
    <row r="994" spans="2:23" s="14" customFormat="1" x14ac:dyDescent="0.25">
      <c r="B994" s="13"/>
      <c r="C994" s="153"/>
      <c r="D994" s="153"/>
      <c r="E994" s="153"/>
      <c r="F994" s="153"/>
      <c r="G994" s="153"/>
      <c r="H994" s="153"/>
      <c r="I994" s="153"/>
      <c r="J994" s="157"/>
      <c r="K994" s="157"/>
      <c r="L994" s="157"/>
      <c r="M994" s="157"/>
      <c r="N994" s="153"/>
      <c r="O994" s="153"/>
      <c r="P994" s="153"/>
      <c r="Q994" s="153"/>
      <c r="R994" s="153"/>
      <c r="S994" s="153"/>
      <c r="T994" s="153"/>
      <c r="U994" s="153"/>
      <c r="V994" s="153"/>
      <c r="W994" s="153"/>
    </row>
    <row r="995" spans="2:23" s="14" customFormat="1" x14ac:dyDescent="0.25">
      <c r="B995" s="13"/>
      <c r="C995" s="153"/>
      <c r="D995" s="153"/>
      <c r="E995" s="153"/>
      <c r="F995" s="153"/>
      <c r="G995" s="153"/>
      <c r="H995" s="153"/>
      <c r="I995" s="153"/>
      <c r="J995" s="157"/>
      <c r="K995" s="157"/>
      <c r="L995" s="157"/>
      <c r="M995" s="157"/>
      <c r="N995" s="153"/>
      <c r="O995" s="153"/>
      <c r="P995" s="153"/>
      <c r="Q995" s="153"/>
      <c r="R995" s="153"/>
      <c r="S995" s="153"/>
      <c r="T995" s="153"/>
      <c r="U995" s="153"/>
      <c r="V995" s="153"/>
      <c r="W995" s="153"/>
    </row>
    <row r="996" spans="2:23" s="14" customFormat="1" x14ac:dyDescent="0.25">
      <c r="B996" s="13"/>
      <c r="C996" s="153"/>
      <c r="D996" s="153"/>
      <c r="E996" s="153"/>
      <c r="F996" s="153"/>
      <c r="G996" s="153"/>
      <c r="H996" s="153"/>
      <c r="I996" s="153"/>
      <c r="J996" s="157"/>
      <c r="K996" s="157"/>
      <c r="L996" s="157"/>
      <c r="M996" s="157"/>
      <c r="N996" s="153"/>
      <c r="O996" s="153"/>
      <c r="P996" s="153"/>
      <c r="Q996" s="153"/>
      <c r="R996" s="153"/>
      <c r="S996" s="153"/>
      <c r="T996" s="153"/>
      <c r="U996" s="153"/>
      <c r="V996" s="153"/>
      <c r="W996" s="153"/>
    </row>
    <row r="997" spans="2:23" s="14" customFormat="1" x14ac:dyDescent="0.25">
      <c r="B997" s="13"/>
      <c r="C997" s="153"/>
      <c r="D997" s="153"/>
      <c r="E997" s="153"/>
      <c r="F997" s="153"/>
      <c r="G997" s="153"/>
      <c r="H997" s="153"/>
      <c r="I997" s="153"/>
      <c r="J997" s="157"/>
      <c r="K997" s="157"/>
      <c r="L997" s="157"/>
      <c r="M997" s="157"/>
      <c r="N997" s="153"/>
      <c r="O997" s="153"/>
      <c r="P997" s="153"/>
      <c r="Q997" s="153"/>
      <c r="R997" s="153"/>
      <c r="S997" s="153"/>
      <c r="T997" s="153"/>
      <c r="U997" s="153"/>
      <c r="V997" s="153"/>
      <c r="W997" s="153"/>
    </row>
    <row r="998" spans="2:23" s="14" customFormat="1" x14ac:dyDescent="0.25">
      <c r="B998" s="13"/>
      <c r="C998" s="153"/>
      <c r="D998" s="153"/>
      <c r="E998" s="153"/>
      <c r="F998" s="153"/>
      <c r="G998" s="153"/>
      <c r="H998" s="153"/>
      <c r="I998" s="153"/>
      <c r="J998" s="157"/>
      <c r="K998" s="157"/>
      <c r="L998" s="157"/>
      <c r="M998" s="157"/>
      <c r="N998" s="153"/>
      <c r="O998" s="153"/>
      <c r="P998" s="153"/>
      <c r="Q998" s="153"/>
      <c r="R998" s="153"/>
      <c r="S998" s="153"/>
      <c r="T998" s="153"/>
      <c r="U998" s="153"/>
      <c r="V998" s="153"/>
      <c r="W998" s="153"/>
    </row>
    <row r="999" spans="2:23" s="14" customFormat="1" x14ac:dyDescent="0.25">
      <c r="B999" s="13"/>
      <c r="C999" s="153"/>
      <c r="D999" s="153"/>
      <c r="E999" s="153"/>
      <c r="F999" s="153"/>
      <c r="G999" s="153"/>
      <c r="H999" s="153"/>
      <c r="I999" s="153"/>
      <c r="J999" s="157"/>
      <c r="K999" s="157"/>
      <c r="L999" s="157"/>
      <c r="M999" s="157"/>
      <c r="N999" s="153"/>
      <c r="O999" s="153"/>
      <c r="P999" s="153"/>
      <c r="Q999" s="153"/>
      <c r="R999" s="153"/>
      <c r="S999" s="153"/>
      <c r="T999" s="153"/>
      <c r="U999" s="153"/>
      <c r="V999" s="153"/>
      <c r="W999" s="153"/>
    </row>
    <row r="1000" spans="2:23" s="14" customFormat="1" x14ac:dyDescent="0.25">
      <c r="B1000" s="13"/>
      <c r="C1000" s="153"/>
      <c r="D1000" s="153"/>
      <c r="E1000" s="153"/>
      <c r="F1000" s="153"/>
      <c r="G1000" s="153"/>
      <c r="H1000" s="153"/>
      <c r="I1000" s="153"/>
      <c r="J1000" s="157"/>
      <c r="K1000" s="157"/>
      <c r="L1000" s="157"/>
      <c r="M1000" s="157"/>
      <c r="N1000" s="153"/>
      <c r="O1000" s="153"/>
      <c r="P1000" s="153"/>
      <c r="Q1000" s="153"/>
      <c r="R1000" s="153"/>
      <c r="S1000" s="153"/>
      <c r="T1000" s="153"/>
      <c r="U1000" s="153"/>
      <c r="V1000" s="153"/>
      <c r="W1000" s="153"/>
    </row>
    <row r="1001" spans="2:23" s="14" customFormat="1" x14ac:dyDescent="0.25">
      <c r="B1001" s="13"/>
      <c r="C1001" s="153"/>
      <c r="D1001" s="153"/>
      <c r="E1001" s="153"/>
      <c r="F1001" s="153"/>
      <c r="G1001" s="153"/>
      <c r="H1001" s="153"/>
      <c r="I1001" s="153"/>
      <c r="J1001" s="157"/>
      <c r="K1001" s="157"/>
      <c r="L1001" s="157"/>
      <c r="M1001" s="157"/>
      <c r="N1001" s="153"/>
      <c r="O1001" s="153"/>
      <c r="P1001" s="153"/>
      <c r="Q1001" s="153"/>
      <c r="R1001" s="153"/>
      <c r="S1001" s="153"/>
      <c r="T1001" s="153"/>
      <c r="U1001" s="153"/>
      <c r="V1001" s="153"/>
      <c r="W1001" s="153"/>
    </row>
    <row r="1002" spans="2:23" s="14" customFormat="1" x14ac:dyDescent="0.25">
      <c r="B1002" s="13"/>
      <c r="C1002" s="153"/>
      <c r="D1002" s="153"/>
      <c r="E1002" s="153"/>
      <c r="F1002" s="153"/>
      <c r="G1002" s="153"/>
      <c r="H1002" s="153"/>
      <c r="I1002" s="153"/>
      <c r="J1002" s="157"/>
      <c r="K1002" s="157"/>
      <c r="L1002" s="157"/>
      <c r="M1002" s="157"/>
      <c r="N1002" s="153"/>
      <c r="O1002" s="153"/>
      <c r="P1002" s="153"/>
      <c r="Q1002" s="153"/>
      <c r="R1002" s="153"/>
      <c r="S1002" s="153"/>
      <c r="T1002" s="153"/>
      <c r="U1002" s="153"/>
      <c r="V1002" s="153"/>
      <c r="W1002" s="153"/>
    </row>
    <row r="1003" spans="2:23" s="14" customFormat="1" x14ac:dyDescent="0.25">
      <c r="B1003" s="13"/>
      <c r="C1003" s="153"/>
      <c r="D1003" s="153"/>
      <c r="E1003" s="153"/>
      <c r="F1003" s="153"/>
      <c r="G1003" s="153"/>
      <c r="H1003" s="153"/>
      <c r="I1003" s="153"/>
      <c r="J1003" s="157"/>
      <c r="K1003" s="157"/>
      <c r="L1003" s="157"/>
      <c r="M1003" s="157"/>
      <c r="N1003" s="153"/>
      <c r="O1003" s="153"/>
      <c r="P1003" s="153"/>
      <c r="Q1003" s="153"/>
      <c r="R1003" s="153"/>
      <c r="S1003" s="153"/>
      <c r="T1003" s="153"/>
      <c r="U1003" s="153"/>
      <c r="V1003" s="153"/>
      <c r="W1003" s="153"/>
    </row>
    <row r="1004" spans="2:23" s="14" customFormat="1" x14ac:dyDescent="0.25">
      <c r="B1004" s="13"/>
      <c r="C1004" s="153"/>
      <c r="D1004" s="153"/>
      <c r="E1004" s="153"/>
      <c r="F1004" s="153"/>
      <c r="G1004" s="153"/>
      <c r="H1004" s="153"/>
      <c r="I1004" s="153"/>
      <c r="J1004" s="157"/>
      <c r="K1004" s="157"/>
      <c r="L1004" s="157"/>
      <c r="M1004" s="157"/>
      <c r="N1004" s="153"/>
      <c r="O1004" s="153"/>
      <c r="P1004" s="153"/>
      <c r="Q1004" s="153"/>
      <c r="R1004" s="153"/>
      <c r="S1004" s="153"/>
      <c r="T1004" s="153"/>
      <c r="U1004" s="153"/>
      <c r="V1004" s="153"/>
      <c r="W1004" s="153"/>
    </row>
    <row r="1005" spans="2:23" s="14" customFormat="1" x14ac:dyDescent="0.25">
      <c r="B1005" s="13"/>
      <c r="C1005" s="153"/>
      <c r="D1005" s="153"/>
      <c r="E1005" s="153"/>
      <c r="F1005" s="153"/>
      <c r="G1005" s="153"/>
      <c r="H1005" s="153"/>
      <c r="I1005" s="153"/>
      <c r="J1005" s="157"/>
      <c r="K1005" s="157"/>
      <c r="L1005" s="157"/>
      <c r="M1005" s="157"/>
      <c r="N1005" s="153"/>
      <c r="O1005" s="153"/>
      <c r="P1005" s="153"/>
      <c r="Q1005" s="153"/>
      <c r="R1005" s="153"/>
      <c r="S1005" s="153"/>
      <c r="T1005" s="153"/>
      <c r="U1005" s="153"/>
      <c r="V1005" s="153"/>
      <c r="W1005" s="153"/>
    </row>
    <row r="1006" spans="2:23" s="14" customFormat="1" x14ac:dyDescent="0.25">
      <c r="B1006" s="13"/>
      <c r="C1006" s="153"/>
      <c r="D1006" s="153"/>
      <c r="E1006" s="153"/>
      <c r="F1006" s="153"/>
      <c r="G1006" s="153"/>
      <c r="H1006" s="153"/>
      <c r="I1006" s="153"/>
      <c r="J1006" s="157"/>
      <c r="K1006" s="157"/>
      <c r="L1006" s="157"/>
      <c r="M1006" s="157"/>
      <c r="N1006" s="153"/>
      <c r="O1006" s="153"/>
      <c r="P1006" s="153"/>
      <c r="Q1006" s="153"/>
      <c r="R1006" s="153"/>
      <c r="S1006" s="153"/>
      <c r="T1006" s="153"/>
      <c r="U1006" s="153"/>
      <c r="V1006" s="153"/>
      <c r="W1006" s="153"/>
    </row>
    <row r="1007" spans="2:23" s="14" customFormat="1" x14ac:dyDescent="0.25">
      <c r="B1007" s="13"/>
      <c r="C1007" s="153"/>
      <c r="D1007" s="153"/>
      <c r="E1007" s="153"/>
      <c r="F1007" s="153"/>
      <c r="G1007" s="153"/>
      <c r="H1007" s="153"/>
      <c r="I1007" s="153"/>
      <c r="J1007" s="157"/>
      <c r="K1007" s="157"/>
      <c r="L1007" s="157"/>
      <c r="M1007" s="157"/>
      <c r="N1007" s="153"/>
      <c r="O1007" s="153"/>
      <c r="P1007" s="153"/>
      <c r="Q1007" s="153"/>
      <c r="R1007" s="153"/>
      <c r="S1007" s="153"/>
      <c r="T1007" s="153"/>
      <c r="U1007" s="153"/>
      <c r="V1007" s="153"/>
      <c r="W1007" s="153"/>
    </row>
    <row r="1008" spans="2:23" s="14" customFormat="1" x14ac:dyDescent="0.25">
      <c r="B1008" s="13"/>
      <c r="C1008" s="153"/>
      <c r="D1008" s="153"/>
      <c r="E1008" s="153"/>
      <c r="F1008" s="153"/>
      <c r="G1008" s="153"/>
      <c r="H1008" s="153"/>
      <c r="I1008" s="153"/>
      <c r="J1008" s="157"/>
      <c r="K1008" s="157"/>
      <c r="L1008" s="157"/>
      <c r="M1008" s="157"/>
      <c r="N1008" s="153"/>
      <c r="O1008" s="153"/>
      <c r="P1008" s="153"/>
      <c r="Q1008" s="153"/>
      <c r="R1008" s="153"/>
      <c r="S1008" s="153"/>
      <c r="T1008" s="153"/>
      <c r="U1008" s="153"/>
      <c r="V1008" s="153"/>
      <c r="W1008" s="153"/>
    </row>
    <row r="1009" spans="2:23" s="14" customFormat="1" x14ac:dyDescent="0.25">
      <c r="B1009" s="13"/>
      <c r="C1009" s="153"/>
      <c r="D1009" s="153"/>
      <c r="E1009" s="153"/>
      <c r="F1009" s="153"/>
      <c r="G1009" s="153"/>
      <c r="H1009" s="153"/>
      <c r="I1009" s="153"/>
      <c r="J1009" s="157"/>
      <c r="K1009" s="157"/>
      <c r="L1009" s="157"/>
      <c r="M1009" s="157"/>
      <c r="N1009" s="153"/>
      <c r="O1009" s="153"/>
      <c r="P1009" s="153"/>
      <c r="Q1009" s="153"/>
      <c r="R1009" s="153"/>
      <c r="S1009" s="153"/>
      <c r="T1009" s="153"/>
      <c r="U1009" s="153"/>
      <c r="V1009" s="153"/>
      <c r="W1009" s="153"/>
    </row>
    <row r="1010" spans="2:23" s="14" customFormat="1" x14ac:dyDescent="0.25">
      <c r="B1010" s="13"/>
      <c r="C1010" s="153"/>
      <c r="D1010" s="153"/>
      <c r="E1010" s="153"/>
      <c r="F1010" s="153"/>
      <c r="G1010" s="153"/>
      <c r="H1010" s="153"/>
      <c r="I1010" s="153"/>
      <c r="J1010" s="157"/>
      <c r="K1010" s="157"/>
      <c r="L1010" s="157"/>
      <c r="M1010" s="157"/>
      <c r="N1010" s="153"/>
      <c r="O1010" s="153"/>
      <c r="P1010" s="153"/>
      <c r="Q1010" s="153"/>
      <c r="R1010" s="153"/>
      <c r="S1010" s="153"/>
      <c r="T1010" s="153"/>
      <c r="U1010" s="153"/>
      <c r="V1010" s="153"/>
      <c r="W1010" s="153"/>
    </row>
    <row r="1011" spans="2:23" s="14" customFormat="1" x14ac:dyDescent="0.25">
      <c r="B1011" s="13"/>
      <c r="C1011" s="153"/>
      <c r="D1011" s="153"/>
      <c r="E1011" s="153"/>
      <c r="F1011" s="153"/>
      <c r="G1011" s="153"/>
      <c r="H1011" s="153"/>
      <c r="I1011" s="153"/>
      <c r="J1011" s="157"/>
      <c r="K1011" s="157"/>
      <c r="L1011" s="157"/>
      <c r="M1011" s="157"/>
      <c r="N1011" s="153"/>
      <c r="O1011" s="153"/>
      <c r="P1011" s="153"/>
      <c r="Q1011" s="153"/>
      <c r="R1011" s="153"/>
      <c r="S1011" s="153"/>
      <c r="T1011" s="153"/>
      <c r="U1011" s="153"/>
      <c r="V1011" s="153"/>
      <c r="W1011" s="153"/>
    </row>
    <row r="1012" spans="2:23" s="14" customFormat="1" x14ac:dyDescent="0.25">
      <c r="B1012" s="13"/>
      <c r="C1012" s="153"/>
      <c r="D1012" s="153"/>
      <c r="E1012" s="153"/>
      <c r="F1012" s="153"/>
      <c r="G1012" s="153"/>
      <c r="H1012" s="153"/>
      <c r="I1012" s="153"/>
      <c r="J1012" s="157"/>
      <c r="K1012" s="157"/>
      <c r="L1012" s="157"/>
      <c r="M1012" s="157"/>
      <c r="N1012" s="153"/>
      <c r="O1012" s="153"/>
      <c r="P1012" s="153"/>
      <c r="Q1012" s="153"/>
      <c r="R1012" s="153"/>
      <c r="S1012" s="153"/>
      <c r="T1012" s="153"/>
      <c r="U1012" s="153"/>
      <c r="V1012" s="153"/>
      <c r="W1012" s="153"/>
    </row>
    <row r="1013" spans="2:23" s="14" customFormat="1" x14ac:dyDescent="0.25">
      <c r="B1013" s="13"/>
      <c r="C1013" s="153"/>
      <c r="D1013" s="153"/>
      <c r="E1013" s="153"/>
      <c r="F1013" s="153"/>
      <c r="G1013" s="153"/>
      <c r="H1013" s="153"/>
      <c r="I1013" s="153"/>
      <c r="J1013" s="157"/>
      <c r="K1013" s="157"/>
      <c r="L1013" s="157"/>
      <c r="M1013" s="157"/>
      <c r="N1013" s="153"/>
      <c r="O1013" s="153"/>
      <c r="P1013" s="153"/>
      <c r="Q1013" s="153"/>
      <c r="R1013" s="153"/>
      <c r="S1013" s="153"/>
      <c r="T1013" s="153"/>
      <c r="U1013" s="153"/>
      <c r="V1013" s="153"/>
      <c r="W1013" s="153"/>
    </row>
    <row r="1014" spans="2:23" s="14" customFormat="1" x14ac:dyDescent="0.25">
      <c r="B1014" s="13"/>
      <c r="C1014" s="153"/>
      <c r="D1014" s="153"/>
      <c r="E1014" s="153"/>
      <c r="F1014" s="153"/>
      <c r="G1014" s="153"/>
      <c r="H1014" s="153"/>
      <c r="I1014" s="153"/>
      <c r="J1014" s="157"/>
      <c r="K1014" s="157"/>
      <c r="L1014" s="157"/>
      <c r="M1014" s="157"/>
      <c r="N1014" s="153"/>
      <c r="O1014" s="153"/>
      <c r="P1014" s="153"/>
      <c r="Q1014" s="153"/>
      <c r="R1014" s="153"/>
      <c r="S1014" s="153"/>
      <c r="T1014" s="153"/>
      <c r="U1014" s="153"/>
      <c r="V1014" s="153"/>
      <c r="W1014" s="153"/>
    </row>
    <row r="1015" spans="2:23" s="14" customFormat="1" x14ac:dyDescent="0.25">
      <c r="B1015" s="13"/>
      <c r="C1015" s="153"/>
      <c r="D1015" s="153"/>
      <c r="E1015" s="153"/>
      <c r="F1015" s="153"/>
      <c r="G1015" s="153"/>
      <c r="H1015" s="153"/>
      <c r="I1015" s="153"/>
      <c r="J1015" s="157"/>
      <c r="K1015" s="157"/>
      <c r="L1015" s="157"/>
      <c r="M1015" s="157"/>
      <c r="N1015" s="153"/>
      <c r="O1015" s="153"/>
      <c r="P1015" s="153"/>
      <c r="Q1015" s="153"/>
      <c r="R1015" s="153"/>
      <c r="S1015" s="153"/>
      <c r="T1015" s="153"/>
      <c r="U1015" s="153"/>
      <c r="V1015" s="153"/>
      <c r="W1015" s="153"/>
    </row>
    <row r="1016" spans="2:23" s="14" customFormat="1" x14ac:dyDescent="0.25">
      <c r="B1016" s="13"/>
      <c r="C1016" s="153"/>
      <c r="D1016" s="153"/>
      <c r="E1016" s="153"/>
      <c r="F1016" s="153"/>
      <c r="G1016" s="153"/>
      <c r="H1016" s="153"/>
      <c r="I1016" s="153"/>
      <c r="J1016" s="157"/>
      <c r="K1016" s="157"/>
      <c r="L1016" s="157"/>
      <c r="M1016" s="157"/>
      <c r="N1016" s="153"/>
      <c r="O1016" s="153"/>
      <c r="P1016" s="153"/>
      <c r="Q1016" s="153"/>
      <c r="R1016" s="153"/>
      <c r="S1016" s="153"/>
      <c r="T1016" s="153"/>
      <c r="U1016" s="153"/>
      <c r="V1016" s="153"/>
      <c r="W1016" s="153"/>
    </row>
    <row r="1017" spans="2:23" s="14" customFormat="1" x14ac:dyDescent="0.25">
      <c r="B1017" s="13"/>
      <c r="C1017" s="153"/>
      <c r="D1017" s="153"/>
      <c r="E1017" s="153"/>
      <c r="F1017" s="153"/>
      <c r="G1017" s="153"/>
      <c r="H1017" s="153"/>
      <c r="I1017" s="153"/>
      <c r="J1017" s="157"/>
      <c r="K1017" s="157"/>
      <c r="L1017" s="157"/>
      <c r="M1017" s="157"/>
      <c r="N1017" s="153"/>
      <c r="O1017" s="153"/>
      <c r="P1017" s="153"/>
      <c r="Q1017" s="153"/>
      <c r="R1017" s="153"/>
      <c r="S1017" s="153"/>
      <c r="T1017" s="153"/>
      <c r="U1017" s="153"/>
      <c r="V1017" s="153"/>
      <c r="W1017" s="153"/>
    </row>
    <row r="1018" spans="2:23" s="14" customFormat="1" x14ac:dyDescent="0.25">
      <c r="B1018" s="13"/>
      <c r="C1018" s="153"/>
      <c r="D1018" s="153"/>
      <c r="E1018" s="153"/>
      <c r="F1018" s="153"/>
      <c r="G1018" s="153"/>
      <c r="H1018" s="153"/>
      <c r="I1018" s="153"/>
      <c r="J1018" s="157"/>
      <c r="K1018" s="157"/>
      <c r="L1018" s="157"/>
      <c r="M1018" s="157"/>
      <c r="N1018" s="153"/>
      <c r="O1018" s="153"/>
      <c r="P1018" s="153"/>
      <c r="Q1018" s="153"/>
      <c r="R1018" s="153"/>
      <c r="S1018" s="153"/>
      <c r="T1018" s="153"/>
      <c r="U1018" s="153"/>
      <c r="V1018" s="153"/>
      <c r="W1018" s="153"/>
    </row>
    <row r="1019" spans="2:23" s="14" customFormat="1" x14ac:dyDescent="0.25">
      <c r="B1019" s="13"/>
      <c r="C1019" s="153"/>
      <c r="D1019" s="153"/>
      <c r="E1019" s="153"/>
      <c r="F1019" s="153"/>
      <c r="G1019" s="153"/>
      <c r="H1019" s="153"/>
      <c r="I1019" s="153"/>
      <c r="J1019" s="157"/>
      <c r="K1019" s="157"/>
      <c r="L1019" s="157"/>
      <c r="M1019" s="157"/>
      <c r="N1019" s="153"/>
      <c r="O1019" s="153"/>
      <c r="P1019" s="153"/>
      <c r="Q1019" s="153"/>
      <c r="R1019" s="153"/>
      <c r="S1019" s="153"/>
      <c r="T1019" s="153"/>
      <c r="U1019" s="153"/>
      <c r="V1019" s="153"/>
      <c r="W1019" s="153"/>
    </row>
    <row r="1020" spans="2:23" s="14" customFormat="1" x14ac:dyDescent="0.25">
      <c r="B1020" s="13"/>
      <c r="C1020" s="153"/>
      <c r="D1020" s="153"/>
      <c r="E1020" s="153"/>
      <c r="F1020" s="153"/>
      <c r="G1020" s="153"/>
      <c r="H1020" s="153"/>
      <c r="I1020" s="153"/>
      <c r="J1020" s="157"/>
      <c r="K1020" s="157"/>
      <c r="L1020" s="157"/>
      <c r="M1020" s="157"/>
      <c r="N1020" s="153"/>
      <c r="O1020" s="153"/>
      <c r="P1020" s="153"/>
      <c r="Q1020" s="153"/>
      <c r="R1020" s="153"/>
      <c r="S1020" s="153"/>
      <c r="T1020" s="153"/>
      <c r="U1020" s="153"/>
      <c r="V1020" s="153"/>
      <c r="W1020" s="153"/>
    </row>
    <row r="1021" spans="2:23" s="14" customFormat="1" x14ac:dyDescent="0.25">
      <c r="B1021" s="13"/>
      <c r="C1021" s="153"/>
      <c r="D1021" s="153"/>
      <c r="E1021" s="153"/>
      <c r="F1021" s="153"/>
      <c r="G1021" s="153"/>
      <c r="H1021" s="153"/>
      <c r="I1021" s="153"/>
      <c r="J1021" s="157"/>
      <c r="K1021" s="157"/>
      <c r="L1021" s="157"/>
      <c r="M1021" s="157"/>
      <c r="N1021" s="153"/>
      <c r="O1021" s="153"/>
      <c r="P1021" s="153"/>
      <c r="Q1021" s="153"/>
      <c r="R1021" s="153"/>
      <c r="S1021" s="153"/>
      <c r="T1021" s="153"/>
      <c r="U1021" s="153"/>
      <c r="V1021" s="153"/>
      <c r="W1021" s="153"/>
    </row>
    <row r="1022" spans="2:23" s="14" customFormat="1" x14ac:dyDescent="0.25">
      <c r="B1022" s="13"/>
      <c r="C1022" s="153"/>
      <c r="D1022" s="153"/>
      <c r="E1022" s="153"/>
      <c r="F1022" s="153"/>
      <c r="G1022" s="153"/>
      <c r="H1022" s="153"/>
      <c r="I1022" s="153"/>
      <c r="J1022" s="157"/>
      <c r="K1022" s="157"/>
      <c r="L1022" s="157"/>
      <c r="M1022" s="157"/>
      <c r="N1022" s="153"/>
      <c r="O1022" s="153"/>
      <c r="P1022" s="153"/>
      <c r="Q1022" s="153"/>
      <c r="R1022" s="153"/>
      <c r="S1022" s="153"/>
      <c r="T1022" s="153"/>
      <c r="U1022" s="153"/>
      <c r="V1022" s="153"/>
      <c r="W1022" s="153"/>
    </row>
    <row r="1023" spans="2:23" s="14" customFormat="1" x14ac:dyDescent="0.25">
      <c r="B1023" s="13"/>
      <c r="C1023" s="153"/>
      <c r="D1023" s="153"/>
      <c r="E1023" s="153"/>
      <c r="F1023" s="153"/>
      <c r="G1023" s="153"/>
      <c r="H1023" s="153"/>
      <c r="I1023" s="153"/>
      <c r="J1023" s="157"/>
      <c r="K1023" s="157"/>
      <c r="L1023" s="157"/>
      <c r="M1023" s="157"/>
      <c r="N1023" s="153"/>
      <c r="O1023" s="153"/>
      <c r="P1023" s="153"/>
      <c r="Q1023" s="153"/>
      <c r="R1023" s="153"/>
      <c r="S1023" s="153"/>
      <c r="T1023" s="153"/>
      <c r="U1023" s="153"/>
      <c r="V1023" s="153"/>
      <c r="W1023" s="153"/>
    </row>
    <row r="1024" spans="2:23" s="14" customFormat="1" x14ac:dyDescent="0.25">
      <c r="B1024" s="13"/>
      <c r="C1024" s="153"/>
      <c r="D1024" s="153"/>
      <c r="E1024" s="153"/>
      <c r="F1024" s="153"/>
      <c r="G1024" s="153"/>
      <c r="H1024" s="153"/>
      <c r="I1024" s="153"/>
      <c r="J1024" s="157"/>
      <c r="K1024" s="157"/>
      <c r="L1024" s="157"/>
      <c r="M1024" s="157"/>
      <c r="N1024" s="153"/>
      <c r="O1024" s="153"/>
      <c r="P1024" s="153"/>
      <c r="Q1024" s="153"/>
      <c r="R1024" s="153"/>
      <c r="S1024" s="153"/>
      <c r="T1024" s="153"/>
      <c r="U1024" s="153"/>
      <c r="V1024" s="153"/>
      <c r="W1024" s="153"/>
    </row>
    <row r="1025" spans="2:23" s="14" customFormat="1" x14ac:dyDescent="0.25">
      <c r="B1025" s="13"/>
      <c r="C1025" s="153"/>
      <c r="D1025" s="153"/>
      <c r="E1025" s="153"/>
      <c r="F1025" s="153"/>
      <c r="G1025" s="153"/>
      <c r="H1025" s="153"/>
      <c r="I1025" s="153"/>
      <c r="J1025" s="157"/>
      <c r="K1025" s="157"/>
      <c r="L1025" s="157"/>
      <c r="M1025" s="157"/>
      <c r="N1025" s="153"/>
      <c r="O1025" s="153"/>
      <c r="P1025" s="153"/>
      <c r="Q1025" s="153"/>
      <c r="R1025" s="153"/>
      <c r="S1025" s="153"/>
      <c r="T1025" s="153"/>
      <c r="U1025" s="153"/>
      <c r="V1025" s="153"/>
      <c r="W1025" s="153"/>
    </row>
    <row r="1026" spans="2:23" s="14" customFormat="1" x14ac:dyDescent="0.25">
      <c r="B1026" s="13"/>
      <c r="C1026" s="153"/>
      <c r="D1026" s="153"/>
      <c r="E1026" s="153"/>
      <c r="F1026" s="153"/>
      <c r="G1026" s="153"/>
      <c r="H1026" s="153"/>
      <c r="I1026" s="153"/>
      <c r="J1026" s="157"/>
      <c r="K1026" s="157"/>
      <c r="L1026" s="157"/>
      <c r="M1026" s="157"/>
      <c r="N1026" s="153"/>
      <c r="O1026" s="153"/>
      <c r="P1026" s="153"/>
      <c r="Q1026" s="153"/>
      <c r="R1026" s="153"/>
      <c r="S1026" s="153"/>
      <c r="T1026" s="153"/>
      <c r="U1026" s="153"/>
      <c r="V1026" s="153"/>
      <c r="W1026" s="153"/>
    </row>
    <row r="1027" spans="2:23" s="14" customFormat="1" x14ac:dyDescent="0.25">
      <c r="B1027" s="13"/>
      <c r="C1027" s="153"/>
      <c r="D1027" s="153"/>
      <c r="E1027" s="153"/>
      <c r="F1027" s="153"/>
      <c r="G1027" s="153"/>
      <c r="H1027" s="153"/>
      <c r="I1027" s="153"/>
      <c r="J1027" s="157"/>
      <c r="K1027" s="157"/>
      <c r="L1027" s="157"/>
      <c r="M1027" s="157"/>
      <c r="N1027" s="153"/>
      <c r="O1027" s="153"/>
      <c r="P1027" s="153"/>
      <c r="Q1027" s="153"/>
      <c r="R1027" s="153"/>
      <c r="S1027" s="153"/>
      <c r="T1027" s="153"/>
      <c r="U1027" s="153"/>
      <c r="V1027" s="153"/>
      <c r="W1027" s="153"/>
    </row>
    <row r="1028" spans="2:23" s="14" customFormat="1" x14ac:dyDescent="0.25">
      <c r="B1028" s="13"/>
      <c r="C1028" s="153"/>
      <c r="D1028" s="153"/>
      <c r="E1028" s="153"/>
      <c r="F1028" s="153"/>
      <c r="G1028" s="153"/>
      <c r="H1028" s="153"/>
      <c r="I1028" s="153"/>
      <c r="J1028" s="157"/>
      <c r="K1028" s="157"/>
      <c r="L1028" s="157"/>
      <c r="M1028" s="157"/>
      <c r="N1028" s="153"/>
      <c r="O1028" s="153"/>
      <c r="P1028" s="153"/>
      <c r="Q1028" s="153"/>
      <c r="R1028" s="153"/>
      <c r="S1028" s="153"/>
      <c r="T1028" s="153"/>
      <c r="U1028" s="153"/>
      <c r="V1028" s="153"/>
      <c r="W1028" s="153"/>
    </row>
    <row r="1029" spans="2:23" s="14" customFormat="1" x14ac:dyDescent="0.25">
      <c r="B1029" s="13"/>
      <c r="C1029" s="153"/>
      <c r="D1029" s="153"/>
      <c r="E1029" s="153"/>
      <c r="F1029" s="153"/>
      <c r="G1029" s="153"/>
      <c r="H1029" s="153"/>
      <c r="I1029" s="153"/>
      <c r="J1029" s="157"/>
      <c r="K1029" s="157"/>
      <c r="L1029" s="157"/>
      <c r="M1029" s="157"/>
      <c r="N1029" s="153"/>
      <c r="O1029" s="153"/>
      <c r="P1029" s="153"/>
      <c r="Q1029" s="153"/>
      <c r="R1029" s="153"/>
      <c r="S1029" s="153"/>
      <c r="T1029" s="153"/>
      <c r="U1029" s="153"/>
      <c r="V1029" s="153"/>
      <c r="W1029" s="153"/>
    </row>
    <row r="1030" spans="2:23" s="14" customFormat="1" x14ac:dyDescent="0.25">
      <c r="B1030" s="13"/>
      <c r="C1030" s="153"/>
      <c r="D1030" s="153"/>
      <c r="E1030" s="153"/>
      <c r="F1030" s="153"/>
      <c r="G1030" s="153"/>
      <c r="H1030" s="153"/>
      <c r="I1030" s="153"/>
      <c r="J1030" s="157"/>
      <c r="K1030" s="157"/>
      <c r="L1030" s="157"/>
      <c r="M1030" s="157"/>
      <c r="N1030" s="153"/>
      <c r="O1030" s="153"/>
      <c r="P1030" s="153"/>
      <c r="Q1030" s="153"/>
      <c r="R1030" s="153"/>
      <c r="S1030" s="153"/>
      <c r="T1030" s="153"/>
      <c r="U1030" s="153"/>
      <c r="V1030" s="153"/>
      <c r="W1030" s="153"/>
    </row>
    <row r="1031" spans="2:23" s="14" customFormat="1" x14ac:dyDescent="0.25">
      <c r="B1031" s="13"/>
      <c r="C1031" s="153"/>
      <c r="D1031" s="153"/>
      <c r="E1031" s="153"/>
      <c r="F1031" s="153"/>
      <c r="G1031" s="153"/>
      <c r="H1031" s="153"/>
      <c r="I1031" s="153"/>
      <c r="J1031" s="157"/>
      <c r="K1031" s="157"/>
      <c r="L1031" s="157"/>
      <c r="M1031" s="157"/>
      <c r="N1031" s="153"/>
      <c r="O1031" s="153"/>
      <c r="P1031" s="153"/>
      <c r="Q1031" s="153"/>
      <c r="R1031" s="153"/>
      <c r="S1031" s="153"/>
      <c r="T1031" s="153"/>
      <c r="U1031" s="153"/>
      <c r="V1031" s="153"/>
      <c r="W1031" s="153"/>
    </row>
    <row r="1032" spans="2:23" s="14" customFormat="1" x14ac:dyDescent="0.25">
      <c r="B1032" s="13"/>
      <c r="C1032" s="153"/>
      <c r="D1032" s="153"/>
      <c r="E1032" s="153"/>
      <c r="F1032" s="153"/>
      <c r="G1032" s="153"/>
      <c r="H1032" s="153"/>
      <c r="I1032" s="153"/>
      <c r="J1032" s="157"/>
      <c r="K1032" s="157"/>
      <c r="L1032" s="157"/>
      <c r="M1032" s="157"/>
      <c r="N1032" s="153"/>
      <c r="O1032" s="153"/>
      <c r="P1032" s="153"/>
      <c r="Q1032" s="153"/>
      <c r="R1032" s="153"/>
      <c r="S1032" s="153"/>
      <c r="T1032" s="153"/>
      <c r="U1032" s="153"/>
      <c r="V1032" s="153"/>
      <c r="W1032" s="153"/>
    </row>
    <row r="1033" spans="2:23" s="14" customFormat="1" x14ac:dyDescent="0.25">
      <c r="B1033" s="13"/>
      <c r="C1033" s="153"/>
      <c r="D1033" s="153"/>
      <c r="E1033" s="153"/>
      <c r="F1033" s="153"/>
      <c r="G1033" s="153"/>
      <c r="H1033" s="153"/>
      <c r="I1033" s="153"/>
      <c r="J1033" s="157"/>
      <c r="K1033" s="157"/>
      <c r="L1033" s="157"/>
      <c r="M1033" s="157"/>
      <c r="N1033" s="153"/>
      <c r="O1033" s="153"/>
      <c r="P1033" s="153"/>
      <c r="Q1033" s="153"/>
      <c r="R1033" s="153"/>
      <c r="S1033" s="153"/>
      <c r="T1033" s="153"/>
      <c r="U1033" s="153"/>
      <c r="V1033" s="153"/>
      <c r="W1033" s="153"/>
    </row>
    <row r="1034" spans="2:23" s="14" customFormat="1" x14ac:dyDescent="0.25">
      <c r="B1034" s="13"/>
      <c r="C1034" s="153"/>
      <c r="D1034" s="153"/>
      <c r="E1034" s="153"/>
      <c r="F1034" s="153"/>
      <c r="G1034" s="153"/>
      <c r="H1034" s="153"/>
      <c r="I1034" s="153"/>
      <c r="J1034" s="157"/>
      <c r="K1034" s="157"/>
      <c r="L1034" s="157"/>
      <c r="M1034" s="157"/>
      <c r="N1034" s="153"/>
      <c r="O1034" s="153"/>
      <c r="P1034" s="153"/>
      <c r="Q1034" s="153"/>
      <c r="R1034" s="153"/>
      <c r="S1034" s="153"/>
      <c r="T1034" s="153"/>
      <c r="U1034" s="153"/>
      <c r="V1034" s="153"/>
      <c r="W1034" s="153"/>
    </row>
    <row r="1035" spans="2:23" s="14" customFormat="1" x14ac:dyDescent="0.25">
      <c r="B1035" s="13"/>
      <c r="C1035" s="153"/>
      <c r="D1035" s="153"/>
      <c r="E1035" s="153"/>
      <c r="F1035" s="153"/>
      <c r="G1035" s="153"/>
      <c r="H1035" s="153"/>
      <c r="I1035" s="153"/>
      <c r="J1035" s="157"/>
      <c r="K1035" s="157"/>
      <c r="L1035" s="157"/>
      <c r="M1035" s="157"/>
      <c r="N1035" s="153"/>
      <c r="O1035" s="153"/>
      <c r="P1035" s="153"/>
      <c r="Q1035" s="153"/>
      <c r="R1035" s="153"/>
      <c r="S1035" s="153"/>
      <c r="T1035" s="153"/>
      <c r="U1035" s="153"/>
      <c r="V1035" s="153"/>
      <c r="W1035" s="153"/>
    </row>
    <row r="1036" spans="2:23" s="14" customFormat="1" x14ac:dyDescent="0.25">
      <c r="B1036" s="13"/>
      <c r="C1036" s="153"/>
      <c r="D1036" s="153"/>
      <c r="E1036" s="153"/>
      <c r="F1036" s="153"/>
      <c r="G1036" s="153"/>
      <c r="H1036" s="153"/>
      <c r="I1036" s="153"/>
      <c r="J1036" s="157"/>
      <c r="K1036" s="157"/>
      <c r="L1036" s="157"/>
      <c r="M1036" s="157"/>
      <c r="N1036" s="153"/>
      <c r="O1036" s="153"/>
      <c r="P1036" s="153"/>
      <c r="Q1036" s="153"/>
      <c r="R1036" s="153"/>
      <c r="S1036" s="153"/>
      <c r="T1036" s="153"/>
      <c r="U1036" s="153"/>
      <c r="V1036" s="153"/>
      <c r="W1036" s="153"/>
    </row>
    <row r="1037" spans="2:23" s="14" customFormat="1" x14ac:dyDescent="0.25">
      <c r="B1037" s="13"/>
      <c r="C1037" s="153"/>
      <c r="D1037" s="153"/>
      <c r="E1037" s="153"/>
      <c r="F1037" s="153"/>
      <c r="G1037" s="153"/>
      <c r="H1037" s="153"/>
      <c r="I1037" s="153"/>
      <c r="J1037" s="157"/>
      <c r="K1037" s="157"/>
      <c r="L1037" s="157"/>
      <c r="M1037" s="157"/>
      <c r="N1037" s="153"/>
      <c r="O1037" s="153"/>
      <c r="P1037" s="153"/>
      <c r="Q1037" s="153"/>
      <c r="R1037" s="153"/>
      <c r="S1037" s="153"/>
      <c r="T1037" s="153"/>
      <c r="U1037" s="153"/>
      <c r="V1037" s="153"/>
      <c r="W1037" s="153"/>
    </row>
    <row r="1038" spans="2:23" s="14" customFormat="1" x14ac:dyDescent="0.25">
      <c r="B1038" s="13"/>
      <c r="C1038" s="153"/>
      <c r="D1038" s="153"/>
      <c r="E1038" s="153"/>
      <c r="F1038" s="153"/>
      <c r="G1038" s="153"/>
      <c r="H1038" s="153"/>
      <c r="I1038" s="153"/>
      <c r="J1038" s="157"/>
      <c r="K1038" s="157"/>
      <c r="L1038" s="157"/>
      <c r="M1038" s="157"/>
      <c r="N1038" s="153"/>
      <c r="O1038" s="153"/>
      <c r="P1038" s="153"/>
      <c r="Q1038" s="153"/>
      <c r="R1038" s="153"/>
      <c r="S1038" s="153"/>
      <c r="T1038" s="153"/>
      <c r="U1038" s="153"/>
      <c r="V1038" s="153"/>
      <c r="W1038" s="153"/>
    </row>
    <row r="1039" spans="2:23" s="14" customFormat="1" x14ac:dyDescent="0.25">
      <c r="B1039" s="13"/>
      <c r="C1039" s="153"/>
      <c r="D1039" s="153"/>
      <c r="E1039" s="153"/>
      <c r="F1039" s="153"/>
      <c r="G1039" s="153"/>
      <c r="H1039" s="153"/>
      <c r="I1039" s="153"/>
      <c r="J1039" s="157"/>
      <c r="K1039" s="157"/>
      <c r="L1039" s="157"/>
      <c r="M1039" s="157"/>
      <c r="N1039" s="153"/>
      <c r="O1039" s="153"/>
      <c r="P1039" s="153"/>
      <c r="Q1039" s="153"/>
      <c r="R1039" s="153"/>
      <c r="S1039" s="153"/>
      <c r="T1039" s="153"/>
      <c r="U1039" s="153"/>
      <c r="V1039" s="153"/>
      <c r="W1039" s="153"/>
    </row>
    <row r="1040" spans="2:23" s="14" customFormat="1" x14ac:dyDescent="0.25">
      <c r="B1040" s="13"/>
      <c r="C1040" s="153"/>
      <c r="D1040" s="153"/>
      <c r="E1040" s="153"/>
      <c r="F1040" s="153"/>
      <c r="G1040" s="153"/>
      <c r="H1040" s="153"/>
      <c r="I1040" s="153"/>
      <c r="J1040" s="157"/>
      <c r="K1040" s="157"/>
      <c r="L1040" s="157"/>
      <c r="M1040" s="157"/>
      <c r="N1040" s="153"/>
      <c r="O1040" s="153"/>
      <c r="P1040" s="153"/>
      <c r="Q1040" s="153"/>
      <c r="R1040" s="153"/>
      <c r="S1040" s="153"/>
      <c r="T1040" s="153"/>
      <c r="U1040" s="153"/>
      <c r="V1040" s="153"/>
      <c r="W1040" s="153"/>
    </row>
    <row r="1041" spans="2:23" s="14" customFormat="1" x14ac:dyDescent="0.25">
      <c r="B1041" s="13"/>
      <c r="C1041" s="153"/>
      <c r="D1041" s="153"/>
      <c r="E1041" s="153"/>
      <c r="F1041" s="153"/>
      <c r="G1041" s="153"/>
      <c r="H1041" s="153"/>
      <c r="I1041" s="153"/>
      <c r="J1041" s="157"/>
      <c r="K1041" s="157"/>
      <c r="L1041" s="157"/>
      <c r="M1041" s="157"/>
      <c r="N1041" s="153"/>
      <c r="O1041" s="153"/>
      <c r="P1041" s="153"/>
      <c r="Q1041" s="153"/>
      <c r="R1041" s="153"/>
      <c r="S1041" s="153"/>
      <c r="T1041" s="153"/>
      <c r="U1041" s="153"/>
      <c r="V1041" s="153"/>
      <c r="W1041" s="153"/>
    </row>
    <row r="1042" spans="2:23" s="14" customFormat="1" x14ac:dyDescent="0.25">
      <c r="B1042" s="13"/>
      <c r="C1042" s="153"/>
      <c r="D1042" s="153"/>
      <c r="E1042" s="153"/>
      <c r="F1042" s="153"/>
      <c r="G1042" s="153"/>
      <c r="H1042" s="153"/>
      <c r="I1042" s="153"/>
      <c r="J1042" s="157"/>
      <c r="K1042" s="157"/>
      <c r="L1042" s="157"/>
      <c r="M1042" s="157"/>
      <c r="N1042" s="153"/>
      <c r="O1042" s="153"/>
      <c r="P1042" s="153"/>
      <c r="Q1042" s="153"/>
      <c r="R1042" s="153"/>
      <c r="S1042" s="153"/>
      <c r="T1042" s="153"/>
      <c r="U1042" s="153"/>
      <c r="V1042" s="153"/>
      <c r="W1042" s="153"/>
    </row>
    <row r="1043" spans="2:23" s="14" customFormat="1" x14ac:dyDescent="0.25">
      <c r="B1043" s="13"/>
      <c r="C1043" s="153"/>
      <c r="D1043" s="153"/>
      <c r="E1043" s="153"/>
      <c r="F1043" s="153"/>
      <c r="G1043" s="153"/>
      <c r="H1043" s="153"/>
      <c r="I1043" s="153"/>
      <c r="J1043" s="157"/>
      <c r="K1043" s="157"/>
      <c r="L1043" s="157"/>
      <c r="M1043" s="157"/>
      <c r="N1043" s="153"/>
      <c r="O1043" s="153"/>
      <c r="P1043" s="153"/>
      <c r="Q1043" s="153"/>
      <c r="R1043" s="153"/>
      <c r="S1043" s="153"/>
      <c r="T1043" s="153"/>
      <c r="U1043" s="153"/>
      <c r="V1043" s="153"/>
      <c r="W1043" s="153"/>
    </row>
    <row r="1044" spans="2:23" s="14" customFormat="1" x14ac:dyDescent="0.25">
      <c r="B1044" s="13"/>
      <c r="C1044" s="153"/>
      <c r="D1044" s="153"/>
      <c r="E1044" s="153"/>
      <c r="F1044" s="153"/>
      <c r="G1044" s="153"/>
      <c r="H1044" s="153"/>
      <c r="I1044" s="153"/>
      <c r="J1044" s="157"/>
      <c r="K1044" s="157"/>
      <c r="L1044" s="157"/>
      <c r="M1044" s="157"/>
      <c r="N1044" s="153"/>
      <c r="O1044" s="153"/>
      <c r="P1044" s="153"/>
      <c r="Q1044" s="153"/>
      <c r="R1044" s="153"/>
      <c r="S1044" s="153"/>
      <c r="T1044" s="153"/>
      <c r="U1044" s="153"/>
      <c r="V1044" s="153"/>
      <c r="W1044" s="153"/>
    </row>
    <row r="1045" spans="2:23" s="14" customFormat="1" x14ac:dyDescent="0.25">
      <c r="B1045" s="13"/>
      <c r="C1045" s="153"/>
      <c r="D1045" s="153"/>
      <c r="E1045" s="153"/>
      <c r="F1045" s="153"/>
      <c r="G1045" s="153"/>
      <c r="H1045" s="153"/>
      <c r="I1045" s="153"/>
      <c r="J1045" s="157"/>
      <c r="K1045" s="157"/>
      <c r="L1045" s="157"/>
      <c r="M1045" s="157"/>
      <c r="N1045" s="153"/>
      <c r="O1045" s="153"/>
      <c r="P1045" s="153"/>
      <c r="Q1045" s="153"/>
      <c r="R1045" s="153"/>
      <c r="S1045" s="153"/>
      <c r="T1045" s="153"/>
      <c r="U1045" s="153"/>
      <c r="V1045" s="153"/>
      <c r="W1045" s="153"/>
    </row>
    <row r="1046" spans="2:23" s="14" customFormat="1" x14ac:dyDescent="0.25">
      <c r="B1046" s="13"/>
      <c r="C1046" s="153"/>
      <c r="D1046" s="153"/>
      <c r="E1046" s="153"/>
      <c r="F1046" s="153"/>
      <c r="G1046" s="153"/>
      <c r="H1046" s="153"/>
      <c r="I1046" s="153"/>
      <c r="J1046" s="157"/>
      <c r="K1046" s="157"/>
      <c r="L1046" s="157"/>
      <c r="M1046" s="157"/>
      <c r="N1046" s="153"/>
      <c r="O1046" s="153"/>
      <c r="P1046" s="153"/>
      <c r="Q1046" s="153"/>
      <c r="R1046" s="153"/>
      <c r="S1046" s="153"/>
      <c r="T1046" s="153"/>
      <c r="U1046" s="153"/>
      <c r="V1046" s="153"/>
      <c r="W1046" s="153"/>
    </row>
    <row r="1047" spans="2:23" s="14" customFormat="1" x14ac:dyDescent="0.25">
      <c r="B1047" s="13"/>
      <c r="C1047" s="153"/>
      <c r="D1047" s="153"/>
      <c r="E1047" s="153"/>
      <c r="F1047" s="153"/>
      <c r="G1047" s="153"/>
      <c r="H1047" s="153"/>
      <c r="I1047" s="153"/>
      <c r="J1047" s="157"/>
      <c r="K1047" s="157"/>
      <c r="L1047" s="157"/>
      <c r="M1047" s="157"/>
      <c r="N1047" s="153"/>
      <c r="O1047" s="153"/>
      <c r="P1047" s="153"/>
      <c r="Q1047" s="153"/>
      <c r="R1047" s="153"/>
      <c r="S1047" s="153"/>
      <c r="T1047" s="153"/>
      <c r="U1047" s="153"/>
      <c r="V1047" s="153"/>
      <c r="W1047" s="153"/>
    </row>
    <row r="1048" spans="2:23" s="14" customFormat="1" x14ac:dyDescent="0.25">
      <c r="B1048" s="13"/>
      <c r="C1048" s="153"/>
      <c r="D1048" s="153"/>
      <c r="E1048" s="153"/>
      <c r="F1048" s="153"/>
      <c r="G1048" s="153"/>
      <c r="H1048" s="153"/>
      <c r="I1048" s="153"/>
      <c r="J1048" s="157"/>
      <c r="K1048" s="157"/>
      <c r="L1048" s="157"/>
      <c r="M1048" s="157"/>
      <c r="N1048" s="153"/>
      <c r="O1048" s="153"/>
      <c r="P1048" s="153"/>
      <c r="Q1048" s="153"/>
      <c r="R1048" s="153"/>
      <c r="S1048" s="153"/>
      <c r="T1048" s="153"/>
      <c r="U1048" s="153"/>
      <c r="V1048" s="153"/>
      <c r="W1048" s="153"/>
    </row>
    <row r="1049" spans="2:23" s="14" customFormat="1" x14ac:dyDescent="0.25">
      <c r="B1049" s="13"/>
      <c r="C1049" s="153"/>
      <c r="D1049" s="153"/>
      <c r="E1049" s="153"/>
      <c r="F1049" s="153"/>
      <c r="G1049" s="153"/>
      <c r="H1049" s="153"/>
      <c r="I1049" s="153"/>
      <c r="J1049" s="157"/>
      <c r="K1049" s="157"/>
      <c r="L1049" s="157"/>
      <c r="M1049" s="157"/>
      <c r="N1049" s="153"/>
      <c r="O1049" s="153"/>
      <c r="P1049" s="153"/>
      <c r="Q1049" s="153"/>
      <c r="R1049" s="153"/>
      <c r="S1049" s="153"/>
      <c r="T1049" s="153"/>
      <c r="U1049" s="153"/>
      <c r="V1049" s="153"/>
      <c r="W1049" s="153"/>
    </row>
    <row r="1050" spans="2:23" s="14" customFormat="1" x14ac:dyDescent="0.25">
      <c r="B1050" s="13"/>
      <c r="C1050" s="153"/>
      <c r="D1050" s="153"/>
      <c r="E1050" s="153"/>
      <c r="F1050" s="153"/>
      <c r="G1050" s="153"/>
      <c r="H1050" s="153"/>
      <c r="I1050" s="153"/>
      <c r="J1050" s="157"/>
      <c r="K1050" s="157"/>
      <c r="L1050" s="157"/>
      <c r="M1050" s="157"/>
      <c r="N1050" s="153"/>
      <c r="O1050" s="153"/>
      <c r="P1050" s="153"/>
      <c r="Q1050" s="153"/>
      <c r="R1050" s="153"/>
      <c r="S1050" s="153"/>
      <c r="T1050" s="153"/>
      <c r="U1050" s="153"/>
      <c r="V1050" s="153"/>
      <c r="W1050" s="153"/>
    </row>
    <row r="1051" spans="2:23" s="14" customFormat="1" x14ac:dyDescent="0.25">
      <c r="B1051" s="13"/>
      <c r="C1051" s="153"/>
      <c r="D1051" s="153"/>
      <c r="E1051" s="153"/>
      <c r="F1051" s="153"/>
      <c r="G1051" s="153"/>
      <c r="H1051" s="153"/>
      <c r="I1051" s="153"/>
      <c r="J1051" s="157"/>
      <c r="K1051" s="157"/>
      <c r="L1051" s="157"/>
      <c r="M1051" s="157"/>
      <c r="N1051" s="153"/>
      <c r="O1051" s="153"/>
      <c r="P1051" s="153"/>
      <c r="Q1051" s="153"/>
      <c r="R1051" s="153"/>
      <c r="S1051" s="153"/>
      <c r="T1051" s="153"/>
      <c r="U1051" s="153"/>
      <c r="V1051" s="153"/>
      <c r="W1051" s="153"/>
    </row>
    <row r="1052" spans="2:23" s="14" customFormat="1" x14ac:dyDescent="0.25">
      <c r="B1052" s="13"/>
      <c r="C1052" s="153"/>
      <c r="D1052" s="153"/>
      <c r="E1052" s="153"/>
      <c r="F1052" s="153"/>
      <c r="G1052" s="153"/>
      <c r="H1052" s="153"/>
      <c r="I1052" s="153"/>
      <c r="J1052" s="157"/>
      <c r="K1052" s="157"/>
      <c r="L1052" s="157"/>
      <c r="M1052" s="157"/>
      <c r="N1052" s="153"/>
      <c r="O1052" s="153"/>
      <c r="P1052" s="153"/>
      <c r="Q1052" s="153"/>
      <c r="R1052" s="153"/>
      <c r="S1052" s="153"/>
      <c r="T1052" s="153"/>
      <c r="U1052" s="153"/>
      <c r="V1052" s="153"/>
      <c r="W1052" s="153"/>
    </row>
    <row r="1053" spans="2:23" s="14" customFormat="1" x14ac:dyDescent="0.25">
      <c r="B1053" s="13"/>
      <c r="C1053" s="153"/>
      <c r="D1053" s="153"/>
      <c r="E1053" s="153"/>
      <c r="F1053" s="153"/>
      <c r="G1053" s="153"/>
      <c r="H1053" s="153"/>
      <c r="I1053" s="153"/>
      <c r="J1053" s="157"/>
      <c r="K1053" s="157"/>
      <c r="L1053" s="157"/>
      <c r="M1053" s="157"/>
      <c r="N1053" s="153"/>
      <c r="O1053" s="153"/>
      <c r="P1053" s="153"/>
      <c r="Q1053" s="153"/>
      <c r="R1053" s="153"/>
      <c r="S1053" s="153"/>
      <c r="T1053" s="153"/>
      <c r="U1053" s="153"/>
      <c r="V1053" s="153"/>
      <c r="W1053" s="153"/>
    </row>
    <row r="1054" spans="2:23" s="14" customFormat="1" x14ac:dyDescent="0.25">
      <c r="B1054" s="13"/>
      <c r="C1054" s="153"/>
      <c r="D1054" s="153"/>
      <c r="E1054" s="153"/>
      <c r="F1054" s="153"/>
      <c r="G1054" s="153"/>
      <c r="H1054" s="153"/>
      <c r="I1054" s="153"/>
      <c r="J1054" s="157"/>
      <c r="K1054" s="157"/>
      <c r="L1054" s="157"/>
      <c r="M1054" s="157"/>
      <c r="N1054" s="153"/>
      <c r="O1054" s="153"/>
      <c r="P1054" s="153"/>
      <c r="Q1054" s="153"/>
      <c r="R1054" s="153"/>
      <c r="S1054" s="153"/>
      <c r="T1054" s="153"/>
      <c r="U1054" s="153"/>
      <c r="V1054" s="153"/>
      <c r="W1054" s="153"/>
    </row>
    <row r="1055" spans="2:23" s="14" customFormat="1" x14ac:dyDescent="0.25">
      <c r="B1055" s="13"/>
      <c r="C1055" s="153"/>
      <c r="D1055" s="153"/>
      <c r="E1055" s="153"/>
      <c r="F1055" s="153"/>
      <c r="G1055" s="153"/>
      <c r="H1055" s="153"/>
      <c r="I1055" s="153"/>
      <c r="J1055" s="157"/>
      <c r="K1055" s="157"/>
      <c r="L1055" s="157"/>
      <c r="M1055" s="157"/>
      <c r="N1055" s="153"/>
      <c r="O1055" s="153"/>
      <c r="P1055" s="153"/>
      <c r="Q1055" s="153"/>
      <c r="R1055" s="153"/>
      <c r="S1055" s="153"/>
      <c r="T1055" s="153"/>
      <c r="U1055" s="153"/>
      <c r="V1055" s="153"/>
      <c r="W1055" s="153"/>
    </row>
    <row r="1056" spans="2:23" s="14" customFormat="1" x14ac:dyDescent="0.25">
      <c r="B1056" s="13"/>
      <c r="C1056" s="153"/>
      <c r="D1056" s="153"/>
      <c r="E1056" s="153"/>
      <c r="F1056" s="153"/>
      <c r="G1056" s="153"/>
      <c r="H1056" s="153"/>
      <c r="I1056" s="153"/>
      <c r="J1056" s="157"/>
      <c r="K1056" s="157"/>
      <c r="L1056" s="157"/>
      <c r="M1056" s="157"/>
      <c r="N1056" s="153"/>
      <c r="O1056" s="153"/>
      <c r="P1056" s="153"/>
      <c r="Q1056" s="153"/>
      <c r="R1056" s="153"/>
      <c r="S1056" s="153"/>
      <c r="T1056" s="153"/>
      <c r="U1056" s="153"/>
      <c r="V1056" s="153"/>
      <c r="W1056" s="153"/>
    </row>
    <row r="1057" spans="2:23" s="14" customFormat="1" x14ac:dyDescent="0.25">
      <c r="B1057" s="13"/>
      <c r="C1057" s="153"/>
      <c r="D1057" s="153"/>
      <c r="E1057" s="153"/>
      <c r="F1057" s="153"/>
      <c r="G1057" s="153"/>
      <c r="H1057" s="153"/>
      <c r="I1057" s="153"/>
      <c r="J1057" s="157"/>
      <c r="K1057" s="157"/>
      <c r="L1057" s="157"/>
      <c r="M1057" s="157"/>
      <c r="N1057" s="153"/>
      <c r="O1057" s="153"/>
      <c r="P1057" s="153"/>
      <c r="Q1057" s="153"/>
      <c r="R1057" s="153"/>
      <c r="S1057" s="153"/>
      <c r="T1057" s="153"/>
      <c r="U1057" s="153"/>
      <c r="V1057" s="153"/>
      <c r="W1057" s="153"/>
    </row>
    <row r="1058" spans="2:23" s="14" customFormat="1" x14ac:dyDescent="0.25">
      <c r="B1058" s="13"/>
      <c r="C1058" s="153"/>
      <c r="D1058" s="153"/>
      <c r="E1058" s="153"/>
      <c r="F1058" s="153"/>
      <c r="G1058" s="153"/>
      <c r="H1058" s="153"/>
      <c r="I1058" s="153"/>
      <c r="J1058" s="157"/>
      <c r="K1058" s="157"/>
      <c r="L1058" s="157"/>
      <c r="M1058" s="157"/>
      <c r="N1058" s="153"/>
      <c r="O1058" s="153"/>
      <c r="P1058" s="153"/>
      <c r="Q1058" s="153"/>
      <c r="R1058" s="153"/>
      <c r="S1058" s="153"/>
      <c r="T1058" s="153"/>
      <c r="U1058" s="153"/>
      <c r="V1058" s="153"/>
      <c r="W1058" s="153"/>
    </row>
    <row r="1059" spans="2:23" s="14" customFormat="1" x14ac:dyDescent="0.25">
      <c r="B1059" s="13"/>
      <c r="C1059" s="153"/>
      <c r="D1059" s="153"/>
      <c r="E1059" s="153"/>
      <c r="F1059" s="153"/>
      <c r="G1059" s="153"/>
      <c r="H1059" s="153"/>
      <c r="I1059" s="153"/>
      <c r="J1059" s="157"/>
      <c r="K1059" s="157"/>
      <c r="L1059" s="157"/>
      <c r="M1059" s="157"/>
      <c r="N1059" s="153"/>
      <c r="O1059" s="153"/>
      <c r="P1059" s="153"/>
      <c r="Q1059" s="153"/>
      <c r="R1059" s="153"/>
      <c r="S1059" s="153"/>
      <c r="T1059" s="153"/>
      <c r="U1059" s="153"/>
      <c r="V1059" s="153"/>
      <c r="W1059" s="153"/>
    </row>
    <row r="1060" spans="2:23" s="14" customFormat="1" x14ac:dyDescent="0.25">
      <c r="B1060" s="13"/>
      <c r="C1060" s="153"/>
      <c r="D1060" s="153"/>
      <c r="E1060" s="153"/>
      <c r="F1060" s="153"/>
      <c r="G1060" s="153"/>
      <c r="H1060" s="153"/>
      <c r="I1060" s="153"/>
      <c r="J1060" s="157"/>
      <c r="K1060" s="157"/>
      <c r="L1060" s="157"/>
      <c r="M1060" s="157"/>
      <c r="N1060" s="153"/>
      <c r="O1060" s="153"/>
      <c r="P1060" s="153"/>
      <c r="Q1060" s="153"/>
      <c r="R1060" s="153"/>
      <c r="S1060" s="153"/>
      <c r="T1060" s="153"/>
      <c r="U1060" s="153"/>
      <c r="V1060" s="153"/>
      <c r="W1060" s="153"/>
    </row>
    <row r="1061" spans="2:23" s="14" customFormat="1" x14ac:dyDescent="0.25">
      <c r="B1061" s="13"/>
      <c r="C1061" s="153"/>
      <c r="D1061" s="153"/>
      <c r="E1061" s="153"/>
      <c r="F1061" s="153"/>
      <c r="G1061" s="153"/>
      <c r="H1061" s="153"/>
      <c r="I1061" s="153"/>
      <c r="J1061" s="157"/>
      <c r="K1061" s="157"/>
      <c r="L1061" s="157"/>
      <c r="M1061" s="157"/>
      <c r="N1061" s="153"/>
      <c r="O1061" s="153"/>
      <c r="P1061" s="153"/>
      <c r="Q1061" s="153"/>
      <c r="R1061" s="153"/>
      <c r="S1061" s="153"/>
      <c r="T1061" s="153"/>
      <c r="U1061" s="153"/>
      <c r="V1061" s="153"/>
      <c r="W1061" s="153"/>
    </row>
    <row r="1062" spans="2:23" s="14" customFormat="1" x14ac:dyDescent="0.25">
      <c r="B1062" s="13"/>
      <c r="C1062" s="153"/>
      <c r="D1062" s="153"/>
      <c r="E1062" s="153"/>
      <c r="F1062" s="153"/>
      <c r="G1062" s="153"/>
      <c r="H1062" s="153"/>
      <c r="I1062" s="153"/>
      <c r="J1062" s="157"/>
      <c r="K1062" s="157"/>
      <c r="L1062" s="157"/>
      <c r="M1062" s="157"/>
      <c r="N1062" s="153"/>
      <c r="O1062" s="153"/>
      <c r="P1062" s="153"/>
      <c r="Q1062" s="153"/>
      <c r="R1062" s="153"/>
      <c r="S1062" s="153"/>
      <c r="T1062" s="153"/>
      <c r="U1062" s="153"/>
      <c r="V1062" s="153"/>
      <c r="W1062" s="153"/>
    </row>
    <row r="1063" spans="2:23" s="14" customFormat="1" x14ac:dyDescent="0.25">
      <c r="B1063" s="13"/>
      <c r="C1063" s="153"/>
      <c r="D1063" s="153"/>
      <c r="E1063" s="153"/>
      <c r="F1063" s="153"/>
      <c r="G1063" s="153"/>
      <c r="H1063" s="153"/>
      <c r="I1063" s="153"/>
      <c r="J1063" s="157"/>
      <c r="K1063" s="157"/>
      <c r="L1063" s="157"/>
      <c r="M1063" s="157"/>
      <c r="N1063" s="153"/>
      <c r="O1063" s="153"/>
      <c r="P1063" s="153"/>
      <c r="Q1063" s="153"/>
      <c r="R1063" s="153"/>
      <c r="S1063" s="153"/>
      <c r="T1063" s="153"/>
      <c r="U1063" s="153"/>
      <c r="V1063" s="153"/>
      <c r="W1063" s="153"/>
    </row>
    <row r="1064" spans="2:23" s="14" customFormat="1" x14ac:dyDescent="0.25">
      <c r="B1064" s="13"/>
      <c r="C1064" s="153"/>
      <c r="D1064" s="153"/>
      <c r="E1064" s="153"/>
      <c r="F1064" s="153"/>
      <c r="G1064" s="153"/>
      <c r="H1064" s="153"/>
      <c r="I1064" s="153"/>
      <c r="J1064" s="157"/>
      <c r="K1064" s="157"/>
      <c r="L1064" s="157"/>
      <c r="M1064" s="157"/>
      <c r="N1064" s="153"/>
      <c r="O1064" s="153"/>
      <c r="P1064" s="153"/>
      <c r="Q1064" s="153"/>
      <c r="R1064" s="153"/>
      <c r="S1064" s="153"/>
      <c r="T1064" s="153"/>
      <c r="U1064" s="153"/>
      <c r="V1064" s="153"/>
      <c r="W1064" s="153"/>
    </row>
    <row r="1065" spans="2:23" s="14" customFormat="1" x14ac:dyDescent="0.25">
      <c r="B1065" s="13"/>
      <c r="C1065" s="153"/>
      <c r="D1065" s="153"/>
      <c r="E1065" s="153"/>
      <c r="F1065" s="153"/>
      <c r="G1065" s="153"/>
      <c r="H1065" s="153"/>
      <c r="I1065" s="153"/>
      <c r="J1065" s="157"/>
      <c r="K1065" s="157"/>
      <c r="L1065" s="157"/>
      <c r="M1065" s="157"/>
      <c r="N1065" s="153"/>
      <c r="O1065" s="153"/>
      <c r="P1065" s="153"/>
      <c r="Q1065" s="153"/>
      <c r="R1065" s="153"/>
      <c r="S1065" s="153"/>
      <c r="T1065" s="153"/>
      <c r="U1065" s="153"/>
      <c r="V1065" s="153"/>
      <c r="W1065" s="153"/>
    </row>
    <row r="1066" spans="2:23" s="14" customFormat="1" x14ac:dyDescent="0.25">
      <c r="B1066" s="13"/>
      <c r="C1066" s="153"/>
      <c r="D1066" s="153"/>
      <c r="E1066" s="153"/>
      <c r="F1066" s="153"/>
      <c r="G1066" s="153"/>
      <c r="H1066" s="153"/>
      <c r="I1066" s="153"/>
      <c r="J1066" s="157"/>
      <c r="K1066" s="157"/>
      <c r="L1066" s="157"/>
      <c r="M1066" s="157"/>
      <c r="N1066" s="153"/>
      <c r="O1066" s="153"/>
      <c r="P1066" s="153"/>
      <c r="Q1066" s="153"/>
      <c r="R1066" s="153"/>
      <c r="S1066" s="153"/>
      <c r="T1066" s="153"/>
      <c r="U1066" s="153"/>
      <c r="V1066" s="153"/>
      <c r="W1066" s="153"/>
    </row>
    <row r="1067" spans="2:23" s="14" customFormat="1" x14ac:dyDescent="0.25">
      <c r="B1067" s="13"/>
      <c r="C1067" s="153"/>
      <c r="D1067" s="153"/>
      <c r="E1067" s="153"/>
      <c r="F1067" s="153"/>
      <c r="G1067" s="153"/>
      <c r="H1067" s="153"/>
      <c r="I1067" s="153"/>
      <c r="J1067" s="157"/>
      <c r="K1067" s="157"/>
      <c r="L1067" s="157"/>
      <c r="M1067" s="157"/>
      <c r="N1067" s="153"/>
      <c r="O1067" s="153"/>
      <c r="P1067" s="153"/>
      <c r="Q1067" s="153"/>
      <c r="R1067" s="153"/>
      <c r="S1067" s="153"/>
      <c r="T1067" s="153"/>
      <c r="U1067" s="153"/>
      <c r="V1067" s="153"/>
      <c r="W1067" s="153"/>
    </row>
    <row r="1068" spans="2:23" s="14" customFormat="1" x14ac:dyDescent="0.25">
      <c r="B1068" s="13"/>
      <c r="C1068" s="153"/>
      <c r="D1068" s="153"/>
      <c r="E1068" s="153"/>
      <c r="F1068" s="153"/>
      <c r="G1068" s="153"/>
      <c r="H1068" s="153"/>
      <c r="I1068" s="153"/>
      <c r="J1068" s="157"/>
      <c r="K1068" s="157"/>
      <c r="L1068" s="157"/>
      <c r="M1068" s="157"/>
      <c r="N1068" s="153"/>
      <c r="O1068" s="153"/>
      <c r="P1068" s="153"/>
      <c r="Q1068" s="153"/>
      <c r="R1068" s="153"/>
      <c r="S1068" s="153"/>
      <c r="T1068" s="153"/>
      <c r="U1068" s="153"/>
      <c r="V1068" s="153"/>
      <c r="W1068" s="153"/>
    </row>
    <row r="1069" spans="2:23" s="14" customFormat="1" x14ac:dyDescent="0.25">
      <c r="B1069" s="13"/>
      <c r="C1069" s="153"/>
      <c r="D1069" s="153"/>
      <c r="E1069" s="153"/>
      <c r="F1069" s="153"/>
      <c r="G1069" s="153"/>
      <c r="H1069" s="153"/>
      <c r="I1069" s="153"/>
      <c r="J1069" s="157"/>
      <c r="K1069" s="157"/>
      <c r="L1069" s="157"/>
      <c r="M1069" s="157"/>
      <c r="N1069" s="153"/>
      <c r="O1069" s="153"/>
      <c r="P1069" s="153"/>
      <c r="Q1069" s="153"/>
      <c r="R1069" s="153"/>
      <c r="S1069" s="153"/>
      <c r="T1069" s="153"/>
      <c r="U1069" s="153"/>
      <c r="V1069" s="153"/>
      <c r="W1069" s="153"/>
    </row>
    <row r="1070" spans="2:23" s="14" customFormat="1" x14ac:dyDescent="0.25">
      <c r="B1070" s="13"/>
      <c r="C1070" s="153"/>
      <c r="D1070" s="153"/>
      <c r="E1070" s="153"/>
      <c r="F1070" s="153"/>
      <c r="G1070" s="153"/>
      <c r="H1070" s="153"/>
      <c r="I1070" s="153"/>
      <c r="J1070" s="157"/>
      <c r="K1070" s="157"/>
      <c r="L1070" s="157"/>
      <c r="M1070" s="157"/>
      <c r="N1070" s="153"/>
      <c r="O1070" s="153"/>
      <c r="P1070" s="153"/>
      <c r="Q1070" s="153"/>
      <c r="R1070" s="153"/>
      <c r="S1070" s="153"/>
      <c r="T1070" s="153"/>
      <c r="U1070" s="153"/>
      <c r="V1070" s="153"/>
      <c r="W1070" s="153"/>
    </row>
    <row r="1071" spans="2:23" s="14" customFormat="1" x14ac:dyDescent="0.25">
      <c r="B1071" s="13"/>
      <c r="C1071" s="153"/>
      <c r="D1071" s="153"/>
      <c r="E1071" s="153"/>
      <c r="F1071" s="153"/>
      <c r="G1071" s="153"/>
      <c r="H1071" s="153"/>
      <c r="I1071" s="153"/>
      <c r="J1071" s="157"/>
      <c r="K1071" s="157"/>
      <c r="L1071" s="157"/>
      <c r="M1071" s="157"/>
      <c r="N1071" s="153"/>
      <c r="O1071" s="153"/>
      <c r="P1071" s="153"/>
      <c r="Q1071" s="153"/>
      <c r="R1071" s="153"/>
      <c r="S1071" s="153"/>
      <c r="T1071" s="153"/>
      <c r="U1071" s="153"/>
      <c r="V1071" s="153"/>
      <c r="W1071" s="153"/>
    </row>
    <row r="1072" spans="2:23" s="14" customFormat="1" x14ac:dyDescent="0.25">
      <c r="B1072" s="13"/>
      <c r="C1072" s="153"/>
      <c r="D1072" s="153"/>
      <c r="E1072" s="153"/>
      <c r="F1072" s="153"/>
      <c r="G1072" s="153"/>
      <c r="H1072" s="153"/>
      <c r="I1072" s="153"/>
      <c r="J1072" s="157"/>
      <c r="K1072" s="157"/>
      <c r="L1072" s="157"/>
      <c r="M1072" s="157"/>
      <c r="N1072" s="153"/>
      <c r="O1072" s="153"/>
      <c r="P1072" s="153"/>
      <c r="Q1072" s="153"/>
      <c r="R1072" s="153"/>
      <c r="S1072" s="153"/>
      <c r="T1072" s="153"/>
      <c r="U1072" s="153"/>
      <c r="V1072" s="153"/>
      <c r="W1072" s="153"/>
    </row>
    <row r="1073" spans="2:23" s="14" customFormat="1" x14ac:dyDescent="0.25">
      <c r="B1073" s="13"/>
      <c r="C1073" s="153"/>
      <c r="D1073" s="153"/>
      <c r="E1073" s="153"/>
      <c r="F1073" s="153"/>
      <c r="G1073" s="153"/>
      <c r="H1073" s="153"/>
      <c r="I1073" s="153"/>
      <c r="J1073" s="157"/>
      <c r="K1073" s="157"/>
      <c r="L1073" s="157"/>
      <c r="M1073" s="157"/>
      <c r="N1073" s="153"/>
      <c r="O1073" s="153"/>
      <c r="P1073" s="153"/>
      <c r="Q1073" s="153"/>
      <c r="R1073" s="153"/>
      <c r="S1073" s="153"/>
      <c r="T1073" s="153"/>
      <c r="U1073" s="153"/>
      <c r="V1073" s="153"/>
      <c r="W1073" s="153"/>
    </row>
    <row r="1074" spans="2:23" s="14" customFormat="1" x14ac:dyDescent="0.25">
      <c r="B1074" s="13"/>
      <c r="C1074" s="153"/>
      <c r="D1074" s="153"/>
      <c r="E1074" s="153"/>
      <c r="F1074" s="153"/>
      <c r="G1074" s="153"/>
      <c r="H1074" s="153"/>
      <c r="I1074" s="153"/>
      <c r="J1074" s="157"/>
      <c r="K1074" s="157"/>
      <c r="L1074" s="157"/>
      <c r="M1074" s="157"/>
      <c r="N1074" s="153"/>
      <c r="O1074" s="153"/>
      <c r="P1074" s="153"/>
      <c r="Q1074" s="153"/>
      <c r="R1074" s="153"/>
      <c r="S1074" s="153"/>
      <c r="T1074" s="153"/>
      <c r="U1074" s="153"/>
      <c r="V1074" s="153"/>
      <c r="W1074" s="153"/>
    </row>
    <row r="1075" spans="2:23" s="14" customFormat="1" x14ac:dyDescent="0.25">
      <c r="B1075" s="13"/>
      <c r="C1075" s="153"/>
      <c r="D1075" s="153"/>
      <c r="E1075" s="153"/>
      <c r="F1075" s="153"/>
      <c r="G1075" s="153"/>
      <c r="H1075" s="153"/>
      <c r="I1075" s="153"/>
      <c r="J1075" s="157"/>
      <c r="K1075" s="157"/>
      <c r="L1075" s="157"/>
      <c r="M1075" s="157"/>
      <c r="N1075" s="153"/>
      <c r="O1075" s="153"/>
      <c r="P1075" s="153"/>
      <c r="Q1075" s="153"/>
      <c r="R1075" s="153"/>
      <c r="S1075" s="153"/>
      <c r="T1075" s="153"/>
      <c r="U1075" s="153"/>
      <c r="V1075" s="153"/>
      <c r="W1075" s="153"/>
    </row>
    <row r="1076" spans="2:23" s="14" customFormat="1" x14ac:dyDescent="0.25">
      <c r="B1076" s="13"/>
      <c r="C1076" s="153"/>
      <c r="D1076" s="153"/>
      <c r="E1076" s="153"/>
      <c r="F1076" s="153"/>
      <c r="G1076" s="153"/>
      <c r="H1076" s="153"/>
      <c r="I1076" s="153"/>
      <c r="J1076" s="157"/>
      <c r="K1076" s="157"/>
      <c r="L1076" s="157"/>
      <c r="M1076" s="157"/>
      <c r="N1076" s="153"/>
      <c r="O1076" s="153"/>
      <c r="P1076" s="153"/>
      <c r="Q1076" s="153"/>
      <c r="R1076" s="153"/>
      <c r="S1076" s="153"/>
      <c r="T1076" s="153"/>
      <c r="U1076" s="153"/>
      <c r="V1076" s="153"/>
      <c r="W1076" s="153"/>
    </row>
    <row r="1077" spans="2:23" s="14" customFormat="1" x14ac:dyDescent="0.25">
      <c r="B1077" s="13"/>
      <c r="C1077" s="153"/>
      <c r="D1077" s="153"/>
      <c r="E1077" s="153"/>
      <c r="F1077" s="153"/>
      <c r="G1077" s="153"/>
      <c r="H1077" s="153"/>
      <c r="I1077" s="153"/>
      <c r="J1077" s="157"/>
      <c r="K1077" s="157"/>
      <c r="L1077" s="157"/>
      <c r="M1077" s="157"/>
      <c r="N1077" s="153"/>
      <c r="O1077" s="153"/>
      <c r="P1077" s="153"/>
      <c r="Q1077" s="153"/>
      <c r="R1077" s="153"/>
      <c r="S1077" s="153"/>
      <c r="T1077" s="153"/>
      <c r="U1077" s="153"/>
      <c r="V1077" s="153"/>
      <c r="W1077" s="153"/>
    </row>
    <row r="1078" spans="2:23" s="14" customFormat="1" x14ac:dyDescent="0.25">
      <c r="B1078" s="13"/>
      <c r="C1078" s="153"/>
      <c r="D1078" s="153"/>
      <c r="E1078" s="153"/>
      <c r="F1078" s="153"/>
      <c r="G1078" s="153"/>
      <c r="H1078" s="153"/>
      <c r="I1078" s="153"/>
      <c r="J1078" s="157"/>
      <c r="K1078" s="157"/>
      <c r="L1078" s="157"/>
      <c r="M1078" s="157"/>
      <c r="N1078" s="153"/>
      <c r="O1078" s="153"/>
      <c r="P1078" s="153"/>
      <c r="Q1078" s="153"/>
      <c r="R1078" s="153"/>
      <c r="S1078" s="153"/>
      <c r="T1078" s="153"/>
      <c r="U1078" s="153"/>
      <c r="V1078" s="153"/>
      <c r="W1078" s="153"/>
    </row>
    <row r="1079" spans="2:23" s="14" customFormat="1" x14ac:dyDescent="0.25">
      <c r="B1079" s="13"/>
      <c r="C1079" s="153"/>
      <c r="D1079" s="153"/>
      <c r="E1079" s="153"/>
      <c r="F1079" s="153"/>
      <c r="G1079" s="153"/>
      <c r="H1079" s="153"/>
      <c r="I1079" s="153"/>
      <c r="J1079" s="157"/>
      <c r="K1079" s="157"/>
      <c r="L1079" s="157"/>
      <c r="M1079" s="157"/>
      <c r="N1079" s="153"/>
      <c r="O1079" s="153"/>
      <c r="P1079" s="153"/>
      <c r="Q1079" s="153"/>
      <c r="R1079" s="153"/>
      <c r="S1079" s="153"/>
      <c r="T1079" s="153"/>
      <c r="U1079" s="153"/>
      <c r="V1079" s="153"/>
      <c r="W1079" s="153"/>
    </row>
    <row r="1080" spans="2:23" s="14" customFormat="1" x14ac:dyDescent="0.25">
      <c r="B1080" s="13"/>
      <c r="C1080" s="153"/>
      <c r="D1080" s="153"/>
      <c r="E1080" s="153"/>
      <c r="F1080" s="153"/>
      <c r="G1080" s="153"/>
      <c r="H1080" s="153"/>
      <c r="I1080" s="153"/>
      <c r="J1080" s="157"/>
      <c r="K1080" s="157"/>
      <c r="L1080" s="157"/>
      <c r="M1080" s="157"/>
      <c r="N1080" s="153"/>
      <c r="O1080" s="153"/>
      <c r="P1080" s="153"/>
      <c r="Q1080" s="153"/>
      <c r="R1080" s="153"/>
      <c r="S1080" s="153"/>
      <c r="T1080" s="153"/>
      <c r="U1080" s="153"/>
      <c r="V1080" s="153"/>
      <c r="W1080" s="153"/>
    </row>
    <row r="1081" spans="2:23" s="14" customFormat="1" x14ac:dyDescent="0.25">
      <c r="B1081" s="13"/>
      <c r="C1081" s="153"/>
      <c r="D1081" s="153"/>
      <c r="E1081" s="153"/>
      <c r="F1081" s="153"/>
      <c r="G1081" s="153"/>
      <c r="H1081" s="153"/>
      <c r="I1081" s="153"/>
      <c r="J1081" s="157"/>
      <c r="K1081" s="157"/>
      <c r="L1081" s="157"/>
      <c r="M1081" s="157"/>
      <c r="N1081" s="153"/>
      <c r="O1081" s="153"/>
      <c r="P1081" s="153"/>
      <c r="Q1081" s="153"/>
      <c r="R1081" s="153"/>
      <c r="S1081" s="153"/>
      <c r="T1081" s="153"/>
      <c r="U1081" s="153"/>
      <c r="V1081" s="153"/>
      <c r="W1081" s="153"/>
    </row>
    <row r="1082" spans="2:23" s="14" customFormat="1" x14ac:dyDescent="0.25">
      <c r="B1082" s="13"/>
      <c r="C1082" s="153"/>
      <c r="D1082" s="153"/>
      <c r="E1082" s="153"/>
      <c r="F1082" s="153"/>
      <c r="G1082" s="153"/>
      <c r="H1082" s="153"/>
      <c r="I1082" s="153"/>
      <c r="J1082" s="157"/>
      <c r="K1082" s="157"/>
      <c r="L1082" s="157"/>
      <c r="M1082" s="157"/>
      <c r="N1082" s="153"/>
      <c r="O1082" s="153"/>
      <c r="P1082" s="153"/>
      <c r="Q1082" s="153"/>
      <c r="R1082" s="153"/>
      <c r="S1082" s="153"/>
      <c r="T1082" s="153"/>
      <c r="U1082" s="153"/>
      <c r="V1082" s="153"/>
      <c r="W1082" s="153"/>
    </row>
    <row r="1083" spans="2:23" s="14" customFormat="1" x14ac:dyDescent="0.25">
      <c r="B1083" s="13"/>
      <c r="C1083" s="153"/>
      <c r="D1083" s="153"/>
      <c r="E1083" s="153"/>
      <c r="F1083" s="153"/>
      <c r="G1083" s="153"/>
      <c r="H1083" s="153"/>
      <c r="I1083" s="153"/>
      <c r="J1083" s="157"/>
      <c r="K1083" s="157"/>
      <c r="L1083" s="157"/>
      <c r="M1083" s="157"/>
      <c r="N1083" s="153"/>
      <c r="O1083" s="153"/>
      <c r="P1083" s="153"/>
      <c r="Q1083" s="153"/>
      <c r="R1083" s="153"/>
      <c r="S1083" s="153"/>
      <c r="T1083" s="153"/>
      <c r="U1083" s="153"/>
      <c r="V1083" s="153"/>
      <c r="W1083" s="153"/>
    </row>
    <row r="1084" spans="2:23" s="14" customFormat="1" x14ac:dyDescent="0.25">
      <c r="B1084" s="13"/>
      <c r="C1084" s="153"/>
      <c r="D1084" s="153"/>
      <c r="E1084" s="153"/>
      <c r="F1084" s="153"/>
      <c r="G1084" s="153"/>
      <c r="H1084" s="153"/>
      <c r="I1084" s="153"/>
      <c r="J1084" s="157"/>
      <c r="K1084" s="157"/>
      <c r="L1084" s="157"/>
      <c r="M1084" s="157"/>
      <c r="N1084" s="153"/>
      <c r="O1084" s="153"/>
      <c r="P1084" s="153"/>
      <c r="Q1084" s="153"/>
      <c r="R1084" s="153"/>
      <c r="S1084" s="153"/>
      <c r="T1084" s="153"/>
      <c r="U1084" s="153"/>
      <c r="V1084" s="153"/>
      <c r="W1084" s="153"/>
    </row>
    <row r="1085" spans="2:23" s="14" customFormat="1" x14ac:dyDescent="0.25">
      <c r="B1085" s="13"/>
      <c r="C1085" s="153"/>
      <c r="D1085" s="153"/>
      <c r="E1085" s="153"/>
      <c r="F1085" s="153"/>
      <c r="G1085" s="153"/>
      <c r="H1085" s="153"/>
      <c r="I1085" s="153"/>
      <c r="J1085" s="157"/>
      <c r="K1085" s="157"/>
      <c r="L1085" s="157"/>
      <c r="M1085" s="157"/>
      <c r="N1085" s="153"/>
      <c r="O1085" s="153"/>
      <c r="P1085" s="153"/>
      <c r="Q1085" s="153"/>
      <c r="R1085" s="153"/>
      <c r="S1085" s="153"/>
      <c r="T1085" s="153"/>
      <c r="U1085" s="153"/>
      <c r="V1085" s="153"/>
      <c r="W1085" s="153"/>
    </row>
    <row r="1086" spans="2:23" s="14" customFormat="1" x14ac:dyDescent="0.25">
      <c r="B1086" s="13"/>
      <c r="C1086" s="153"/>
      <c r="D1086" s="153"/>
      <c r="E1086" s="153"/>
      <c r="F1086" s="153"/>
      <c r="G1086" s="153"/>
      <c r="H1086" s="153"/>
      <c r="I1086" s="153"/>
      <c r="J1086" s="157"/>
      <c r="K1086" s="157"/>
      <c r="L1086" s="157"/>
      <c r="M1086" s="157"/>
      <c r="N1086" s="153"/>
      <c r="O1086" s="153"/>
      <c r="P1086" s="153"/>
      <c r="Q1086" s="153"/>
      <c r="R1086" s="153"/>
      <c r="S1086" s="153"/>
      <c r="T1086" s="153"/>
      <c r="U1086" s="153"/>
      <c r="V1086" s="153"/>
      <c r="W1086" s="153"/>
    </row>
    <row r="1087" spans="2:23" s="14" customFormat="1" x14ac:dyDescent="0.25">
      <c r="B1087" s="13"/>
      <c r="C1087" s="153"/>
      <c r="D1087" s="153"/>
      <c r="E1087" s="153"/>
      <c r="F1087" s="153"/>
      <c r="G1087" s="153"/>
      <c r="H1087" s="153"/>
      <c r="I1087" s="153"/>
      <c r="J1087" s="157"/>
      <c r="K1087" s="157"/>
      <c r="L1087" s="157"/>
      <c r="M1087" s="157"/>
      <c r="N1087" s="153"/>
      <c r="O1087" s="153"/>
      <c r="P1087" s="153"/>
      <c r="Q1087" s="153"/>
      <c r="R1087" s="153"/>
      <c r="S1087" s="153"/>
      <c r="T1087" s="153"/>
      <c r="U1087" s="153"/>
      <c r="V1087" s="153"/>
      <c r="W1087" s="153"/>
    </row>
    <row r="1088" spans="2:23" s="14" customFormat="1" x14ac:dyDescent="0.25">
      <c r="B1088" s="13"/>
      <c r="C1088" s="153"/>
      <c r="D1088" s="153"/>
      <c r="E1088" s="153"/>
      <c r="F1088" s="153"/>
      <c r="G1088" s="153"/>
      <c r="H1088" s="153"/>
      <c r="I1088" s="153"/>
      <c r="J1088" s="157"/>
      <c r="K1088" s="157"/>
      <c r="L1088" s="157"/>
      <c r="M1088" s="157"/>
      <c r="N1088" s="153"/>
      <c r="O1088" s="153"/>
      <c r="P1088" s="153"/>
      <c r="Q1088" s="153"/>
      <c r="R1088" s="153"/>
      <c r="S1088" s="153"/>
      <c r="T1088" s="153"/>
      <c r="U1088" s="153"/>
      <c r="V1088" s="153"/>
      <c r="W1088" s="153"/>
    </row>
    <row r="1089" spans="2:23" s="14" customFormat="1" x14ac:dyDescent="0.25">
      <c r="B1089" s="13"/>
      <c r="C1089" s="153"/>
      <c r="D1089" s="153"/>
      <c r="E1089" s="153"/>
      <c r="F1089" s="153"/>
      <c r="G1089" s="153"/>
      <c r="H1089" s="153"/>
      <c r="I1089" s="153"/>
      <c r="J1089" s="157"/>
      <c r="K1089" s="157"/>
      <c r="L1089" s="157"/>
      <c r="M1089" s="157"/>
      <c r="N1089" s="153"/>
      <c r="O1089" s="153"/>
      <c r="P1089" s="153"/>
      <c r="Q1089" s="153"/>
      <c r="R1089" s="153"/>
      <c r="S1089" s="153"/>
      <c r="T1089" s="153"/>
      <c r="U1089" s="153"/>
      <c r="V1089" s="153"/>
      <c r="W1089" s="153"/>
    </row>
    <row r="1090" spans="2:23" s="14" customFormat="1" x14ac:dyDescent="0.25">
      <c r="B1090" s="13"/>
      <c r="C1090" s="153"/>
      <c r="D1090" s="153"/>
      <c r="E1090" s="153"/>
      <c r="F1090" s="153"/>
      <c r="G1090" s="153"/>
      <c r="H1090" s="153"/>
      <c r="I1090" s="153"/>
      <c r="J1090" s="157"/>
      <c r="K1090" s="157"/>
      <c r="L1090" s="157"/>
      <c r="M1090" s="157"/>
      <c r="N1090" s="153"/>
      <c r="O1090" s="153"/>
      <c r="P1090" s="153"/>
      <c r="Q1090" s="153"/>
      <c r="R1090" s="153"/>
      <c r="S1090" s="153"/>
      <c r="T1090" s="153"/>
      <c r="U1090" s="153"/>
      <c r="V1090" s="153"/>
      <c r="W1090" s="153"/>
    </row>
    <row r="1091" spans="2:23" s="14" customFormat="1" x14ac:dyDescent="0.25">
      <c r="B1091" s="13"/>
      <c r="C1091" s="153"/>
      <c r="D1091" s="153"/>
      <c r="E1091" s="153"/>
      <c r="F1091" s="153"/>
      <c r="G1091" s="153"/>
      <c r="H1091" s="153"/>
      <c r="I1091" s="153"/>
      <c r="J1091" s="157"/>
      <c r="K1091" s="157"/>
      <c r="L1091" s="157"/>
      <c r="M1091" s="157"/>
      <c r="N1091" s="153"/>
      <c r="O1091" s="153"/>
      <c r="P1091" s="153"/>
      <c r="Q1091" s="153"/>
      <c r="R1091" s="153"/>
      <c r="S1091" s="153"/>
      <c r="T1091" s="153"/>
      <c r="U1091" s="153"/>
      <c r="V1091" s="153"/>
      <c r="W1091" s="153"/>
    </row>
    <row r="1092" spans="2:23" s="14" customFormat="1" x14ac:dyDescent="0.25">
      <c r="B1092" s="13"/>
      <c r="C1092" s="153"/>
      <c r="D1092" s="153"/>
      <c r="E1092" s="153"/>
      <c r="F1092" s="153"/>
      <c r="G1092" s="153"/>
      <c r="H1092" s="153"/>
      <c r="I1092" s="153"/>
      <c r="J1092" s="157"/>
      <c r="K1092" s="157"/>
      <c r="L1092" s="157"/>
      <c r="M1092" s="157"/>
      <c r="N1092" s="153"/>
      <c r="O1092" s="153"/>
      <c r="P1092" s="153"/>
      <c r="Q1092" s="153"/>
      <c r="R1092" s="153"/>
      <c r="S1092" s="153"/>
      <c r="T1092" s="153"/>
      <c r="U1092" s="153"/>
      <c r="V1092" s="153"/>
      <c r="W1092" s="153"/>
    </row>
  </sheetData>
  <phoneticPr fontId="0" type="noConversion"/>
  <pageMargins left="0.75" right="0.75" top="1" bottom="1" header="0.5" footer="0.5"/>
  <pageSetup scale="54" orientation="landscape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pageSetUpPr fitToPage="1"/>
  </sheetPr>
  <dimension ref="A1:BL1100"/>
  <sheetViews>
    <sheetView showGridLines="0" workbookViewId="0">
      <pane xSplit="2" ySplit="4" topLeftCell="C14" activePane="bottomRight" state="frozen"/>
      <selection activeCell="R14" sqref="R14"/>
      <selection pane="topRight" activeCell="R14" sqref="R14"/>
      <selection pane="bottomLeft" activeCell="R14" sqref="R14"/>
      <selection pane="bottomRight" activeCell="T46" sqref="T46"/>
    </sheetView>
  </sheetViews>
  <sheetFormatPr defaultColWidth="9.140625" defaultRowHeight="15" outlineLevelCol="1" x14ac:dyDescent="0.25"/>
  <cols>
    <col min="1" max="1" width="40.140625" style="2" hidden="1" customWidth="1"/>
    <col min="2" max="2" width="30.140625" style="38" bestFit="1" customWidth="1"/>
    <col min="3" max="4" width="10.5703125" style="160" customWidth="1"/>
    <col min="5" max="8" width="10.5703125" style="160" hidden="1" customWidth="1" outlineLevel="1"/>
    <col min="9" max="9" width="10.5703125" style="159" customWidth="1" collapsed="1"/>
    <col min="10" max="13" width="10.5703125" style="159" customWidth="1" outlineLevel="1"/>
    <col min="14" max="14" width="10.5703125" style="222" customWidth="1"/>
    <col min="15" max="18" width="10.5703125" style="159" customWidth="1" outlineLevel="1"/>
    <col min="19" max="22" width="10.5703125" style="159" customWidth="1"/>
    <col min="23" max="23" width="10.5703125" style="160" customWidth="1"/>
    <col min="24" max="32" width="10.5703125" style="24" customWidth="1"/>
    <col min="33" max="64" width="9.140625" style="24"/>
    <col min="65" max="16384" width="9.140625" style="2"/>
  </cols>
  <sheetData>
    <row r="1" spans="1:64" s="5" customFormat="1" x14ac:dyDescent="0.25">
      <c r="A1" s="5" t="s">
        <v>101</v>
      </c>
      <c r="B1" s="83" t="str">
        <f>Inputs!A1</f>
        <v>Molson Coors</v>
      </c>
      <c r="I1" s="25"/>
      <c r="J1" s="25"/>
      <c r="K1" s="25"/>
      <c r="L1" s="25"/>
      <c r="M1" s="25"/>
      <c r="N1" s="26"/>
      <c r="O1" s="25"/>
      <c r="P1" s="25"/>
      <c r="Q1" s="25"/>
      <c r="R1" s="25"/>
      <c r="S1" s="25"/>
      <c r="T1" s="25"/>
      <c r="U1" s="25"/>
      <c r="V1" s="25"/>
    </row>
    <row r="2" spans="1:64" s="5" customFormat="1" x14ac:dyDescent="0.25">
      <c r="B2" s="84" t="s">
        <v>1</v>
      </c>
      <c r="E2" s="132" t="s">
        <v>220</v>
      </c>
      <c r="F2" s="132" t="s">
        <v>221</v>
      </c>
      <c r="G2" s="132" t="s">
        <v>222</v>
      </c>
      <c r="H2" s="132" t="s">
        <v>223</v>
      </c>
      <c r="I2" s="25"/>
      <c r="J2" s="132" t="s">
        <v>220</v>
      </c>
      <c r="K2" s="132" t="s">
        <v>221</v>
      </c>
      <c r="L2" s="132" t="s">
        <v>222</v>
      </c>
      <c r="M2" s="132" t="s">
        <v>223</v>
      </c>
      <c r="N2" s="26"/>
      <c r="O2" s="126" t="s">
        <v>220</v>
      </c>
      <c r="P2" s="25"/>
      <c r="Q2" s="25"/>
      <c r="R2" s="25"/>
      <c r="S2" s="25"/>
      <c r="T2" s="25"/>
      <c r="U2" s="25"/>
      <c r="V2" s="25"/>
    </row>
    <row r="3" spans="1:64" s="8" customFormat="1" x14ac:dyDescent="0.25">
      <c r="B3" s="39"/>
      <c r="C3" s="9"/>
      <c r="D3" s="9"/>
      <c r="E3" s="133">
        <v>2021</v>
      </c>
      <c r="F3" s="133">
        <v>2021</v>
      </c>
      <c r="G3" s="133">
        <v>2021</v>
      </c>
      <c r="H3" s="133">
        <v>2021</v>
      </c>
      <c r="I3" s="27"/>
      <c r="J3" s="133">
        <v>2022</v>
      </c>
      <c r="K3" s="133">
        <v>2022</v>
      </c>
      <c r="L3" s="133">
        <v>2022</v>
      </c>
      <c r="M3" s="133">
        <v>2022</v>
      </c>
      <c r="N3" s="28"/>
      <c r="O3" s="165">
        <v>2023</v>
      </c>
      <c r="P3" s="27"/>
      <c r="Q3" s="27"/>
      <c r="R3" s="27"/>
      <c r="S3" s="27"/>
      <c r="T3" s="27"/>
      <c r="U3" s="27"/>
      <c r="V3" s="27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</row>
    <row r="4" spans="1:64" s="49" customFormat="1" ht="15.75" thickBot="1" x14ac:dyDescent="0.3">
      <c r="B4" s="82" t="str">
        <f>CONCATENATE("Fiscal Years Ending ",Inputs!B7)</f>
        <v>Fiscal Years Ending Dec. 31</v>
      </c>
      <c r="C4" s="49">
        <v>2019</v>
      </c>
      <c r="D4" s="49">
        <v>2020</v>
      </c>
      <c r="E4" s="49" t="s">
        <v>224</v>
      </c>
      <c r="F4" s="49" t="s">
        <v>225</v>
      </c>
      <c r="G4" s="49" t="s">
        <v>226</v>
      </c>
      <c r="H4" s="49" t="s">
        <v>227</v>
      </c>
      <c r="I4" s="49">
        <v>2021</v>
      </c>
      <c r="J4" s="49" t="s">
        <v>216</v>
      </c>
      <c r="K4" s="49" t="s">
        <v>217</v>
      </c>
      <c r="L4" s="49" t="s">
        <v>218</v>
      </c>
      <c r="M4" s="49" t="s">
        <v>219</v>
      </c>
      <c r="N4" s="49">
        <v>2022</v>
      </c>
      <c r="O4" s="49" t="s">
        <v>92</v>
      </c>
      <c r="P4" s="49" t="s">
        <v>93</v>
      </c>
      <c r="Q4" s="49" t="s">
        <v>94</v>
      </c>
      <c r="R4" s="49" t="s">
        <v>95</v>
      </c>
      <c r="S4" s="49" t="s">
        <v>15</v>
      </c>
      <c r="T4" s="49" t="s">
        <v>18</v>
      </c>
      <c r="U4" s="49" t="s">
        <v>20</v>
      </c>
      <c r="V4" s="49" t="s">
        <v>21</v>
      </c>
      <c r="W4" s="49" t="s">
        <v>23</v>
      </c>
    </row>
    <row r="5" spans="1:64" s="11" customFormat="1" x14ac:dyDescent="0.25">
      <c r="A5" s="80" t="s">
        <v>102</v>
      </c>
      <c r="B5" s="11" t="s">
        <v>182</v>
      </c>
      <c r="C5" s="259"/>
      <c r="D5" s="259"/>
      <c r="E5" s="259"/>
      <c r="F5" s="259"/>
      <c r="G5" s="259"/>
      <c r="H5" s="259"/>
      <c r="I5" s="259"/>
      <c r="N5" s="259"/>
      <c r="P5" s="89"/>
      <c r="Q5" s="89"/>
      <c r="R5" s="89"/>
      <c r="S5" s="239"/>
      <c r="T5" s="239"/>
      <c r="U5" s="239"/>
      <c r="V5" s="239"/>
      <c r="W5" s="239"/>
      <c r="X5" s="89"/>
      <c r="Y5" s="89"/>
      <c r="Z5" s="89"/>
      <c r="AA5" s="89"/>
      <c r="AB5" s="89"/>
      <c r="AC5" s="89"/>
      <c r="AD5" s="89"/>
      <c r="AE5" s="89"/>
    </row>
    <row r="6" spans="1:64" s="11" customFormat="1" x14ac:dyDescent="0.25">
      <c r="A6" s="80"/>
      <c r="B6" s="11" t="s">
        <v>110</v>
      </c>
      <c r="C6" s="239">
        <f>_xll.BDP($A$1, $A5, "EQY_FUND_RELATIVE_PERIOD", C$4)</f>
        <v>523.4</v>
      </c>
      <c r="D6" s="239">
        <f>_xll.BDP($A$1, $A5, "EQY_FUND_RELATIVE_PERIOD", D$4)</f>
        <v>770.1</v>
      </c>
      <c r="E6" s="239" cm="1">
        <f t="array" ref="E6">_xll.BDP($A$1, $A5, "EQY_FUND_YEAR", E$3, "FUND_PER", E$2)</f>
        <v>532.70000000000005</v>
      </c>
      <c r="F6" s="239" cm="1">
        <f t="array" ref="F6">_xll.BDP($A$1, $A5, "EQY_FUND_YEAR", F$3, "FUND_PER", F$2)</f>
        <v>1308.9000000000001</v>
      </c>
      <c r="G6" s="239" cm="1">
        <f t="array" ref="G6">_xll.BDP($A$1, $A5, "EQY_FUND_YEAR", G$3, "FUND_PER", G$2)</f>
        <v>616.29999999999995</v>
      </c>
      <c r="H6" s="239" cm="1">
        <f t="array" ref="H6">_xll.BDP($A$1, $A5, "EQY_FUND_YEAR", H$3, "FUND_PER", H$2)</f>
        <v>637.4</v>
      </c>
      <c r="I6" s="239">
        <f>_xll.BDP($A$1, $A5, "EQY_FUND_RELATIVE_PERIOD", I$4)</f>
        <v>637.4</v>
      </c>
      <c r="J6" s="89" cm="1">
        <f t="array" ref="J6">_xll.BDP($A$1, $A5, "EQY_FUND_YEAR", J$3, "FUND_PER", J$2)</f>
        <v>358.7</v>
      </c>
      <c r="K6" s="89" cm="1">
        <f t="array" ref="K6">_xll.BDP($A$1, $A5, "EQY_FUND_YEAR", K$3, "FUND_PER", K$2)</f>
        <v>442.1</v>
      </c>
      <c r="L6" s="89" cm="1">
        <f t="array" ref="L6">_xll.BDP($A$1, $A5, "EQY_FUND_YEAR", L$3, "FUND_PER", L$2)</f>
        <v>525.20000000000005</v>
      </c>
      <c r="M6" s="89" cm="1">
        <f t="array" ref="M6">_xll.BDP($A$1, $A5, "EQY_FUND_YEAR", M$3, "FUND_PER", M$2)</f>
        <v>600</v>
      </c>
      <c r="N6" s="239">
        <f>_xll.BDP($A$1, $A5, "EQY_FUND_RELATIVE_PERIOD", N$4)</f>
        <v>600</v>
      </c>
      <c r="O6" s="89" cm="1">
        <f t="array" ref="O6">_xll.BDP($A$1, $A5, "EQY_FUND_YEAR", O$3, "FUND_PER", O$2)</f>
        <v>328.2</v>
      </c>
      <c r="P6" s="89">
        <f>O6+CF_F!P31</f>
        <v>1035.4070295699084</v>
      </c>
      <c r="Q6" s="89">
        <f>P6+CF_F!Q31</f>
        <v>1330.2555018067842</v>
      </c>
      <c r="R6" s="89">
        <f>Q6+CF_F!R31</f>
        <v>1644.8121274380851</v>
      </c>
      <c r="S6" s="239">
        <f>R6</f>
        <v>1644.8121274380851</v>
      </c>
      <c r="T6" s="239">
        <f>S6+CF_F!T31</f>
        <v>1184.7670187796737</v>
      </c>
      <c r="U6" s="239">
        <f>T6+CF_F!U31</f>
        <v>603.71483297157329</v>
      </c>
      <c r="V6" s="239">
        <f>U6+CF_F!V31</f>
        <v>658.95108427994387</v>
      </c>
      <c r="W6" s="239">
        <f>V6+CF_F!W31</f>
        <v>961.90930465513679</v>
      </c>
      <c r="X6" s="89"/>
      <c r="Y6" s="89"/>
      <c r="Z6" s="89"/>
      <c r="AA6" s="89"/>
      <c r="AB6" s="89"/>
      <c r="AC6" s="89"/>
      <c r="AD6" s="89"/>
      <c r="AE6" s="89"/>
    </row>
    <row r="7" spans="1:64" s="11" customFormat="1" x14ac:dyDescent="0.25">
      <c r="A7" s="80" t="s">
        <v>103</v>
      </c>
      <c r="B7" s="11" t="s">
        <v>111</v>
      </c>
      <c r="C7" s="239">
        <f>_xll.BDP($A$1, $A7, "EQY_FUND_RELATIVE_PERIOD", C$4)</f>
        <v>705.9</v>
      </c>
      <c r="D7" s="239">
        <f>_xll.BDP($A$1, $A7, "EQY_FUND_RELATIVE_PERIOD", D$4)</f>
        <v>549.6</v>
      </c>
      <c r="E7" s="239" cm="1">
        <f t="array" ref="E7">_xll.BDP($A$1, $A7, "EQY_FUND_YEAR", E$3, "FUND_PER", E$2)</f>
        <v>557.9</v>
      </c>
      <c r="F7" s="239" cm="1">
        <f t="array" ref="F7">_xll.BDP($A$1, $A7, "EQY_FUND_YEAR", F$3, "FUND_PER", F$2)</f>
        <v>932.3</v>
      </c>
      <c r="G7" s="239" cm="1">
        <f t="array" ref="G7">_xll.BDP($A$1, $A7, "EQY_FUND_YEAR", G$3, "FUND_PER", G$2)</f>
        <v>808.3</v>
      </c>
      <c r="H7" s="239" cm="1">
        <f t="array" ref="H7">_xll.BDP($A$1, $A7, "EQY_FUND_YEAR", H$3, "FUND_PER", H$2)</f>
        <v>662.69999999999993</v>
      </c>
      <c r="I7" s="239">
        <f>_xll.BDP($A$1, $A7, "EQY_FUND_RELATIVE_PERIOD", I$4)</f>
        <v>662.69999999999993</v>
      </c>
      <c r="J7" s="89" cm="1">
        <f t="array" ref="J7">_xll.BDP($A$1, $A7, "EQY_FUND_YEAR", J$3, "FUND_PER", J$2)</f>
        <v>761.19999999999993</v>
      </c>
      <c r="K7" s="89" cm="1">
        <f t="array" ref="K7">_xll.BDP($A$1, $A7, "EQY_FUND_YEAR", K$3, "FUND_PER", K$2)</f>
        <v>885.19999999999993</v>
      </c>
      <c r="L7" s="89" cm="1">
        <f t="array" ref="L7">_xll.BDP($A$1, $A7, "EQY_FUND_YEAR", L$3, "FUND_PER", L$2)</f>
        <v>809.8</v>
      </c>
      <c r="M7" s="89" cm="1">
        <f t="array" ref="M7">_xll.BDP($A$1, $A7, "EQY_FUND_YEAR", M$3, "FUND_PER", M$2)</f>
        <v>739.8</v>
      </c>
      <c r="N7" s="239">
        <f>_xll.BDP($A$1, $A7, "EQY_FUND_RELATIVE_PERIOD", N$4)</f>
        <v>739.8</v>
      </c>
      <c r="O7" s="89" cm="1">
        <f t="array" ref="O7">_xll.BDP($A$1, $A7, "EQY_FUND_YEAR", O$3, "FUND_PER", O$2)</f>
        <v>803.8</v>
      </c>
      <c r="P7" s="89">
        <f>O7*0.96</f>
        <v>771.64799999999991</v>
      </c>
      <c r="Q7" s="89">
        <f t="shared" ref="Q7:R7" si="0">P7*0.96</f>
        <v>740.78207999999984</v>
      </c>
      <c r="R7" s="89">
        <f t="shared" si="0"/>
        <v>711.15079679999985</v>
      </c>
      <c r="S7" s="239">
        <f>R7</f>
        <v>711.15079679999985</v>
      </c>
      <c r="T7" s="239">
        <f>S7*1.02</f>
        <v>725.37381273599988</v>
      </c>
      <c r="U7" s="239">
        <f t="shared" ref="U7:W7" si="1">T7*1.02</f>
        <v>739.8812889907199</v>
      </c>
      <c r="V7" s="239">
        <f t="shared" si="1"/>
        <v>754.67891477053433</v>
      </c>
      <c r="W7" s="239">
        <f t="shared" si="1"/>
        <v>769.77249306594501</v>
      </c>
      <c r="X7" s="89"/>
      <c r="Y7" s="89"/>
      <c r="Z7" s="89"/>
      <c r="AA7" s="89"/>
      <c r="AB7" s="89"/>
      <c r="AC7" s="89"/>
      <c r="AD7" s="89"/>
      <c r="AE7" s="89"/>
    </row>
    <row r="8" spans="1:64" s="11" customFormat="1" x14ac:dyDescent="0.25">
      <c r="A8" s="80" t="s">
        <v>104</v>
      </c>
      <c r="B8" s="11" t="s">
        <v>112</v>
      </c>
      <c r="C8" s="239">
        <f>_xll.BDP($A$1, $A8, "EQY_FUND_RELATIVE_PERIOD", C$4)</f>
        <v>615.9</v>
      </c>
      <c r="D8" s="239">
        <f>_xll.BDP($A$1, $A8, "EQY_FUND_RELATIVE_PERIOD", D$4)</f>
        <v>664.3</v>
      </c>
      <c r="E8" s="239" cm="1">
        <f t="array" ref="E8">_xll.BDP($A$1, $A8, "EQY_FUND_YEAR", E$3, "FUND_PER", E$2)</f>
        <v>746.4</v>
      </c>
      <c r="F8" s="239" cm="1">
        <f t="array" ref="F8">_xll.BDP($A$1, $A8, "EQY_FUND_YEAR", F$3, "FUND_PER", F$2)</f>
        <v>749.5</v>
      </c>
      <c r="G8" s="239" cm="1">
        <f t="array" ref="G8">_xll.BDP($A$1, $A8, "EQY_FUND_YEAR", G$3, "FUND_PER", G$2)</f>
        <v>806.5</v>
      </c>
      <c r="H8" s="239" cm="1">
        <f t="array" ref="H8">_xll.BDP($A$1, $A8, "EQY_FUND_YEAR", H$3, "FUND_PER", H$2)</f>
        <v>804.69999999999993</v>
      </c>
      <c r="I8" s="239">
        <f>_xll.BDP($A$1, $A8, "EQY_FUND_RELATIVE_PERIOD", I$4)</f>
        <v>804.69999999999993</v>
      </c>
      <c r="J8" s="89" cm="1">
        <f t="array" ref="J8">_xll.BDP($A$1, $A8, "EQY_FUND_YEAR", J$3, "FUND_PER", J$2)</f>
        <v>935.8</v>
      </c>
      <c r="K8" s="89" cm="1">
        <f t="array" ref="K8">_xll.BDP($A$1, $A8, "EQY_FUND_YEAR", K$3, "FUND_PER", K$2)</f>
        <v>872.4</v>
      </c>
      <c r="L8" s="89" cm="1">
        <f t="array" ref="L8">_xll.BDP($A$1, $A8, "EQY_FUND_YEAR", L$3, "FUND_PER", L$2)</f>
        <v>866.8</v>
      </c>
      <c r="M8" s="89" cm="1">
        <f t="array" ref="M8">_xll.BDP($A$1, $A8, "EQY_FUND_YEAR", M$3, "FUND_PER", M$2)</f>
        <v>792.9</v>
      </c>
      <c r="N8" s="239">
        <f>_xll.BDP($A$1, $A8, "EQY_FUND_RELATIVE_PERIOD", N$4)</f>
        <v>792.9</v>
      </c>
      <c r="O8" s="89" cm="1">
        <f t="array" ref="O8">_xll.BDP($A$1, $A8, "EQY_FUND_YEAR", O$3, "FUND_PER", O$2)</f>
        <v>915.59999999999991</v>
      </c>
      <c r="P8" s="89">
        <f>O8*0.95</f>
        <v>869.81999999999982</v>
      </c>
      <c r="Q8" s="89">
        <f>P8*0.94</f>
        <v>817.63079999999979</v>
      </c>
      <c r="R8" s="89">
        <f>Q8*0.93</f>
        <v>760.39664399999981</v>
      </c>
      <c r="S8" s="239">
        <f t="shared" ref="S8:S9" si="2">R8</f>
        <v>760.39664399999981</v>
      </c>
      <c r="T8" s="239">
        <f>S8*1.02</f>
        <v>775.60457687999985</v>
      </c>
      <c r="U8" s="239">
        <f t="shared" ref="U8:W8" si="3">T8*1.02</f>
        <v>791.11666841759984</v>
      </c>
      <c r="V8" s="239">
        <f t="shared" si="3"/>
        <v>806.93900178595186</v>
      </c>
      <c r="W8" s="239">
        <f t="shared" si="3"/>
        <v>823.0777818216709</v>
      </c>
      <c r="X8" s="89"/>
      <c r="Y8" s="89"/>
      <c r="Z8" s="89"/>
      <c r="AA8" s="89"/>
      <c r="AB8" s="89"/>
      <c r="AC8" s="89"/>
      <c r="AD8" s="89"/>
      <c r="AE8" s="89"/>
    </row>
    <row r="9" spans="1:64" s="11" customFormat="1" x14ac:dyDescent="0.25">
      <c r="A9" s="80" t="s">
        <v>105</v>
      </c>
      <c r="B9" s="11" t="s">
        <v>113</v>
      </c>
      <c r="C9" s="239">
        <f>_xll.BDP($A$1, $A9, "EQY_FUND_RELATIVE_PERIOD", C$4)</f>
        <v>339.2</v>
      </c>
      <c r="D9" s="239">
        <f>_xll.BDP($A$1, $A9, "EQY_FUND_RELATIVE_PERIOD", D$4)</f>
        <v>434.8</v>
      </c>
      <c r="E9" s="239" cm="1">
        <f t="array" ref="E9">_xll.BDP($A$1, $A9, "EQY_FUND_YEAR", E$3, "FUND_PER", E$2)</f>
        <v>528.9</v>
      </c>
      <c r="F9" s="239" cm="1">
        <f t="array" ref="F9">_xll.BDP($A$1, $A9, "EQY_FUND_YEAR", F$3, "FUND_PER", F$2)</f>
        <v>611.4</v>
      </c>
      <c r="G9" s="239" cm="1">
        <f t="array" ref="G9">_xll.BDP($A$1, $A9, "EQY_FUND_YEAR", G$3, "FUND_PER", G$2)</f>
        <v>688.8</v>
      </c>
      <c r="H9" s="239" cm="1">
        <f t="array" ref="H9">_xll.BDP($A$1, $A9, "EQY_FUND_YEAR", H$3, "FUND_PER", H$2)</f>
        <v>673.9</v>
      </c>
      <c r="I9" s="239">
        <f>_xll.BDP($A$1, $A9, "EQY_FUND_RELATIVE_PERIOD", I$4)</f>
        <v>673.9</v>
      </c>
      <c r="J9" s="89" cm="1">
        <f t="array" ref="J9">_xll.BDP($A$1, $A9, "EQY_FUND_YEAR", J$3, "FUND_PER", J$2)</f>
        <v>814.9</v>
      </c>
      <c r="K9" s="89" cm="1">
        <f t="array" ref="K9">_xll.BDP($A$1, $A9, "EQY_FUND_YEAR", K$3, "FUND_PER", K$2)</f>
        <v>672.2</v>
      </c>
      <c r="L9" s="89" cm="1">
        <f t="array" ref="L9">_xll.BDP($A$1, $A9, "EQY_FUND_YEAR", L$3, "FUND_PER", L$2)</f>
        <v>547.6</v>
      </c>
      <c r="M9" s="89" cm="1">
        <f t="array" ref="M9">_xll.BDP($A$1, $A9, "EQY_FUND_YEAR", M$3, "FUND_PER", M$2)</f>
        <v>505.3</v>
      </c>
      <c r="N9" s="239">
        <f>_xll.BDP($A$1, $A9, "EQY_FUND_RELATIVE_PERIOD", N$4)</f>
        <v>505.3</v>
      </c>
      <c r="O9" s="89" cm="1">
        <f t="array" ref="O9">_xll.BDP($A$1, $A9, "EQY_FUND_YEAR", O$3, "FUND_PER", O$2)</f>
        <v>504</v>
      </c>
      <c r="P9" s="89">
        <f>O9</f>
        <v>504</v>
      </c>
      <c r="Q9" s="89">
        <f t="shared" ref="Q9:R9" si="4">P9</f>
        <v>504</v>
      </c>
      <c r="R9" s="89">
        <f t="shared" si="4"/>
        <v>504</v>
      </c>
      <c r="S9" s="239">
        <f t="shared" si="2"/>
        <v>504</v>
      </c>
      <c r="T9" s="239">
        <f>S9</f>
        <v>504</v>
      </c>
      <c r="U9" s="239">
        <f t="shared" ref="U9:W9" si="5">T9</f>
        <v>504</v>
      </c>
      <c r="V9" s="239">
        <f t="shared" si="5"/>
        <v>504</v>
      </c>
      <c r="W9" s="239">
        <f t="shared" si="5"/>
        <v>504</v>
      </c>
      <c r="X9" s="89"/>
      <c r="Y9" s="89"/>
      <c r="Z9" s="89"/>
      <c r="AA9" s="89"/>
      <c r="AB9" s="89"/>
      <c r="AC9" s="89"/>
      <c r="AD9" s="89"/>
      <c r="AE9" s="89"/>
    </row>
    <row r="10" spans="1:64" s="87" customFormat="1" x14ac:dyDescent="0.25">
      <c r="A10" s="86"/>
      <c r="B10" s="87" t="s">
        <v>114</v>
      </c>
      <c r="C10" s="242">
        <f>SUM(C6:C9)</f>
        <v>2184.3999999999996</v>
      </c>
      <c r="D10" s="242">
        <f>SUM(D6:D9)</f>
        <v>2418.8000000000002</v>
      </c>
      <c r="E10" s="242">
        <f t="shared" ref="E10:H10" si="6">SUM(E6:E9)</f>
        <v>2365.9</v>
      </c>
      <c r="F10" s="242">
        <f t="shared" si="6"/>
        <v>3602.1</v>
      </c>
      <c r="G10" s="242">
        <f t="shared" si="6"/>
        <v>2919.8999999999996</v>
      </c>
      <c r="H10" s="242">
        <f t="shared" si="6"/>
        <v>2778.7</v>
      </c>
      <c r="I10" s="242">
        <f>SUM(I6:I9)</f>
        <v>2778.7</v>
      </c>
      <c r="J10" s="91">
        <f t="shared" ref="J10:M10" si="7">SUM(J6:J9)</f>
        <v>2870.6</v>
      </c>
      <c r="K10" s="91">
        <f t="shared" si="7"/>
        <v>2871.8999999999996</v>
      </c>
      <c r="L10" s="91">
        <f t="shared" si="7"/>
        <v>2749.4</v>
      </c>
      <c r="M10" s="91">
        <f t="shared" si="7"/>
        <v>2638</v>
      </c>
      <c r="N10" s="242">
        <f>SUM(N6:N9)</f>
        <v>2638</v>
      </c>
      <c r="O10" s="91">
        <f>SUM(O6:O9)</f>
        <v>2551.6</v>
      </c>
      <c r="P10" s="91">
        <f t="shared" ref="P10" si="8">SUM(P5:P9)</f>
        <v>3180.8750295699083</v>
      </c>
      <c r="Q10" s="91">
        <f t="shared" ref="Q10" si="9">SUM(Q5:Q9)</f>
        <v>3392.6683818067841</v>
      </c>
      <c r="R10" s="91">
        <f t="shared" ref="R10" si="10">SUM(R5:R9)</f>
        <v>3620.3595682380851</v>
      </c>
      <c r="S10" s="242">
        <f t="shared" ref="S10" si="11">SUM(S5:S9)</f>
        <v>3620.3595682380851</v>
      </c>
      <c r="T10" s="242">
        <f>SUM(T5:T9)</f>
        <v>3189.7454083956736</v>
      </c>
      <c r="U10" s="242">
        <f t="shared" ref="U10" si="12">SUM(U5:U9)</f>
        <v>2638.7127903798928</v>
      </c>
      <c r="V10" s="242">
        <f t="shared" ref="V10" si="13">SUM(V5:V9)</f>
        <v>2724.56900083643</v>
      </c>
      <c r="W10" s="242">
        <f t="shared" ref="W10" si="14">SUM(W5:W9)</f>
        <v>3058.7595795427524</v>
      </c>
      <c r="X10" s="91"/>
      <c r="Y10" s="91"/>
      <c r="Z10" s="91"/>
      <c r="AA10" s="91"/>
      <c r="AB10" s="91"/>
      <c r="AC10" s="91"/>
      <c r="AD10" s="91"/>
      <c r="AE10" s="91"/>
    </row>
    <row r="11" spans="1:64" s="11" customFormat="1" x14ac:dyDescent="0.25">
      <c r="A11" s="80"/>
      <c r="C11" s="239"/>
      <c r="D11" s="239"/>
      <c r="E11" s="239"/>
      <c r="F11" s="239"/>
      <c r="G11" s="239"/>
      <c r="H11" s="239"/>
      <c r="I11" s="239"/>
      <c r="J11" s="89"/>
      <c r="K11" s="89"/>
      <c r="L11" s="89"/>
      <c r="M11" s="89"/>
      <c r="N11" s="239"/>
      <c r="O11" s="89"/>
      <c r="P11" s="89"/>
      <c r="Q11" s="89"/>
      <c r="R11" s="89"/>
      <c r="S11" s="239"/>
      <c r="T11" s="239"/>
      <c r="U11" s="239"/>
      <c r="V11" s="239"/>
      <c r="W11" s="239"/>
      <c r="X11" s="89"/>
      <c r="Y11" s="89"/>
      <c r="Z11" s="89"/>
      <c r="AA11" s="89"/>
      <c r="AB11" s="89"/>
      <c r="AC11" s="89"/>
      <c r="AD11" s="89"/>
      <c r="AE11" s="89"/>
    </row>
    <row r="12" spans="1:64" s="14" customFormat="1" x14ac:dyDescent="0.25">
      <c r="A12" s="80" t="s">
        <v>106</v>
      </c>
      <c r="B12" s="11" t="s">
        <v>115</v>
      </c>
      <c r="C12" s="239">
        <f>_xll.BDP($A$1, $A12, "EQY_FUND_RELATIVE_PERIOD", C$4)</f>
        <v>4701</v>
      </c>
      <c r="D12" s="239">
        <f>_xll.BDP($A$1, $A12, "EQY_FUND_RELATIVE_PERIOD", D$4)</f>
        <v>4386.5</v>
      </c>
      <c r="E12" s="239" cm="1">
        <f t="array" ref="E12">_xll.BDP($A$1, $A12, "EQY_FUND_YEAR", E$3, "FUND_PER", E$2)</f>
        <v>4275.2</v>
      </c>
      <c r="F12" s="239" cm="1">
        <f t="array" ref="F12">_xll.BDP($A$1, $A12, "EQY_FUND_YEAR", F$3, "FUND_PER", F$2)</f>
        <v>4307.7</v>
      </c>
      <c r="G12" s="239" cm="1">
        <f t="array" ref="G12">_xll.BDP($A$1, $A12, "EQY_FUND_YEAR", G$3, "FUND_PER", G$2)</f>
        <v>4238.6000000000004</v>
      </c>
      <c r="H12" s="239" cm="1">
        <f t="array" ref="H12">_xll.BDP($A$1, $A12, "EQY_FUND_YEAR", H$3, "FUND_PER", H$2)</f>
        <v>4311.5</v>
      </c>
      <c r="I12" s="239">
        <f>_xll.BDP($A$1, $A12, "EQY_FUND_RELATIVE_PERIOD", I$4)</f>
        <v>4311.5</v>
      </c>
      <c r="J12" s="89" cm="1">
        <f t="array" ref="J12">_xll.BDP($A$1, $A12, "EQY_FUND_YEAR", J$3, "FUND_PER", J$2)</f>
        <v>4326.5</v>
      </c>
      <c r="K12" s="89" cm="1">
        <f t="array" ref="K12">_xll.BDP($A$1, $A12, "EQY_FUND_YEAR", K$3, "FUND_PER", K$2)</f>
        <v>4298.3</v>
      </c>
      <c r="L12" s="89" cm="1">
        <f t="array" ref="L12">_xll.BDP($A$1, $A12, "EQY_FUND_YEAR", L$3, "FUND_PER", L$2)</f>
        <v>4175.8999999999996</v>
      </c>
      <c r="M12" s="89" cm="1">
        <f t="array" ref="M12">_xll.BDP($A$1, $A12, "EQY_FUND_YEAR", M$3, "FUND_PER", M$2)</f>
        <v>4355.5</v>
      </c>
      <c r="N12" s="239">
        <f>_xll.BDP($A$1, $A12, "EQY_FUND_RELATIVE_PERIOD", N$4)</f>
        <v>4355.5</v>
      </c>
      <c r="O12" s="89" cm="1">
        <f t="array" ref="O12">_xll.BDP($A$1, $A12, "EQY_FUND_YEAR", O$3, "FUND_PER", O$2)</f>
        <v>4431</v>
      </c>
      <c r="P12" s="89">
        <f>O12-CF_F!P18-CF_F!P7</f>
        <v>4454.3951121054397</v>
      </c>
      <c r="Q12" s="89">
        <f>P12-CF_F!Q18-CF_F!Q7</f>
        <v>4459.9614448241891</v>
      </c>
      <c r="R12" s="89">
        <f>Q12-CF_F!R18-CF_F!R7</f>
        <v>4437.6658472591471</v>
      </c>
      <c r="S12" s="239">
        <f>R12</f>
        <v>4437.6658472591471</v>
      </c>
      <c r="T12" s="239">
        <f>S12-CF_F!T18-CF_F!T7</f>
        <v>4447.9158433157827</v>
      </c>
      <c r="U12" s="239">
        <f>T12-CF_F!U18-CF_F!U7</f>
        <v>4459.4829936345886</v>
      </c>
      <c r="V12" s="239">
        <f>U12-CF_F!V18-CF_F!V7</f>
        <v>4463.1824717217423</v>
      </c>
      <c r="W12" s="239">
        <f>V12-CF_F!W18-CF_F!W7</f>
        <v>4462.5434725821451</v>
      </c>
      <c r="X12" s="89"/>
      <c r="Y12" s="89"/>
      <c r="Z12" s="89"/>
      <c r="AA12" s="93"/>
      <c r="AB12" s="93"/>
      <c r="AC12" s="93"/>
      <c r="AD12" s="93"/>
      <c r="AE12" s="93"/>
    </row>
    <row r="13" spans="1:64" s="17" customFormat="1" x14ac:dyDescent="0.25">
      <c r="A13" s="80" t="s">
        <v>107</v>
      </c>
      <c r="B13" s="11" t="s">
        <v>116</v>
      </c>
      <c r="C13" s="239">
        <f>_xll.BDP($A$1, $A13, "EQY_FUND_RELATIVE_PERIOD", C$4)</f>
        <v>7631.4</v>
      </c>
      <c r="D13" s="239">
        <f>_xll.BDP($A$1, $A13, "EQY_FUND_RELATIVE_PERIOD", D$4)</f>
        <v>6151</v>
      </c>
      <c r="E13" s="239" cm="1">
        <f t="array" ref="E13">_xll.BDP($A$1, $A13, "EQY_FUND_YEAR", E$3, "FUND_PER", E$2)</f>
        <v>6153.9</v>
      </c>
      <c r="F13" s="239" cm="1">
        <f t="array" ref="F13">_xll.BDP($A$1, $A13, "EQY_FUND_YEAR", F$3, "FUND_PER", F$2)</f>
        <v>6156.9</v>
      </c>
      <c r="G13" s="239" cm="1">
        <f t="array" ref="G13">_xll.BDP($A$1, $A13, "EQY_FUND_YEAR", G$3, "FUND_PER", G$2)</f>
        <v>6151.7999999999993</v>
      </c>
      <c r="H13" s="239" cm="1">
        <f t="array" ref="H13">_xll.BDP($A$1, $A13, "EQY_FUND_YEAR", H$3, "FUND_PER", H$2)</f>
        <v>6152.5999999999995</v>
      </c>
      <c r="I13" s="239">
        <f>_xll.BDP($A$1, $A13, "EQY_FUND_RELATIVE_PERIOD", I$4)</f>
        <v>6152.5999999999995</v>
      </c>
      <c r="J13" s="89" cm="1">
        <f t="array" ref="J13">_xll.BDP($A$1, $A13, "EQY_FUND_YEAR", J$3, "FUND_PER", J$2)</f>
        <v>6155</v>
      </c>
      <c r="K13" s="89" cm="1">
        <f t="array" ref="K13">_xll.BDP($A$1, $A13, "EQY_FUND_YEAR", K$3, "FUND_PER", K$2)</f>
        <v>6148.5</v>
      </c>
      <c r="L13" s="89" cm="1">
        <f t="array" ref="L13">_xll.BDP($A$1, $A13, "EQY_FUND_YEAR", L$3, "FUND_PER", L$2)</f>
        <v>6133.2999999999993</v>
      </c>
      <c r="M13" s="89" cm="1">
        <f t="array" ref="M13">_xll.BDP($A$1, $A13, "EQY_FUND_YEAR", M$3, "FUND_PER", M$2)</f>
        <v>5291.9</v>
      </c>
      <c r="N13" s="239">
        <f>_xll.BDP($A$1, $A13, "EQY_FUND_RELATIVE_PERIOD", N$4)</f>
        <v>5291.9</v>
      </c>
      <c r="O13" s="89" cm="1">
        <f t="array" ref="O13">_xll.BDP($A$1, $A13, "EQY_FUND_YEAR", O$3, "FUND_PER", O$2)</f>
        <v>5292.4</v>
      </c>
      <c r="P13" s="89">
        <f>O13*0.99</f>
        <v>5239.4759999999997</v>
      </c>
      <c r="Q13" s="89">
        <f t="shared" ref="Q13:R13" si="15">P13*0.99</f>
        <v>5187.0812399999995</v>
      </c>
      <c r="R13" s="89">
        <f t="shared" si="15"/>
        <v>5135.2104275999991</v>
      </c>
      <c r="S13" s="239">
        <f>R13</f>
        <v>5135.2104275999991</v>
      </c>
      <c r="T13" s="239">
        <f>S13*0.99</f>
        <v>5083.8583233239988</v>
      </c>
      <c r="U13" s="239">
        <f t="shared" ref="U13:W13" si="16">T13*0.99</f>
        <v>5033.0197400907591</v>
      </c>
      <c r="V13" s="239">
        <f t="shared" si="16"/>
        <v>4982.6895426898518</v>
      </c>
      <c r="W13" s="239">
        <f t="shared" si="16"/>
        <v>4932.862647262953</v>
      </c>
      <c r="X13" s="89"/>
      <c r="Y13" s="89"/>
      <c r="Z13" s="89"/>
      <c r="AA13" s="95"/>
      <c r="AB13" s="95"/>
      <c r="AC13" s="95"/>
      <c r="AD13" s="95"/>
      <c r="AE13" s="95"/>
    </row>
    <row r="14" spans="1:64" s="17" customFormat="1" x14ac:dyDescent="0.25">
      <c r="A14" s="80" t="s">
        <v>108</v>
      </c>
      <c r="B14" s="11" t="s">
        <v>117</v>
      </c>
      <c r="C14" s="239">
        <f>_xll.BDP($A$1, $A14, "EQY_FUND_RELATIVE_PERIOD", C$4)</f>
        <v>13656</v>
      </c>
      <c r="D14" s="239">
        <f>_xll.BDP($A$1, $A14, "EQY_FUND_RELATIVE_PERIOD", D$4)</f>
        <v>13556.1</v>
      </c>
      <c r="E14" s="239" cm="1">
        <f t="array" ref="E14">_xll.BDP($A$1, $A14, "EQY_FUND_YEAR", E$3, "FUND_PER", E$2)</f>
        <v>13482.2</v>
      </c>
      <c r="F14" s="239" cm="1">
        <f t="array" ref="F14">_xll.BDP($A$1, $A14, "EQY_FUND_YEAR", F$3, "FUND_PER", F$2)</f>
        <v>13498.3</v>
      </c>
      <c r="G14" s="239" cm="1">
        <f t="array" ref="G14">_xll.BDP($A$1, $A14, "EQY_FUND_YEAR", G$3, "FUND_PER", G$2)</f>
        <v>13345.6</v>
      </c>
      <c r="H14" s="239" cm="1">
        <f t="array" ref="H14">_xll.BDP($A$1, $A14, "EQY_FUND_YEAR", H$3, "FUND_PER", H$2)</f>
        <v>13286.8</v>
      </c>
      <c r="I14" s="239">
        <f>_xll.BDP($A$1, $A14, "EQY_FUND_RELATIVE_PERIOD", I$4)</f>
        <v>13286.8</v>
      </c>
      <c r="J14" s="89" cm="1">
        <f t="array" ref="J14">_xll.BDP($A$1, $A14, "EQY_FUND_YEAR", J$3, "FUND_PER", J$2)</f>
        <v>13221.8</v>
      </c>
      <c r="K14" s="89" cm="1">
        <f t="array" ref="K14">_xll.BDP($A$1, $A14, "EQY_FUND_YEAR", K$3, "FUND_PER", K$2)</f>
        <v>12993.5</v>
      </c>
      <c r="L14" s="89" cm="1">
        <f t="array" ref="L14">_xll.BDP($A$1, $A14, "EQY_FUND_YEAR", L$3, "FUND_PER", L$2)</f>
        <v>12663.2</v>
      </c>
      <c r="M14" s="89" cm="1">
        <f t="array" ref="M14">_xll.BDP($A$1, $A14, "EQY_FUND_YEAR", M$3, "FUND_PER", M$2)</f>
        <v>12800.1</v>
      </c>
      <c r="N14" s="239">
        <f>_xll.BDP($A$1, $A14, "EQY_FUND_RELATIVE_PERIOD", N$4)</f>
        <v>12800.1</v>
      </c>
      <c r="O14" s="89" cm="1">
        <f t="array" ref="O14">_xll.BDP($A$1, $A14, "EQY_FUND_YEAR", O$3, "FUND_PER", O$2)</f>
        <v>12799.3</v>
      </c>
      <c r="P14" s="89">
        <f>O14-(203.1/3)</f>
        <v>12731.599999999999</v>
      </c>
      <c r="Q14" s="89">
        <f t="shared" ref="Q14:R14" si="17">P14-(203.1/3)</f>
        <v>12663.899999999998</v>
      </c>
      <c r="R14" s="89">
        <f t="shared" si="17"/>
        <v>12596.199999999997</v>
      </c>
      <c r="S14" s="239">
        <f>N14-204.1</f>
        <v>12596</v>
      </c>
      <c r="T14" s="239">
        <f>S14-202.7</f>
        <v>12393.3</v>
      </c>
      <c r="U14" s="239">
        <f>T14-202.7</f>
        <v>12190.599999999999</v>
      </c>
      <c r="V14" s="239">
        <f>U14-184.2</f>
        <v>12006.399999999998</v>
      </c>
      <c r="W14" s="239">
        <f>V14-119.8</f>
        <v>11886.599999999999</v>
      </c>
      <c r="X14" s="89"/>
      <c r="Y14" s="89"/>
      <c r="Z14" s="89"/>
      <c r="AA14" s="95"/>
      <c r="AB14" s="95"/>
      <c r="AC14" s="95"/>
      <c r="AD14" s="95"/>
      <c r="AE14" s="95"/>
    </row>
    <row r="15" spans="1:64" s="17" customFormat="1" ht="16.5" customHeight="1" x14ac:dyDescent="0.25">
      <c r="A15" s="80" t="s">
        <v>171</v>
      </c>
      <c r="B15" s="11" t="s">
        <v>118</v>
      </c>
      <c r="C15" s="239">
        <f>_xll.BDP($A$1, $A15, "EQY_FUND_RELATIVE_PERIOD", C$4)</f>
        <v>497</v>
      </c>
      <c r="D15" s="239">
        <f>_xll.BDP($A$1, $A15, "EQY_FUND_RELATIVE_PERIOD", D$4)</f>
        <v>640.9</v>
      </c>
      <c r="E15" s="239" t="str" cm="1">
        <f t="array" ref="E15">_xll.BDP($A$1, $A15, "EQY_FUND_YEAR", E$3, "FUND_PER", E$2)</f>
        <v>#N/A N/A</v>
      </c>
      <c r="F15" s="239" t="str" cm="1">
        <f t="array" ref="F15">_xll.BDP($A$1, $A15, "EQY_FUND_YEAR", F$3, "FUND_PER", F$2)</f>
        <v>#N/A N/A</v>
      </c>
      <c r="G15" s="239" t="str" cm="1">
        <f t="array" ref="G15">_xll.BDP($A$1, $A15, "EQY_FUND_YEAR", G$3, "FUND_PER", G$2)</f>
        <v>#N/A N/A</v>
      </c>
      <c r="H15" s="239" cm="1">
        <f t="array" ref="H15">_xll.BDP($A$1, $A15, "EQY_FUND_YEAR", H$3, "FUND_PER", H$2)</f>
        <v>513.6</v>
      </c>
      <c r="I15" s="239">
        <f>_xll.BDP($A$1, $A15, "EQY_FUND_RELATIVE_PERIOD", I$4)</f>
        <v>513.6</v>
      </c>
      <c r="J15" s="89">
        <v>500</v>
      </c>
      <c r="K15" s="89">
        <v>500</v>
      </c>
      <c r="L15" s="89">
        <v>500</v>
      </c>
      <c r="M15" s="89" cm="1">
        <f t="array" ref="M15">_xll.BDP($A$1, $A15, "EQY_FUND_YEAR", M$3, "FUND_PER", M$2)</f>
        <v>500.3</v>
      </c>
      <c r="N15" s="239">
        <f>_xll.BDP($A$1, $A15, "EQY_FUND_RELATIVE_PERIOD", N$4)</f>
        <v>500.3</v>
      </c>
      <c r="O15" s="89">
        <f>500</f>
        <v>500</v>
      </c>
      <c r="P15" s="89">
        <f>500</f>
        <v>500</v>
      </c>
      <c r="Q15" s="89">
        <f>500</f>
        <v>500</v>
      </c>
      <c r="R15" s="89">
        <f>500</f>
        <v>500</v>
      </c>
      <c r="S15" s="239">
        <f>R15</f>
        <v>500</v>
      </c>
      <c r="T15" s="239">
        <f t="shared" ref="T15:W15" si="18">S15</f>
        <v>500</v>
      </c>
      <c r="U15" s="239">
        <f t="shared" si="18"/>
        <v>500</v>
      </c>
      <c r="V15" s="239">
        <f t="shared" si="18"/>
        <v>500</v>
      </c>
      <c r="W15" s="239">
        <f t="shared" si="18"/>
        <v>500</v>
      </c>
      <c r="X15" s="89"/>
      <c r="Y15" s="89"/>
      <c r="Z15" s="89"/>
      <c r="AA15" s="95"/>
      <c r="AB15" s="95"/>
      <c r="AC15" s="95"/>
      <c r="AD15" s="95"/>
      <c r="AE15" s="95"/>
    </row>
    <row r="16" spans="1:64" s="14" customFormat="1" x14ac:dyDescent="0.25">
      <c r="A16" s="80" t="s">
        <v>109</v>
      </c>
      <c r="B16" s="11" t="s">
        <v>119</v>
      </c>
      <c r="C16" s="239">
        <f>_xll.BDP($A$1, $A16, "EQY_FUND_RELATIVE_PERIOD", C$4)+13.3</f>
        <v>190</v>
      </c>
      <c r="D16" s="239">
        <f>_xll.BDP($A$1, $A16, "EQY_FUND_RELATIVE_PERIOD", D$4)+45.7</f>
        <v>177.8</v>
      </c>
      <c r="E16" s="239" cm="1">
        <f t="array" ref="E16">_xll.BDP($A$1, $A16, "EQY_FUND_YEAR", E$3, "FUND_PER", E$2)</f>
        <v>803</v>
      </c>
      <c r="F16" s="239" cm="1">
        <f t="array" ref="F16">_xll.BDP($A$1, $A16, "EQY_FUND_YEAR", F$3, "FUND_PER", F$2)</f>
        <v>852.2</v>
      </c>
      <c r="G16" s="239" cm="1">
        <f t="array" ref="G16">_xll.BDP($A$1, $A16, "EQY_FUND_YEAR", G$3, "FUND_PER", G$2)</f>
        <v>875.1</v>
      </c>
      <c r="H16" s="239" cm="1">
        <f t="array" ref="H16">_xll.BDP($A$1, $A16, "EQY_FUND_YEAR", H$3, "FUND_PER", H$2)</f>
        <v>498.1</v>
      </c>
      <c r="I16" s="239">
        <f>_xll.BDP($A$1, $A16, "EQY_FUND_RELATIVE_PERIOD", I$4)+77.7</f>
        <v>575.80000000000007</v>
      </c>
      <c r="J16" s="89" cm="1">
        <f t="array" ref="J16">_xll.BDP($A$1, $A16, "EQY_FUND_YEAR", J$3, "FUND_PER", J$2)-J15+112.9</f>
        <v>647.6</v>
      </c>
      <c r="K16" s="89" cm="1">
        <f t="array" ref="K16">_xll.BDP($A$1, $A16, "EQY_FUND_YEAR", K$3, "FUND_PER", K$2)-K15+43.2</f>
        <v>575.70000000000005</v>
      </c>
      <c r="L16" s="89" cm="1">
        <f t="array" ref="L16">_xll.BDP($A$1, $A16, "EQY_FUND_YEAR", L$3, "FUND_PER", L$2)-L15+56.8</f>
        <v>486.7</v>
      </c>
      <c r="M16" s="89" cm="1">
        <f t="array" ref="M16">_xll.BDP($A$1, $A16, "EQY_FUND_YEAR", M$3, "FUND_PER", M$2)+49</f>
        <v>282.5</v>
      </c>
      <c r="N16" s="239">
        <f>_xll.BDP($A$1, $A16, "EQY_FUND_RELATIVE_PERIOD", N$4)+49</f>
        <v>282.5</v>
      </c>
      <c r="O16" s="89" cm="1">
        <f t="array" ref="O16">_xll.BDP($A$1, $A16, "EQY_FUND_YEAR", O$3, "FUND_PER", O$2)-O15+21</f>
        <v>278.20000000000005</v>
      </c>
      <c r="P16" s="89">
        <f>O16-CF_F!P19</f>
        <v>308.20000000000005</v>
      </c>
      <c r="Q16" s="89">
        <f>P16-CF_F!Q19</f>
        <v>338.20000000000005</v>
      </c>
      <c r="R16" s="89">
        <f>Q16-CF_F!R19</f>
        <v>368.20000000000005</v>
      </c>
      <c r="S16" s="239">
        <f>R16</f>
        <v>368.20000000000005</v>
      </c>
      <c r="T16" s="239">
        <f>S16-CF_F!T19</f>
        <v>468.20000000000005</v>
      </c>
      <c r="U16" s="239">
        <f>T16-CF_F!U19</f>
        <v>568.20000000000005</v>
      </c>
      <c r="V16" s="239">
        <f>U16-CF_F!V19</f>
        <v>688.2</v>
      </c>
      <c r="W16" s="239">
        <f>V16-CF_F!W19</f>
        <v>828.2</v>
      </c>
      <c r="X16" s="89"/>
      <c r="Y16" s="89"/>
      <c r="Z16" s="89"/>
      <c r="AA16" s="93"/>
      <c r="AB16" s="93"/>
      <c r="AC16" s="93"/>
      <c r="AD16" s="93"/>
      <c r="AE16" s="93"/>
    </row>
    <row r="17" spans="1:31" s="88" customFormat="1" x14ac:dyDescent="0.25">
      <c r="A17" s="86"/>
      <c r="B17" s="87" t="s">
        <v>120</v>
      </c>
      <c r="C17" s="242">
        <f>SUM(C12:C16)</f>
        <v>26675.4</v>
      </c>
      <c r="D17" s="242">
        <f t="shared" ref="D17:N17" si="19">SUM(D12:D16)</f>
        <v>24912.3</v>
      </c>
      <c r="E17" s="242">
        <f t="shared" si="19"/>
        <v>24714.3</v>
      </c>
      <c r="F17" s="242">
        <f t="shared" si="19"/>
        <v>24815.1</v>
      </c>
      <c r="G17" s="242">
        <f t="shared" si="19"/>
        <v>24611.1</v>
      </c>
      <c r="H17" s="242">
        <f t="shared" si="19"/>
        <v>24762.599999999995</v>
      </c>
      <c r="I17" s="242">
        <f t="shared" si="19"/>
        <v>24840.299999999996</v>
      </c>
      <c r="J17" s="91">
        <f t="shared" ref="J17:M17" si="20">SUM(J12:J16)</f>
        <v>24850.899999999998</v>
      </c>
      <c r="K17" s="91">
        <f t="shared" si="20"/>
        <v>24516</v>
      </c>
      <c r="L17" s="91">
        <f t="shared" si="20"/>
        <v>23959.100000000002</v>
      </c>
      <c r="M17" s="91">
        <f t="shared" si="20"/>
        <v>23230.3</v>
      </c>
      <c r="N17" s="242">
        <f t="shared" si="19"/>
        <v>23230.3</v>
      </c>
      <c r="O17" s="91">
        <f t="shared" ref="O17" si="21">SUM(O12:O16)</f>
        <v>23300.899999999998</v>
      </c>
      <c r="P17" s="91">
        <f>SUM(P12:P16)</f>
        <v>23233.67111210544</v>
      </c>
      <c r="Q17" s="91">
        <f t="shared" ref="Q17" si="22">SUM(Q12:Q16)</f>
        <v>23149.142684824186</v>
      </c>
      <c r="R17" s="91">
        <f t="shared" ref="R17" si="23">SUM(R12:R16)</f>
        <v>23037.276274859145</v>
      </c>
      <c r="S17" s="242">
        <f t="shared" ref="S17" si="24">SUM(S12:S16)</f>
        <v>23037.076274859148</v>
      </c>
      <c r="T17" s="242">
        <f t="shared" ref="T17" si="25">SUM(T12:T16)</f>
        <v>22893.274166639781</v>
      </c>
      <c r="U17" s="242">
        <f t="shared" ref="U17" si="26">SUM(U12:U16)</f>
        <v>22751.302733725348</v>
      </c>
      <c r="V17" s="242">
        <f t="shared" ref="V17" si="27">SUM(V12:V16)</f>
        <v>22640.472014411593</v>
      </c>
      <c r="W17" s="242">
        <f t="shared" ref="W17" si="28">SUM(W12:W16)</f>
        <v>22610.206119845097</v>
      </c>
      <c r="X17" s="91"/>
      <c r="Y17" s="91"/>
      <c r="Z17" s="91"/>
      <c r="AA17" s="96"/>
      <c r="AB17" s="96"/>
      <c r="AC17" s="96"/>
      <c r="AD17" s="96"/>
      <c r="AE17" s="96"/>
    </row>
    <row r="18" spans="1:31" s="17" customFormat="1" x14ac:dyDescent="0.25">
      <c r="A18" s="81"/>
      <c r="B18" s="51"/>
      <c r="C18" s="260"/>
      <c r="D18" s="260"/>
      <c r="E18" s="260"/>
      <c r="F18" s="260"/>
      <c r="G18" s="260"/>
      <c r="H18" s="260"/>
      <c r="I18" s="260"/>
      <c r="J18" s="97"/>
      <c r="K18" s="97"/>
      <c r="L18" s="97"/>
      <c r="M18" s="97"/>
      <c r="N18" s="260"/>
      <c r="O18" s="97"/>
      <c r="P18" s="97"/>
      <c r="Q18" s="97"/>
      <c r="R18" s="97"/>
      <c r="S18" s="260"/>
      <c r="T18" s="260"/>
      <c r="U18" s="260"/>
      <c r="V18" s="260"/>
      <c r="W18" s="260"/>
      <c r="X18" s="97"/>
      <c r="Y18" s="97"/>
      <c r="Z18" s="97"/>
      <c r="AA18" s="95"/>
      <c r="AB18" s="95"/>
      <c r="AC18" s="95"/>
      <c r="AD18" s="95"/>
      <c r="AE18" s="95"/>
    </row>
    <row r="19" spans="1:31" s="17" customFormat="1" x14ac:dyDescent="0.25">
      <c r="A19" s="81"/>
      <c r="B19" s="51" t="s">
        <v>121</v>
      </c>
      <c r="C19" s="260">
        <f>C17+C10</f>
        <v>28859.800000000003</v>
      </c>
      <c r="D19" s="260">
        <f>D17+D10</f>
        <v>27331.1</v>
      </c>
      <c r="E19" s="260">
        <f t="shared" ref="E19:H19" si="29">E17+E10</f>
        <v>27080.2</v>
      </c>
      <c r="F19" s="260">
        <f t="shared" si="29"/>
        <v>28417.199999999997</v>
      </c>
      <c r="G19" s="260">
        <f t="shared" si="29"/>
        <v>27531</v>
      </c>
      <c r="H19" s="260">
        <f t="shared" si="29"/>
        <v>27541.299999999996</v>
      </c>
      <c r="I19" s="260">
        <f>I17+I10</f>
        <v>27618.999999999996</v>
      </c>
      <c r="J19" s="97">
        <f>J17+J10</f>
        <v>27721.499999999996</v>
      </c>
      <c r="K19" s="97">
        <f t="shared" ref="K19:M19" si="30">K17+K10</f>
        <v>27387.9</v>
      </c>
      <c r="L19" s="97">
        <f t="shared" si="30"/>
        <v>26708.500000000004</v>
      </c>
      <c r="M19" s="97">
        <f t="shared" si="30"/>
        <v>25868.3</v>
      </c>
      <c r="N19" s="260">
        <f>N17+N10</f>
        <v>25868.3</v>
      </c>
      <c r="O19" s="97">
        <f t="shared" ref="O19:W19" si="31">O17+O10</f>
        <v>25852.499999999996</v>
      </c>
      <c r="P19" s="97">
        <f>P17+P10</f>
        <v>26414.546141675346</v>
      </c>
      <c r="Q19" s="97">
        <f>Q17+Q10</f>
        <v>26541.811066630969</v>
      </c>
      <c r="R19" s="97">
        <f t="shared" si="31"/>
        <v>26657.635843097229</v>
      </c>
      <c r="S19" s="260">
        <f>S17+S10</f>
        <v>26657.435843097232</v>
      </c>
      <c r="T19" s="260">
        <f t="shared" si="31"/>
        <v>26083.019575035454</v>
      </c>
      <c r="U19" s="260">
        <f t="shared" si="31"/>
        <v>25390.015524105242</v>
      </c>
      <c r="V19" s="260">
        <f t="shared" si="31"/>
        <v>25365.041015248022</v>
      </c>
      <c r="W19" s="260">
        <f t="shared" si="31"/>
        <v>25668.965699387849</v>
      </c>
      <c r="X19" s="97"/>
      <c r="Y19" s="97"/>
      <c r="Z19" s="97"/>
      <c r="AA19" s="95"/>
      <c r="AB19" s="95"/>
      <c r="AC19" s="95"/>
      <c r="AD19" s="95"/>
      <c r="AE19" s="95"/>
    </row>
    <row r="20" spans="1:31" s="14" customFormat="1" x14ac:dyDescent="0.25">
      <c r="A20" s="80"/>
      <c r="B20" s="11"/>
      <c r="C20" s="239"/>
      <c r="D20" s="239"/>
      <c r="E20" s="239"/>
      <c r="F20" s="239"/>
      <c r="G20" s="239"/>
      <c r="H20" s="239"/>
      <c r="I20" s="239"/>
      <c r="J20" s="89"/>
      <c r="K20" s="89"/>
      <c r="L20" s="89"/>
      <c r="M20" s="89"/>
      <c r="N20" s="239"/>
      <c r="O20" s="89"/>
      <c r="P20" s="89"/>
      <c r="Q20" s="89"/>
      <c r="R20" s="89"/>
      <c r="S20" s="239"/>
      <c r="T20" s="239"/>
      <c r="U20" s="239"/>
      <c r="V20" s="239"/>
      <c r="W20" s="239"/>
      <c r="X20" s="89"/>
      <c r="Y20" s="89"/>
      <c r="Z20" s="89"/>
      <c r="AA20" s="93"/>
      <c r="AB20" s="93"/>
      <c r="AC20" s="93"/>
      <c r="AD20" s="93"/>
      <c r="AE20" s="93"/>
    </row>
    <row r="21" spans="1:31" s="14" customFormat="1" x14ac:dyDescent="0.25">
      <c r="A21" s="80"/>
      <c r="B21" s="11" t="s">
        <v>183</v>
      </c>
      <c r="C21" s="239"/>
      <c r="D21" s="239"/>
      <c r="E21" s="239"/>
      <c r="F21" s="239"/>
      <c r="G21" s="239"/>
      <c r="H21" s="239"/>
      <c r="I21" s="239"/>
      <c r="J21" s="89"/>
      <c r="K21" s="89"/>
      <c r="L21" s="89"/>
      <c r="M21" s="89"/>
      <c r="N21" s="239"/>
      <c r="O21" s="89"/>
      <c r="P21" s="89"/>
      <c r="Q21" s="89"/>
      <c r="R21" s="89"/>
      <c r="S21" s="239"/>
      <c r="T21" s="239"/>
      <c r="U21" s="239"/>
      <c r="V21" s="239"/>
      <c r="W21" s="239"/>
      <c r="X21" s="89"/>
      <c r="Y21" s="89"/>
      <c r="Z21" s="89"/>
      <c r="AA21" s="93"/>
      <c r="AB21" s="93"/>
      <c r="AC21" s="93"/>
      <c r="AD21" s="93"/>
      <c r="AE21" s="93"/>
    </row>
    <row r="22" spans="1:31" s="14" customFormat="1" x14ac:dyDescent="0.25">
      <c r="A22" s="80" t="s">
        <v>122</v>
      </c>
      <c r="B22" s="11" t="s">
        <v>173</v>
      </c>
      <c r="C22" s="239">
        <f>_xll.BDP($A$1, $A22, "EQY_FUND_RELATIVE_PERIOD", C$4)</f>
        <v>2249.1999999999998</v>
      </c>
      <c r="D22" s="239">
        <f>_xll.BDP($A$1, $A22, "EQY_FUND_RELATIVE_PERIOD", D$4)</f>
        <v>2254.8000000000002</v>
      </c>
      <c r="E22" s="239" cm="1">
        <f t="array" ref="E22">_xll.BDP($A$1, $A22, "EQY_FUND_YEAR", E$3, "FUND_PER", E$2)</f>
        <v>2442.4</v>
      </c>
      <c r="F22" s="239" cm="1">
        <f t="array" ref="F22">_xll.BDP($A$1, $A22, "EQY_FUND_YEAR", F$3, "FUND_PER", F$2)</f>
        <v>3226.2</v>
      </c>
      <c r="G22" s="239" cm="1">
        <f t="array" ref="G22">_xll.BDP($A$1, $A22, "EQY_FUND_YEAR", G$3, "FUND_PER", G$2)</f>
        <v>3102</v>
      </c>
      <c r="H22" s="239" cm="1">
        <f t="array" ref="H22">_xll.BDP($A$1, $A22, "EQY_FUND_YEAR", H$3, "FUND_PER", H$2)</f>
        <v>2626.9</v>
      </c>
      <c r="I22" s="239">
        <f>_xll.BDP($A$1, $A22, "EQY_FUND_RELATIVE_PERIOD", I$4)</f>
        <v>2626.9</v>
      </c>
      <c r="J22" s="89" cm="1">
        <f t="array" ref="J22">_xll.BDP($A$1, $A22, "EQY_FUND_YEAR", J$3, "FUND_PER", J$2)</f>
        <v>2783.3</v>
      </c>
      <c r="K22" s="89" cm="1">
        <f t="array" ref="K22">_xll.BDP($A$1, $A22, "EQY_FUND_YEAR", K$3, "FUND_PER", K$2)</f>
        <v>3208.6</v>
      </c>
      <c r="L22" s="89" cm="1">
        <f t="array" ref="L22">_xll.BDP($A$1, $A22, "EQY_FUND_YEAR", L$3, "FUND_PER", L$2)</f>
        <v>3012.1</v>
      </c>
      <c r="M22" s="89" cm="1">
        <f t="array" ref="M22">_xll.BDP($A$1, $A22, "EQY_FUND_YEAR", M$3, "FUND_PER", M$2)</f>
        <v>2585.9999999999995</v>
      </c>
      <c r="N22" s="239">
        <f>_xll.BDP($A$1, $A22, "EQY_FUND_RELATIVE_PERIOD", N$4)</f>
        <v>2585.9999999999995</v>
      </c>
      <c r="O22" s="89" cm="1">
        <f t="array" ref="O22">_xll.BDP($A$1, $A22, "EQY_FUND_YEAR", O$3, "FUND_PER", O$2)</f>
        <v>2821</v>
      </c>
      <c r="P22" s="89">
        <f>O22*0.99</f>
        <v>2792.79</v>
      </c>
      <c r="Q22" s="89">
        <f t="shared" ref="Q22:R22" si="32">P22*0.99</f>
        <v>2764.8620999999998</v>
      </c>
      <c r="R22" s="89">
        <f t="shared" si="32"/>
        <v>2737.213479</v>
      </c>
      <c r="S22" s="239">
        <f>R22</f>
        <v>2737.213479</v>
      </c>
      <c r="T22" s="239">
        <f>S22*0.98</f>
        <v>2682.46920942</v>
      </c>
      <c r="U22" s="239">
        <f t="shared" ref="U22:W22" si="33">T22*0.98</f>
        <v>2628.8198252316001</v>
      </c>
      <c r="V22" s="239">
        <f t="shared" si="33"/>
        <v>2576.243428726968</v>
      </c>
      <c r="W22" s="239">
        <f t="shared" si="33"/>
        <v>2524.7185601524284</v>
      </c>
      <c r="X22" s="89"/>
      <c r="Y22" s="89"/>
      <c r="Z22" s="89"/>
      <c r="AA22" s="93"/>
      <c r="AB22" s="93"/>
      <c r="AC22" s="93"/>
      <c r="AD22" s="93"/>
      <c r="AE22" s="93"/>
    </row>
    <row r="23" spans="1:31" s="14" customFormat="1" x14ac:dyDescent="0.25">
      <c r="A23" s="80" t="s">
        <v>123</v>
      </c>
      <c r="B23" s="11" t="s">
        <v>174</v>
      </c>
      <c r="C23" s="239">
        <f>_xll.BDP($A$1, $A23, "EQY_FUND_RELATIVE_PERIOD", C$4)</f>
        <v>974.8</v>
      </c>
      <c r="D23" s="239">
        <f>_xll.BDP($A$1, $A23, "EQY_FUND_RELATIVE_PERIOD", D$4)</f>
        <v>1067.2</v>
      </c>
      <c r="E23" s="239" cm="1">
        <f t="array" ref="E23">_xll.BDP($A$1, $A23, "EQY_FUND_YEAR", E$3, "FUND_PER", E$2)</f>
        <v>1110.8999999999999</v>
      </c>
      <c r="F23" s="239" cm="1">
        <f t="array" ref="F23">_xll.BDP($A$1, $A23, "EQY_FUND_YEAR", F$3, "FUND_PER", F$2)</f>
        <v>1573.1999999999998</v>
      </c>
      <c r="G23" s="239" cm="1">
        <f t="array" ref="G23">_xll.BDP($A$1, $A23, "EQY_FUND_YEAR", G$3, "FUND_PER", G$2)</f>
        <v>606.6</v>
      </c>
      <c r="H23" s="239" cm="1">
        <f t="array" ref="H23">_xll.BDP($A$1, $A23, "EQY_FUND_YEAR", H$3, "FUND_PER", H$2)</f>
        <v>560.29999999999995</v>
      </c>
      <c r="I23" s="239">
        <f>_xll.BDP($A$1, $A23, "EQY_FUND_RELATIVE_PERIOD", I$4)</f>
        <v>560.29999999999995</v>
      </c>
      <c r="J23" s="89" cm="1">
        <f t="array" ref="J23">_xll.BDP($A$1, $A23, "EQY_FUND_YEAR", J$3, "FUND_PER", J$2)</f>
        <v>726.5</v>
      </c>
      <c r="K23" s="89" cm="1">
        <f t="array" ref="K23">_xll.BDP($A$1, $A23, "EQY_FUND_YEAR", K$3, "FUND_PER", K$2)</f>
        <v>291.89999999999998</v>
      </c>
      <c r="L23" s="89" cm="1">
        <f t="array" ref="L23">_xll.BDP($A$1, $A23, "EQY_FUND_YEAR", L$3, "FUND_PER", L$2)</f>
        <v>546</v>
      </c>
      <c r="M23" s="89" cm="1">
        <f t="array" ref="M23">_xll.BDP($A$1, $A23, "EQY_FUND_YEAR", M$3, "FUND_PER", M$2)</f>
        <v>441.79999999999995</v>
      </c>
      <c r="N23" s="239">
        <f>_xll.BDP($A$1, $A23, "EQY_FUND_RELATIVE_PERIOD", N$4)</f>
        <v>441.79999999999995</v>
      </c>
      <c r="O23" s="89" cm="1">
        <f t="array" ref="O23">_xll.BDP($A$1, $A23, "EQY_FUND_YEAR", O$3, "FUND_PER", O$2)</f>
        <v>458.79999999999995</v>
      </c>
      <c r="P23" s="89">
        <f>O23-380</f>
        <v>78.799999999999955</v>
      </c>
      <c r="Q23" s="89">
        <f>P23</f>
        <v>78.799999999999955</v>
      </c>
      <c r="R23" s="89">
        <f>Q23</f>
        <v>78.799999999999955</v>
      </c>
      <c r="S23" s="239">
        <f t="shared" ref="S23:W24" si="34">R23</f>
        <v>78.799999999999955</v>
      </c>
      <c r="T23" s="239">
        <f>S23</f>
        <v>78.799999999999955</v>
      </c>
      <c r="U23" s="239">
        <f t="shared" ref="U23:W23" si="35">T23</f>
        <v>78.799999999999955</v>
      </c>
      <c r="V23" s="239">
        <f t="shared" si="35"/>
        <v>78.799999999999955</v>
      </c>
      <c r="W23" s="239">
        <f t="shared" si="35"/>
        <v>78.799999999999955</v>
      </c>
      <c r="X23" s="89"/>
      <c r="Y23" s="89"/>
      <c r="Z23" s="89"/>
      <c r="AA23" s="93"/>
      <c r="AB23" s="93"/>
      <c r="AC23" s="93"/>
      <c r="AD23" s="93"/>
      <c r="AE23" s="93"/>
    </row>
    <row r="24" spans="1:31" s="14" customFormat="1" x14ac:dyDescent="0.25">
      <c r="A24" s="80" t="s">
        <v>124</v>
      </c>
      <c r="B24" s="11" t="s">
        <v>175</v>
      </c>
      <c r="C24" s="239">
        <f>_xll.BDP($A$1, $A24, "EQY_FUND_RELATIVE_PERIOD", C$4)</f>
        <v>471.5</v>
      </c>
      <c r="D24" s="239">
        <f>_xll.BDP($A$1, $A24, "EQY_FUND_RELATIVE_PERIOD", D$4)</f>
        <v>587.59999999999991</v>
      </c>
      <c r="E24" s="239" cm="1">
        <f t="array" ref="E24">_xll.BDP($A$1, $A24, "EQY_FUND_YEAR", E$3, "FUND_PER", E$2)</f>
        <v>43</v>
      </c>
      <c r="F24" s="239" cm="1">
        <f t="array" ref="F24">_xll.BDP($A$1, $A24, "EQY_FUND_YEAR", F$3, "FUND_PER", F$2)</f>
        <v>92.5</v>
      </c>
      <c r="G24" s="239" cm="1">
        <f t="array" ref="G24">_xll.BDP($A$1, $A24, "EQY_FUND_YEAR", G$3, "FUND_PER", G$2)</f>
        <v>71.2</v>
      </c>
      <c r="H24" s="239" cm="1">
        <f t="array" ref="H24">_xll.BDP($A$1, $A24, "EQY_FUND_YEAR", H$3, "FUND_PER", H$2)</f>
        <v>435</v>
      </c>
      <c r="I24" s="239">
        <f>_xll.BDP($A$1, $A24, "EQY_FUND_RELATIVE_PERIOD", I$4)</f>
        <v>435</v>
      </c>
      <c r="J24" s="89" cm="1">
        <f t="array" ref="J24">_xll.BDP($A$1, $A24, "EQY_FUND_YEAR", J$3, "FUND_PER", J$2)</f>
        <v>45.5</v>
      </c>
      <c r="K24" s="89" cm="1">
        <f t="array" ref="K24">_xll.BDP($A$1, $A24, "EQY_FUND_YEAR", K$3, "FUND_PER", K$2)</f>
        <v>13.8</v>
      </c>
      <c r="L24" s="89" cm="1">
        <f t="array" ref="L24">_xll.BDP($A$1, $A24, "EQY_FUND_YEAR", L$3, "FUND_PER", L$2)</f>
        <v>33.1</v>
      </c>
      <c r="M24" s="89" cm="1">
        <f t="array" ref="M24">_xll.BDP($A$1, $A24, "EQY_FUND_YEAR", M$3, "FUND_PER", M$2)</f>
        <v>347.59999999999997</v>
      </c>
      <c r="N24" s="239">
        <f>_xll.BDP($A$1, $A24, "EQY_FUND_RELATIVE_PERIOD", N$4)</f>
        <v>347.59999999999997</v>
      </c>
      <c r="O24" s="89" cm="1">
        <f t="array" ref="O24">_xll.BDP($A$1, $A24, "EQY_FUND_YEAR", O$3, "FUND_PER", O$2)</f>
        <v>26.4</v>
      </c>
      <c r="P24" s="89">
        <f>O24</f>
        <v>26.4</v>
      </c>
      <c r="Q24" s="89">
        <f t="shared" ref="Q24:R24" si="36">P24</f>
        <v>26.4</v>
      </c>
      <c r="R24" s="89">
        <f t="shared" si="36"/>
        <v>26.4</v>
      </c>
      <c r="S24" s="239">
        <f t="shared" si="34"/>
        <v>26.4</v>
      </c>
      <c r="T24" s="239">
        <f t="shared" si="34"/>
        <v>26.4</v>
      </c>
      <c r="U24" s="239">
        <f t="shared" si="34"/>
        <v>26.4</v>
      </c>
      <c r="V24" s="239">
        <f t="shared" si="34"/>
        <v>26.4</v>
      </c>
      <c r="W24" s="239">
        <f t="shared" si="34"/>
        <v>26.4</v>
      </c>
      <c r="X24" s="89"/>
      <c r="Y24" s="89"/>
      <c r="Z24" s="89"/>
      <c r="AA24" s="93"/>
      <c r="AB24" s="93"/>
      <c r="AC24" s="93"/>
      <c r="AD24" s="93"/>
      <c r="AE24" s="93"/>
    </row>
    <row r="25" spans="1:31" s="17" customFormat="1" x14ac:dyDescent="0.25">
      <c r="A25" s="81"/>
      <c r="B25" s="51" t="s">
        <v>125</v>
      </c>
      <c r="C25" s="260">
        <f>SUM(C22:C24)</f>
        <v>3695.5</v>
      </c>
      <c r="D25" s="260">
        <f t="shared" ref="D25:N25" si="37">SUM(D22:D24)</f>
        <v>3909.6</v>
      </c>
      <c r="E25" s="260">
        <f t="shared" si="37"/>
        <v>3596.3</v>
      </c>
      <c r="F25" s="260">
        <f t="shared" si="37"/>
        <v>4891.8999999999996</v>
      </c>
      <c r="G25" s="260">
        <f t="shared" si="37"/>
        <v>3779.7999999999997</v>
      </c>
      <c r="H25" s="260">
        <f t="shared" si="37"/>
        <v>3622.2</v>
      </c>
      <c r="I25" s="260">
        <f t="shared" si="37"/>
        <v>3622.2</v>
      </c>
      <c r="J25" s="97">
        <f t="shared" si="37"/>
        <v>3555.3</v>
      </c>
      <c r="K25" s="97">
        <f t="shared" si="37"/>
        <v>3514.3</v>
      </c>
      <c r="L25" s="97">
        <f t="shared" si="37"/>
        <v>3591.2</v>
      </c>
      <c r="M25" s="97">
        <f t="shared" si="37"/>
        <v>3375.3999999999992</v>
      </c>
      <c r="N25" s="260">
        <f t="shared" si="37"/>
        <v>3375.3999999999992</v>
      </c>
      <c r="O25" s="97">
        <f t="shared" ref="O25" si="38">SUM(O22:O24)</f>
        <v>3306.2000000000003</v>
      </c>
      <c r="P25" s="97">
        <f>SUM(P22:P24)</f>
        <v>2897.9900000000002</v>
      </c>
      <c r="Q25" s="97">
        <f t="shared" ref="Q25" si="39">SUM(Q22:Q24)</f>
        <v>2870.0620999999996</v>
      </c>
      <c r="R25" s="97">
        <f t="shared" ref="R25" si="40">SUM(R22:R24)</f>
        <v>2842.4134790000003</v>
      </c>
      <c r="S25" s="260">
        <f t="shared" ref="S25" si="41">SUM(S22:S24)</f>
        <v>2842.4134790000003</v>
      </c>
      <c r="T25" s="260">
        <f t="shared" ref="T25" si="42">SUM(T22:T24)</f>
        <v>2787.6692094200002</v>
      </c>
      <c r="U25" s="260">
        <f t="shared" ref="U25" si="43">SUM(U22:U24)</f>
        <v>2734.0198252316</v>
      </c>
      <c r="V25" s="260">
        <f t="shared" ref="V25" si="44">SUM(V22:V24)</f>
        <v>2681.4434287269682</v>
      </c>
      <c r="W25" s="260">
        <f t="shared" ref="W25" si="45">SUM(W22:W24)</f>
        <v>2629.9185601524282</v>
      </c>
      <c r="X25" s="97"/>
      <c r="Y25" s="97"/>
      <c r="Z25" s="97"/>
      <c r="AA25" s="95"/>
      <c r="AB25" s="95"/>
      <c r="AC25" s="95"/>
      <c r="AD25" s="95"/>
      <c r="AE25" s="95"/>
    </row>
    <row r="26" spans="1:31" s="14" customFormat="1" x14ac:dyDescent="0.25">
      <c r="A26" s="80"/>
      <c r="B26" s="11"/>
      <c r="C26" s="239"/>
      <c r="D26" s="239"/>
      <c r="E26" s="239"/>
      <c r="F26" s="239"/>
      <c r="G26" s="239"/>
      <c r="H26" s="239"/>
      <c r="I26" s="239"/>
      <c r="J26" s="89"/>
      <c r="K26" s="89"/>
      <c r="L26" s="89"/>
      <c r="M26" s="89"/>
      <c r="N26" s="239"/>
      <c r="O26" s="89"/>
      <c r="P26" s="89"/>
      <c r="Q26" s="89"/>
      <c r="R26" s="89"/>
      <c r="S26" s="239"/>
      <c r="T26" s="239"/>
      <c r="U26" s="239"/>
      <c r="V26" s="239"/>
      <c r="W26" s="239"/>
      <c r="X26" s="89"/>
      <c r="Y26" s="89"/>
      <c r="Z26" s="89"/>
      <c r="AA26" s="93"/>
      <c r="AB26" s="93"/>
      <c r="AC26" s="93"/>
      <c r="AD26" s="93"/>
      <c r="AE26" s="93"/>
    </row>
    <row r="27" spans="1:31" s="17" customFormat="1" x14ac:dyDescent="0.25">
      <c r="A27" s="80" t="s">
        <v>126</v>
      </c>
      <c r="B27" s="11" t="s">
        <v>176</v>
      </c>
      <c r="C27" s="239">
        <f>_xll.BDP($A$1, $A27, "EQY_FUND_RELATIVE_PERIOD", C$4)</f>
        <v>8229</v>
      </c>
      <c r="D27" s="239">
        <f>_xll.BDP($A$1, $A27, "EQY_FUND_RELATIVE_PERIOD", D$4)</f>
        <v>7314.5999999999995</v>
      </c>
      <c r="E27" s="239" cm="1">
        <f t="array" ref="E27">_xll.BDP($A$1, $A27, "EQY_FUND_YEAR", E$3, "FUND_PER", E$2)</f>
        <v>7282.5</v>
      </c>
      <c r="F27" s="239" cm="1">
        <f t="array" ref="F27">_xll.BDP($A$1, $A27, "EQY_FUND_YEAR", F$3, "FUND_PER", F$2)</f>
        <v>6803.4</v>
      </c>
      <c r="G27" s="239" cm="1">
        <f t="array" ref="G27">_xll.BDP($A$1, $A27, "EQY_FUND_YEAR", G$3, "FUND_PER", G$2)</f>
        <v>6755.0999999999995</v>
      </c>
      <c r="H27" s="239" cm="1">
        <f t="array" ref="H27">_xll.BDP($A$1, $A27, "EQY_FUND_YEAR", H$3, "FUND_PER", H$2)</f>
        <v>6735</v>
      </c>
      <c r="I27" s="239">
        <f>_xll.BDP($A$1, $A27, "EQY_FUND_RELATIVE_PERIOD", I$4)</f>
        <v>6735</v>
      </c>
      <c r="J27" s="89" cm="1">
        <f t="array" ref="J27">_xll.BDP($A$1, $A27, "EQY_FUND_YEAR", J$3, "FUND_PER", J$2)</f>
        <v>6716.2</v>
      </c>
      <c r="K27" s="89" cm="1">
        <f t="array" ref="K27">_xll.BDP($A$1, $A27, "EQY_FUND_YEAR", K$3, "FUND_PER", K$2)</f>
        <v>6654.9</v>
      </c>
      <c r="L27" s="89" cm="1">
        <f t="array" ref="L27">_xll.BDP($A$1, $A27, "EQY_FUND_YEAR", L$3, "FUND_PER", L$2)</f>
        <v>6171.7999999999993</v>
      </c>
      <c r="M27" s="89" cm="1">
        <f t="array" ref="M27">_xll.BDP($A$1, $A27, "EQY_FUND_YEAR", M$3, "FUND_PER", M$2)</f>
        <v>6264.5</v>
      </c>
      <c r="N27" s="239">
        <f>_xll.BDP($A$1, $A27, "EQY_FUND_RELATIVE_PERIOD", N$4)</f>
        <v>6264.5</v>
      </c>
      <c r="O27" s="89" cm="1">
        <f t="array" ref="O27">_xll.BDP($A$1, $A27, "EQY_FUND_YEAR", O$3, "FUND_PER", O$2)</f>
        <v>6302.2999999999993</v>
      </c>
      <c r="P27" s="89">
        <f>O27+CF_F!P24</f>
        <v>6922.2999999999993</v>
      </c>
      <c r="Q27" s="89">
        <f>P27+CF_F!Q24</f>
        <v>6922.2999999999993</v>
      </c>
      <c r="R27" s="89">
        <f>Q27+CF_F!R24</f>
        <v>6922.2999999999993</v>
      </c>
      <c r="S27" s="239">
        <f>R27</f>
        <v>6922.2999999999993</v>
      </c>
      <c r="T27" s="239">
        <f>S27+CF_F!T24</f>
        <v>6042.2999999999993</v>
      </c>
      <c r="U27" s="239">
        <f>T27+CF_F!U24</f>
        <v>5042.2999999999993</v>
      </c>
      <c r="V27" s="239">
        <f>U27+CF_F!V24</f>
        <v>4662.2999999999993</v>
      </c>
      <c r="W27" s="239">
        <f>V27+CF_F!W24</f>
        <v>4662.2999999999993</v>
      </c>
      <c r="X27" s="89"/>
      <c r="Y27" s="89"/>
      <c r="Z27" s="89"/>
      <c r="AA27" s="95"/>
      <c r="AB27" s="95"/>
      <c r="AC27" s="95"/>
      <c r="AD27" s="95"/>
      <c r="AE27" s="95"/>
    </row>
    <row r="28" spans="1:31" s="14" customFormat="1" x14ac:dyDescent="0.25">
      <c r="A28" s="80" t="s">
        <v>127</v>
      </c>
      <c r="B28" s="11" t="s">
        <v>177</v>
      </c>
      <c r="C28" s="239">
        <f>_xll.BDP($A$1, $A28, "EQY_FUND_RELATIVE_PERIOD", C$4)</f>
        <v>716.6</v>
      </c>
      <c r="D28" s="239">
        <f>_xll.BDP($A$1, $A28, "EQY_FUND_RELATIVE_PERIOD", D$4)</f>
        <v>763.19999999999993</v>
      </c>
      <c r="E28" s="239" cm="1">
        <f t="array" ref="E28">_xll.BDP($A$1, $A28, "EQY_FUND_YEAR", E$3, "FUND_PER", E$2)</f>
        <v>757.69999999999993</v>
      </c>
      <c r="F28" s="239" cm="1">
        <f t="array" ref="F28">_xll.BDP($A$1, $A28, "EQY_FUND_YEAR", F$3, "FUND_PER", F$2)</f>
        <v>751.8</v>
      </c>
      <c r="G28" s="239" cm="1">
        <f t="array" ref="G28">_xll.BDP($A$1, $A28, "EQY_FUND_YEAR", G$3, "FUND_PER", G$2)</f>
        <v>737.9</v>
      </c>
      <c r="H28" s="239" cm="1">
        <f t="array" ref="H28">_xll.BDP($A$1, $A28, "EQY_FUND_YEAR", H$3, "FUND_PER", H$2)</f>
        <v>654.4</v>
      </c>
      <c r="I28" s="239">
        <f>_xll.BDP($A$1, $A28, "EQY_FUND_RELATIVE_PERIOD", I$4)</f>
        <v>654.4</v>
      </c>
      <c r="J28" s="89" cm="1">
        <f t="array" ref="J28">_xll.BDP($A$1, $A28, "EQY_FUND_YEAR", J$3, "FUND_PER", J$2)</f>
        <v>649.9</v>
      </c>
      <c r="K28" s="89" cm="1">
        <f t="array" ref="K28">_xll.BDP($A$1, $A28, "EQY_FUND_YEAR", K$3, "FUND_PER", K$2)</f>
        <v>640</v>
      </c>
      <c r="L28" s="89" cm="1">
        <f t="array" ref="L28">_xll.BDP($A$1, $A28, "EQY_FUND_YEAR", L$3, "FUND_PER", L$2)</f>
        <v>625.29999999999995</v>
      </c>
      <c r="M28" s="89" cm="1">
        <f t="array" ref="M28">_xll.BDP($A$1, $A28, "EQY_FUND_YEAR", M$3, "FUND_PER", M$2)</f>
        <v>473.29999999999995</v>
      </c>
      <c r="N28" s="239">
        <f>_xll.BDP($A$1, $A28, "EQY_FUND_RELATIVE_PERIOD", N$4)</f>
        <v>473.29999999999995</v>
      </c>
      <c r="O28" s="89" cm="1">
        <f t="array" ref="O28">_xll.BDP($A$1, $A28, "EQY_FUND_YEAR", O$3, "FUND_PER", O$2)</f>
        <v>470</v>
      </c>
      <c r="P28" s="89">
        <f>O28</f>
        <v>470</v>
      </c>
      <c r="Q28" s="89">
        <f t="shared" ref="Q28:S28" si="46">P28</f>
        <v>470</v>
      </c>
      <c r="R28" s="89">
        <f t="shared" si="46"/>
        <v>470</v>
      </c>
      <c r="S28" s="239">
        <f t="shared" si="46"/>
        <v>470</v>
      </c>
      <c r="T28" s="239">
        <f>S28</f>
        <v>470</v>
      </c>
      <c r="U28" s="239">
        <f t="shared" ref="U28:W28" si="47">T28</f>
        <v>470</v>
      </c>
      <c r="V28" s="239">
        <f t="shared" si="47"/>
        <v>470</v>
      </c>
      <c r="W28" s="239">
        <f t="shared" si="47"/>
        <v>470</v>
      </c>
      <c r="X28" s="89"/>
      <c r="Y28" s="89"/>
      <c r="Z28" s="89"/>
      <c r="AA28" s="93"/>
      <c r="AB28" s="93"/>
      <c r="AC28" s="93"/>
      <c r="AD28" s="93"/>
      <c r="AE28" s="93"/>
    </row>
    <row r="29" spans="1:31" s="14" customFormat="1" ht="14.25" customHeight="1" x14ac:dyDescent="0.25">
      <c r="A29" s="80" t="s">
        <v>172</v>
      </c>
      <c r="B29" s="11" t="s">
        <v>178</v>
      </c>
      <c r="C29" s="239">
        <f>_xll.BDP($A$1, $A29, "EQY_FUND_RELATIVE_PERIOD", C$4)</f>
        <v>2258.6</v>
      </c>
      <c r="D29" s="239">
        <f>_xll.BDP($A$1, $A29, "EQY_FUND_RELATIVE_PERIOD", D$4)</f>
        <v>2381.6</v>
      </c>
      <c r="E29" s="239" cm="1">
        <f t="array" ref="E29">_xll.BDP($A$1, $A29, "EQY_FUND_YEAR", E$3, "FUND_PER", E$2)</f>
        <v>2476.8000000000002</v>
      </c>
      <c r="F29" s="239" cm="1">
        <f t="array" ref="F29">_xll.BDP($A$1, $A29, "EQY_FUND_YEAR", F$3, "FUND_PER", F$2)</f>
        <v>2585.8000000000002</v>
      </c>
      <c r="G29" s="239" cm="1">
        <f t="array" ref="G29">_xll.BDP($A$1, $A29, "EQY_FUND_YEAR", G$3, "FUND_PER", G$2)</f>
        <v>2607.6999999999998</v>
      </c>
      <c r="H29" s="239" cm="1">
        <f t="array" ref="H29">_xll.BDP($A$1, $A29, "EQY_FUND_YEAR", H$3, "FUND_PER", H$2)</f>
        <v>2704.6</v>
      </c>
      <c r="I29" s="239">
        <f>_xll.BDP($A$1, $A29, "EQY_FUND_RELATIVE_PERIOD", I$4)</f>
        <v>2704.6</v>
      </c>
      <c r="J29" s="89" cm="1">
        <f t="array" ref="J29">_xll.BDP($A$1, $A29, "EQY_FUND_YEAR", J$3, "FUND_PER", J$2)</f>
        <v>2776.6</v>
      </c>
      <c r="K29" s="89" cm="1">
        <f t="array" ref="K29">_xll.BDP($A$1, $A29, "EQY_FUND_YEAR", K$3, "FUND_PER", K$2)</f>
        <v>2782.7</v>
      </c>
      <c r="L29" s="89" cm="1">
        <f t="array" ref="L29">_xll.BDP($A$1, $A29, "EQY_FUND_YEAR", L$3, "FUND_PER", L$2)</f>
        <v>2727.6</v>
      </c>
      <c r="M29" s="89" cm="1">
        <f t="array" ref="M29">_xll.BDP($A$1, $A29, "EQY_FUND_YEAR", M$3, "FUND_PER", M$2)</f>
        <v>2646.4</v>
      </c>
      <c r="N29" s="239">
        <f>_xll.BDP($A$1, $A29, "EQY_FUND_RELATIVE_PERIOD", N$4)</f>
        <v>2646.4</v>
      </c>
      <c r="O29" s="89" cm="1">
        <f t="array" ref="O29">_xll.BDP($A$1, $A29, "EQY_FUND_YEAR", O$3, "FUND_PER", O$2)</f>
        <v>2658.6</v>
      </c>
      <c r="P29" s="89">
        <f>O29</f>
        <v>2658.6</v>
      </c>
      <c r="Q29" s="89">
        <f t="shared" ref="Q29:S29" si="48">P29</f>
        <v>2658.6</v>
      </c>
      <c r="R29" s="89">
        <f t="shared" si="48"/>
        <v>2658.6</v>
      </c>
      <c r="S29" s="239">
        <f t="shared" si="48"/>
        <v>2658.6</v>
      </c>
      <c r="T29" s="239">
        <f t="shared" ref="T29:W29" si="49">S29</f>
        <v>2658.6</v>
      </c>
      <c r="U29" s="239">
        <f t="shared" si="49"/>
        <v>2658.6</v>
      </c>
      <c r="V29" s="239">
        <f t="shared" si="49"/>
        <v>2658.6</v>
      </c>
      <c r="W29" s="239">
        <f t="shared" si="49"/>
        <v>2658.6</v>
      </c>
      <c r="X29" s="89"/>
      <c r="Y29" s="89"/>
      <c r="Z29" s="89"/>
      <c r="AA29" s="93"/>
      <c r="AB29" s="93"/>
      <c r="AC29" s="93"/>
      <c r="AD29" s="93"/>
      <c r="AE29" s="93"/>
    </row>
    <row r="30" spans="1:31" s="14" customFormat="1" x14ac:dyDescent="0.25">
      <c r="A30" s="80" t="s">
        <v>128</v>
      </c>
      <c r="B30" s="11" t="s">
        <v>179</v>
      </c>
      <c r="C30" s="239">
        <f>_xll.BDP($A$1, $A30, "EQY_FUND_RELATIVE_PERIOD", C$4)</f>
        <v>163.6</v>
      </c>
      <c r="D30" s="239">
        <f>_xll.BDP($A$1, $A30, "EQY_FUND_RELATIVE_PERIOD", D$4)+180.1</f>
        <v>340.79999999999995</v>
      </c>
      <c r="E30" s="239" cm="1">
        <f t="array" ref="E30">_xll.BDP($A$1, $A30, "EQY_FUND_YEAR", E$3, "FUND_PER", E$2)</f>
        <v>156.69999999999999</v>
      </c>
      <c r="F30" s="239" cm="1">
        <f t="array" ref="F30">_xll.BDP($A$1, $A30, "EQY_FUND_YEAR", F$3, "FUND_PER", F$2)</f>
        <v>158.69999999999999</v>
      </c>
      <c r="G30" s="239" cm="1">
        <f t="array" ref="G30">_xll.BDP($A$1, $A30, "EQY_FUND_YEAR", G$3, "FUND_PER", G$2)</f>
        <v>152.19999999999999</v>
      </c>
      <c r="H30" s="239" cm="1">
        <f t="array" ref="H30">_xll.BDP($A$1, $A30, "EQY_FUND_YEAR", H$3, "FUND_PER", H$2)</f>
        <v>135.1</v>
      </c>
      <c r="I30" s="239">
        <f>_xll.BDP($A$1, $A30, "EQY_FUND_RELATIVE_PERIOD", I$4)+103.6</f>
        <v>238.7</v>
      </c>
      <c r="J30" s="89" cm="1">
        <f t="array" ref="J30">_xll.BDP($A$1, $A30, "EQY_FUND_YEAR", J$3, "FUND_PER", J$2)+61.6</f>
        <v>253</v>
      </c>
      <c r="K30" s="89" cm="1">
        <f t="array" ref="K30">_xll.BDP($A$1, $A30, "EQY_FUND_YEAR", K$3, "FUND_PER", K$2)+9.4</f>
        <v>193.20000000000002</v>
      </c>
      <c r="L30" s="89" cm="1">
        <f t="array" ref="L30">_xll.BDP($A$1, $A30, "EQY_FUND_YEAR", L$3, "FUND_PER", L$2)+16.9</f>
        <v>196.1</v>
      </c>
      <c r="M30" s="89" cm="1">
        <f t="array" ref="M30">_xll.BDP($A$1, $A30, "EQY_FUND_YEAR", M$3, "FUND_PER", M$2)+10.5</f>
        <v>193.5</v>
      </c>
      <c r="N30" s="239">
        <f>_xll.BDP($A$1, $A30, "EQY_FUND_RELATIVE_PERIOD", N$4)+10.5</f>
        <v>193.5</v>
      </c>
      <c r="O30" s="89" cm="1">
        <f t="array" ref="O30">_xll.BDP($A$1, $A30, "EQY_FUND_YEAR", O$3, "FUND_PER", O$2)+12.5</f>
        <v>196.4</v>
      </c>
      <c r="P30" s="89">
        <f>O30</f>
        <v>196.4</v>
      </c>
      <c r="Q30" s="89">
        <f t="shared" ref="Q30:S30" si="50">P30</f>
        <v>196.4</v>
      </c>
      <c r="R30" s="89">
        <f t="shared" si="50"/>
        <v>196.4</v>
      </c>
      <c r="S30" s="239">
        <f t="shared" si="50"/>
        <v>196.4</v>
      </c>
      <c r="T30" s="239">
        <f t="shared" ref="T30:W30" si="51">S30</f>
        <v>196.4</v>
      </c>
      <c r="U30" s="239">
        <f t="shared" si="51"/>
        <v>196.4</v>
      </c>
      <c r="V30" s="239">
        <f t="shared" si="51"/>
        <v>196.4</v>
      </c>
      <c r="W30" s="239">
        <f t="shared" si="51"/>
        <v>196.4</v>
      </c>
      <c r="X30" s="89"/>
      <c r="Y30" s="89"/>
      <c r="Z30" s="89"/>
      <c r="AA30" s="93"/>
      <c r="AB30" s="93"/>
      <c r="AC30" s="93"/>
      <c r="AD30" s="93"/>
      <c r="AE30" s="93"/>
    </row>
    <row r="31" spans="1:31" s="88" customFormat="1" x14ac:dyDescent="0.25">
      <c r="A31" s="86"/>
      <c r="B31" s="87" t="s">
        <v>129</v>
      </c>
      <c r="C31" s="242">
        <f>SUM(C27:C30)+123.4</f>
        <v>11491.2</v>
      </c>
      <c r="D31" s="242">
        <f t="shared" ref="D31:I31" si="52">SUM(D27:D30)</f>
        <v>10800.199999999999</v>
      </c>
      <c r="E31" s="242">
        <f t="shared" si="52"/>
        <v>10673.7</v>
      </c>
      <c r="F31" s="242">
        <f t="shared" si="52"/>
        <v>10299.700000000001</v>
      </c>
      <c r="G31" s="242">
        <f t="shared" si="52"/>
        <v>10252.9</v>
      </c>
      <c r="H31" s="242">
        <f t="shared" si="52"/>
        <v>10229.1</v>
      </c>
      <c r="I31" s="242">
        <f t="shared" si="52"/>
        <v>10332.700000000001</v>
      </c>
      <c r="J31" s="91">
        <f t="shared" ref="J31:M31" si="53">SUM(J27:J30)</f>
        <v>10395.699999999999</v>
      </c>
      <c r="K31" s="91">
        <f t="shared" si="53"/>
        <v>10270.799999999999</v>
      </c>
      <c r="L31" s="91">
        <f t="shared" si="53"/>
        <v>9720.7999999999993</v>
      </c>
      <c r="M31" s="91">
        <f t="shared" si="53"/>
        <v>9577.7000000000007</v>
      </c>
      <c r="N31" s="242">
        <f>SUM(N27:N30)</f>
        <v>9577.7000000000007</v>
      </c>
      <c r="O31" s="91">
        <f t="shared" ref="O31:W31" si="54">SUM(O27:O30)</f>
        <v>9627.2999999999993</v>
      </c>
      <c r="P31" s="91">
        <f t="shared" si="54"/>
        <v>10247.299999999999</v>
      </c>
      <c r="Q31" s="91">
        <f t="shared" si="54"/>
        <v>10247.299999999999</v>
      </c>
      <c r="R31" s="91">
        <f t="shared" si="54"/>
        <v>10247.299999999999</v>
      </c>
      <c r="S31" s="242">
        <f t="shared" si="54"/>
        <v>10247.299999999999</v>
      </c>
      <c r="T31" s="242">
        <f t="shared" si="54"/>
        <v>9367.2999999999993</v>
      </c>
      <c r="U31" s="242">
        <f t="shared" si="54"/>
        <v>8367.2999999999993</v>
      </c>
      <c r="V31" s="242">
        <f t="shared" si="54"/>
        <v>7987.2999999999993</v>
      </c>
      <c r="W31" s="242">
        <f t="shared" si="54"/>
        <v>7987.2999999999993</v>
      </c>
      <c r="X31" s="91"/>
      <c r="Y31" s="91"/>
      <c r="Z31" s="91"/>
      <c r="AA31" s="96"/>
      <c r="AB31" s="96"/>
      <c r="AC31" s="96"/>
      <c r="AD31" s="96"/>
      <c r="AE31" s="96"/>
    </row>
    <row r="32" spans="1:31" s="17" customFormat="1" x14ac:dyDescent="0.25">
      <c r="A32" s="81"/>
      <c r="B32" s="51"/>
      <c r="C32" s="260"/>
      <c r="D32" s="260"/>
      <c r="E32" s="260"/>
      <c r="F32" s="260"/>
      <c r="G32" s="260"/>
      <c r="H32" s="260"/>
      <c r="I32" s="260"/>
      <c r="J32" s="97"/>
      <c r="K32" s="97"/>
      <c r="L32" s="97"/>
      <c r="M32" s="97"/>
      <c r="N32" s="260"/>
      <c r="O32" s="97"/>
      <c r="P32" s="97"/>
      <c r="Q32" s="97"/>
      <c r="R32" s="97"/>
      <c r="S32" s="260"/>
      <c r="T32" s="260"/>
      <c r="U32" s="260"/>
      <c r="V32" s="260"/>
      <c r="W32" s="260"/>
      <c r="X32" s="97"/>
      <c r="Y32" s="97"/>
      <c r="Z32" s="97"/>
      <c r="AA32" s="95"/>
      <c r="AB32" s="95"/>
      <c r="AC32" s="95"/>
      <c r="AD32" s="95"/>
      <c r="AE32" s="95"/>
    </row>
    <row r="33" spans="1:31" s="17" customFormat="1" x14ac:dyDescent="0.25">
      <c r="A33" s="81"/>
      <c r="B33" s="51" t="s">
        <v>130</v>
      </c>
      <c r="C33" s="260">
        <f>C31+C25</f>
        <v>15186.7</v>
      </c>
      <c r="D33" s="260">
        <f t="shared" ref="D33:N33" si="55">D31+D25</f>
        <v>14709.8</v>
      </c>
      <c r="E33" s="260">
        <f t="shared" si="55"/>
        <v>14270</v>
      </c>
      <c r="F33" s="260">
        <f t="shared" si="55"/>
        <v>15191.6</v>
      </c>
      <c r="G33" s="260">
        <f t="shared" si="55"/>
        <v>14032.699999999999</v>
      </c>
      <c r="H33" s="260">
        <f t="shared" si="55"/>
        <v>13851.3</v>
      </c>
      <c r="I33" s="260">
        <f t="shared" si="55"/>
        <v>13954.900000000001</v>
      </c>
      <c r="J33" s="97">
        <f t="shared" ref="J33:M33" si="56">J31+J25</f>
        <v>13951</v>
      </c>
      <c r="K33" s="97">
        <f t="shared" si="56"/>
        <v>13785.099999999999</v>
      </c>
      <c r="L33" s="97">
        <f>L31+L25</f>
        <v>13312</v>
      </c>
      <c r="M33" s="97">
        <f t="shared" si="56"/>
        <v>12953.1</v>
      </c>
      <c r="N33" s="260">
        <f t="shared" si="55"/>
        <v>12953.1</v>
      </c>
      <c r="O33" s="97">
        <f t="shared" ref="O33" si="57">O31+O25</f>
        <v>12933.5</v>
      </c>
      <c r="P33" s="97">
        <f>P31+P25</f>
        <v>13145.289999999999</v>
      </c>
      <c r="Q33" s="97">
        <f t="shared" ref="Q33" si="58">Q31+Q25</f>
        <v>13117.362099999998</v>
      </c>
      <c r="R33" s="97">
        <f t="shared" ref="R33" si="59">R31+R25</f>
        <v>13089.713479</v>
      </c>
      <c r="S33" s="260">
        <f t="shared" ref="S33" si="60">S31+S25</f>
        <v>13089.713479</v>
      </c>
      <c r="T33" s="260">
        <f t="shared" ref="T33" si="61">T31+T25</f>
        <v>12154.96920942</v>
      </c>
      <c r="U33" s="260">
        <f t="shared" ref="U33" si="62">U31+U25</f>
        <v>11101.3198252316</v>
      </c>
      <c r="V33" s="260">
        <f t="shared" ref="V33" si="63">V31+V25</f>
        <v>10668.743428726968</v>
      </c>
      <c r="W33" s="260">
        <f>W31+W25</f>
        <v>10617.218560152427</v>
      </c>
      <c r="X33" s="97"/>
      <c r="Y33" s="97"/>
      <c r="Z33" s="97"/>
      <c r="AA33" s="95"/>
      <c r="AB33" s="95"/>
      <c r="AC33" s="95"/>
      <c r="AD33" s="95"/>
      <c r="AE33" s="95"/>
    </row>
    <row r="34" spans="1:31" s="17" customFormat="1" hidden="1" x14ac:dyDescent="0.25">
      <c r="A34" s="80" t="s">
        <v>136</v>
      </c>
      <c r="B34" s="11" t="s">
        <v>131</v>
      </c>
      <c r="C34" s="239">
        <f>_xll.BDP($A$1, $A34, "EQY_FUND_RELATIVE_PERIOD", C$4)+C35</f>
        <v>6273.8</v>
      </c>
      <c r="D34" s="239">
        <f>_xll.BDP($A$1, $A34, "EQY_FUND_RELATIVE_PERIOD", D$4)+D35</f>
        <v>6292.2</v>
      </c>
      <c r="E34" s="239" cm="1">
        <f t="array" ref="E34">_xll.BDP($A$1, $A34, "EQY_FUND_YEAR", E$3, "FUND_PER", E$2)</f>
        <v>7469.2999999999993</v>
      </c>
      <c r="F34" s="239" cm="1">
        <f t="array" ref="F34">_xll.BDP($A$1, $A34, "EQY_FUND_YEAR", F$3, "FUND_PER", F$2)</f>
        <v>7477.4</v>
      </c>
      <c r="G34" s="239" cm="1">
        <f t="array" ref="G34">_xll.BDP($A$1, $A34, "EQY_FUND_YEAR", G$3, "FUND_PER", G$2)</f>
        <v>7485.5999999999995</v>
      </c>
      <c r="H34" s="239" cm="1">
        <f t="array" ref="H34">_xll.BDP($A$1, $A34, "EQY_FUND_YEAR", H$3, "FUND_PER", H$2)</f>
        <v>7493</v>
      </c>
      <c r="I34" s="239">
        <f>_xll.BDP($A$1, $A34, "EQY_FUND_RELATIVE_PERIOD", I$4)+I35</f>
        <v>6487</v>
      </c>
      <c r="J34" s="89" cm="1">
        <f t="array" ref="J34">_xll.BDP($A$1, $A34, "EQY_FUND_YEAR", J$3, "FUND_PER", J$2)+J35</f>
        <v>6547.4999999999991</v>
      </c>
      <c r="K34" s="89" cm="1">
        <f t="array" ref="K34">_xll.BDP($A$1, $A34, "EQY_FUND_YEAR", K$3, "FUND_PER", K$2)+K35</f>
        <v>6436.5999999999995</v>
      </c>
      <c r="L34" s="89" cm="1">
        <f t="array" ref="L34">_xll.BDP($A$1, $A34, "EQY_FUND_YEAR", L$3, "FUND_PER", L$2)+L35</f>
        <v>6113.0999999999995</v>
      </c>
      <c r="M34" s="89" cm="1">
        <f t="array" ref="M34">_xll.BDP($A$1, $A34, "EQY_FUND_YEAR", M$3, "FUND_PER", M$2)+M35</f>
        <v>6318.5</v>
      </c>
      <c r="N34" s="239">
        <f>_xll.BDP($A$1, $A34, "EQY_FUND_RELATIVE_PERIOD", N$4)+N35</f>
        <v>6318.5</v>
      </c>
      <c r="O34" s="89" cm="1">
        <f t="array" ref="O34">_xll.BDP($A$1, $A34, "EQY_FUND_YEAR", O$3, "FUND_PER", O$2)+O35</f>
        <v>6357</v>
      </c>
      <c r="P34" s="89">
        <f>O34+CF_F!P38</f>
        <v>6367</v>
      </c>
      <c r="Q34" s="89">
        <f>P34+CF_F!Q38+CF_F!Q23</f>
        <v>6267</v>
      </c>
      <c r="R34" s="89">
        <f>Q34+CF_F!R38+CF_F!R23</f>
        <v>6167</v>
      </c>
      <c r="S34" s="239">
        <f>R34</f>
        <v>6167</v>
      </c>
      <c r="T34" s="239"/>
      <c r="U34" s="239"/>
      <c r="V34" s="239"/>
      <c r="W34" s="239"/>
      <c r="X34" s="89"/>
      <c r="Y34" s="89"/>
      <c r="Z34" s="89"/>
      <c r="AA34" s="95"/>
      <c r="AB34" s="95"/>
      <c r="AC34" s="95"/>
      <c r="AD34" s="95"/>
      <c r="AE34" s="95"/>
    </row>
    <row r="35" spans="1:31" s="17" customFormat="1" ht="26.25" hidden="1" customHeight="1" x14ac:dyDescent="0.25">
      <c r="A35" s="80" t="s">
        <v>137</v>
      </c>
      <c r="B35" s="11" t="s">
        <v>228</v>
      </c>
      <c r="C35" s="239">
        <f>_xll.BDP($A$1, $A35, "EQY_FUND_RELATIVE_PERIOD", C$4)</f>
        <v>-1162.2</v>
      </c>
      <c r="D35" s="239">
        <f>_xll.BDP($A$1, $A35, "EQY_FUND_RELATIVE_PERIOD", D$4)</f>
        <v>-1167.8</v>
      </c>
      <c r="E35" s="239" cm="1">
        <f t="array" ref="E35">_xll.BDP($A$1, $A35, "EQY_FUND_YEAR", E$3, "FUND_PER", E$2)</f>
        <v>-1045.4000000000001</v>
      </c>
      <c r="F35" s="239" cm="1">
        <f t="array" ref="F35">_xll.BDP($A$1, $A35, "EQY_FUND_YEAR", F$3, "FUND_PER", F$2)</f>
        <v>-1038.0999999999999</v>
      </c>
      <c r="G35" s="239" cm="1">
        <f t="array" ref="G35">_xll.BDP($A$1, $A35, "EQY_FUND_YEAR", G$3, "FUND_PER", G$2)</f>
        <v>-1134.5</v>
      </c>
      <c r="H35" s="239" cm="1">
        <f t="array" ref="H35">_xll.BDP($A$1, $A35, "EQY_FUND_YEAR", H$3, "FUND_PER", H$2)</f>
        <v>-1006</v>
      </c>
      <c r="I35" s="239">
        <f>_xll.BDP($A$1, $A35, "EQY_FUND_RELATIVE_PERIOD", I$4)</f>
        <v>-1006</v>
      </c>
      <c r="J35" s="89" cm="1">
        <f t="array" ref="J35">_xll.BDP($A$1, $A35, "EQY_FUND_YEAR", J$3, "FUND_PER", J$2)</f>
        <v>-949.6</v>
      </c>
      <c r="K35" s="89" cm="1">
        <f t="array" ref="K35">_xll.BDP($A$1, $A35, "EQY_FUND_YEAR", K$3, "FUND_PER", K$2)</f>
        <v>-1069</v>
      </c>
      <c r="L35" s="89" cm="1">
        <f t="array" ref="L35">_xll.BDP($A$1, $A35, "EQY_FUND_YEAR", L$3, "FUND_PER", L$2)</f>
        <v>-1402.5</v>
      </c>
      <c r="M35" s="89" cm="1">
        <f t="array" ref="M35">_xll.BDP($A$1, $A35, "EQY_FUND_YEAR", M$3, "FUND_PER", M$2)</f>
        <v>-1205.5</v>
      </c>
      <c r="N35" s="239">
        <f>_xll.BDP($A$1, $A35, "EQY_FUND_RELATIVE_PERIOD", N$4)</f>
        <v>-1205.5</v>
      </c>
      <c r="O35" s="89" cm="1">
        <f t="array" ref="O35">_xll.BDP($A$1, $A35, "EQY_FUND_YEAR", O$3, "FUND_PER", O$2)</f>
        <v>-1170.5999999999999</v>
      </c>
      <c r="P35" s="89"/>
      <c r="Q35" s="89"/>
      <c r="R35" s="89"/>
      <c r="S35" s="239"/>
      <c r="T35" s="239"/>
      <c r="U35" s="239"/>
      <c r="V35" s="239"/>
      <c r="W35" s="239"/>
      <c r="X35" s="89"/>
      <c r="Y35" s="89"/>
      <c r="Z35" s="89"/>
      <c r="AA35" s="95"/>
      <c r="AB35" s="95"/>
      <c r="AC35" s="95"/>
      <c r="AD35" s="95"/>
      <c r="AE35" s="95"/>
    </row>
    <row r="36" spans="1:31" s="14" customFormat="1" hidden="1" x14ac:dyDescent="0.25">
      <c r="A36" s="80" t="s">
        <v>138</v>
      </c>
      <c r="B36" s="11" t="s">
        <v>132</v>
      </c>
      <c r="C36" s="239">
        <f>_xll.BDP($A$1, $A36, "EQY_FUND_RELATIVE_PERIOD", C$4)</f>
        <v>471.4</v>
      </c>
      <c r="D36" s="239">
        <f>_xll.BDP($A$1, $A36, "EQY_FUND_RELATIVE_PERIOD", D$4)</f>
        <v>471.4</v>
      </c>
      <c r="E36" s="239" cm="1">
        <f t="array" ref="E36">_xll.BDP($A$1, $A36, "EQY_FUND_YEAR", E$3, "FUND_PER", E$2)</f>
        <v>471.4</v>
      </c>
      <c r="F36" s="239" cm="1">
        <f t="array" ref="F36">_xll.BDP($A$1, $A36, "EQY_FUND_YEAR", F$3, "FUND_PER", F$2)</f>
        <v>471.4</v>
      </c>
      <c r="G36" s="239" cm="1">
        <f t="array" ref="G36">_xll.BDP($A$1, $A36, "EQY_FUND_YEAR", G$3, "FUND_PER", G$2)</f>
        <v>471.4</v>
      </c>
      <c r="H36" s="239" cm="1">
        <f t="array" ref="H36">_xll.BDP($A$1, $A36, "EQY_FUND_YEAR", H$3, "FUND_PER", H$2)</f>
        <v>471.4</v>
      </c>
      <c r="I36" s="239">
        <f>_xll.BDP($A$1, $A36, "EQY_FUND_RELATIVE_PERIOD", I$4)</f>
        <v>471.4</v>
      </c>
      <c r="J36" s="89" cm="1">
        <f t="array" ref="J36">_xll.BDP($A$1, $A36, "EQY_FUND_YEAR", J$3, "FUND_PER", J$2)</f>
        <v>485.5</v>
      </c>
      <c r="K36" s="89" cm="1">
        <f t="array" ref="K36">_xll.BDP($A$1, $A36, "EQY_FUND_YEAR", K$3, "FUND_PER", K$2)</f>
        <v>497.59999999999997</v>
      </c>
      <c r="L36" s="89" cm="1">
        <f t="array" ref="L36">_xll.BDP($A$1, $A36, "EQY_FUND_YEAR", L$3, "FUND_PER", L$2)</f>
        <v>510.2</v>
      </c>
      <c r="M36" s="89" cm="1">
        <f t="array" ref="M36">_xll.BDP($A$1, $A36, "EQY_FUND_YEAR", M$3, "FUND_PER", M$2)</f>
        <v>522.9</v>
      </c>
      <c r="N36" s="239">
        <f>_xll.BDP($A$1, $A36, "EQY_FUND_RELATIVE_PERIOD", N$4)</f>
        <v>522.9</v>
      </c>
      <c r="O36" s="89" cm="1">
        <f t="array" ref="O36">_xll.BDP($A$1, $A36, "EQY_FUND_YEAR", O$3, "FUND_PER", O$2)</f>
        <v>537.5</v>
      </c>
      <c r="P36" s="89">
        <f>O36-CF_F!P25</f>
        <v>557.5</v>
      </c>
      <c r="Q36" s="89">
        <f>P36-CF_F!Q25</f>
        <v>577.5</v>
      </c>
      <c r="R36" s="89">
        <f>Q36-CF_F!R25</f>
        <v>597.5</v>
      </c>
      <c r="S36" s="239">
        <f>R36</f>
        <v>597.5</v>
      </c>
      <c r="T36" s="239"/>
      <c r="U36" s="239"/>
      <c r="V36" s="239"/>
      <c r="W36" s="239"/>
      <c r="X36" s="89"/>
      <c r="Y36" s="89"/>
      <c r="Z36" s="89"/>
      <c r="AA36" s="93"/>
      <c r="AB36" s="93"/>
      <c r="AC36" s="93"/>
      <c r="AD36" s="93"/>
      <c r="AE36" s="93"/>
    </row>
    <row r="37" spans="1:31" s="14" customFormat="1" hidden="1" x14ac:dyDescent="0.25">
      <c r="A37" s="80" t="s">
        <v>139</v>
      </c>
      <c r="B37" s="11" t="s">
        <v>133</v>
      </c>
      <c r="C37" s="239">
        <f>_xll.BDP($A$1, $A37, "EQY_FUND_RELATIVE_PERIOD", C$4)</f>
        <v>7617</v>
      </c>
      <c r="D37" s="239">
        <f>_xll.BDP($A$1, $A37, "EQY_FUND_RELATIVE_PERIOD", D$4)</f>
        <v>6544.2</v>
      </c>
      <c r="E37" s="239" cm="1">
        <f t="array" ref="E37">_xll.BDP($A$1, $A37, "EQY_FUND_YEAR", E$3, "FUND_PER", E$2)</f>
        <v>6628.2999999999993</v>
      </c>
      <c r="F37" s="239" cm="1">
        <f t="array" ref="F37">_xll.BDP($A$1, $A37, "EQY_FUND_YEAR", F$3, "FUND_PER", F$2)</f>
        <v>7016.9</v>
      </c>
      <c r="G37" s="239" cm="1">
        <f t="array" ref="G37">_xll.BDP($A$1, $A37, "EQY_FUND_YEAR", G$3, "FUND_PER", G$2)</f>
        <v>7395.7999999999993</v>
      </c>
      <c r="H37" s="239" cm="1">
        <f t="array" ref="H37">_xll.BDP($A$1, $A37, "EQY_FUND_YEAR", H$3, "FUND_PER", H$2)</f>
        <v>7401.5</v>
      </c>
      <c r="I37" s="239">
        <f>_xll.BDP($A$1, $A37, "EQY_FUND_RELATIVE_PERIOD", I$4)</f>
        <v>7401.5</v>
      </c>
      <c r="J37" s="89" cm="1">
        <f t="array" ref="J37">_xll.BDP($A$1, $A37, "EQY_FUND_YEAR", J$3, "FUND_PER", J$2)</f>
        <v>7469.7999999999993</v>
      </c>
      <c r="K37" s="89" cm="1">
        <f t="array" ref="K37">_xll.BDP($A$1, $A37, "EQY_FUND_YEAR", K$3, "FUND_PER", K$2)</f>
        <v>7433.7999999999993</v>
      </c>
      <c r="L37" s="89" cm="1">
        <f t="array" ref="L37">_xll.BDP($A$1, $A37, "EQY_FUND_YEAR", L$3, "FUND_PER", L$2)</f>
        <v>7567.4</v>
      </c>
      <c r="M37" s="89" cm="1">
        <f t="array" ref="M37">_xll.BDP($A$1, $A37, "EQY_FUND_YEAR", M$3, "FUND_PER", M$2)</f>
        <v>6894.0999999999995</v>
      </c>
      <c r="N37" s="239">
        <f>_xll.BDP($A$1, $A37, "EQY_FUND_RELATIVE_PERIOD", N$4)</f>
        <v>6894.0999999999995</v>
      </c>
      <c r="O37" s="89" cm="1">
        <f t="array" ref="O37">_xll.BDP($A$1, $A37, "EQY_FUND_YEAR", O$3, "FUND_PER", O$2)</f>
        <v>6877</v>
      </c>
      <c r="P37" s="89">
        <f>P39-P34-P36-P38</f>
        <v>6122.256141675347</v>
      </c>
      <c r="Q37" s="89">
        <f>P37+IS!Q27</f>
        <v>6398.4489666309719</v>
      </c>
      <c r="R37" s="89">
        <f>Q37+IS!R27</f>
        <v>6662.9223640972295</v>
      </c>
      <c r="S37" s="239">
        <f t="shared" ref="S37:S38" si="64">R37</f>
        <v>6662.9223640972295</v>
      </c>
      <c r="T37" s="239"/>
      <c r="U37" s="239"/>
      <c r="V37" s="239"/>
      <c r="W37" s="239"/>
      <c r="X37" s="89"/>
      <c r="Y37" s="89"/>
      <c r="Z37" s="89"/>
      <c r="AA37" s="93"/>
      <c r="AB37" s="93"/>
      <c r="AC37" s="93"/>
      <c r="AD37" s="93"/>
      <c r="AE37" s="93"/>
    </row>
    <row r="38" spans="1:31" s="14" customFormat="1" hidden="1" x14ac:dyDescent="0.25">
      <c r="A38" s="80" t="s">
        <v>140</v>
      </c>
      <c r="B38" s="11" t="s">
        <v>90</v>
      </c>
      <c r="C38" s="239">
        <f>_xll.BDP($A$1, $A38, "EQY_FUND_RELATIVE_PERIOD", C$4)</f>
        <v>253.7</v>
      </c>
      <c r="D38" s="239">
        <f>_xll.BDP($A$1, $A38, "EQY_FUND_RELATIVE_PERIOD", D$4)</f>
        <v>256.3</v>
      </c>
      <c r="E38" s="239" cm="1">
        <f t="array" ref="E38">_xll.BDP($A$1, $A38, "EQY_FUND_YEAR", E$3, "FUND_PER", E$2)</f>
        <v>253.2</v>
      </c>
      <c r="F38" s="239" cm="1">
        <f t="array" ref="F38">_xll.BDP($A$1, $A38, "EQY_FUND_YEAR", F$3, "FUND_PER", F$2)</f>
        <v>251.6</v>
      </c>
      <c r="G38" s="239" cm="1">
        <f t="array" ref="G38">_xll.BDP($A$1, $A38, "EQY_FUND_YEAR", G$3, "FUND_PER", G$2)</f>
        <v>247</v>
      </c>
      <c r="H38" s="239" cm="1">
        <f t="array" ref="H38">_xll.BDP($A$1, $A38, "EQY_FUND_YEAR", H$3, "FUND_PER", H$2)</f>
        <v>247</v>
      </c>
      <c r="I38" s="239">
        <f>_xll.BDP($A$1, $A38, "EQY_FUND_RELATIVE_PERIOD", I$4)</f>
        <v>247</v>
      </c>
      <c r="J38" s="89" cm="1">
        <f t="array" ref="J38">_xll.BDP($A$1, $A38, "EQY_FUND_YEAR", J$3, "FUND_PER", J$2)</f>
        <v>238.7</v>
      </c>
      <c r="K38" s="89" cm="1">
        <f t="array" ref="K38">_xll.BDP($A$1, $A38, "EQY_FUND_YEAR", K$3, "FUND_PER", K$2)</f>
        <v>230</v>
      </c>
      <c r="L38" s="89" cm="1">
        <f t="array" ref="L38">_xll.BDP($A$1, $A38, "EQY_FUND_YEAR", L$3, "FUND_PER", L$2)</f>
        <v>226.2</v>
      </c>
      <c r="M38" s="89" cm="1">
        <f t="array" ref="M38">_xll.BDP($A$1, $A38, "EQY_FUND_YEAR", M$3, "FUND_PER", M$2)</f>
        <v>225.5</v>
      </c>
      <c r="N38" s="239">
        <f>_xll.BDP($A$1, $A38, "EQY_FUND_RELATIVE_PERIOD", N$4)</f>
        <v>225.5</v>
      </c>
      <c r="O38" s="89" cm="1">
        <f t="array" ref="O38">_xll.BDP($A$1, $A38, "EQY_FUND_YEAR", O$3, "FUND_PER", O$2)</f>
        <v>222.5</v>
      </c>
      <c r="P38" s="89">
        <f>O38</f>
        <v>222.5</v>
      </c>
      <c r="Q38" s="89">
        <f t="shared" ref="Q38:R38" si="65">P38</f>
        <v>222.5</v>
      </c>
      <c r="R38" s="89">
        <f t="shared" si="65"/>
        <v>222.5</v>
      </c>
      <c r="S38" s="239">
        <f t="shared" si="64"/>
        <v>222.5</v>
      </c>
      <c r="T38" s="239"/>
      <c r="U38" s="239"/>
      <c r="V38" s="239"/>
      <c r="W38" s="239"/>
      <c r="X38" s="89"/>
      <c r="Y38" s="89"/>
      <c r="Z38" s="89"/>
      <c r="AA38" s="93"/>
      <c r="AB38" s="93"/>
      <c r="AC38" s="93"/>
      <c r="AD38" s="93"/>
      <c r="AE38" s="93"/>
    </row>
    <row r="39" spans="1:31" s="88" customFormat="1" x14ac:dyDescent="0.25">
      <c r="A39" s="86" t="s">
        <v>141</v>
      </c>
      <c r="B39" s="51" t="s">
        <v>134</v>
      </c>
      <c r="C39" s="260">
        <f t="shared" ref="C39:O39" si="66">C34-C36+C37+C38</f>
        <v>13673.100000000002</v>
      </c>
      <c r="D39" s="260">
        <f t="shared" si="66"/>
        <v>12621.3</v>
      </c>
      <c r="E39" s="260">
        <f t="shared" si="66"/>
        <v>13879.4</v>
      </c>
      <c r="F39" s="260">
        <f t="shared" si="66"/>
        <v>14274.5</v>
      </c>
      <c r="G39" s="260">
        <f t="shared" si="66"/>
        <v>14657</v>
      </c>
      <c r="H39" s="260">
        <f t="shared" si="66"/>
        <v>14670.1</v>
      </c>
      <c r="I39" s="260">
        <f t="shared" si="66"/>
        <v>13664.1</v>
      </c>
      <c r="J39" s="97">
        <f t="shared" si="66"/>
        <v>13770.5</v>
      </c>
      <c r="K39" s="97">
        <f t="shared" si="66"/>
        <v>13602.8</v>
      </c>
      <c r="L39" s="97">
        <f t="shared" si="66"/>
        <v>13396.5</v>
      </c>
      <c r="M39" s="97">
        <f t="shared" si="66"/>
        <v>12915.2</v>
      </c>
      <c r="N39" s="260">
        <f t="shared" si="66"/>
        <v>12915.2</v>
      </c>
      <c r="O39" s="97">
        <f t="shared" si="66"/>
        <v>12919</v>
      </c>
      <c r="P39" s="97">
        <f>P19-P33</f>
        <v>13269.256141675347</v>
      </c>
      <c r="Q39" s="97">
        <f>Q19-Q33</f>
        <v>13424.448966630971</v>
      </c>
      <c r="R39" s="97">
        <f>R19-R33</f>
        <v>13567.922364097229</v>
      </c>
      <c r="S39" s="260">
        <f>S19-S33</f>
        <v>13567.722364097232</v>
      </c>
      <c r="T39" s="260">
        <f t="shared" ref="T39:W39" si="67">T19-T33</f>
        <v>13928.050365615454</v>
      </c>
      <c r="U39" s="260">
        <f t="shared" si="67"/>
        <v>14288.695698873642</v>
      </c>
      <c r="V39" s="260">
        <f t="shared" si="67"/>
        <v>14696.297586521054</v>
      </c>
      <c r="W39" s="260">
        <f>W19-W33</f>
        <v>15051.747139235422</v>
      </c>
      <c r="X39" s="97"/>
      <c r="Y39" s="97"/>
      <c r="Z39" s="97"/>
      <c r="AA39" s="95"/>
      <c r="AB39" s="95"/>
      <c r="AC39" s="95"/>
      <c r="AD39" s="96"/>
      <c r="AE39" s="96"/>
    </row>
    <row r="40" spans="1:31" s="17" customFormat="1" x14ac:dyDescent="0.25">
      <c r="A40" s="81"/>
      <c r="B40" s="51"/>
      <c r="C40" s="260"/>
      <c r="D40" s="260"/>
      <c r="E40" s="260"/>
      <c r="F40" s="260"/>
      <c r="G40" s="260"/>
      <c r="H40" s="260"/>
      <c r="I40" s="260"/>
      <c r="J40" s="97"/>
      <c r="K40" s="97"/>
      <c r="L40" s="97"/>
      <c r="M40" s="97"/>
      <c r="N40" s="260"/>
      <c r="O40" s="97"/>
      <c r="P40" s="97"/>
      <c r="Q40" s="97"/>
      <c r="R40" s="97"/>
      <c r="S40" s="260"/>
      <c r="T40" s="260"/>
      <c r="U40" s="260"/>
      <c r="V40" s="260"/>
      <c r="W40" s="260"/>
      <c r="X40" s="97"/>
      <c r="Y40" s="97"/>
      <c r="Z40" s="97"/>
      <c r="AA40" s="95"/>
      <c r="AB40" s="95"/>
      <c r="AC40" s="95"/>
      <c r="AD40" s="95"/>
      <c r="AE40" s="95"/>
    </row>
    <row r="41" spans="1:31" s="17" customFormat="1" ht="15.75" customHeight="1" x14ac:dyDescent="0.25">
      <c r="A41" s="81"/>
      <c r="B41" s="51" t="s">
        <v>135</v>
      </c>
      <c r="C41" s="244">
        <f t="shared" ref="C41:W41" si="68">C39+C33</f>
        <v>28859.800000000003</v>
      </c>
      <c r="D41" s="244">
        <f t="shared" si="68"/>
        <v>27331.1</v>
      </c>
      <c r="E41" s="244">
        <f t="shared" si="68"/>
        <v>28149.4</v>
      </c>
      <c r="F41" s="244">
        <f t="shared" si="68"/>
        <v>29466.1</v>
      </c>
      <c r="G41" s="244">
        <f t="shared" si="68"/>
        <v>28689.699999999997</v>
      </c>
      <c r="H41" s="244">
        <f t="shared" si="68"/>
        <v>28521.4</v>
      </c>
      <c r="I41" s="244">
        <f t="shared" si="68"/>
        <v>27619</v>
      </c>
      <c r="J41" s="95">
        <f t="shared" si="68"/>
        <v>27721.5</v>
      </c>
      <c r="K41" s="95">
        <f t="shared" si="68"/>
        <v>27387.899999999998</v>
      </c>
      <c r="L41" s="95">
        <f t="shared" si="68"/>
        <v>26708.5</v>
      </c>
      <c r="M41" s="95">
        <f t="shared" si="68"/>
        <v>25868.300000000003</v>
      </c>
      <c r="N41" s="244">
        <f t="shared" si="68"/>
        <v>25868.300000000003</v>
      </c>
      <c r="O41" s="95">
        <f t="shared" si="68"/>
        <v>25852.5</v>
      </c>
      <c r="P41" s="95">
        <f t="shared" si="68"/>
        <v>26414.546141675346</v>
      </c>
      <c r="Q41" s="95">
        <f t="shared" si="68"/>
        <v>26541.811066630969</v>
      </c>
      <c r="R41" s="95">
        <f t="shared" si="68"/>
        <v>26657.635843097229</v>
      </c>
      <c r="S41" s="244">
        <f t="shared" si="68"/>
        <v>26657.435843097232</v>
      </c>
      <c r="T41" s="244">
        <f t="shared" si="68"/>
        <v>26083.019575035454</v>
      </c>
      <c r="U41" s="244">
        <f t="shared" si="68"/>
        <v>25390.015524105242</v>
      </c>
      <c r="V41" s="244">
        <f t="shared" si="68"/>
        <v>25365.041015248022</v>
      </c>
      <c r="W41" s="244">
        <f>W39+W33</f>
        <v>25668.965699387849</v>
      </c>
      <c r="X41" s="95"/>
      <c r="Y41" s="95"/>
      <c r="Z41" s="95"/>
      <c r="AA41" s="95"/>
      <c r="AB41" s="95"/>
      <c r="AC41" s="95"/>
      <c r="AD41" s="95"/>
      <c r="AE41" s="95"/>
    </row>
    <row r="42" spans="1:31" s="14" customFormat="1" hidden="1" x14ac:dyDescent="0.25">
      <c r="A42" s="80"/>
      <c r="B42" s="11" t="s">
        <v>229</v>
      </c>
      <c r="C42" s="261">
        <f t="shared" ref="C42:O42" si="69">C19-C41</f>
        <v>0</v>
      </c>
      <c r="D42" s="261">
        <f t="shared" si="69"/>
        <v>0</v>
      </c>
      <c r="E42" s="261">
        <f t="shared" si="69"/>
        <v>-1069.2000000000007</v>
      </c>
      <c r="F42" s="261">
        <f t="shared" si="69"/>
        <v>-1048.9000000000015</v>
      </c>
      <c r="G42" s="261">
        <f t="shared" si="69"/>
        <v>-1158.6999999999971</v>
      </c>
      <c r="H42" s="261">
        <f t="shared" si="69"/>
        <v>-980.10000000000582</v>
      </c>
      <c r="I42" s="261">
        <f t="shared" si="69"/>
        <v>0</v>
      </c>
      <c r="J42" s="15">
        <f t="shared" si="69"/>
        <v>0</v>
      </c>
      <c r="K42" s="15">
        <f t="shared" si="69"/>
        <v>0</v>
      </c>
      <c r="L42" s="15">
        <f t="shared" si="69"/>
        <v>0</v>
      </c>
      <c r="M42" s="15">
        <f t="shared" si="69"/>
        <v>0</v>
      </c>
      <c r="N42" s="261">
        <f t="shared" si="69"/>
        <v>0</v>
      </c>
      <c r="O42" s="15">
        <f t="shared" si="69"/>
        <v>0</v>
      </c>
      <c r="P42" s="30"/>
      <c r="Q42" s="30"/>
      <c r="R42" s="30"/>
      <c r="S42" s="264"/>
      <c r="T42" s="264"/>
      <c r="U42" s="264"/>
      <c r="V42" s="264"/>
      <c r="W42" s="247"/>
    </row>
    <row r="43" spans="1:31" s="14" customFormat="1" ht="30" hidden="1" customHeight="1" x14ac:dyDescent="0.25">
      <c r="A43" s="80"/>
      <c r="B43" s="11" t="s">
        <v>309</v>
      </c>
      <c r="C43" s="262">
        <f t="shared" ref="C43:O43" si="70">C19-C41</f>
        <v>0</v>
      </c>
      <c r="D43" s="262">
        <f t="shared" si="70"/>
        <v>0</v>
      </c>
      <c r="E43" s="262">
        <f t="shared" si="70"/>
        <v>-1069.2000000000007</v>
      </c>
      <c r="F43" s="262">
        <f t="shared" si="70"/>
        <v>-1048.9000000000015</v>
      </c>
      <c r="G43" s="262">
        <f t="shared" si="70"/>
        <v>-1158.6999999999971</v>
      </c>
      <c r="H43" s="262">
        <f t="shared" si="70"/>
        <v>-980.10000000000582</v>
      </c>
      <c r="I43" s="262">
        <f t="shared" si="70"/>
        <v>0</v>
      </c>
      <c r="J43" s="213">
        <f t="shared" si="70"/>
        <v>0</v>
      </c>
      <c r="K43" s="213">
        <f t="shared" si="70"/>
        <v>0</v>
      </c>
      <c r="L43" s="213">
        <f t="shared" si="70"/>
        <v>0</v>
      </c>
      <c r="M43" s="213">
        <f t="shared" si="70"/>
        <v>0</v>
      </c>
      <c r="N43" s="262">
        <f t="shared" si="70"/>
        <v>0</v>
      </c>
      <c r="O43" s="213">
        <f t="shared" si="70"/>
        <v>0</v>
      </c>
      <c r="P43" s="213">
        <f>P19-P41</f>
        <v>0</v>
      </c>
      <c r="Q43" s="213">
        <f>Q19-Q41</f>
        <v>0</v>
      </c>
      <c r="R43" s="213">
        <f>R19-R41</f>
        <v>0</v>
      </c>
      <c r="S43" s="262">
        <f>S19-S41</f>
        <v>0</v>
      </c>
      <c r="T43" s="262">
        <f t="shared" ref="T43:W43" si="71">T19-T41</f>
        <v>0</v>
      </c>
      <c r="U43" s="262">
        <f t="shared" si="71"/>
        <v>0</v>
      </c>
      <c r="V43" s="262">
        <f t="shared" si="71"/>
        <v>0</v>
      </c>
      <c r="W43" s="262">
        <f t="shared" si="71"/>
        <v>0</v>
      </c>
    </row>
    <row r="44" spans="1:31" s="14" customFormat="1" x14ac:dyDescent="0.25">
      <c r="A44" s="80"/>
      <c r="C44" s="263"/>
      <c r="D44" s="263"/>
      <c r="E44" s="263"/>
      <c r="F44" s="263"/>
      <c r="G44" s="263"/>
      <c r="H44" s="263"/>
      <c r="I44" s="264"/>
      <c r="J44" s="30"/>
      <c r="K44" s="30"/>
      <c r="L44" s="30"/>
      <c r="M44" s="30"/>
      <c r="N44" s="272"/>
      <c r="O44" s="30"/>
      <c r="P44" s="30"/>
      <c r="Q44" s="30"/>
      <c r="R44" s="30"/>
      <c r="S44" s="264"/>
      <c r="T44" s="264"/>
      <c r="U44" s="264"/>
      <c r="V44" s="264"/>
      <c r="W44" s="247"/>
    </row>
    <row r="45" spans="1:31" s="14" customFormat="1" x14ac:dyDescent="0.25">
      <c r="A45" s="80"/>
      <c r="B45" s="122" t="s">
        <v>185</v>
      </c>
      <c r="C45" s="263"/>
      <c r="D45" s="263"/>
      <c r="E45" s="263"/>
      <c r="F45" s="263"/>
      <c r="G45" s="263"/>
      <c r="H45" s="263"/>
      <c r="I45" s="264"/>
      <c r="J45" s="30"/>
      <c r="K45" s="30"/>
      <c r="L45" s="30"/>
      <c r="M45" s="30"/>
      <c r="N45" s="272"/>
      <c r="O45" s="30"/>
      <c r="P45" s="30"/>
      <c r="Q45" s="30"/>
      <c r="R45" s="30"/>
      <c r="S45" s="264"/>
      <c r="T45" s="264"/>
      <c r="U45" s="264"/>
      <c r="V45" s="264"/>
      <c r="W45" s="247"/>
    </row>
    <row r="46" spans="1:31" s="14" customFormat="1" x14ac:dyDescent="0.25">
      <c r="A46" s="80"/>
      <c r="B46" s="11" t="s">
        <v>289</v>
      </c>
      <c r="C46" s="265">
        <f>IS!C18/IS!C20</f>
        <v>8.8173913043478258</v>
      </c>
      <c r="D46" s="265">
        <f>IS!D18/IS!D20</f>
        <v>8.4078358208955226</v>
      </c>
      <c r="E46" s="265"/>
      <c r="F46" s="265"/>
      <c r="G46" s="265"/>
      <c r="H46" s="265"/>
      <c r="I46" s="265">
        <f>IS!I18/IS!I20</f>
        <v>8.9153335934451867</v>
      </c>
      <c r="J46" s="171">
        <f>IS!J18/IS!J20</f>
        <v>7.1642969984202196</v>
      </c>
      <c r="K46" s="171">
        <f>IS!K18/IS!K20</f>
        <v>4.2342342342342327</v>
      </c>
      <c r="L46" s="171">
        <f>IS!L18/IS!L20</f>
        <v>8.3049403747870514</v>
      </c>
      <c r="M46" s="171">
        <f>IS!M18/IS!M20</f>
        <v>8.0467937608318891</v>
      </c>
      <c r="N46" s="265">
        <f>IS!N18/IS!N20</f>
        <v>6.8505887129516836</v>
      </c>
      <c r="O46" s="171">
        <f>IS!O18/IS!O20</f>
        <v>5.5313028764805425</v>
      </c>
      <c r="P46" s="171">
        <f>IS!P18/IS!P20</f>
        <v>5.3075533923754827</v>
      </c>
      <c r="Q46" s="171">
        <f>IS!Q18/IS!Q20</f>
        <v>9.0902001555071319</v>
      </c>
      <c r="R46" s="171">
        <f>IS!R18/IS!R20</f>
        <v>8.3484618318512336</v>
      </c>
      <c r="S46" s="265">
        <f>IS!S18/IS!S20</f>
        <v>7.1140255062940199</v>
      </c>
      <c r="T46" s="265">
        <f>IS!T18/IS!T20</f>
        <v>7.5414509657489299</v>
      </c>
      <c r="U46" s="265">
        <f>IS!U18/IS!U20</f>
        <v>8.383398721880301</v>
      </c>
      <c r="V46" s="265">
        <f>IS!V18/IS!V20</f>
        <v>10.547673138817228</v>
      </c>
      <c r="W46" s="265">
        <f>IS!W18/IS!W20</f>
        <v>10.629490939400485</v>
      </c>
    </row>
    <row r="47" spans="1:31" s="11" customFormat="1" x14ac:dyDescent="0.25">
      <c r="A47" s="80"/>
      <c r="B47" s="11" t="s">
        <v>290</v>
      </c>
      <c r="C47" s="266">
        <f>(IS!C18+CF_F!C18)/IS!C20</f>
        <v>7.0105860113421539</v>
      </c>
      <c r="D47" s="266">
        <f>(IS!D18+CF_F!D18)/IS!D20</f>
        <v>6.8555970149253742</v>
      </c>
      <c r="E47" s="266"/>
      <c r="F47" s="266"/>
      <c r="G47" s="266"/>
      <c r="H47" s="266"/>
      <c r="I47" s="266">
        <f>(IS!I18+CF_F!I18)/IS!I20</f>
        <v>6.9777604369879098</v>
      </c>
      <c r="J47" s="172">
        <f>(IS!J18+CF_F!N18)/IS!J20</f>
        <v>-2.7756714060031604</v>
      </c>
      <c r="K47" s="172">
        <f>(IS!K18+CF_F!O18)/IS!K20</f>
        <v>1.5795795795795777</v>
      </c>
      <c r="L47" s="172">
        <f>(IS!L18+CF_F!P18)/IS!L20</f>
        <v>4.9959691293792137</v>
      </c>
      <c r="M47" s="172">
        <f>(IS!M18+CF_F!Q18)/IS!M20</f>
        <v>5.0153321885831899</v>
      </c>
      <c r="N47" s="266">
        <f>(IS!N18+CF_F!N18)/IS!N20</f>
        <v>4.295980511571253</v>
      </c>
      <c r="O47" s="172">
        <f>(IS!O18+CF_F!O18)/IS!O20</f>
        <v>2.5397631133671754</v>
      </c>
      <c r="P47" s="172">
        <f>(IS!P18+CF_F!P18)/IS!P20</f>
        <v>2.2293186521941823</v>
      </c>
      <c r="Q47" s="172">
        <f>(IS!Q18+CF_F!Q18)/IS!Q20</f>
        <v>6.3181663564778141</v>
      </c>
      <c r="R47" s="172">
        <f>(IS!R18+CF_F!R18)/IS!R20</f>
        <v>6.1717345228354663</v>
      </c>
      <c r="S47" s="266">
        <f>(IS!S18+CF_F!S18)/IS!S20</f>
        <v>4.3723046375969199</v>
      </c>
      <c r="T47" s="266">
        <f>(IS!T18+CF_F!T18)/IS!T20</f>
        <v>4.9511047426098846</v>
      </c>
      <c r="U47" s="266">
        <f>(IS!U18+CF_F!U18)/IS!U20</f>
        <v>5.7257537582908569</v>
      </c>
      <c r="V47" s="266">
        <f>(IS!V18+CF_F!V18)/IS!V20</f>
        <v>7.4522416761490016</v>
      </c>
      <c r="W47" s="266">
        <f>(IS!W18+CF_F!W18)/IS!W20</f>
        <v>7.6876032569612649</v>
      </c>
    </row>
    <row r="48" spans="1:31" s="11" customFormat="1" x14ac:dyDescent="0.25">
      <c r="A48" s="80"/>
      <c r="C48" s="266"/>
      <c r="D48" s="266"/>
      <c r="E48" s="266"/>
      <c r="F48" s="266"/>
      <c r="G48" s="266"/>
      <c r="H48" s="266"/>
      <c r="I48" s="267"/>
      <c r="J48" s="173"/>
      <c r="K48" s="173"/>
      <c r="L48" s="173"/>
      <c r="M48" s="173"/>
      <c r="N48" s="267"/>
      <c r="O48" s="173"/>
      <c r="P48" s="173"/>
      <c r="Q48" s="173"/>
      <c r="R48" s="173"/>
      <c r="S48" s="267"/>
      <c r="T48" s="267"/>
      <c r="U48" s="267"/>
      <c r="V48" s="267"/>
      <c r="W48" s="266"/>
    </row>
    <row r="49" spans="1:27" s="11" customFormat="1" x14ac:dyDescent="0.25">
      <c r="A49" s="80"/>
      <c r="B49" s="51" t="s">
        <v>288</v>
      </c>
      <c r="C49" s="268">
        <f>(C$27+C$23)/IS!C$18</f>
        <v>3.9464025383757826</v>
      </c>
      <c r="D49" s="268">
        <f>(D$27+D$23)/IS!D$18</f>
        <v>3.7197887542715122</v>
      </c>
      <c r="E49" s="268"/>
      <c r="F49" s="268"/>
      <c r="G49" s="268"/>
      <c r="H49" s="268"/>
      <c r="I49" s="268">
        <f>(I$27+I$23)/IS!I$18</f>
        <v>3.1926914660831494</v>
      </c>
      <c r="J49" s="215">
        <f>(J$27+J$23)/IS!J$40</f>
        <v>3.1696690941612369</v>
      </c>
      <c r="K49" s="215">
        <f>(K$27+K$23)/IS!K$40</f>
        <v>3.7781040952847125</v>
      </c>
      <c r="L49" s="215">
        <f>(L$27+L$23)/IS!L$40</f>
        <v>4.2062488259971209</v>
      </c>
      <c r="M49" s="215">
        <f>(M$27+M$23)/IS!M$40</f>
        <v>3.9745747644165248</v>
      </c>
      <c r="N49" s="268">
        <f>(N$27+N$23)/IS!N$18</f>
        <v>3.9745747644165248</v>
      </c>
      <c r="O49" s="215">
        <f>(O$27+O$23)/(IS!O$18+549.7+591.9+559.6)</f>
        <v>3.3337113554558453</v>
      </c>
      <c r="P49" s="215">
        <f>(P$27+P$23)/(IS!P$18+549.7+591.9+IS!P$18)</f>
        <v>3.8649932840695942</v>
      </c>
      <c r="Q49" s="215">
        <f>(Q$27+Q$23)/(IS!Q$18+549.7+IS!Q$18+IS!Q$18)</f>
        <v>3.0835399380851509</v>
      </c>
      <c r="R49" s="215">
        <f>(R$27+R$23)/(IS!R$18+IS!R$18+IS!R$18+IS!R$18)</f>
        <v>3.1244767941905569</v>
      </c>
      <c r="S49" s="268">
        <f>(S$27+S$23)/IS!S$18</f>
        <v>3.8990743117318072</v>
      </c>
      <c r="T49" s="268">
        <f>(T$27+T$23)/IS!T$18</f>
        <v>3.0308468392636887</v>
      </c>
      <c r="U49" s="268">
        <f>(U$27+U$23)/IS!U$18</f>
        <v>2.3244369657031148</v>
      </c>
      <c r="V49" s="268">
        <f>(V$27+V$23)/IS!V$18</f>
        <v>2.0048728947398771</v>
      </c>
      <c r="W49" s="268">
        <f>(W$27+W$23)/IS!W$18</f>
        <v>1.8931776268463874</v>
      </c>
    </row>
    <row r="50" spans="1:27" s="11" customFormat="1" x14ac:dyDescent="0.25">
      <c r="A50" s="80"/>
      <c r="B50" s="51" t="s">
        <v>291</v>
      </c>
      <c r="C50" s="268">
        <f>(C$27+C$23-C6)/IS!C$18</f>
        <v>3.7219792470628592</v>
      </c>
      <c r="D50" s="268">
        <f>(D$27+D$23-D6)/IS!D$18</f>
        <v>3.3780233435405842</v>
      </c>
      <c r="E50" s="268"/>
      <c r="F50" s="268"/>
      <c r="G50" s="268"/>
      <c r="H50" s="268"/>
      <c r="I50" s="268">
        <f>(I$27+I$23-I6)/IS!I$18</f>
        <v>2.9137417943107207</v>
      </c>
      <c r="J50" s="215">
        <f>(J$27+J$23-J6)/IS!J$40</f>
        <v>3.0169072867424727</v>
      </c>
      <c r="K50" s="215">
        <f>(K$27+K$23-K6)/IS!K$40</f>
        <v>3.5376624789253279</v>
      </c>
      <c r="L50" s="215">
        <f>(L$27+L$23-L6)/IS!L$40</f>
        <v>3.8774027925615187</v>
      </c>
      <c r="M50" s="215">
        <f>(M$27+M$23-M6)/IS!M$40</f>
        <v>3.618977063948321</v>
      </c>
      <c r="N50" s="268">
        <f>(N$27+N$23-N6)/IS!N$18</f>
        <v>3.618977063948321</v>
      </c>
      <c r="O50" s="215">
        <f>(O$27+O$23-O6)/(IS!O$18+549.7+591.9+559.6)</f>
        <v>3.1718850155317786</v>
      </c>
      <c r="P50" s="215">
        <f>(P$27+P$23-P6)/(IS!P$18+549.7+591.9+IS!P$18)</f>
        <v>3.2933915049825728</v>
      </c>
      <c r="Q50" s="215">
        <f>(Q$27+Q$23-Q6)/(IS!Q$18+549.7+IS!Q$18+IS!Q$18)</f>
        <v>2.4976468687562279</v>
      </c>
      <c r="R50" s="215">
        <f>(R$27+R$23-R6)/(IS!R$18+IS!R$18+IS!R$18+IS!R$18)</f>
        <v>2.3904239563531458</v>
      </c>
      <c r="S50" s="268">
        <f>(S$27+S$23-S6)/IS!S$18</f>
        <v>2.983040443665534</v>
      </c>
      <c r="T50" s="268">
        <f>(T$27+T$23-T6)/IS!T$18</f>
        <v>2.4442125130588828</v>
      </c>
      <c r="U50" s="268">
        <f>(U$27+U$23-U6)/IS!U$18</f>
        <v>2.0504143778797159</v>
      </c>
      <c r="V50" s="268">
        <f>(V$27+V$23-V6)/IS!V$18</f>
        <v>1.7262217024359154</v>
      </c>
      <c r="W50" s="268">
        <f>(W$27+W$23-W6)/IS!W$18</f>
        <v>1.5090757992898136</v>
      </c>
    </row>
    <row r="51" spans="1:27" s="22" customFormat="1" x14ac:dyDescent="0.25">
      <c r="A51" s="80"/>
      <c r="B51" s="11"/>
      <c r="C51" s="269"/>
      <c r="D51" s="269"/>
      <c r="E51" s="269"/>
      <c r="F51" s="269"/>
      <c r="G51" s="269"/>
      <c r="H51" s="269"/>
      <c r="I51" s="270"/>
      <c r="J51" s="125"/>
      <c r="K51" s="34"/>
      <c r="L51" s="34"/>
      <c r="M51" s="34"/>
      <c r="N51" s="273"/>
      <c r="O51" s="34"/>
      <c r="P51" s="34"/>
      <c r="Q51" s="34"/>
      <c r="R51" s="34"/>
      <c r="S51" s="270"/>
      <c r="T51" s="270"/>
      <c r="U51" s="270"/>
      <c r="V51" s="270"/>
      <c r="W51" s="269"/>
    </row>
    <row r="52" spans="1:27" s="14" customFormat="1" x14ac:dyDescent="0.25">
      <c r="A52" s="78"/>
      <c r="B52" s="11" t="s">
        <v>193</v>
      </c>
      <c r="C52" s="246">
        <f>CF_F!C33/(BS!C27+BS!C23)</f>
        <v>0.15421890958082529</v>
      </c>
      <c r="D52" s="246">
        <f>CF_F!D33/(BS!D27+BS!D23)</f>
        <v>0.1526760361736143</v>
      </c>
      <c r="E52" s="246"/>
      <c r="F52" s="246"/>
      <c r="G52" s="246"/>
      <c r="H52" s="246"/>
      <c r="I52" s="246">
        <f>CF_F!I33/(BS!I27+BS!I23)</f>
        <v>0.14761558811837777</v>
      </c>
      <c r="J52" s="152">
        <f>CF_F!J37</f>
        <v>0.14105096268827172</v>
      </c>
      <c r="K52" s="152">
        <f>CF_F!K37</f>
        <v>0.12359647607531521</v>
      </c>
      <c r="L52" s="152">
        <f>CF_F!L37</f>
        <v>0.11817857036529811</v>
      </c>
      <c r="M52" s="152">
        <f>CF_F!M37</f>
        <v>0.1301910144192773</v>
      </c>
      <c r="N52" s="246">
        <f>CF_F!N33/(BS!N27+BS!N23)</f>
        <v>0.1301910144192773</v>
      </c>
      <c r="O52" s="152">
        <f>(SUM(CF_F!K33:M33)+CF_F!O33)/(BS!O27+BS!O23)</f>
        <v>0.14695833518214488</v>
      </c>
      <c r="P52" s="152">
        <f>(SUM(CF_F!O33:P33)+SUM(CF_F!L33:M33))/(P27+P23)</f>
        <v>8.6130326601520951E-2</v>
      </c>
      <c r="Q52" s="152">
        <f>(SUM(CF_F!O33:Q33)+CF_F!M33)/(BS!Q27+BS!Q23)</f>
        <v>0.10796239188224482</v>
      </c>
      <c r="R52" s="152">
        <f>CF_F!S33/(BS!R23+BS!R27)</f>
        <v>0.143636303929109</v>
      </c>
      <c r="S52" s="246">
        <f>R52</f>
        <v>0.143636303929109</v>
      </c>
      <c r="T52" s="246">
        <f>CF_F!T33/(BS!T27+BS!T23)</f>
        <v>0.17723201570658684</v>
      </c>
      <c r="U52" s="246">
        <f>CF_F!U33/(BS!U27+BS!U23)</f>
        <v>0.24017063017552864</v>
      </c>
      <c r="V52" s="246">
        <f>CF_F!V33/(BS!V27+BS!V23)</f>
        <v>0.28831394640660835</v>
      </c>
      <c r="W52" s="246">
        <f>CF_F!W33/(BS!W27+BS!W23)</f>
        <v>0.29748710644685689</v>
      </c>
      <c r="X52" s="22"/>
      <c r="Y52" s="22"/>
      <c r="Z52" s="123"/>
      <c r="AA52" s="123"/>
    </row>
    <row r="53" spans="1:27" s="14" customFormat="1" x14ac:dyDescent="0.25">
      <c r="A53" s="80"/>
      <c r="B53" s="11" t="s">
        <v>192</v>
      </c>
      <c r="C53" s="246">
        <f>-CF_F!C18/IS!C7</f>
        <v>4.5172694103635364E-2</v>
      </c>
      <c r="D53" s="246">
        <f>-CF_F!D18/IS!D7</f>
        <v>4.3090946757820589E-2</v>
      </c>
      <c r="E53" s="246"/>
      <c r="F53" s="246"/>
      <c r="G53" s="246"/>
      <c r="H53" s="246"/>
      <c r="I53" s="246">
        <f>-CF_F!I18/IS!I7</f>
        <v>4.8308802786073524E-2</v>
      </c>
      <c r="J53" s="124">
        <f>-CF_F!J18/IS!J7</f>
        <v>0.10412715614557935</v>
      </c>
      <c r="K53" s="124">
        <f>-CF_F!K18/IS!K7</f>
        <v>4.8978334531266043E-2</v>
      </c>
      <c r="L53" s="124">
        <f>-CF_F!L18/IS!L7</f>
        <v>4.5959389479422193E-2</v>
      </c>
      <c r="M53" s="124">
        <f>-CF_F!M18/IS!M7</f>
        <v>4.5864232743867653E-2</v>
      </c>
      <c r="N53" s="246">
        <f>-CF_F!N18/IS!N7</f>
        <v>5.8798243154845338E-2</v>
      </c>
      <c r="O53" s="124">
        <f>-CF_F!O18/IS!O7</f>
        <v>7.5362318840579715E-2</v>
      </c>
      <c r="P53" s="124">
        <v>6.4000000000000001E-2</v>
      </c>
      <c r="Q53" s="124">
        <v>5.8999999999999997E-2</v>
      </c>
      <c r="R53" s="124">
        <v>5.7000000000000002E-2</v>
      </c>
      <c r="S53" s="246">
        <f>-CF_F!S18/IS!S7</f>
        <v>6.3422939608544365E-2</v>
      </c>
      <c r="T53" s="246">
        <v>6.5000000000000002E-2</v>
      </c>
      <c r="U53" s="246">
        <v>6.6000000000000003E-2</v>
      </c>
      <c r="V53" s="246">
        <v>6.6000000000000003E-2</v>
      </c>
      <c r="W53" s="246">
        <v>6.6000000000000003E-2</v>
      </c>
    </row>
    <row r="54" spans="1:27" s="14" customFormat="1" x14ac:dyDescent="0.25">
      <c r="A54" s="80"/>
      <c r="B54" s="11"/>
      <c r="C54" s="247"/>
      <c r="D54" s="247"/>
      <c r="E54" s="247"/>
      <c r="F54" s="247"/>
      <c r="G54" s="247"/>
      <c r="H54" s="247"/>
      <c r="I54" s="264"/>
      <c r="J54" s="30"/>
      <c r="K54" s="30"/>
      <c r="L54" s="30"/>
      <c r="M54" s="30"/>
      <c r="N54" s="272"/>
      <c r="O54" s="30"/>
      <c r="P54" s="30"/>
      <c r="Q54" s="30"/>
      <c r="R54" s="30"/>
      <c r="S54" s="264"/>
      <c r="T54" s="264"/>
      <c r="U54" s="264"/>
      <c r="V54" s="264"/>
      <c r="W54" s="247"/>
    </row>
    <row r="55" spans="1:27" s="14" customFormat="1" x14ac:dyDescent="0.25">
      <c r="A55" s="80"/>
      <c r="B55" s="11" t="s">
        <v>282</v>
      </c>
      <c r="C55" s="271">
        <f t="shared" ref="C55:W55" si="72">C10/C25</f>
        <v>0.59109728047625476</v>
      </c>
      <c r="D55" s="271">
        <f t="shared" si="72"/>
        <v>0.61868221812973201</v>
      </c>
      <c r="E55" s="271">
        <f t="shared" si="72"/>
        <v>0.65787058921669495</v>
      </c>
      <c r="F55" s="271">
        <f t="shared" si="72"/>
        <v>0.73633966352541957</v>
      </c>
      <c r="G55" s="271">
        <f t="shared" si="72"/>
        <v>0.77250119053918198</v>
      </c>
      <c r="H55" s="271">
        <f t="shared" si="72"/>
        <v>0.76713047319308703</v>
      </c>
      <c r="I55" s="271">
        <f t="shared" si="72"/>
        <v>0.76713047319308703</v>
      </c>
      <c r="J55" s="210">
        <f t="shared" si="72"/>
        <v>0.80741428290158346</v>
      </c>
      <c r="K55" s="210">
        <f t="shared" si="72"/>
        <v>0.81720399510571085</v>
      </c>
      <c r="L55" s="210">
        <f t="shared" si="72"/>
        <v>0.76559367342392526</v>
      </c>
      <c r="M55" s="210">
        <f t="shared" si="72"/>
        <v>0.78153700302186424</v>
      </c>
      <c r="N55" s="271">
        <f t="shared" si="72"/>
        <v>0.78153700302186424</v>
      </c>
      <c r="O55" s="210">
        <f t="shared" si="72"/>
        <v>0.77176214385094666</v>
      </c>
      <c r="P55" s="210">
        <f t="shared" si="72"/>
        <v>1.0976142186722204</v>
      </c>
      <c r="Q55" s="210">
        <f t="shared" si="72"/>
        <v>1.182088841146254</v>
      </c>
      <c r="R55" s="210">
        <f t="shared" si="72"/>
        <v>1.2736920912406371</v>
      </c>
      <c r="S55" s="271">
        <f t="shared" si="72"/>
        <v>1.2736920912406371</v>
      </c>
      <c r="T55" s="271">
        <f t="shared" si="72"/>
        <v>1.1442338271761192</v>
      </c>
      <c r="U55" s="271">
        <f t="shared" si="72"/>
        <v>0.96514032781615489</v>
      </c>
      <c r="V55" s="271">
        <f t="shared" si="72"/>
        <v>1.0160829692125692</v>
      </c>
      <c r="W55" s="271">
        <f t="shared" si="72"/>
        <v>1.1630624711684869</v>
      </c>
    </row>
    <row r="56" spans="1:27" s="14" customFormat="1" x14ac:dyDescent="0.25">
      <c r="A56" s="80"/>
      <c r="B56" s="11"/>
      <c r="C56" s="153"/>
      <c r="D56" s="153"/>
      <c r="E56" s="153"/>
      <c r="F56" s="153"/>
      <c r="G56" s="153"/>
      <c r="H56" s="153"/>
      <c r="I56" s="157"/>
      <c r="J56" s="157"/>
      <c r="K56" s="157"/>
      <c r="L56" s="157"/>
      <c r="M56" s="157"/>
      <c r="N56" s="221"/>
      <c r="O56" s="157"/>
      <c r="P56" s="157"/>
      <c r="Q56" s="157"/>
      <c r="R56" s="157"/>
      <c r="S56" s="157"/>
      <c r="T56" s="157"/>
      <c r="U56" s="157"/>
      <c r="V56" s="157"/>
      <c r="W56" s="153"/>
    </row>
    <row r="57" spans="1:27" s="14" customFormat="1" x14ac:dyDescent="0.25">
      <c r="A57" s="80"/>
      <c r="B57" s="11"/>
      <c r="C57" s="153"/>
      <c r="D57" s="153"/>
      <c r="E57" s="153"/>
      <c r="F57" s="153"/>
      <c r="G57" s="153"/>
      <c r="H57" s="153"/>
      <c r="I57" s="157"/>
      <c r="J57" s="157"/>
      <c r="K57" s="157"/>
      <c r="L57" s="157"/>
      <c r="M57" s="157"/>
      <c r="N57" s="221"/>
      <c r="O57" s="157"/>
      <c r="P57" s="157"/>
      <c r="Q57" s="157"/>
      <c r="R57" s="157"/>
      <c r="S57" s="157"/>
      <c r="T57" s="157"/>
      <c r="U57" s="157"/>
      <c r="V57" s="157"/>
      <c r="W57" s="153"/>
    </row>
    <row r="58" spans="1:27" s="14" customFormat="1" x14ac:dyDescent="0.25">
      <c r="A58" s="80"/>
      <c r="B58" s="11"/>
      <c r="C58" s="153"/>
      <c r="D58" s="153"/>
      <c r="E58" s="153"/>
      <c r="F58" s="153"/>
      <c r="G58" s="153"/>
      <c r="H58" s="153"/>
      <c r="I58" s="157"/>
      <c r="J58" s="157"/>
      <c r="K58" s="157"/>
      <c r="L58" s="157"/>
      <c r="M58" s="157"/>
      <c r="N58" s="221"/>
      <c r="O58" s="157"/>
      <c r="P58" s="157"/>
      <c r="Q58" s="157"/>
      <c r="R58" s="157"/>
      <c r="S58" s="157"/>
      <c r="T58" s="157"/>
      <c r="U58" s="157"/>
      <c r="V58" s="157"/>
      <c r="W58" s="153"/>
    </row>
    <row r="59" spans="1:27" s="14" customFormat="1" x14ac:dyDescent="0.25">
      <c r="A59" s="80"/>
      <c r="B59" s="11"/>
      <c r="C59" s="153"/>
      <c r="D59" s="153"/>
      <c r="E59" s="153"/>
      <c r="F59" s="153"/>
      <c r="G59" s="153"/>
      <c r="H59" s="153"/>
      <c r="I59" s="157"/>
      <c r="J59" s="157"/>
      <c r="K59" s="157"/>
      <c r="L59" s="157"/>
      <c r="M59" s="157"/>
      <c r="N59" s="221"/>
      <c r="O59" s="157"/>
      <c r="P59" s="157"/>
      <c r="Q59" s="157"/>
      <c r="R59" s="157"/>
      <c r="S59" s="157"/>
      <c r="T59" s="157"/>
      <c r="U59" s="157"/>
      <c r="V59" s="157"/>
      <c r="W59" s="153"/>
    </row>
    <row r="60" spans="1:27" s="14" customFormat="1" x14ac:dyDescent="0.25">
      <c r="A60" s="80"/>
      <c r="B60" s="11"/>
      <c r="C60" s="153"/>
      <c r="D60" s="153"/>
      <c r="E60" s="153"/>
      <c r="F60" s="153"/>
      <c r="G60" s="153"/>
      <c r="H60" s="153"/>
      <c r="I60" s="157"/>
      <c r="J60" s="157"/>
      <c r="K60" s="157"/>
      <c r="L60" s="157"/>
      <c r="M60" s="157"/>
      <c r="N60" s="221"/>
      <c r="O60" s="157"/>
      <c r="P60" s="157"/>
      <c r="Q60" s="157"/>
      <c r="R60" s="157"/>
      <c r="S60" s="157"/>
      <c r="T60" s="157"/>
      <c r="U60" s="157"/>
      <c r="V60" s="157"/>
      <c r="W60" s="153"/>
    </row>
    <row r="61" spans="1:27" s="14" customFormat="1" x14ac:dyDescent="0.25">
      <c r="A61" s="80"/>
      <c r="B61" s="11"/>
      <c r="C61" s="153"/>
      <c r="D61" s="153"/>
      <c r="E61" s="153"/>
      <c r="F61" s="153"/>
      <c r="G61" s="153"/>
      <c r="H61" s="153"/>
      <c r="I61" s="157"/>
      <c r="J61" s="157"/>
      <c r="K61" s="157"/>
      <c r="L61" s="157"/>
      <c r="M61" s="157"/>
      <c r="N61" s="221"/>
      <c r="O61" s="157"/>
      <c r="P61" s="157"/>
      <c r="Q61" s="157"/>
      <c r="R61" s="157"/>
      <c r="S61" s="157"/>
      <c r="T61" s="157"/>
      <c r="U61" s="157"/>
      <c r="V61" s="157"/>
      <c r="W61" s="153"/>
    </row>
    <row r="62" spans="1:27" s="14" customFormat="1" x14ac:dyDescent="0.25">
      <c r="A62" s="80"/>
      <c r="B62" s="11"/>
      <c r="C62" s="153"/>
      <c r="D62" s="153"/>
      <c r="E62" s="153"/>
      <c r="F62" s="153"/>
      <c r="G62" s="153"/>
      <c r="H62" s="153"/>
      <c r="I62" s="157"/>
      <c r="J62" s="157"/>
      <c r="K62" s="157"/>
      <c r="L62" s="157"/>
      <c r="M62" s="157"/>
      <c r="N62" s="221"/>
      <c r="O62" s="157"/>
      <c r="P62" s="157"/>
      <c r="Q62" s="157"/>
      <c r="R62" s="157"/>
      <c r="S62" s="157"/>
      <c r="T62" s="157"/>
      <c r="U62" s="157"/>
      <c r="V62" s="157"/>
      <c r="W62" s="153"/>
    </row>
    <row r="63" spans="1:27" s="14" customFormat="1" x14ac:dyDescent="0.25">
      <c r="A63" s="80"/>
      <c r="B63" s="11"/>
      <c r="C63" s="153"/>
      <c r="D63" s="153"/>
      <c r="E63" s="153"/>
      <c r="F63" s="153"/>
      <c r="G63" s="153"/>
      <c r="H63" s="153"/>
      <c r="I63" s="157"/>
      <c r="J63" s="157"/>
      <c r="K63" s="157"/>
      <c r="L63" s="157"/>
      <c r="M63" s="157"/>
      <c r="N63" s="221"/>
      <c r="O63" s="157"/>
      <c r="P63" s="157"/>
      <c r="Q63" s="157"/>
      <c r="R63" s="157"/>
      <c r="S63" s="157"/>
      <c r="T63" s="157"/>
      <c r="U63" s="157"/>
      <c r="V63" s="157"/>
      <c r="W63" s="153"/>
    </row>
    <row r="64" spans="1:27" s="14" customFormat="1" x14ac:dyDescent="0.25">
      <c r="A64" s="80"/>
      <c r="B64" s="11"/>
      <c r="C64" s="153"/>
      <c r="D64" s="153"/>
      <c r="E64" s="153"/>
      <c r="F64" s="153"/>
      <c r="G64" s="153"/>
      <c r="H64" s="153"/>
      <c r="I64" s="157"/>
      <c r="J64" s="157"/>
      <c r="K64" s="157"/>
      <c r="L64" s="157"/>
      <c r="M64" s="157"/>
      <c r="N64" s="221"/>
      <c r="O64" s="157"/>
      <c r="P64" s="157"/>
      <c r="Q64" s="157"/>
      <c r="R64" s="157"/>
      <c r="S64" s="157"/>
      <c r="T64" s="157"/>
      <c r="U64" s="157"/>
      <c r="V64" s="157"/>
      <c r="W64" s="153"/>
    </row>
    <row r="65" spans="1:23" s="14" customFormat="1" x14ac:dyDescent="0.25">
      <c r="A65" s="80"/>
      <c r="B65" s="11"/>
      <c r="C65" s="153"/>
      <c r="D65" s="153"/>
      <c r="E65" s="153"/>
      <c r="F65" s="153"/>
      <c r="G65" s="153"/>
      <c r="H65" s="153"/>
      <c r="I65" s="157"/>
      <c r="J65" s="157"/>
      <c r="K65" s="157"/>
      <c r="L65" s="157"/>
      <c r="M65" s="157"/>
      <c r="N65" s="221"/>
      <c r="O65" s="157"/>
      <c r="P65" s="157"/>
      <c r="Q65" s="157"/>
      <c r="R65" s="157"/>
      <c r="S65" s="157"/>
      <c r="T65" s="157"/>
      <c r="U65" s="157"/>
      <c r="V65" s="157"/>
      <c r="W65" s="153"/>
    </row>
    <row r="66" spans="1:23" s="14" customFormat="1" x14ac:dyDescent="0.25">
      <c r="A66" s="80"/>
      <c r="B66" s="11"/>
      <c r="C66" s="153"/>
      <c r="D66" s="153"/>
      <c r="E66" s="153"/>
      <c r="F66" s="153"/>
      <c r="G66" s="153"/>
      <c r="H66" s="153"/>
      <c r="I66" s="157"/>
      <c r="J66" s="157"/>
      <c r="K66" s="157"/>
      <c r="L66" s="157"/>
      <c r="M66" s="157"/>
      <c r="N66" s="221"/>
      <c r="O66" s="157"/>
      <c r="P66" s="157"/>
      <c r="Q66" s="157"/>
      <c r="R66" s="157"/>
      <c r="S66" s="157"/>
      <c r="T66" s="157"/>
      <c r="U66" s="157"/>
      <c r="V66" s="157"/>
      <c r="W66" s="153"/>
    </row>
    <row r="67" spans="1:23" s="14" customFormat="1" x14ac:dyDescent="0.25">
      <c r="A67" s="80"/>
      <c r="B67" s="11"/>
      <c r="C67" s="153"/>
      <c r="D67" s="153"/>
      <c r="E67" s="153"/>
      <c r="F67" s="153"/>
      <c r="G67" s="153"/>
      <c r="H67" s="153"/>
      <c r="I67" s="157"/>
      <c r="J67" s="157"/>
      <c r="K67" s="157"/>
      <c r="L67" s="157"/>
      <c r="M67" s="157"/>
      <c r="N67" s="221"/>
      <c r="O67" s="157"/>
      <c r="P67" s="157"/>
      <c r="Q67" s="157"/>
      <c r="R67" s="157"/>
      <c r="S67" s="157"/>
      <c r="T67" s="157"/>
      <c r="U67" s="157"/>
      <c r="V67" s="157"/>
      <c r="W67" s="153"/>
    </row>
    <row r="68" spans="1:23" s="14" customFormat="1" x14ac:dyDescent="0.25">
      <c r="A68" s="80"/>
      <c r="B68" s="11"/>
      <c r="C68" s="153"/>
      <c r="D68" s="153"/>
      <c r="E68" s="153"/>
      <c r="F68" s="153"/>
      <c r="G68" s="153"/>
      <c r="H68" s="153"/>
      <c r="I68" s="157"/>
      <c r="J68" s="157"/>
      <c r="K68" s="157"/>
      <c r="L68" s="157"/>
      <c r="M68" s="157"/>
      <c r="N68" s="221"/>
      <c r="O68" s="157"/>
      <c r="P68" s="157"/>
      <c r="Q68" s="157"/>
      <c r="R68" s="157"/>
      <c r="S68" s="157"/>
      <c r="T68" s="157"/>
      <c r="U68" s="157"/>
      <c r="V68" s="157"/>
      <c r="W68" s="153"/>
    </row>
    <row r="69" spans="1:23" s="14" customFormat="1" x14ac:dyDescent="0.25">
      <c r="A69" s="80"/>
      <c r="B69" s="11"/>
      <c r="C69" s="153"/>
      <c r="D69" s="153"/>
      <c r="E69" s="153"/>
      <c r="F69" s="153"/>
      <c r="G69" s="153"/>
      <c r="H69" s="153"/>
      <c r="I69" s="157"/>
      <c r="J69" s="157"/>
      <c r="K69" s="157"/>
      <c r="L69" s="157"/>
      <c r="M69" s="157"/>
      <c r="N69" s="221"/>
      <c r="O69" s="157"/>
      <c r="P69" s="157"/>
      <c r="Q69" s="157"/>
      <c r="R69" s="157"/>
      <c r="S69" s="157"/>
      <c r="T69" s="157"/>
      <c r="U69" s="157"/>
      <c r="V69" s="157"/>
      <c r="W69" s="153"/>
    </row>
    <row r="70" spans="1:23" s="14" customFormat="1" x14ac:dyDescent="0.25">
      <c r="A70" s="80"/>
      <c r="B70" s="11"/>
      <c r="C70" s="153"/>
      <c r="D70" s="153"/>
      <c r="E70" s="153"/>
      <c r="F70" s="153"/>
      <c r="G70" s="153"/>
      <c r="H70" s="153"/>
      <c r="I70" s="157"/>
      <c r="J70" s="157"/>
      <c r="K70" s="157"/>
      <c r="L70" s="157"/>
      <c r="M70" s="157"/>
      <c r="N70" s="221"/>
      <c r="O70" s="157"/>
      <c r="P70" s="157"/>
      <c r="Q70" s="157"/>
      <c r="R70" s="157"/>
      <c r="S70" s="157"/>
      <c r="T70" s="157"/>
      <c r="U70" s="157"/>
      <c r="V70" s="157"/>
      <c r="W70" s="153"/>
    </row>
    <row r="71" spans="1:23" s="14" customFormat="1" x14ac:dyDescent="0.25">
      <c r="A71" s="80"/>
      <c r="B71" s="11"/>
      <c r="C71" s="153"/>
      <c r="D71" s="153"/>
      <c r="E71" s="153"/>
      <c r="F71" s="153"/>
      <c r="G71" s="153"/>
      <c r="H71" s="153"/>
      <c r="I71" s="157"/>
      <c r="J71" s="157"/>
      <c r="K71" s="157"/>
      <c r="L71" s="157"/>
      <c r="M71" s="157"/>
      <c r="N71" s="221"/>
      <c r="O71" s="157"/>
      <c r="P71" s="157"/>
      <c r="Q71" s="157"/>
      <c r="R71" s="157"/>
      <c r="S71" s="157"/>
      <c r="T71" s="157"/>
      <c r="U71" s="157"/>
      <c r="V71" s="157"/>
      <c r="W71" s="153"/>
    </row>
    <row r="72" spans="1:23" s="14" customFormat="1" x14ac:dyDescent="0.25">
      <c r="A72" s="80"/>
      <c r="B72" s="11"/>
      <c r="C72" s="153"/>
      <c r="D72" s="153"/>
      <c r="E72" s="153"/>
      <c r="F72" s="153"/>
      <c r="G72" s="153"/>
      <c r="H72" s="153"/>
      <c r="I72" s="157"/>
      <c r="J72" s="157"/>
      <c r="K72" s="157"/>
      <c r="L72" s="157"/>
      <c r="M72" s="157"/>
      <c r="N72" s="221"/>
      <c r="O72" s="157"/>
      <c r="P72" s="157"/>
      <c r="Q72" s="157"/>
      <c r="R72" s="157"/>
      <c r="S72" s="157"/>
      <c r="T72" s="157"/>
      <c r="U72" s="157"/>
      <c r="V72" s="157"/>
      <c r="W72" s="153"/>
    </row>
    <row r="73" spans="1:23" s="14" customFormat="1" x14ac:dyDescent="0.25">
      <c r="A73" s="80"/>
      <c r="B73" s="11"/>
      <c r="C73" s="153"/>
      <c r="D73" s="153"/>
      <c r="E73" s="153"/>
      <c r="F73" s="153"/>
      <c r="G73" s="153"/>
      <c r="H73" s="153"/>
      <c r="I73" s="157"/>
      <c r="J73" s="157"/>
      <c r="K73" s="157"/>
      <c r="L73" s="157"/>
      <c r="M73" s="157"/>
      <c r="N73" s="221"/>
      <c r="O73" s="157"/>
      <c r="P73" s="157"/>
      <c r="Q73" s="157"/>
      <c r="R73" s="157"/>
      <c r="S73" s="157"/>
      <c r="T73" s="157"/>
      <c r="U73" s="157"/>
      <c r="V73" s="157"/>
      <c r="W73" s="153"/>
    </row>
    <row r="74" spans="1:23" s="14" customFormat="1" x14ac:dyDescent="0.25">
      <c r="A74" s="80"/>
      <c r="B74" s="11"/>
      <c r="C74" s="153"/>
      <c r="D74" s="153"/>
      <c r="E74" s="153"/>
      <c r="F74" s="153"/>
      <c r="G74" s="153"/>
      <c r="H74" s="153"/>
      <c r="I74" s="157"/>
      <c r="J74" s="157"/>
      <c r="K74" s="157"/>
      <c r="L74" s="157"/>
      <c r="M74" s="157"/>
      <c r="N74" s="221"/>
      <c r="O74" s="157"/>
      <c r="P74" s="157"/>
      <c r="Q74" s="157"/>
      <c r="R74" s="157"/>
      <c r="S74" s="157"/>
      <c r="T74" s="157"/>
      <c r="U74" s="157"/>
      <c r="V74" s="157"/>
      <c r="W74" s="153"/>
    </row>
    <row r="75" spans="1:23" s="14" customFormat="1" x14ac:dyDescent="0.25">
      <c r="A75" s="80"/>
      <c r="B75" s="11"/>
      <c r="C75" s="153"/>
      <c r="D75" s="153"/>
      <c r="E75" s="153"/>
      <c r="F75" s="153"/>
      <c r="G75" s="153"/>
      <c r="H75" s="153"/>
      <c r="I75" s="157"/>
      <c r="J75" s="157"/>
      <c r="K75" s="157"/>
      <c r="L75" s="157"/>
      <c r="M75" s="157"/>
      <c r="N75" s="221"/>
      <c r="O75" s="157"/>
      <c r="P75" s="157"/>
      <c r="Q75" s="157"/>
      <c r="R75" s="157"/>
      <c r="S75" s="157"/>
      <c r="T75" s="157"/>
      <c r="U75" s="157"/>
      <c r="V75" s="157"/>
      <c r="W75" s="153"/>
    </row>
    <row r="76" spans="1:23" s="14" customFormat="1" x14ac:dyDescent="0.25">
      <c r="A76" s="80"/>
      <c r="B76" s="11"/>
      <c r="C76" s="153"/>
      <c r="D76" s="153"/>
      <c r="E76" s="153"/>
      <c r="F76" s="153"/>
      <c r="G76" s="153"/>
      <c r="H76" s="153"/>
      <c r="I76" s="157"/>
      <c r="J76" s="157"/>
      <c r="K76" s="157"/>
      <c r="L76" s="157"/>
      <c r="M76" s="157"/>
      <c r="N76" s="221"/>
      <c r="O76" s="157"/>
      <c r="P76" s="157"/>
      <c r="Q76" s="157"/>
      <c r="R76" s="157"/>
      <c r="S76" s="157"/>
      <c r="T76" s="157"/>
      <c r="U76" s="157"/>
      <c r="V76" s="157"/>
      <c r="W76" s="153"/>
    </row>
    <row r="77" spans="1:23" s="14" customFormat="1" x14ac:dyDescent="0.25">
      <c r="A77" s="80"/>
      <c r="B77" s="11"/>
      <c r="C77" s="153"/>
      <c r="D77" s="153"/>
      <c r="E77" s="153"/>
      <c r="F77" s="153"/>
      <c r="G77" s="153"/>
      <c r="H77" s="153"/>
      <c r="I77" s="157"/>
      <c r="J77" s="157"/>
      <c r="K77" s="157"/>
      <c r="L77" s="157"/>
      <c r="M77" s="157"/>
      <c r="N77" s="221"/>
      <c r="O77" s="157"/>
      <c r="P77" s="157"/>
      <c r="Q77" s="157"/>
      <c r="R77" s="157"/>
      <c r="S77" s="157"/>
      <c r="T77" s="157"/>
      <c r="U77" s="157"/>
      <c r="V77" s="157"/>
      <c r="W77" s="153"/>
    </row>
    <row r="78" spans="1:23" s="14" customFormat="1" x14ac:dyDescent="0.25">
      <c r="A78" s="80"/>
      <c r="B78" s="11"/>
      <c r="C78" s="153"/>
      <c r="D78" s="153"/>
      <c r="E78" s="153"/>
      <c r="F78" s="153"/>
      <c r="G78" s="153"/>
      <c r="H78" s="153"/>
      <c r="I78" s="157"/>
      <c r="J78" s="157"/>
      <c r="K78" s="157"/>
      <c r="L78" s="157"/>
      <c r="M78" s="157"/>
      <c r="N78" s="221"/>
      <c r="O78" s="157"/>
      <c r="P78" s="157"/>
      <c r="Q78" s="157"/>
      <c r="R78" s="157"/>
      <c r="S78" s="157"/>
      <c r="T78" s="157"/>
      <c r="U78" s="157"/>
      <c r="V78" s="157"/>
      <c r="W78" s="153"/>
    </row>
    <row r="79" spans="1:23" s="14" customFormat="1" x14ac:dyDescent="0.25">
      <c r="A79" s="80"/>
      <c r="B79" s="11"/>
      <c r="C79" s="153"/>
      <c r="D79" s="153"/>
      <c r="E79" s="153"/>
      <c r="F79" s="153"/>
      <c r="G79" s="153"/>
      <c r="H79" s="153"/>
      <c r="I79" s="157"/>
      <c r="J79" s="157"/>
      <c r="K79" s="157"/>
      <c r="L79" s="157"/>
      <c r="M79" s="157"/>
      <c r="N79" s="221"/>
      <c r="O79" s="157"/>
      <c r="P79" s="157"/>
      <c r="Q79" s="157"/>
      <c r="R79" s="157"/>
      <c r="S79" s="157"/>
      <c r="T79" s="157"/>
      <c r="U79" s="157"/>
      <c r="V79" s="157"/>
      <c r="W79" s="153"/>
    </row>
    <row r="80" spans="1:23" s="14" customFormat="1" x14ac:dyDescent="0.25">
      <c r="A80" s="80"/>
      <c r="B80" s="11"/>
      <c r="C80" s="153"/>
      <c r="D80" s="153"/>
      <c r="E80" s="153"/>
      <c r="F80" s="153"/>
      <c r="G80" s="153"/>
      <c r="H80" s="153"/>
      <c r="I80" s="157"/>
      <c r="J80" s="157"/>
      <c r="K80" s="157"/>
      <c r="L80" s="157"/>
      <c r="M80" s="157"/>
      <c r="N80" s="221"/>
      <c r="O80" s="157"/>
      <c r="P80" s="157"/>
      <c r="Q80" s="157"/>
      <c r="R80" s="157"/>
      <c r="S80" s="157"/>
      <c r="T80" s="157"/>
      <c r="U80" s="157"/>
      <c r="V80" s="157"/>
      <c r="W80" s="153"/>
    </row>
    <row r="81" spans="1:23" s="14" customFormat="1" x14ac:dyDescent="0.25">
      <c r="A81" s="80"/>
      <c r="B81" s="11"/>
      <c r="C81" s="153"/>
      <c r="D81" s="153"/>
      <c r="E81" s="153"/>
      <c r="F81" s="153"/>
      <c r="G81" s="153"/>
      <c r="H81" s="153"/>
      <c r="I81" s="157"/>
      <c r="J81" s="157"/>
      <c r="K81" s="157"/>
      <c r="L81" s="157"/>
      <c r="M81" s="157"/>
      <c r="N81" s="221"/>
      <c r="O81" s="157"/>
      <c r="P81" s="157"/>
      <c r="Q81" s="157"/>
      <c r="R81" s="157"/>
      <c r="S81" s="157"/>
      <c r="T81" s="157"/>
      <c r="U81" s="157"/>
      <c r="V81" s="157"/>
      <c r="W81" s="153"/>
    </row>
    <row r="82" spans="1:23" s="14" customFormat="1" x14ac:dyDescent="0.25">
      <c r="A82" s="80"/>
      <c r="B82" s="11"/>
      <c r="C82" s="153"/>
      <c r="D82" s="153"/>
      <c r="E82" s="153"/>
      <c r="F82" s="153"/>
      <c r="G82" s="153"/>
      <c r="H82" s="153"/>
      <c r="I82" s="157"/>
      <c r="J82" s="157"/>
      <c r="K82" s="157"/>
      <c r="L82" s="157"/>
      <c r="M82" s="157"/>
      <c r="N82" s="221"/>
      <c r="O82" s="157"/>
      <c r="P82" s="157"/>
      <c r="Q82" s="157"/>
      <c r="R82" s="157"/>
      <c r="S82" s="157"/>
      <c r="T82" s="157"/>
      <c r="U82" s="157"/>
      <c r="V82" s="157"/>
      <c r="W82" s="153"/>
    </row>
    <row r="83" spans="1:23" s="14" customFormat="1" x14ac:dyDescent="0.25">
      <c r="A83" s="80"/>
      <c r="B83" s="11"/>
      <c r="C83" s="153"/>
      <c r="D83" s="153"/>
      <c r="E83" s="153"/>
      <c r="F83" s="153"/>
      <c r="G83" s="153"/>
      <c r="H83" s="153"/>
      <c r="I83" s="157"/>
      <c r="J83" s="157"/>
      <c r="K83" s="157"/>
      <c r="L83" s="157"/>
      <c r="M83" s="157"/>
      <c r="N83" s="221"/>
      <c r="O83" s="157"/>
      <c r="P83" s="157"/>
      <c r="Q83" s="157"/>
      <c r="R83" s="157"/>
      <c r="S83" s="157"/>
      <c r="T83" s="157"/>
      <c r="U83" s="157"/>
      <c r="V83" s="157"/>
      <c r="W83" s="153"/>
    </row>
    <row r="84" spans="1:23" s="14" customFormat="1" x14ac:dyDescent="0.25">
      <c r="A84" s="80"/>
      <c r="B84" s="11"/>
      <c r="C84" s="153"/>
      <c r="D84" s="153"/>
      <c r="E84" s="153"/>
      <c r="F84" s="153"/>
      <c r="G84" s="153"/>
      <c r="H84" s="153"/>
      <c r="I84" s="157"/>
      <c r="J84" s="157"/>
      <c r="K84" s="157"/>
      <c r="L84" s="157"/>
      <c r="M84" s="157"/>
      <c r="N84" s="221"/>
      <c r="O84" s="157"/>
      <c r="P84" s="157"/>
      <c r="Q84" s="157"/>
      <c r="R84" s="157"/>
      <c r="S84" s="157"/>
      <c r="T84" s="157"/>
      <c r="U84" s="157"/>
      <c r="V84" s="157"/>
      <c r="W84" s="153"/>
    </row>
    <row r="85" spans="1:23" s="14" customFormat="1" x14ac:dyDescent="0.25">
      <c r="A85" s="80"/>
      <c r="B85" s="11"/>
      <c r="C85" s="153"/>
      <c r="D85" s="153"/>
      <c r="E85" s="153"/>
      <c r="F85" s="153"/>
      <c r="G85" s="153"/>
      <c r="H85" s="153"/>
      <c r="I85" s="157"/>
      <c r="J85" s="157"/>
      <c r="K85" s="157"/>
      <c r="L85" s="157"/>
      <c r="M85" s="157"/>
      <c r="N85" s="221"/>
      <c r="O85" s="157"/>
      <c r="P85" s="157"/>
      <c r="Q85" s="157"/>
      <c r="R85" s="157"/>
      <c r="S85" s="157"/>
      <c r="T85" s="157"/>
      <c r="U85" s="157"/>
      <c r="V85" s="157"/>
      <c r="W85" s="153"/>
    </row>
    <row r="86" spans="1:23" s="14" customFormat="1" x14ac:dyDescent="0.25">
      <c r="A86" s="80"/>
      <c r="B86" s="11"/>
      <c r="C86" s="153"/>
      <c r="D86" s="153"/>
      <c r="E86" s="153"/>
      <c r="F86" s="153"/>
      <c r="G86" s="153"/>
      <c r="H86" s="153"/>
      <c r="I86" s="157"/>
      <c r="J86" s="157"/>
      <c r="K86" s="157"/>
      <c r="L86" s="157"/>
      <c r="M86" s="157"/>
      <c r="N86" s="221"/>
      <c r="O86" s="157"/>
      <c r="P86" s="157"/>
      <c r="Q86" s="157"/>
      <c r="R86" s="157"/>
      <c r="S86" s="157"/>
      <c r="T86" s="157"/>
      <c r="U86" s="157"/>
      <c r="V86" s="157"/>
      <c r="W86" s="153"/>
    </row>
    <row r="87" spans="1:23" s="14" customFormat="1" x14ac:dyDescent="0.25">
      <c r="A87" s="80"/>
      <c r="B87" s="11"/>
      <c r="C87" s="153"/>
      <c r="D87" s="153"/>
      <c r="E87" s="153"/>
      <c r="F87" s="153"/>
      <c r="G87" s="153"/>
      <c r="H87" s="153"/>
      <c r="I87" s="157"/>
      <c r="J87" s="157"/>
      <c r="K87" s="157"/>
      <c r="L87" s="157"/>
      <c r="M87" s="157"/>
      <c r="N87" s="221"/>
      <c r="O87" s="157"/>
      <c r="P87" s="157"/>
      <c r="Q87" s="157"/>
      <c r="R87" s="157"/>
      <c r="S87" s="157"/>
      <c r="T87" s="157"/>
      <c r="U87" s="157"/>
      <c r="V87" s="157"/>
      <c r="W87" s="153"/>
    </row>
    <row r="88" spans="1:23" s="14" customFormat="1" x14ac:dyDescent="0.25">
      <c r="A88" s="80"/>
      <c r="B88" s="11"/>
      <c r="C88" s="153"/>
      <c r="D88" s="153"/>
      <c r="E88" s="153"/>
      <c r="F88" s="153"/>
      <c r="G88" s="153"/>
      <c r="H88" s="153"/>
      <c r="I88" s="157"/>
      <c r="J88" s="157"/>
      <c r="K88" s="157"/>
      <c r="L88" s="157"/>
      <c r="M88" s="157"/>
      <c r="N88" s="221"/>
      <c r="O88" s="157"/>
      <c r="P88" s="157"/>
      <c r="Q88" s="157"/>
      <c r="R88" s="157"/>
      <c r="S88" s="157"/>
      <c r="T88" s="157"/>
      <c r="U88" s="157"/>
      <c r="V88" s="157"/>
      <c r="W88" s="153"/>
    </row>
    <row r="89" spans="1:23" s="14" customFormat="1" x14ac:dyDescent="0.25">
      <c r="A89" s="80"/>
      <c r="B89" s="11"/>
      <c r="C89" s="153"/>
      <c r="D89" s="153"/>
      <c r="E89" s="153"/>
      <c r="F89" s="153"/>
      <c r="G89" s="153"/>
      <c r="H89" s="153"/>
      <c r="I89" s="157"/>
      <c r="J89" s="157"/>
      <c r="K89" s="157"/>
      <c r="L89" s="157"/>
      <c r="M89" s="157"/>
      <c r="N89" s="221"/>
      <c r="O89" s="157"/>
      <c r="P89" s="157"/>
      <c r="Q89" s="157"/>
      <c r="R89" s="157"/>
      <c r="S89" s="157"/>
      <c r="T89" s="157"/>
      <c r="U89" s="157"/>
      <c r="V89" s="157"/>
      <c r="W89" s="153"/>
    </row>
    <row r="90" spans="1:23" s="14" customFormat="1" x14ac:dyDescent="0.25">
      <c r="A90" s="80"/>
      <c r="B90" s="11"/>
      <c r="C90" s="153"/>
      <c r="D90" s="153"/>
      <c r="E90" s="153"/>
      <c r="F90" s="153"/>
      <c r="G90" s="153"/>
      <c r="H90" s="153"/>
      <c r="I90" s="157"/>
      <c r="J90" s="157"/>
      <c r="K90" s="157"/>
      <c r="L90" s="157"/>
      <c r="M90" s="157"/>
      <c r="N90" s="221"/>
      <c r="O90" s="157"/>
      <c r="P90" s="157"/>
      <c r="Q90" s="157"/>
      <c r="R90" s="157"/>
      <c r="S90" s="157"/>
      <c r="T90" s="157"/>
      <c r="U90" s="157"/>
      <c r="V90" s="157"/>
      <c r="W90" s="153"/>
    </row>
    <row r="91" spans="1:23" s="14" customFormat="1" x14ac:dyDescent="0.25">
      <c r="A91" s="80"/>
      <c r="B91" s="11"/>
      <c r="C91" s="153"/>
      <c r="D91" s="153"/>
      <c r="E91" s="153"/>
      <c r="F91" s="153"/>
      <c r="G91" s="153"/>
      <c r="H91" s="153"/>
      <c r="I91" s="157"/>
      <c r="J91" s="157"/>
      <c r="K91" s="157"/>
      <c r="L91" s="157"/>
      <c r="M91" s="157"/>
      <c r="N91" s="221"/>
      <c r="O91" s="157"/>
      <c r="P91" s="157"/>
      <c r="Q91" s="157"/>
      <c r="R91" s="157"/>
      <c r="S91" s="157"/>
      <c r="T91" s="157"/>
      <c r="U91" s="157"/>
      <c r="V91" s="157"/>
      <c r="W91" s="153"/>
    </row>
    <row r="92" spans="1:23" s="14" customFormat="1" x14ac:dyDescent="0.25">
      <c r="A92" s="80"/>
      <c r="B92" s="11"/>
      <c r="C92" s="153"/>
      <c r="D92" s="153"/>
      <c r="E92" s="153"/>
      <c r="F92" s="153"/>
      <c r="G92" s="153"/>
      <c r="H92" s="153"/>
      <c r="I92" s="157"/>
      <c r="J92" s="157"/>
      <c r="K92" s="157"/>
      <c r="L92" s="157"/>
      <c r="M92" s="157"/>
      <c r="N92" s="221"/>
      <c r="O92" s="157"/>
      <c r="P92" s="157"/>
      <c r="Q92" s="157"/>
      <c r="R92" s="157"/>
      <c r="S92" s="157"/>
      <c r="T92" s="157"/>
      <c r="U92" s="157"/>
      <c r="V92" s="157"/>
      <c r="W92" s="153"/>
    </row>
    <row r="93" spans="1:23" s="14" customFormat="1" x14ac:dyDescent="0.25">
      <c r="A93" s="80"/>
      <c r="B93" s="11"/>
      <c r="C93" s="153"/>
      <c r="D93" s="153"/>
      <c r="E93" s="153"/>
      <c r="F93" s="153"/>
      <c r="G93" s="153"/>
      <c r="H93" s="153"/>
      <c r="I93" s="157"/>
      <c r="J93" s="157"/>
      <c r="K93" s="157"/>
      <c r="L93" s="157"/>
      <c r="M93" s="157"/>
      <c r="N93" s="221"/>
      <c r="O93" s="157"/>
      <c r="P93" s="157"/>
      <c r="Q93" s="157"/>
      <c r="R93" s="157"/>
      <c r="S93" s="157"/>
      <c r="T93" s="157"/>
      <c r="U93" s="157"/>
      <c r="V93" s="157"/>
      <c r="W93" s="153"/>
    </row>
    <row r="94" spans="1:23" s="14" customFormat="1" x14ac:dyDescent="0.25">
      <c r="A94" s="80"/>
      <c r="B94" s="11"/>
      <c r="C94" s="153"/>
      <c r="D94" s="153"/>
      <c r="E94" s="153"/>
      <c r="F94" s="153"/>
      <c r="G94" s="153"/>
      <c r="H94" s="153"/>
      <c r="I94" s="157"/>
      <c r="J94" s="157"/>
      <c r="K94" s="157"/>
      <c r="L94" s="157"/>
      <c r="M94" s="157"/>
      <c r="N94" s="221"/>
      <c r="O94" s="157"/>
      <c r="P94" s="157"/>
      <c r="Q94" s="157"/>
      <c r="R94" s="157"/>
      <c r="S94" s="157"/>
      <c r="T94" s="157"/>
      <c r="U94" s="157"/>
      <c r="V94" s="157"/>
      <c r="W94" s="153"/>
    </row>
    <row r="95" spans="1:23" s="14" customFormat="1" x14ac:dyDescent="0.25">
      <c r="A95" s="80"/>
      <c r="B95" s="11"/>
      <c r="C95" s="153"/>
      <c r="D95" s="153"/>
      <c r="E95" s="153"/>
      <c r="F95" s="153"/>
      <c r="G95" s="153"/>
      <c r="H95" s="153"/>
      <c r="I95" s="157"/>
      <c r="J95" s="157"/>
      <c r="K95" s="157"/>
      <c r="L95" s="157"/>
      <c r="M95" s="157"/>
      <c r="N95" s="221"/>
      <c r="O95" s="157"/>
      <c r="P95" s="157"/>
      <c r="Q95" s="157"/>
      <c r="R95" s="157"/>
      <c r="S95" s="157"/>
      <c r="T95" s="157"/>
      <c r="U95" s="157"/>
      <c r="V95" s="157"/>
      <c r="W95" s="153"/>
    </row>
    <row r="96" spans="1:23" s="14" customFormat="1" x14ac:dyDescent="0.25">
      <c r="A96" s="80"/>
      <c r="B96" s="11"/>
      <c r="C96" s="153"/>
      <c r="D96" s="153"/>
      <c r="E96" s="153"/>
      <c r="F96" s="153"/>
      <c r="G96" s="153"/>
      <c r="H96" s="153"/>
      <c r="I96" s="157"/>
      <c r="J96" s="157"/>
      <c r="K96" s="157"/>
      <c r="L96" s="157"/>
      <c r="M96" s="157"/>
      <c r="N96" s="221"/>
      <c r="O96" s="157"/>
      <c r="P96" s="157"/>
      <c r="Q96" s="157"/>
      <c r="R96" s="157"/>
      <c r="S96" s="157"/>
      <c r="T96" s="157"/>
      <c r="U96" s="157"/>
      <c r="V96" s="157"/>
      <c r="W96" s="153"/>
    </row>
    <row r="97" spans="1:23" s="14" customFormat="1" x14ac:dyDescent="0.25">
      <c r="A97" s="80"/>
      <c r="B97" s="11"/>
      <c r="C97" s="153"/>
      <c r="D97" s="153"/>
      <c r="E97" s="153"/>
      <c r="F97" s="153"/>
      <c r="G97" s="153"/>
      <c r="H97" s="153"/>
      <c r="I97" s="157"/>
      <c r="J97" s="157"/>
      <c r="K97" s="157"/>
      <c r="L97" s="157"/>
      <c r="M97" s="157"/>
      <c r="N97" s="221"/>
      <c r="O97" s="157"/>
      <c r="P97" s="157"/>
      <c r="Q97" s="157"/>
      <c r="R97" s="157"/>
      <c r="S97" s="157"/>
      <c r="T97" s="157"/>
      <c r="U97" s="157"/>
      <c r="V97" s="157"/>
      <c r="W97" s="153"/>
    </row>
    <row r="98" spans="1:23" s="14" customFormat="1" x14ac:dyDescent="0.25">
      <c r="A98" s="80"/>
      <c r="B98" s="11"/>
      <c r="C98" s="153"/>
      <c r="D98" s="153"/>
      <c r="E98" s="153"/>
      <c r="F98" s="153"/>
      <c r="G98" s="153"/>
      <c r="H98" s="153"/>
      <c r="I98" s="157"/>
      <c r="J98" s="157"/>
      <c r="K98" s="157"/>
      <c r="L98" s="157"/>
      <c r="M98" s="157"/>
      <c r="N98" s="221"/>
      <c r="O98" s="157"/>
      <c r="P98" s="157"/>
      <c r="Q98" s="157"/>
      <c r="R98" s="157"/>
      <c r="S98" s="157"/>
      <c r="T98" s="157"/>
      <c r="U98" s="157"/>
      <c r="V98" s="157"/>
      <c r="W98" s="153"/>
    </row>
    <row r="99" spans="1:23" s="14" customFormat="1" x14ac:dyDescent="0.25">
      <c r="A99" s="80"/>
      <c r="B99" s="11"/>
      <c r="C99" s="153"/>
      <c r="D99" s="153"/>
      <c r="E99" s="153"/>
      <c r="F99" s="153"/>
      <c r="G99" s="153"/>
      <c r="H99" s="153"/>
      <c r="I99" s="157"/>
      <c r="J99" s="157"/>
      <c r="K99" s="157"/>
      <c r="L99" s="157"/>
      <c r="M99" s="157"/>
      <c r="N99" s="221"/>
      <c r="O99" s="157"/>
      <c r="P99" s="157"/>
      <c r="Q99" s="157"/>
      <c r="R99" s="157"/>
      <c r="S99" s="157"/>
      <c r="T99" s="157"/>
      <c r="U99" s="157"/>
      <c r="V99" s="157"/>
      <c r="W99" s="153"/>
    </row>
    <row r="100" spans="1:23" s="14" customFormat="1" x14ac:dyDescent="0.25">
      <c r="A100" s="80"/>
      <c r="B100" s="11"/>
      <c r="C100" s="153"/>
      <c r="D100" s="153"/>
      <c r="E100" s="153"/>
      <c r="F100" s="153"/>
      <c r="G100" s="153"/>
      <c r="H100" s="153"/>
      <c r="I100" s="157"/>
      <c r="J100" s="157"/>
      <c r="K100" s="157"/>
      <c r="L100" s="157"/>
      <c r="M100" s="157"/>
      <c r="N100" s="221"/>
      <c r="O100" s="157"/>
      <c r="P100" s="157"/>
      <c r="Q100" s="157"/>
      <c r="R100" s="157"/>
      <c r="S100" s="157"/>
      <c r="T100" s="157"/>
      <c r="U100" s="157"/>
      <c r="V100" s="157"/>
      <c r="W100" s="153"/>
    </row>
    <row r="101" spans="1:23" s="14" customFormat="1" x14ac:dyDescent="0.25">
      <c r="A101" s="80"/>
      <c r="B101" s="11"/>
      <c r="C101" s="153"/>
      <c r="D101" s="153"/>
      <c r="E101" s="153"/>
      <c r="F101" s="153"/>
      <c r="G101" s="153"/>
      <c r="H101" s="153"/>
      <c r="I101" s="157"/>
      <c r="J101" s="157"/>
      <c r="K101" s="157"/>
      <c r="L101" s="157"/>
      <c r="M101" s="157"/>
      <c r="N101" s="221"/>
      <c r="O101" s="157"/>
      <c r="P101" s="157"/>
      <c r="Q101" s="157"/>
      <c r="R101" s="157"/>
      <c r="S101" s="157"/>
      <c r="T101" s="157"/>
      <c r="U101" s="157"/>
      <c r="V101" s="157"/>
      <c r="W101" s="153"/>
    </row>
    <row r="102" spans="1:23" s="14" customFormat="1" x14ac:dyDescent="0.25">
      <c r="A102" s="80"/>
      <c r="B102" s="11"/>
      <c r="C102" s="153"/>
      <c r="D102" s="153"/>
      <c r="E102" s="153"/>
      <c r="F102" s="153"/>
      <c r="G102" s="153"/>
      <c r="H102" s="153"/>
      <c r="I102" s="157"/>
      <c r="J102" s="157"/>
      <c r="K102" s="157"/>
      <c r="L102" s="157"/>
      <c r="M102" s="157"/>
      <c r="N102" s="221"/>
      <c r="O102" s="157"/>
      <c r="P102" s="157"/>
      <c r="Q102" s="157"/>
      <c r="R102" s="157"/>
      <c r="S102" s="157"/>
      <c r="T102" s="157"/>
      <c r="U102" s="157"/>
      <c r="V102" s="157"/>
      <c r="W102" s="153"/>
    </row>
    <row r="103" spans="1:23" s="14" customFormat="1" x14ac:dyDescent="0.25">
      <c r="A103" s="80"/>
      <c r="B103" s="11"/>
      <c r="C103" s="153"/>
      <c r="D103" s="153"/>
      <c r="E103" s="153"/>
      <c r="F103" s="153"/>
      <c r="G103" s="153"/>
      <c r="H103" s="153"/>
      <c r="I103" s="157"/>
      <c r="J103" s="157"/>
      <c r="K103" s="157"/>
      <c r="L103" s="157"/>
      <c r="M103" s="157"/>
      <c r="N103" s="221"/>
      <c r="O103" s="157"/>
      <c r="P103" s="157"/>
      <c r="Q103" s="157"/>
      <c r="R103" s="157"/>
      <c r="S103" s="157"/>
      <c r="T103" s="157"/>
      <c r="U103" s="157"/>
      <c r="V103" s="157"/>
      <c r="W103" s="153"/>
    </row>
    <row r="104" spans="1:23" s="14" customFormat="1" x14ac:dyDescent="0.25">
      <c r="A104" s="80"/>
      <c r="B104" s="11"/>
      <c r="C104" s="153"/>
      <c r="D104" s="153"/>
      <c r="E104" s="153"/>
      <c r="F104" s="153"/>
      <c r="G104" s="153"/>
      <c r="H104" s="153"/>
      <c r="I104" s="157"/>
      <c r="J104" s="157"/>
      <c r="K104" s="157"/>
      <c r="L104" s="157"/>
      <c r="M104" s="157"/>
      <c r="N104" s="221"/>
      <c r="O104" s="157"/>
      <c r="P104" s="157"/>
      <c r="Q104" s="157"/>
      <c r="R104" s="157"/>
      <c r="S104" s="157"/>
      <c r="T104" s="157"/>
      <c r="U104" s="157"/>
      <c r="V104" s="157"/>
      <c r="W104" s="153"/>
    </row>
    <row r="105" spans="1:23" s="14" customFormat="1" x14ac:dyDescent="0.25">
      <c r="A105" s="80"/>
      <c r="B105" s="11"/>
      <c r="C105" s="153"/>
      <c r="D105" s="153"/>
      <c r="E105" s="153"/>
      <c r="F105" s="153"/>
      <c r="G105" s="153"/>
      <c r="H105" s="153"/>
      <c r="I105" s="157"/>
      <c r="J105" s="157"/>
      <c r="K105" s="157"/>
      <c r="L105" s="157"/>
      <c r="M105" s="157"/>
      <c r="N105" s="221"/>
      <c r="O105" s="157"/>
      <c r="P105" s="157"/>
      <c r="Q105" s="157"/>
      <c r="R105" s="157"/>
      <c r="S105" s="157"/>
      <c r="T105" s="157"/>
      <c r="U105" s="157"/>
      <c r="V105" s="157"/>
      <c r="W105" s="153"/>
    </row>
    <row r="106" spans="1:23" s="14" customFormat="1" x14ac:dyDescent="0.25">
      <c r="A106" s="80"/>
      <c r="B106" s="11"/>
      <c r="C106" s="153"/>
      <c r="D106" s="153"/>
      <c r="E106" s="153"/>
      <c r="F106" s="153"/>
      <c r="G106" s="153"/>
      <c r="H106" s="153"/>
      <c r="I106" s="157"/>
      <c r="J106" s="157"/>
      <c r="K106" s="157"/>
      <c r="L106" s="157"/>
      <c r="M106" s="157"/>
      <c r="N106" s="221"/>
      <c r="O106" s="157"/>
      <c r="P106" s="157"/>
      <c r="Q106" s="157"/>
      <c r="R106" s="157"/>
      <c r="S106" s="157"/>
      <c r="T106" s="157"/>
      <c r="U106" s="157"/>
      <c r="V106" s="157"/>
      <c r="W106" s="153"/>
    </row>
    <row r="107" spans="1:23" s="14" customFormat="1" x14ac:dyDescent="0.25">
      <c r="A107" s="80"/>
      <c r="B107" s="11"/>
      <c r="C107" s="153"/>
      <c r="D107" s="153"/>
      <c r="E107" s="153"/>
      <c r="F107" s="153"/>
      <c r="G107" s="153"/>
      <c r="H107" s="153"/>
      <c r="I107" s="157"/>
      <c r="J107" s="157"/>
      <c r="K107" s="157"/>
      <c r="L107" s="157"/>
      <c r="M107" s="157"/>
      <c r="N107" s="221"/>
      <c r="O107" s="157"/>
      <c r="P107" s="157"/>
      <c r="Q107" s="157"/>
      <c r="R107" s="157"/>
      <c r="S107" s="157"/>
      <c r="T107" s="157"/>
      <c r="U107" s="157"/>
      <c r="V107" s="157"/>
      <c r="W107" s="153"/>
    </row>
    <row r="108" spans="1:23" s="14" customFormat="1" x14ac:dyDescent="0.25">
      <c r="A108" s="80"/>
      <c r="B108" s="11"/>
      <c r="C108" s="153"/>
      <c r="D108" s="153"/>
      <c r="E108" s="153"/>
      <c r="F108" s="153"/>
      <c r="G108" s="153"/>
      <c r="H108" s="153"/>
      <c r="I108" s="157"/>
      <c r="J108" s="157"/>
      <c r="K108" s="157"/>
      <c r="L108" s="157"/>
      <c r="M108" s="157"/>
      <c r="N108" s="221"/>
      <c r="O108" s="157"/>
      <c r="P108" s="157"/>
      <c r="Q108" s="157"/>
      <c r="R108" s="157"/>
      <c r="S108" s="157"/>
      <c r="T108" s="157"/>
      <c r="U108" s="157"/>
      <c r="V108" s="157"/>
      <c r="W108" s="153"/>
    </row>
    <row r="109" spans="1:23" s="14" customFormat="1" x14ac:dyDescent="0.25">
      <c r="A109" s="80"/>
      <c r="B109" s="11"/>
      <c r="C109" s="153"/>
      <c r="D109" s="153"/>
      <c r="E109" s="153"/>
      <c r="F109" s="153"/>
      <c r="G109" s="153"/>
      <c r="H109" s="153"/>
      <c r="I109" s="157"/>
      <c r="J109" s="157"/>
      <c r="K109" s="157"/>
      <c r="L109" s="157"/>
      <c r="M109" s="157"/>
      <c r="N109" s="221"/>
      <c r="O109" s="157"/>
      <c r="P109" s="157"/>
      <c r="Q109" s="157"/>
      <c r="R109" s="157"/>
      <c r="S109" s="157"/>
      <c r="T109" s="157"/>
      <c r="U109" s="157"/>
      <c r="V109" s="157"/>
      <c r="W109" s="153"/>
    </row>
    <row r="110" spans="1:23" s="14" customFormat="1" x14ac:dyDescent="0.25">
      <c r="A110" s="80"/>
      <c r="B110" s="11"/>
      <c r="C110" s="153"/>
      <c r="D110" s="153"/>
      <c r="E110" s="153"/>
      <c r="F110" s="153"/>
      <c r="G110" s="153"/>
      <c r="H110" s="153"/>
      <c r="I110" s="157"/>
      <c r="J110" s="157"/>
      <c r="K110" s="157"/>
      <c r="L110" s="157"/>
      <c r="M110" s="157"/>
      <c r="N110" s="221"/>
      <c r="O110" s="157"/>
      <c r="P110" s="157"/>
      <c r="Q110" s="157"/>
      <c r="R110" s="157"/>
      <c r="S110" s="157"/>
      <c r="T110" s="157"/>
      <c r="U110" s="157"/>
      <c r="V110" s="157"/>
      <c r="W110" s="153"/>
    </row>
    <row r="111" spans="1:23" s="14" customFormat="1" x14ac:dyDescent="0.25">
      <c r="A111" s="80"/>
      <c r="B111" s="11"/>
      <c r="C111" s="153"/>
      <c r="D111" s="153"/>
      <c r="E111" s="153"/>
      <c r="F111" s="153"/>
      <c r="G111" s="153"/>
      <c r="H111" s="153"/>
      <c r="I111" s="157"/>
      <c r="J111" s="157"/>
      <c r="K111" s="157"/>
      <c r="L111" s="157"/>
      <c r="M111" s="157"/>
      <c r="N111" s="221"/>
      <c r="O111" s="157"/>
      <c r="P111" s="157"/>
      <c r="Q111" s="157"/>
      <c r="R111" s="157"/>
      <c r="S111" s="157"/>
      <c r="T111" s="157"/>
      <c r="U111" s="157"/>
      <c r="V111" s="157"/>
      <c r="W111" s="153"/>
    </row>
    <row r="112" spans="1:23" s="14" customFormat="1" x14ac:dyDescent="0.25">
      <c r="A112" s="80"/>
      <c r="B112" s="11"/>
      <c r="C112" s="153"/>
      <c r="D112" s="153"/>
      <c r="E112" s="153"/>
      <c r="F112" s="153"/>
      <c r="G112" s="153"/>
      <c r="H112" s="153"/>
      <c r="I112" s="157"/>
      <c r="J112" s="157"/>
      <c r="K112" s="157"/>
      <c r="L112" s="157"/>
      <c r="M112" s="157"/>
      <c r="N112" s="221"/>
      <c r="O112" s="157"/>
      <c r="P112" s="157"/>
      <c r="Q112" s="157"/>
      <c r="R112" s="157"/>
      <c r="S112" s="157"/>
      <c r="T112" s="157"/>
      <c r="U112" s="157"/>
      <c r="V112" s="157"/>
      <c r="W112" s="153"/>
    </row>
    <row r="113" spans="1:23" s="14" customFormat="1" x14ac:dyDescent="0.25">
      <c r="A113" s="80"/>
      <c r="B113" s="11"/>
      <c r="C113" s="153"/>
      <c r="D113" s="153"/>
      <c r="E113" s="153"/>
      <c r="F113" s="153"/>
      <c r="G113" s="153"/>
      <c r="H113" s="153"/>
      <c r="I113" s="157"/>
      <c r="J113" s="157"/>
      <c r="K113" s="157"/>
      <c r="L113" s="157"/>
      <c r="M113" s="157"/>
      <c r="N113" s="221"/>
      <c r="O113" s="157"/>
      <c r="P113" s="157"/>
      <c r="Q113" s="157"/>
      <c r="R113" s="157"/>
      <c r="S113" s="157"/>
      <c r="T113" s="157"/>
      <c r="U113" s="157"/>
      <c r="V113" s="157"/>
      <c r="W113" s="153"/>
    </row>
    <row r="114" spans="1:23" s="14" customFormat="1" x14ac:dyDescent="0.25">
      <c r="A114" s="80"/>
      <c r="B114" s="11"/>
      <c r="C114" s="153"/>
      <c r="D114" s="153"/>
      <c r="E114" s="153"/>
      <c r="F114" s="153"/>
      <c r="G114" s="153"/>
      <c r="H114" s="153"/>
      <c r="I114" s="157"/>
      <c r="J114" s="157"/>
      <c r="K114" s="157"/>
      <c r="L114" s="157"/>
      <c r="M114" s="157"/>
      <c r="N114" s="221"/>
      <c r="O114" s="157"/>
      <c r="P114" s="157"/>
      <c r="Q114" s="157"/>
      <c r="R114" s="157"/>
      <c r="S114" s="157"/>
      <c r="T114" s="157"/>
      <c r="U114" s="157"/>
      <c r="V114" s="157"/>
      <c r="W114" s="153"/>
    </row>
    <row r="115" spans="1:23" s="14" customFormat="1" x14ac:dyDescent="0.25">
      <c r="A115" s="80"/>
      <c r="B115" s="11"/>
      <c r="C115" s="153"/>
      <c r="D115" s="153"/>
      <c r="E115" s="153"/>
      <c r="F115" s="153"/>
      <c r="G115" s="153"/>
      <c r="H115" s="153"/>
      <c r="I115" s="157"/>
      <c r="J115" s="157"/>
      <c r="K115" s="157"/>
      <c r="L115" s="157"/>
      <c r="M115" s="157"/>
      <c r="N115" s="221"/>
      <c r="O115" s="157"/>
      <c r="P115" s="157"/>
      <c r="Q115" s="157"/>
      <c r="R115" s="157"/>
      <c r="S115" s="157"/>
      <c r="T115" s="157"/>
      <c r="U115" s="157"/>
      <c r="V115" s="157"/>
      <c r="W115" s="153"/>
    </row>
    <row r="116" spans="1:23" s="14" customFormat="1" x14ac:dyDescent="0.25">
      <c r="A116" s="80"/>
      <c r="B116" s="11"/>
      <c r="C116" s="153"/>
      <c r="D116" s="153"/>
      <c r="E116" s="153"/>
      <c r="F116" s="153"/>
      <c r="G116" s="153"/>
      <c r="H116" s="153"/>
      <c r="I116" s="157"/>
      <c r="J116" s="157"/>
      <c r="K116" s="157"/>
      <c r="L116" s="157"/>
      <c r="M116" s="157"/>
      <c r="N116" s="221"/>
      <c r="O116" s="157"/>
      <c r="P116" s="157"/>
      <c r="Q116" s="157"/>
      <c r="R116" s="157"/>
      <c r="S116" s="157"/>
      <c r="T116" s="157"/>
      <c r="U116" s="157"/>
      <c r="V116" s="157"/>
      <c r="W116" s="153"/>
    </row>
    <row r="117" spans="1:23" s="14" customFormat="1" x14ac:dyDescent="0.25">
      <c r="A117" s="80"/>
      <c r="B117" s="11"/>
      <c r="C117" s="153"/>
      <c r="D117" s="153"/>
      <c r="E117" s="153"/>
      <c r="F117" s="153"/>
      <c r="G117" s="153"/>
      <c r="H117" s="153"/>
      <c r="I117" s="157"/>
      <c r="J117" s="157"/>
      <c r="K117" s="157"/>
      <c r="L117" s="157"/>
      <c r="M117" s="157"/>
      <c r="N117" s="221"/>
      <c r="O117" s="157"/>
      <c r="P117" s="157"/>
      <c r="Q117" s="157"/>
      <c r="R117" s="157"/>
      <c r="S117" s="157"/>
      <c r="T117" s="157"/>
      <c r="U117" s="157"/>
      <c r="V117" s="157"/>
      <c r="W117" s="153"/>
    </row>
    <row r="118" spans="1:23" s="14" customFormat="1" x14ac:dyDescent="0.25">
      <c r="A118" s="80"/>
      <c r="B118" s="11"/>
      <c r="C118" s="153"/>
      <c r="D118" s="153"/>
      <c r="E118" s="153"/>
      <c r="F118" s="153"/>
      <c r="G118" s="153"/>
      <c r="H118" s="153"/>
      <c r="I118" s="157"/>
      <c r="J118" s="157"/>
      <c r="K118" s="157"/>
      <c r="L118" s="157"/>
      <c r="M118" s="157"/>
      <c r="N118" s="221"/>
      <c r="O118" s="157"/>
      <c r="P118" s="157"/>
      <c r="Q118" s="157"/>
      <c r="R118" s="157"/>
      <c r="S118" s="157"/>
      <c r="T118" s="157"/>
      <c r="U118" s="157"/>
      <c r="V118" s="157"/>
      <c r="W118" s="153"/>
    </row>
    <row r="119" spans="1:23" s="14" customFormat="1" x14ac:dyDescent="0.25">
      <c r="A119" s="80"/>
      <c r="B119" s="11"/>
      <c r="C119" s="153"/>
      <c r="D119" s="153"/>
      <c r="E119" s="153"/>
      <c r="F119" s="153"/>
      <c r="G119" s="153"/>
      <c r="H119" s="153"/>
      <c r="I119" s="157"/>
      <c r="J119" s="157"/>
      <c r="K119" s="157"/>
      <c r="L119" s="157"/>
      <c r="M119" s="157"/>
      <c r="N119" s="221"/>
      <c r="O119" s="157"/>
      <c r="P119" s="157"/>
      <c r="Q119" s="157"/>
      <c r="R119" s="157"/>
      <c r="S119" s="157"/>
      <c r="T119" s="157"/>
      <c r="U119" s="157"/>
      <c r="V119" s="157"/>
      <c r="W119" s="153"/>
    </row>
    <row r="120" spans="1:23" s="14" customFormat="1" x14ac:dyDescent="0.25">
      <c r="A120" s="80"/>
      <c r="B120" s="11"/>
      <c r="C120" s="153"/>
      <c r="D120" s="153"/>
      <c r="E120" s="153"/>
      <c r="F120" s="153"/>
      <c r="G120" s="153"/>
      <c r="H120" s="153"/>
      <c r="I120" s="157"/>
      <c r="J120" s="157"/>
      <c r="K120" s="157"/>
      <c r="L120" s="157"/>
      <c r="M120" s="157"/>
      <c r="N120" s="221"/>
      <c r="O120" s="157"/>
      <c r="P120" s="157"/>
      <c r="Q120" s="157"/>
      <c r="R120" s="157"/>
      <c r="S120" s="157"/>
      <c r="T120" s="157"/>
      <c r="U120" s="157"/>
      <c r="V120" s="157"/>
      <c r="W120" s="153"/>
    </row>
    <row r="121" spans="1:23" s="14" customFormat="1" x14ac:dyDescent="0.25">
      <c r="A121" s="80"/>
      <c r="B121" s="11"/>
      <c r="C121" s="153"/>
      <c r="D121" s="153"/>
      <c r="E121" s="153"/>
      <c r="F121" s="153"/>
      <c r="G121" s="153"/>
      <c r="H121" s="153"/>
      <c r="I121" s="157"/>
      <c r="J121" s="157"/>
      <c r="K121" s="157"/>
      <c r="L121" s="157"/>
      <c r="M121" s="157"/>
      <c r="N121" s="221"/>
      <c r="O121" s="157"/>
      <c r="P121" s="157"/>
      <c r="Q121" s="157"/>
      <c r="R121" s="157"/>
      <c r="S121" s="157"/>
      <c r="T121" s="157"/>
      <c r="U121" s="157"/>
      <c r="V121" s="157"/>
      <c r="W121" s="153"/>
    </row>
    <row r="122" spans="1:23" s="14" customFormat="1" x14ac:dyDescent="0.25">
      <c r="A122" s="80"/>
      <c r="B122" s="11"/>
      <c r="C122" s="153"/>
      <c r="D122" s="153"/>
      <c r="E122" s="153"/>
      <c r="F122" s="153"/>
      <c r="G122" s="153"/>
      <c r="H122" s="153"/>
      <c r="I122" s="157"/>
      <c r="J122" s="157"/>
      <c r="K122" s="157"/>
      <c r="L122" s="157"/>
      <c r="M122" s="157"/>
      <c r="N122" s="221"/>
      <c r="O122" s="157"/>
      <c r="P122" s="157"/>
      <c r="Q122" s="157"/>
      <c r="R122" s="157"/>
      <c r="S122" s="157"/>
      <c r="T122" s="157"/>
      <c r="U122" s="157"/>
      <c r="V122" s="157"/>
      <c r="W122" s="153"/>
    </row>
    <row r="123" spans="1:23" s="14" customFormat="1" x14ac:dyDescent="0.25">
      <c r="A123" s="80"/>
      <c r="B123" s="11"/>
      <c r="C123" s="153"/>
      <c r="D123" s="153"/>
      <c r="E123" s="153"/>
      <c r="F123" s="153"/>
      <c r="G123" s="153"/>
      <c r="H123" s="153"/>
      <c r="I123" s="157"/>
      <c r="J123" s="157"/>
      <c r="K123" s="157"/>
      <c r="L123" s="157"/>
      <c r="M123" s="157"/>
      <c r="N123" s="221"/>
      <c r="O123" s="157"/>
      <c r="P123" s="157"/>
      <c r="Q123" s="157"/>
      <c r="R123" s="157"/>
      <c r="S123" s="157"/>
      <c r="T123" s="157"/>
      <c r="U123" s="157"/>
      <c r="V123" s="157"/>
      <c r="W123" s="153"/>
    </row>
    <row r="124" spans="1:23" s="14" customFormat="1" x14ac:dyDescent="0.25">
      <c r="A124" s="80"/>
      <c r="B124" s="11"/>
      <c r="C124" s="153"/>
      <c r="D124" s="153"/>
      <c r="E124" s="153"/>
      <c r="F124" s="153"/>
      <c r="G124" s="153"/>
      <c r="H124" s="153"/>
      <c r="I124" s="157"/>
      <c r="J124" s="157"/>
      <c r="K124" s="157"/>
      <c r="L124" s="157"/>
      <c r="M124" s="157"/>
      <c r="N124" s="221"/>
      <c r="O124" s="157"/>
      <c r="P124" s="157"/>
      <c r="Q124" s="157"/>
      <c r="R124" s="157"/>
      <c r="S124" s="157"/>
      <c r="T124" s="157"/>
      <c r="U124" s="157"/>
      <c r="V124" s="157"/>
      <c r="W124" s="153"/>
    </row>
    <row r="125" spans="1:23" s="14" customFormat="1" x14ac:dyDescent="0.25">
      <c r="A125" s="80"/>
      <c r="B125" s="11"/>
      <c r="C125" s="153"/>
      <c r="D125" s="153"/>
      <c r="E125" s="153"/>
      <c r="F125" s="153"/>
      <c r="G125" s="153"/>
      <c r="H125" s="153"/>
      <c r="I125" s="157"/>
      <c r="J125" s="157"/>
      <c r="K125" s="157"/>
      <c r="L125" s="157"/>
      <c r="M125" s="157"/>
      <c r="N125" s="221"/>
      <c r="O125" s="157"/>
      <c r="P125" s="157"/>
      <c r="Q125" s="157"/>
      <c r="R125" s="157"/>
      <c r="S125" s="157"/>
      <c r="T125" s="157"/>
      <c r="U125" s="157"/>
      <c r="V125" s="157"/>
      <c r="W125" s="153"/>
    </row>
    <row r="126" spans="1:23" s="14" customFormat="1" x14ac:dyDescent="0.25">
      <c r="A126" s="80"/>
      <c r="B126" s="11"/>
      <c r="C126" s="153"/>
      <c r="D126" s="153"/>
      <c r="E126" s="153"/>
      <c r="F126" s="153"/>
      <c r="G126" s="153"/>
      <c r="H126" s="153"/>
      <c r="I126" s="157"/>
      <c r="J126" s="157"/>
      <c r="K126" s="157"/>
      <c r="L126" s="157"/>
      <c r="M126" s="157"/>
      <c r="N126" s="221"/>
      <c r="O126" s="157"/>
      <c r="P126" s="157"/>
      <c r="Q126" s="157"/>
      <c r="R126" s="157"/>
      <c r="S126" s="157"/>
      <c r="T126" s="157"/>
      <c r="U126" s="157"/>
      <c r="V126" s="157"/>
      <c r="W126" s="153"/>
    </row>
    <row r="127" spans="1:23" s="14" customFormat="1" x14ac:dyDescent="0.25">
      <c r="A127" s="80"/>
      <c r="B127" s="11"/>
      <c r="C127" s="153"/>
      <c r="D127" s="153"/>
      <c r="E127" s="153"/>
      <c r="F127" s="153"/>
      <c r="G127" s="153"/>
      <c r="H127" s="153"/>
      <c r="I127" s="157"/>
      <c r="J127" s="157"/>
      <c r="K127" s="157"/>
      <c r="L127" s="157"/>
      <c r="M127" s="157"/>
      <c r="N127" s="221"/>
      <c r="O127" s="157"/>
      <c r="P127" s="157"/>
      <c r="Q127" s="157"/>
      <c r="R127" s="157"/>
      <c r="S127" s="157"/>
      <c r="T127" s="157"/>
      <c r="U127" s="157"/>
      <c r="V127" s="157"/>
      <c r="W127" s="153"/>
    </row>
    <row r="128" spans="1:23" s="14" customFormat="1" x14ac:dyDescent="0.25">
      <c r="A128" s="80"/>
      <c r="B128" s="11"/>
      <c r="C128" s="153"/>
      <c r="D128" s="153"/>
      <c r="E128" s="153"/>
      <c r="F128" s="153"/>
      <c r="G128" s="153"/>
      <c r="H128" s="153"/>
      <c r="I128" s="157"/>
      <c r="J128" s="157"/>
      <c r="K128" s="157"/>
      <c r="L128" s="157"/>
      <c r="M128" s="157"/>
      <c r="N128" s="221"/>
      <c r="O128" s="157"/>
      <c r="P128" s="157"/>
      <c r="Q128" s="157"/>
      <c r="R128" s="157"/>
      <c r="S128" s="157"/>
      <c r="T128" s="157"/>
      <c r="U128" s="157"/>
      <c r="V128" s="157"/>
      <c r="W128" s="153"/>
    </row>
    <row r="129" spans="1:23" s="14" customFormat="1" x14ac:dyDescent="0.25">
      <c r="A129" s="80"/>
      <c r="B129" s="11"/>
      <c r="C129" s="153"/>
      <c r="D129" s="153"/>
      <c r="E129" s="153"/>
      <c r="F129" s="153"/>
      <c r="G129" s="153"/>
      <c r="H129" s="153"/>
      <c r="I129" s="157"/>
      <c r="J129" s="157"/>
      <c r="K129" s="157"/>
      <c r="L129" s="157"/>
      <c r="M129" s="157"/>
      <c r="N129" s="221"/>
      <c r="O129" s="157"/>
      <c r="P129" s="157"/>
      <c r="Q129" s="157"/>
      <c r="R129" s="157"/>
      <c r="S129" s="157"/>
      <c r="T129" s="157"/>
      <c r="U129" s="157"/>
      <c r="V129" s="157"/>
      <c r="W129" s="153"/>
    </row>
    <row r="130" spans="1:23" s="14" customFormat="1" x14ac:dyDescent="0.25">
      <c r="A130" s="80"/>
      <c r="B130" s="11"/>
      <c r="C130" s="153"/>
      <c r="D130" s="153"/>
      <c r="E130" s="153"/>
      <c r="F130" s="153"/>
      <c r="G130" s="153"/>
      <c r="H130" s="153"/>
      <c r="I130" s="157"/>
      <c r="J130" s="157"/>
      <c r="K130" s="157"/>
      <c r="L130" s="157"/>
      <c r="M130" s="157"/>
      <c r="N130" s="221"/>
      <c r="O130" s="157"/>
      <c r="P130" s="157"/>
      <c r="Q130" s="157"/>
      <c r="R130" s="157"/>
      <c r="S130" s="157"/>
      <c r="T130" s="157"/>
      <c r="U130" s="157"/>
      <c r="V130" s="157"/>
      <c r="W130" s="153"/>
    </row>
    <row r="131" spans="1:23" s="14" customFormat="1" x14ac:dyDescent="0.25">
      <c r="A131" s="80"/>
      <c r="B131" s="11"/>
      <c r="C131" s="153"/>
      <c r="D131" s="153"/>
      <c r="E131" s="153"/>
      <c r="F131" s="153"/>
      <c r="G131" s="153"/>
      <c r="H131" s="153"/>
      <c r="I131" s="157"/>
      <c r="J131" s="157"/>
      <c r="K131" s="157"/>
      <c r="L131" s="157"/>
      <c r="M131" s="157"/>
      <c r="N131" s="221"/>
      <c r="O131" s="157"/>
      <c r="P131" s="157"/>
      <c r="Q131" s="157"/>
      <c r="R131" s="157"/>
      <c r="S131" s="157"/>
      <c r="T131" s="157"/>
      <c r="U131" s="157"/>
      <c r="V131" s="157"/>
      <c r="W131" s="153"/>
    </row>
    <row r="132" spans="1:23" s="14" customFormat="1" x14ac:dyDescent="0.25">
      <c r="A132" s="80"/>
      <c r="B132" s="11"/>
      <c r="C132" s="153"/>
      <c r="D132" s="153"/>
      <c r="E132" s="153"/>
      <c r="F132" s="153"/>
      <c r="G132" s="153"/>
      <c r="H132" s="153"/>
      <c r="I132" s="157"/>
      <c r="J132" s="157"/>
      <c r="K132" s="157"/>
      <c r="L132" s="157"/>
      <c r="M132" s="157"/>
      <c r="N132" s="221"/>
      <c r="O132" s="157"/>
      <c r="P132" s="157"/>
      <c r="Q132" s="157"/>
      <c r="R132" s="157"/>
      <c r="S132" s="157"/>
      <c r="T132" s="157"/>
      <c r="U132" s="157"/>
      <c r="V132" s="157"/>
      <c r="W132" s="153"/>
    </row>
    <row r="133" spans="1:23" s="14" customFormat="1" x14ac:dyDescent="0.25">
      <c r="A133" s="80"/>
      <c r="B133" s="11"/>
      <c r="C133" s="153"/>
      <c r="D133" s="153"/>
      <c r="E133" s="153"/>
      <c r="F133" s="153"/>
      <c r="G133" s="153"/>
      <c r="H133" s="153"/>
      <c r="I133" s="157"/>
      <c r="J133" s="157"/>
      <c r="K133" s="157"/>
      <c r="L133" s="157"/>
      <c r="M133" s="157"/>
      <c r="N133" s="221"/>
      <c r="O133" s="157"/>
      <c r="P133" s="157"/>
      <c r="Q133" s="157"/>
      <c r="R133" s="157"/>
      <c r="S133" s="157"/>
      <c r="T133" s="157"/>
      <c r="U133" s="157"/>
      <c r="V133" s="157"/>
      <c r="W133" s="153"/>
    </row>
    <row r="134" spans="1:23" s="14" customFormat="1" x14ac:dyDescent="0.25">
      <c r="A134" s="80"/>
      <c r="B134" s="11"/>
      <c r="C134" s="153"/>
      <c r="D134" s="153"/>
      <c r="E134" s="153"/>
      <c r="F134" s="153"/>
      <c r="G134" s="153"/>
      <c r="H134" s="153"/>
      <c r="I134" s="157"/>
      <c r="J134" s="157"/>
      <c r="K134" s="157"/>
      <c r="L134" s="157"/>
      <c r="M134" s="157"/>
      <c r="N134" s="221"/>
      <c r="O134" s="157"/>
      <c r="P134" s="157"/>
      <c r="Q134" s="157"/>
      <c r="R134" s="157"/>
      <c r="S134" s="157"/>
      <c r="T134" s="157"/>
      <c r="U134" s="157"/>
      <c r="V134" s="157"/>
      <c r="W134" s="153"/>
    </row>
    <row r="135" spans="1:23" s="14" customFormat="1" x14ac:dyDescent="0.25">
      <c r="A135" s="80"/>
      <c r="B135" s="11"/>
      <c r="C135" s="153"/>
      <c r="D135" s="153"/>
      <c r="E135" s="153"/>
      <c r="F135" s="153"/>
      <c r="G135" s="153"/>
      <c r="H135" s="153"/>
      <c r="I135" s="157"/>
      <c r="J135" s="157"/>
      <c r="K135" s="157"/>
      <c r="L135" s="157"/>
      <c r="M135" s="157"/>
      <c r="N135" s="221"/>
      <c r="O135" s="157"/>
      <c r="P135" s="157"/>
      <c r="Q135" s="157"/>
      <c r="R135" s="157"/>
      <c r="S135" s="157"/>
      <c r="T135" s="157"/>
      <c r="U135" s="157"/>
      <c r="V135" s="157"/>
      <c r="W135" s="153"/>
    </row>
    <row r="136" spans="1:23" s="14" customFormat="1" x14ac:dyDescent="0.25">
      <c r="A136" s="80"/>
      <c r="B136" s="11"/>
      <c r="C136" s="153"/>
      <c r="D136" s="153"/>
      <c r="E136" s="153"/>
      <c r="F136" s="153"/>
      <c r="G136" s="153"/>
      <c r="H136" s="153"/>
      <c r="I136" s="157"/>
      <c r="J136" s="157"/>
      <c r="K136" s="157"/>
      <c r="L136" s="157"/>
      <c r="M136" s="157"/>
      <c r="N136" s="221"/>
      <c r="O136" s="157"/>
      <c r="P136" s="157"/>
      <c r="Q136" s="157"/>
      <c r="R136" s="157"/>
      <c r="S136" s="157"/>
      <c r="T136" s="157"/>
      <c r="U136" s="157"/>
      <c r="V136" s="157"/>
      <c r="W136" s="153"/>
    </row>
    <row r="137" spans="1:23" s="14" customFormat="1" x14ac:dyDescent="0.25">
      <c r="A137" s="80"/>
      <c r="B137" s="11"/>
      <c r="C137" s="153"/>
      <c r="D137" s="153"/>
      <c r="E137" s="153"/>
      <c r="F137" s="153"/>
      <c r="G137" s="153"/>
      <c r="H137" s="153"/>
      <c r="I137" s="157"/>
      <c r="J137" s="157"/>
      <c r="K137" s="157"/>
      <c r="L137" s="157"/>
      <c r="M137" s="157"/>
      <c r="N137" s="221"/>
      <c r="O137" s="157"/>
      <c r="P137" s="157"/>
      <c r="Q137" s="157"/>
      <c r="R137" s="157"/>
      <c r="S137" s="157"/>
      <c r="T137" s="157"/>
      <c r="U137" s="157"/>
      <c r="V137" s="157"/>
      <c r="W137" s="153"/>
    </row>
    <row r="138" spans="1:23" s="14" customFormat="1" x14ac:dyDescent="0.25">
      <c r="A138" s="80"/>
      <c r="B138" s="11"/>
      <c r="C138" s="153"/>
      <c r="D138" s="153"/>
      <c r="E138" s="153"/>
      <c r="F138" s="153"/>
      <c r="G138" s="153"/>
      <c r="H138" s="153"/>
      <c r="I138" s="157"/>
      <c r="J138" s="157"/>
      <c r="K138" s="157"/>
      <c r="L138" s="157"/>
      <c r="M138" s="157"/>
      <c r="N138" s="221"/>
      <c r="O138" s="157"/>
      <c r="P138" s="157"/>
      <c r="Q138" s="157"/>
      <c r="R138" s="157"/>
      <c r="S138" s="157"/>
      <c r="T138" s="157"/>
      <c r="U138" s="157"/>
      <c r="V138" s="157"/>
      <c r="W138" s="153"/>
    </row>
    <row r="139" spans="1:23" s="14" customFormat="1" x14ac:dyDescent="0.25">
      <c r="A139" s="80"/>
      <c r="B139" s="11"/>
      <c r="C139" s="153"/>
      <c r="D139" s="153"/>
      <c r="E139" s="153"/>
      <c r="F139" s="153"/>
      <c r="G139" s="153"/>
      <c r="H139" s="153"/>
      <c r="I139" s="157"/>
      <c r="J139" s="157"/>
      <c r="K139" s="157"/>
      <c r="L139" s="157"/>
      <c r="M139" s="157"/>
      <c r="N139" s="221"/>
      <c r="O139" s="157"/>
      <c r="P139" s="157"/>
      <c r="Q139" s="157"/>
      <c r="R139" s="157"/>
      <c r="S139" s="157"/>
      <c r="T139" s="157"/>
      <c r="U139" s="157"/>
      <c r="V139" s="157"/>
      <c r="W139" s="153"/>
    </row>
    <row r="140" spans="1:23" s="14" customFormat="1" x14ac:dyDescent="0.25">
      <c r="A140" s="80"/>
      <c r="B140" s="11"/>
      <c r="C140" s="153"/>
      <c r="D140" s="153"/>
      <c r="E140" s="153"/>
      <c r="F140" s="153"/>
      <c r="G140" s="153"/>
      <c r="H140" s="153"/>
      <c r="I140" s="157"/>
      <c r="J140" s="157"/>
      <c r="K140" s="157"/>
      <c r="L140" s="157"/>
      <c r="M140" s="157"/>
      <c r="N140" s="221"/>
      <c r="O140" s="157"/>
      <c r="P140" s="157"/>
      <c r="Q140" s="157"/>
      <c r="R140" s="157"/>
      <c r="S140" s="157"/>
      <c r="T140" s="157"/>
      <c r="U140" s="157"/>
      <c r="V140" s="157"/>
      <c r="W140" s="153"/>
    </row>
    <row r="141" spans="1:23" s="14" customFormat="1" x14ac:dyDescent="0.25">
      <c r="A141" s="80"/>
      <c r="B141" s="11"/>
      <c r="C141" s="153"/>
      <c r="D141" s="153"/>
      <c r="E141" s="153"/>
      <c r="F141" s="153"/>
      <c r="G141" s="153"/>
      <c r="H141" s="153"/>
      <c r="I141" s="157"/>
      <c r="J141" s="157"/>
      <c r="K141" s="157"/>
      <c r="L141" s="157"/>
      <c r="M141" s="157"/>
      <c r="N141" s="221"/>
      <c r="O141" s="157"/>
      <c r="P141" s="157"/>
      <c r="Q141" s="157"/>
      <c r="R141" s="157"/>
      <c r="S141" s="157"/>
      <c r="T141" s="157"/>
      <c r="U141" s="157"/>
      <c r="V141" s="157"/>
      <c r="W141" s="153"/>
    </row>
    <row r="142" spans="1:23" s="14" customFormat="1" x14ac:dyDescent="0.25">
      <c r="A142" s="80"/>
      <c r="B142" s="11"/>
      <c r="C142" s="153"/>
      <c r="D142" s="153"/>
      <c r="E142" s="153"/>
      <c r="F142" s="153"/>
      <c r="G142" s="153"/>
      <c r="H142" s="153"/>
      <c r="I142" s="157"/>
      <c r="J142" s="157"/>
      <c r="K142" s="157"/>
      <c r="L142" s="157"/>
      <c r="M142" s="157"/>
      <c r="N142" s="221"/>
      <c r="O142" s="157"/>
      <c r="P142" s="157"/>
      <c r="Q142" s="157"/>
      <c r="R142" s="157"/>
      <c r="S142" s="157"/>
      <c r="T142" s="157"/>
      <c r="U142" s="157"/>
      <c r="V142" s="157"/>
      <c r="W142" s="153"/>
    </row>
    <row r="143" spans="1:23" s="14" customFormat="1" x14ac:dyDescent="0.25">
      <c r="A143" s="80"/>
      <c r="B143" s="11"/>
      <c r="C143" s="153"/>
      <c r="D143" s="153"/>
      <c r="E143" s="153"/>
      <c r="F143" s="153"/>
      <c r="G143" s="153"/>
      <c r="H143" s="153"/>
      <c r="I143" s="157"/>
      <c r="J143" s="157"/>
      <c r="K143" s="157"/>
      <c r="L143" s="157"/>
      <c r="M143" s="157"/>
      <c r="N143" s="221"/>
      <c r="O143" s="157"/>
      <c r="P143" s="157"/>
      <c r="Q143" s="157"/>
      <c r="R143" s="157"/>
      <c r="S143" s="157"/>
      <c r="T143" s="157"/>
      <c r="U143" s="157"/>
      <c r="V143" s="157"/>
      <c r="W143" s="153"/>
    </row>
    <row r="144" spans="1:23" s="14" customFormat="1" x14ac:dyDescent="0.25">
      <c r="A144" s="80"/>
      <c r="B144" s="11"/>
      <c r="C144" s="153"/>
      <c r="D144" s="153"/>
      <c r="E144" s="153"/>
      <c r="F144" s="153"/>
      <c r="G144" s="153"/>
      <c r="H144" s="153"/>
      <c r="I144" s="157"/>
      <c r="J144" s="157"/>
      <c r="K144" s="157"/>
      <c r="L144" s="157"/>
      <c r="M144" s="157"/>
      <c r="N144" s="221"/>
      <c r="O144" s="157"/>
      <c r="P144" s="157"/>
      <c r="Q144" s="157"/>
      <c r="R144" s="157"/>
      <c r="S144" s="157"/>
      <c r="T144" s="157"/>
      <c r="U144" s="157"/>
      <c r="V144" s="157"/>
      <c r="W144" s="153"/>
    </row>
    <row r="145" spans="1:23" s="14" customFormat="1" x14ac:dyDescent="0.25">
      <c r="A145" s="80"/>
      <c r="B145" s="11"/>
      <c r="C145" s="153"/>
      <c r="D145" s="153"/>
      <c r="E145" s="153"/>
      <c r="F145" s="153"/>
      <c r="G145" s="153"/>
      <c r="H145" s="153"/>
      <c r="I145" s="157"/>
      <c r="J145" s="157"/>
      <c r="K145" s="157"/>
      <c r="L145" s="157"/>
      <c r="M145" s="157"/>
      <c r="N145" s="221"/>
      <c r="O145" s="157"/>
      <c r="P145" s="157"/>
      <c r="Q145" s="157"/>
      <c r="R145" s="157"/>
      <c r="S145" s="157"/>
      <c r="T145" s="157"/>
      <c r="U145" s="157"/>
      <c r="V145" s="157"/>
      <c r="W145" s="153"/>
    </row>
    <row r="146" spans="1:23" s="14" customFormat="1" x14ac:dyDescent="0.25">
      <c r="A146" s="80"/>
      <c r="B146" s="11"/>
      <c r="C146" s="153"/>
      <c r="D146" s="153"/>
      <c r="E146" s="153"/>
      <c r="F146" s="153"/>
      <c r="G146" s="153"/>
      <c r="H146" s="153"/>
      <c r="I146" s="157"/>
      <c r="J146" s="157"/>
      <c r="K146" s="157"/>
      <c r="L146" s="157"/>
      <c r="M146" s="157"/>
      <c r="N146" s="221"/>
      <c r="O146" s="157"/>
      <c r="P146" s="157"/>
      <c r="Q146" s="157"/>
      <c r="R146" s="157"/>
      <c r="S146" s="157"/>
      <c r="T146" s="157"/>
      <c r="U146" s="157"/>
      <c r="V146" s="157"/>
      <c r="W146" s="153"/>
    </row>
    <row r="147" spans="1:23" s="14" customFormat="1" x14ac:dyDescent="0.25">
      <c r="A147" s="80"/>
      <c r="B147" s="11"/>
      <c r="C147" s="153"/>
      <c r="D147" s="153"/>
      <c r="E147" s="153"/>
      <c r="F147" s="153"/>
      <c r="G147" s="153"/>
      <c r="H147" s="153"/>
      <c r="I147" s="157"/>
      <c r="J147" s="157"/>
      <c r="K147" s="157"/>
      <c r="L147" s="157"/>
      <c r="M147" s="157"/>
      <c r="N147" s="221"/>
      <c r="O147" s="157"/>
      <c r="P147" s="157"/>
      <c r="Q147" s="157"/>
      <c r="R147" s="157"/>
      <c r="S147" s="157"/>
      <c r="T147" s="157"/>
      <c r="U147" s="157"/>
      <c r="V147" s="157"/>
      <c r="W147" s="153"/>
    </row>
    <row r="148" spans="1:23" s="14" customFormat="1" x14ac:dyDescent="0.25">
      <c r="A148" s="80"/>
      <c r="B148" s="11"/>
      <c r="C148" s="153"/>
      <c r="D148" s="153"/>
      <c r="E148" s="153"/>
      <c r="F148" s="153"/>
      <c r="G148" s="153"/>
      <c r="H148" s="153"/>
      <c r="I148" s="157"/>
      <c r="J148" s="157"/>
      <c r="K148" s="157"/>
      <c r="L148" s="157"/>
      <c r="M148" s="157"/>
      <c r="N148" s="221"/>
      <c r="O148" s="157"/>
      <c r="P148" s="157"/>
      <c r="Q148" s="157"/>
      <c r="R148" s="157"/>
      <c r="S148" s="157"/>
      <c r="T148" s="157"/>
      <c r="U148" s="157"/>
      <c r="V148" s="157"/>
      <c r="W148" s="153"/>
    </row>
    <row r="149" spans="1:23" s="14" customFormat="1" x14ac:dyDescent="0.25">
      <c r="A149" s="80"/>
      <c r="B149" s="11"/>
      <c r="C149" s="153"/>
      <c r="D149" s="153"/>
      <c r="E149" s="153"/>
      <c r="F149" s="153"/>
      <c r="G149" s="153"/>
      <c r="H149" s="153"/>
      <c r="I149" s="157"/>
      <c r="J149" s="157"/>
      <c r="K149" s="157"/>
      <c r="L149" s="157"/>
      <c r="M149" s="157"/>
      <c r="N149" s="221"/>
      <c r="O149" s="157"/>
      <c r="P149" s="157"/>
      <c r="Q149" s="157"/>
      <c r="R149" s="157"/>
      <c r="S149" s="157"/>
      <c r="T149" s="157"/>
      <c r="U149" s="157"/>
      <c r="V149" s="157"/>
      <c r="W149" s="153"/>
    </row>
    <row r="150" spans="1:23" s="14" customFormat="1" x14ac:dyDescent="0.25">
      <c r="A150" s="80"/>
      <c r="B150" s="11"/>
      <c r="C150" s="153"/>
      <c r="D150" s="153"/>
      <c r="E150" s="153"/>
      <c r="F150" s="153"/>
      <c r="G150" s="153"/>
      <c r="H150" s="153"/>
      <c r="I150" s="157"/>
      <c r="J150" s="157"/>
      <c r="K150" s="157"/>
      <c r="L150" s="157"/>
      <c r="M150" s="157"/>
      <c r="N150" s="221"/>
      <c r="O150" s="157"/>
      <c r="P150" s="157"/>
      <c r="Q150" s="157"/>
      <c r="R150" s="157"/>
      <c r="S150" s="157"/>
      <c r="T150" s="157"/>
      <c r="U150" s="157"/>
      <c r="V150" s="157"/>
      <c r="W150" s="153"/>
    </row>
    <row r="151" spans="1:23" s="14" customFormat="1" x14ac:dyDescent="0.25">
      <c r="A151" s="80"/>
      <c r="B151" s="11"/>
      <c r="C151" s="153"/>
      <c r="D151" s="153"/>
      <c r="E151" s="153"/>
      <c r="F151" s="153"/>
      <c r="G151" s="153"/>
      <c r="H151" s="153"/>
      <c r="I151" s="157"/>
      <c r="J151" s="157"/>
      <c r="K151" s="157"/>
      <c r="L151" s="157"/>
      <c r="M151" s="157"/>
      <c r="N151" s="221"/>
      <c r="O151" s="157"/>
      <c r="P151" s="157"/>
      <c r="Q151" s="157"/>
      <c r="R151" s="157"/>
      <c r="S151" s="157"/>
      <c r="T151" s="157"/>
      <c r="U151" s="157"/>
      <c r="V151" s="157"/>
      <c r="W151" s="153"/>
    </row>
    <row r="152" spans="1:23" s="14" customFormat="1" x14ac:dyDescent="0.25">
      <c r="A152" s="80"/>
      <c r="B152" s="11"/>
      <c r="C152" s="153"/>
      <c r="D152" s="153"/>
      <c r="E152" s="153"/>
      <c r="F152" s="153"/>
      <c r="G152" s="153"/>
      <c r="H152" s="153"/>
      <c r="I152" s="157"/>
      <c r="J152" s="157"/>
      <c r="K152" s="157"/>
      <c r="L152" s="157"/>
      <c r="M152" s="157"/>
      <c r="N152" s="221"/>
      <c r="O152" s="157"/>
      <c r="P152" s="157"/>
      <c r="Q152" s="157"/>
      <c r="R152" s="157"/>
      <c r="S152" s="157"/>
      <c r="T152" s="157"/>
      <c r="U152" s="157"/>
      <c r="V152" s="157"/>
      <c r="W152" s="153"/>
    </row>
    <row r="153" spans="1:23" s="14" customFormat="1" x14ac:dyDescent="0.25">
      <c r="A153" s="80"/>
      <c r="B153" s="11"/>
      <c r="C153" s="153"/>
      <c r="D153" s="153"/>
      <c r="E153" s="153"/>
      <c r="F153" s="153"/>
      <c r="G153" s="153"/>
      <c r="H153" s="153"/>
      <c r="I153" s="157"/>
      <c r="J153" s="157"/>
      <c r="K153" s="157"/>
      <c r="L153" s="157"/>
      <c r="M153" s="157"/>
      <c r="N153" s="221"/>
      <c r="O153" s="157"/>
      <c r="P153" s="157"/>
      <c r="Q153" s="157"/>
      <c r="R153" s="157"/>
      <c r="S153" s="157"/>
      <c r="T153" s="157"/>
      <c r="U153" s="157"/>
      <c r="V153" s="157"/>
      <c r="W153" s="153"/>
    </row>
    <row r="154" spans="1:23" s="14" customFormat="1" x14ac:dyDescent="0.25">
      <c r="A154" s="80"/>
      <c r="B154" s="11"/>
      <c r="C154" s="153"/>
      <c r="D154" s="153"/>
      <c r="E154" s="153"/>
      <c r="F154" s="153"/>
      <c r="G154" s="153"/>
      <c r="H154" s="153"/>
      <c r="I154" s="157"/>
      <c r="J154" s="157"/>
      <c r="K154" s="157"/>
      <c r="L154" s="157"/>
      <c r="M154" s="157"/>
      <c r="N154" s="221"/>
      <c r="O154" s="157"/>
      <c r="P154" s="157"/>
      <c r="Q154" s="157"/>
      <c r="R154" s="157"/>
      <c r="S154" s="157"/>
      <c r="T154" s="157"/>
      <c r="U154" s="157"/>
      <c r="V154" s="157"/>
      <c r="W154" s="153"/>
    </row>
    <row r="155" spans="1:23" s="14" customFormat="1" x14ac:dyDescent="0.25">
      <c r="A155" s="80"/>
      <c r="B155" s="11"/>
      <c r="C155" s="153"/>
      <c r="D155" s="153"/>
      <c r="E155" s="153"/>
      <c r="F155" s="153"/>
      <c r="G155" s="153"/>
      <c r="H155" s="153"/>
      <c r="I155" s="157"/>
      <c r="J155" s="157"/>
      <c r="K155" s="157"/>
      <c r="L155" s="157"/>
      <c r="M155" s="157"/>
      <c r="N155" s="221"/>
      <c r="O155" s="157"/>
      <c r="P155" s="157"/>
      <c r="Q155" s="157"/>
      <c r="R155" s="157"/>
      <c r="S155" s="157"/>
      <c r="T155" s="157"/>
      <c r="U155" s="157"/>
      <c r="V155" s="157"/>
      <c r="W155" s="153"/>
    </row>
    <row r="156" spans="1:23" s="14" customFormat="1" x14ac:dyDescent="0.25">
      <c r="A156" s="80"/>
      <c r="B156" s="11"/>
      <c r="C156" s="153"/>
      <c r="D156" s="153"/>
      <c r="E156" s="153"/>
      <c r="F156" s="153"/>
      <c r="G156" s="153"/>
      <c r="H156" s="153"/>
      <c r="I156" s="157"/>
      <c r="J156" s="157"/>
      <c r="K156" s="157"/>
      <c r="L156" s="157"/>
      <c r="M156" s="157"/>
      <c r="N156" s="221"/>
      <c r="O156" s="157"/>
      <c r="P156" s="157"/>
      <c r="Q156" s="157"/>
      <c r="R156" s="157"/>
      <c r="S156" s="157"/>
      <c r="T156" s="157"/>
      <c r="U156" s="157"/>
      <c r="V156" s="157"/>
      <c r="W156" s="153"/>
    </row>
    <row r="157" spans="1:23" s="14" customFormat="1" x14ac:dyDescent="0.25">
      <c r="A157" s="80"/>
      <c r="B157" s="11"/>
      <c r="C157" s="153"/>
      <c r="D157" s="153"/>
      <c r="E157" s="153"/>
      <c r="F157" s="153"/>
      <c r="G157" s="153"/>
      <c r="H157" s="153"/>
      <c r="I157" s="157"/>
      <c r="J157" s="157"/>
      <c r="K157" s="157"/>
      <c r="L157" s="157"/>
      <c r="M157" s="157"/>
      <c r="N157" s="221"/>
      <c r="O157" s="157"/>
      <c r="P157" s="157"/>
      <c r="Q157" s="157"/>
      <c r="R157" s="157"/>
      <c r="S157" s="157"/>
      <c r="T157" s="157"/>
      <c r="U157" s="157"/>
      <c r="V157" s="157"/>
      <c r="W157" s="153"/>
    </row>
    <row r="158" spans="1:23" s="14" customFormat="1" x14ac:dyDescent="0.25">
      <c r="A158" s="80"/>
      <c r="B158" s="11"/>
      <c r="C158" s="153"/>
      <c r="D158" s="153"/>
      <c r="E158" s="153"/>
      <c r="F158" s="153"/>
      <c r="G158" s="153"/>
      <c r="H158" s="153"/>
      <c r="I158" s="157"/>
      <c r="J158" s="157"/>
      <c r="K158" s="157"/>
      <c r="L158" s="157"/>
      <c r="M158" s="157"/>
      <c r="N158" s="221"/>
      <c r="O158" s="157"/>
      <c r="P158" s="157"/>
      <c r="Q158" s="157"/>
      <c r="R158" s="157"/>
      <c r="S158" s="157"/>
      <c r="T158" s="157"/>
      <c r="U158" s="157"/>
      <c r="V158" s="157"/>
      <c r="W158" s="153"/>
    </row>
    <row r="159" spans="1:23" s="14" customFormat="1" x14ac:dyDescent="0.25">
      <c r="A159" s="80"/>
      <c r="B159" s="11"/>
      <c r="C159" s="153"/>
      <c r="D159" s="153"/>
      <c r="E159" s="153"/>
      <c r="F159" s="153"/>
      <c r="G159" s="153"/>
      <c r="H159" s="153"/>
      <c r="I159" s="157"/>
      <c r="J159" s="157"/>
      <c r="K159" s="157"/>
      <c r="L159" s="157"/>
      <c r="M159" s="157"/>
      <c r="N159" s="221"/>
      <c r="O159" s="157"/>
      <c r="P159" s="157"/>
      <c r="Q159" s="157"/>
      <c r="R159" s="157"/>
      <c r="S159" s="157"/>
      <c r="T159" s="157"/>
      <c r="U159" s="157"/>
      <c r="V159" s="157"/>
      <c r="W159" s="153"/>
    </row>
    <row r="160" spans="1:23" s="14" customFormat="1" x14ac:dyDescent="0.25">
      <c r="A160" s="80"/>
      <c r="B160" s="11"/>
      <c r="C160" s="153"/>
      <c r="D160" s="153"/>
      <c r="E160" s="153"/>
      <c r="F160" s="153"/>
      <c r="G160" s="153"/>
      <c r="H160" s="153"/>
      <c r="I160" s="157"/>
      <c r="J160" s="157"/>
      <c r="K160" s="157"/>
      <c r="L160" s="157"/>
      <c r="M160" s="157"/>
      <c r="N160" s="221"/>
      <c r="O160" s="157"/>
      <c r="P160" s="157"/>
      <c r="Q160" s="157"/>
      <c r="R160" s="157"/>
      <c r="S160" s="157"/>
      <c r="T160" s="157"/>
      <c r="U160" s="157"/>
      <c r="V160" s="157"/>
      <c r="W160" s="153"/>
    </row>
    <row r="161" spans="1:23" s="14" customFormat="1" x14ac:dyDescent="0.25">
      <c r="A161" s="80"/>
      <c r="B161" s="11"/>
      <c r="C161" s="153"/>
      <c r="D161" s="153"/>
      <c r="E161" s="153"/>
      <c r="F161" s="153"/>
      <c r="G161" s="153"/>
      <c r="H161" s="153"/>
      <c r="I161" s="157"/>
      <c r="J161" s="157"/>
      <c r="K161" s="157"/>
      <c r="L161" s="157"/>
      <c r="M161" s="157"/>
      <c r="N161" s="221"/>
      <c r="O161" s="157"/>
      <c r="P161" s="157"/>
      <c r="Q161" s="157"/>
      <c r="R161" s="157"/>
      <c r="S161" s="157"/>
      <c r="T161" s="157"/>
      <c r="U161" s="157"/>
      <c r="V161" s="157"/>
      <c r="W161" s="153"/>
    </row>
    <row r="162" spans="1:23" s="14" customFormat="1" x14ac:dyDescent="0.25">
      <c r="A162" s="80"/>
      <c r="B162" s="11"/>
      <c r="C162" s="153"/>
      <c r="D162" s="153"/>
      <c r="E162" s="153"/>
      <c r="F162" s="153"/>
      <c r="G162" s="153"/>
      <c r="H162" s="153"/>
      <c r="I162" s="157"/>
      <c r="J162" s="157"/>
      <c r="K162" s="157"/>
      <c r="L162" s="157"/>
      <c r="M162" s="157"/>
      <c r="N162" s="221"/>
      <c r="O162" s="157"/>
      <c r="P162" s="157"/>
      <c r="Q162" s="157"/>
      <c r="R162" s="157"/>
      <c r="S162" s="157"/>
      <c r="T162" s="157"/>
      <c r="U162" s="157"/>
      <c r="V162" s="157"/>
      <c r="W162" s="153"/>
    </row>
    <row r="163" spans="1:23" s="14" customFormat="1" x14ac:dyDescent="0.25">
      <c r="A163" s="80"/>
      <c r="B163" s="11"/>
      <c r="C163" s="153"/>
      <c r="D163" s="153"/>
      <c r="E163" s="153"/>
      <c r="F163" s="153"/>
      <c r="G163" s="153"/>
      <c r="H163" s="153"/>
      <c r="I163" s="157"/>
      <c r="J163" s="157"/>
      <c r="K163" s="157"/>
      <c r="L163" s="157"/>
      <c r="M163" s="157"/>
      <c r="N163" s="221"/>
      <c r="O163" s="157"/>
      <c r="P163" s="157"/>
      <c r="Q163" s="157"/>
      <c r="R163" s="157"/>
      <c r="S163" s="157"/>
      <c r="T163" s="157"/>
      <c r="U163" s="157"/>
      <c r="V163" s="157"/>
      <c r="W163" s="153"/>
    </row>
    <row r="164" spans="1:23" s="14" customFormat="1" x14ac:dyDescent="0.25">
      <c r="A164" s="80"/>
      <c r="B164" s="11"/>
      <c r="C164" s="153"/>
      <c r="D164" s="153"/>
      <c r="E164" s="153"/>
      <c r="F164" s="153"/>
      <c r="G164" s="153"/>
      <c r="H164" s="153"/>
      <c r="I164" s="157"/>
      <c r="J164" s="157"/>
      <c r="K164" s="157"/>
      <c r="L164" s="157"/>
      <c r="M164" s="157"/>
      <c r="N164" s="221"/>
      <c r="O164" s="157"/>
      <c r="P164" s="157"/>
      <c r="Q164" s="157"/>
      <c r="R164" s="157"/>
      <c r="S164" s="157"/>
      <c r="T164" s="157"/>
      <c r="U164" s="157"/>
      <c r="V164" s="157"/>
      <c r="W164" s="153"/>
    </row>
    <row r="165" spans="1:23" s="14" customFormat="1" x14ac:dyDescent="0.25">
      <c r="A165" s="80"/>
      <c r="B165" s="11"/>
      <c r="C165" s="153"/>
      <c r="D165" s="153"/>
      <c r="E165" s="153"/>
      <c r="F165" s="153"/>
      <c r="G165" s="153"/>
      <c r="H165" s="153"/>
      <c r="I165" s="157"/>
      <c r="J165" s="157"/>
      <c r="K165" s="157"/>
      <c r="L165" s="157"/>
      <c r="M165" s="157"/>
      <c r="N165" s="221"/>
      <c r="O165" s="157"/>
      <c r="P165" s="157"/>
      <c r="Q165" s="157"/>
      <c r="R165" s="157"/>
      <c r="S165" s="157"/>
      <c r="T165" s="157"/>
      <c r="U165" s="157"/>
      <c r="V165" s="157"/>
      <c r="W165" s="153"/>
    </row>
    <row r="166" spans="1:23" s="14" customFormat="1" x14ac:dyDescent="0.25">
      <c r="A166" s="80"/>
      <c r="B166" s="11"/>
      <c r="C166" s="153"/>
      <c r="D166" s="153"/>
      <c r="E166" s="153"/>
      <c r="F166" s="153"/>
      <c r="G166" s="153"/>
      <c r="H166" s="153"/>
      <c r="I166" s="157"/>
      <c r="J166" s="157"/>
      <c r="K166" s="157"/>
      <c r="L166" s="157"/>
      <c r="M166" s="157"/>
      <c r="N166" s="221"/>
      <c r="O166" s="157"/>
      <c r="P166" s="157"/>
      <c r="Q166" s="157"/>
      <c r="R166" s="157"/>
      <c r="S166" s="157"/>
      <c r="T166" s="157"/>
      <c r="U166" s="157"/>
      <c r="V166" s="157"/>
      <c r="W166" s="153"/>
    </row>
    <row r="167" spans="1:23" s="14" customFormat="1" x14ac:dyDescent="0.25">
      <c r="A167" s="80"/>
      <c r="B167" s="11"/>
      <c r="C167" s="153"/>
      <c r="D167" s="153"/>
      <c r="E167" s="153"/>
      <c r="F167" s="153"/>
      <c r="G167" s="153"/>
      <c r="H167" s="153"/>
      <c r="I167" s="157"/>
      <c r="J167" s="157"/>
      <c r="K167" s="157"/>
      <c r="L167" s="157"/>
      <c r="M167" s="157"/>
      <c r="N167" s="221"/>
      <c r="O167" s="157"/>
      <c r="P167" s="157"/>
      <c r="Q167" s="157"/>
      <c r="R167" s="157"/>
      <c r="S167" s="157"/>
      <c r="T167" s="157"/>
      <c r="U167" s="157"/>
      <c r="V167" s="157"/>
      <c r="W167" s="153"/>
    </row>
    <row r="168" spans="1:23" s="14" customFormat="1" x14ac:dyDescent="0.25">
      <c r="A168" s="80"/>
      <c r="B168" s="11"/>
      <c r="C168" s="153"/>
      <c r="D168" s="153"/>
      <c r="E168" s="153"/>
      <c r="F168" s="153"/>
      <c r="G168" s="153"/>
      <c r="H168" s="153"/>
      <c r="I168" s="157"/>
      <c r="J168" s="157"/>
      <c r="K168" s="157"/>
      <c r="L168" s="157"/>
      <c r="M168" s="157"/>
      <c r="N168" s="221"/>
      <c r="O168" s="157"/>
      <c r="P168" s="157"/>
      <c r="Q168" s="157"/>
      <c r="R168" s="157"/>
      <c r="S168" s="157"/>
      <c r="T168" s="157"/>
      <c r="U168" s="157"/>
      <c r="V168" s="157"/>
      <c r="W168" s="153"/>
    </row>
    <row r="169" spans="1:23" s="14" customFormat="1" x14ac:dyDescent="0.25">
      <c r="A169" s="80"/>
      <c r="B169" s="11"/>
      <c r="C169" s="153"/>
      <c r="D169" s="153"/>
      <c r="E169" s="153"/>
      <c r="F169" s="153"/>
      <c r="G169" s="153"/>
      <c r="H169" s="153"/>
      <c r="I169" s="157"/>
      <c r="J169" s="157"/>
      <c r="K169" s="157"/>
      <c r="L169" s="157"/>
      <c r="M169" s="157"/>
      <c r="N169" s="221"/>
      <c r="O169" s="157"/>
      <c r="P169" s="157"/>
      <c r="Q169" s="157"/>
      <c r="R169" s="157"/>
      <c r="S169" s="157"/>
      <c r="T169" s="157"/>
      <c r="U169" s="157"/>
      <c r="V169" s="157"/>
      <c r="W169" s="153"/>
    </row>
    <row r="170" spans="1:23" s="14" customFormat="1" x14ac:dyDescent="0.25">
      <c r="A170" s="80"/>
      <c r="B170" s="11"/>
      <c r="C170" s="153"/>
      <c r="D170" s="153"/>
      <c r="E170" s="153"/>
      <c r="F170" s="153"/>
      <c r="G170" s="153"/>
      <c r="H170" s="153"/>
      <c r="I170" s="157"/>
      <c r="J170" s="157"/>
      <c r="K170" s="157"/>
      <c r="L170" s="157"/>
      <c r="M170" s="157"/>
      <c r="N170" s="221"/>
      <c r="O170" s="157"/>
      <c r="P170" s="157"/>
      <c r="Q170" s="157"/>
      <c r="R170" s="157"/>
      <c r="S170" s="157"/>
      <c r="T170" s="157"/>
      <c r="U170" s="157"/>
      <c r="V170" s="157"/>
      <c r="W170" s="153"/>
    </row>
    <row r="171" spans="1:23" s="14" customFormat="1" x14ac:dyDescent="0.25">
      <c r="A171" s="80"/>
      <c r="B171" s="11"/>
      <c r="C171" s="153"/>
      <c r="D171" s="153"/>
      <c r="E171" s="153"/>
      <c r="F171" s="153"/>
      <c r="G171" s="153"/>
      <c r="H171" s="153"/>
      <c r="I171" s="157"/>
      <c r="J171" s="157"/>
      <c r="K171" s="157"/>
      <c r="L171" s="157"/>
      <c r="M171" s="157"/>
      <c r="N171" s="221"/>
      <c r="O171" s="157"/>
      <c r="P171" s="157"/>
      <c r="Q171" s="157"/>
      <c r="R171" s="157"/>
      <c r="S171" s="157"/>
      <c r="T171" s="157"/>
      <c r="U171" s="157"/>
      <c r="V171" s="157"/>
      <c r="W171" s="153"/>
    </row>
    <row r="172" spans="1:23" s="14" customFormat="1" x14ac:dyDescent="0.25">
      <c r="A172" s="80"/>
      <c r="B172" s="11"/>
      <c r="C172" s="153"/>
      <c r="D172" s="153"/>
      <c r="E172" s="153"/>
      <c r="F172" s="153"/>
      <c r="G172" s="153"/>
      <c r="H172" s="153"/>
      <c r="I172" s="157"/>
      <c r="J172" s="157"/>
      <c r="K172" s="157"/>
      <c r="L172" s="157"/>
      <c r="M172" s="157"/>
      <c r="N172" s="221"/>
      <c r="O172" s="157"/>
      <c r="P172" s="157"/>
      <c r="Q172" s="157"/>
      <c r="R172" s="157"/>
      <c r="S172" s="157"/>
      <c r="T172" s="157"/>
      <c r="U172" s="157"/>
      <c r="V172" s="157"/>
      <c r="W172" s="153"/>
    </row>
    <row r="173" spans="1:23" s="14" customFormat="1" x14ac:dyDescent="0.25">
      <c r="A173" s="80"/>
      <c r="B173" s="11"/>
      <c r="C173" s="153"/>
      <c r="D173" s="153"/>
      <c r="E173" s="153"/>
      <c r="F173" s="153"/>
      <c r="G173" s="153"/>
      <c r="H173" s="153"/>
      <c r="I173" s="157"/>
      <c r="J173" s="157"/>
      <c r="K173" s="157"/>
      <c r="L173" s="157"/>
      <c r="M173" s="157"/>
      <c r="N173" s="221"/>
      <c r="O173" s="157"/>
      <c r="P173" s="157"/>
      <c r="Q173" s="157"/>
      <c r="R173" s="157"/>
      <c r="S173" s="157"/>
      <c r="T173" s="157"/>
      <c r="U173" s="157"/>
      <c r="V173" s="157"/>
      <c r="W173" s="153"/>
    </row>
    <row r="174" spans="1:23" s="14" customFormat="1" x14ac:dyDescent="0.25">
      <c r="A174" s="80"/>
      <c r="B174" s="11"/>
      <c r="C174" s="153"/>
      <c r="D174" s="153"/>
      <c r="E174" s="153"/>
      <c r="F174" s="153"/>
      <c r="G174" s="153"/>
      <c r="H174" s="153"/>
      <c r="I174" s="157"/>
      <c r="J174" s="157"/>
      <c r="K174" s="157"/>
      <c r="L174" s="157"/>
      <c r="M174" s="157"/>
      <c r="N174" s="221"/>
      <c r="O174" s="157"/>
      <c r="P174" s="157"/>
      <c r="Q174" s="157"/>
      <c r="R174" s="157"/>
      <c r="S174" s="157"/>
      <c r="T174" s="157"/>
      <c r="U174" s="157"/>
      <c r="V174" s="157"/>
      <c r="W174" s="153"/>
    </row>
    <row r="175" spans="1:23" s="14" customFormat="1" x14ac:dyDescent="0.25">
      <c r="A175" s="80"/>
      <c r="B175" s="11"/>
      <c r="C175" s="153"/>
      <c r="D175" s="153"/>
      <c r="E175" s="153"/>
      <c r="F175" s="153"/>
      <c r="G175" s="153"/>
      <c r="H175" s="153"/>
      <c r="I175" s="157"/>
      <c r="J175" s="157"/>
      <c r="K175" s="157"/>
      <c r="L175" s="157"/>
      <c r="M175" s="157"/>
      <c r="N175" s="221"/>
      <c r="O175" s="157"/>
      <c r="P175" s="157"/>
      <c r="Q175" s="157"/>
      <c r="R175" s="157"/>
      <c r="S175" s="157"/>
      <c r="T175" s="157"/>
      <c r="U175" s="157"/>
      <c r="V175" s="157"/>
      <c r="W175" s="153"/>
    </row>
    <row r="176" spans="1:23" s="14" customFormat="1" x14ac:dyDescent="0.25">
      <c r="A176" s="80"/>
      <c r="B176" s="11"/>
      <c r="C176" s="153"/>
      <c r="D176" s="153"/>
      <c r="E176" s="153"/>
      <c r="F176" s="153"/>
      <c r="G176" s="153"/>
      <c r="H176" s="153"/>
      <c r="I176" s="157"/>
      <c r="J176" s="157"/>
      <c r="K176" s="157"/>
      <c r="L176" s="157"/>
      <c r="M176" s="157"/>
      <c r="N176" s="221"/>
      <c r="O176" s="157"/>
      <c r="P176" s="157"/>
      <c r="Q176" s="157"/>
      <c r="R176" s="157"/>
      <c r="S176" s="157"/>
      <c r="T176" s="157"/>
      <c r="U176" s="157"/>
      <c r="V176" s="157"/>
      <c r="W176" s="153"/>
    </row>
    <row r="177" spans="1:23" s="14" customFormat="1" x14ac:dyDescent="0.25">
      <c r="A177" s="80"/>
      <c r="B177" s="11"/>
      <c r="C177" s="153"/>
      <c r="D177" s="153"/>
      <c r="E177" s="153"/>
      <c r="F177" s="153"/>
      <c r="G177" s="153"/>
      <c r="H177" s="153"/>
      <c r="I177" s="157"/>
      <c r="J177" s="157"/>
      <c r="K177" s="157"/>
      <c r="L177" s="157"/>
      <c r="M177" s="157"/>
      <c r="N177" s="221"/>
      <c r="O177" s="157"/>
      <c r="P177" s="157"/>
      <c r="Q177" s="157"/>
      <c r="R177" s="157"/>
      <c r="S177" s="157"/>
      <c r="T177" s="157"/>
      <c r="U177" s="157"/>
      <c r="V177" s="157"/>
      <c r="W177" s="153"/>
    </row>
    <row r="178" spans="1:23" s="14" customFormat="1" x14ac:dyDescent="0.25">
      <c r="A178" s="80"/>
      <c r="B178" s="11"/>
      <c r="C178" s="153"/>
      <c r="D178" s="153"/>
      <c r="E178" s="153"/>
      <c r="F178" s="153"/>
      <c r="G178" s="153"/>
      <c r="H178" s="153"/>
      <c r="I178" s="157"/>
      <c r="J178" s="157"/>
      <c r="K178" s="157"/>
      <c r="L178" s="157"/>
      <c r="M178" s="157"/>
      <c r="N178" s="221"/>
      <c r="O178" s="157"/>
      <c r="P178" s="157"/>
      <c r="Q178" s="157"/>
      <c r="R178" s="157"/>
      <c r="S178" s="157"/>
      <c r="T178" s="157"/>
      <c r="U178" s="157"/>
      <c r="V178" s="157"/>
      <c r="W178" s="153"/>
    </row>
    <row r="179" spans="1:23" s="14" customFormat="1" x14ac:dyDescent="0.25">
      <c r="A179" s="80"/>
      <c r="B179" s="11"/>
      <c r="C179" s="153"/>
      <c r="D179" s="153"/>
      <c r="E179" s="153"/>
      <c r="F179" s="153"/>
      <c r="G179" s="153"/>
      <c r="H179" s="153"/>
      <c r="I179" s="157"/>
      <c r="J179" s="157"/>
      <c r="K179" s="157"/>
      <c r="L179" s="157"/>
      <c r="M179" s="157"/>
      <c r="N179" s="221"/>
      <c r="O179" s="157"/>
      <c r="P179" s="157"/>
      <c r="Q179" s="157"/>
      <c r="R179" s="157"/>
      <c r="S179" s="157"/>
      <c r="T179" s="157"/>
      <c r="U179" s="157"/>
      <c r="V179" s="157"/>
      <c r="W179" s="153"/>
    </row>
    <row r="180" spans="1:23" s="14" customFormat="1" x14ac:dyDescent="0.25">
      <c r="A180" s="80"/>
      <c r="B180" s="11"/>
      <c r="C180" s="153"/>
      <c r="D180" s="153"/>
      <c r="E180" s="153"/>
      <c r="F180" s="153"/>
      <c r="G180" s="153"/>
      <c r="H180" s="153"/>
      <c r="I180" s="157"/>
      <c r="J180" s="157"/>
      <c r="K180" s="157"/>
      <c r="L180" s="157"/>
      <c r="M180" s="157"/>
      <c r="N180" s="221"/>
      <c r="O180" s="157"/>
      <c r="P180" s="157"/>
      <c r="Q180" s="157"/>
      <c r="R180" s="157"/>
      <c r="S180" s="157"/>
      <c r="T180" s="157"/>
      <c r="U180" s="157"/>
      <c r="V180" s="157"/>
      <c r="W180" s="153"/>
    </row>
    <row r="181" spans="1:23" s="14" customFormat="1" x14ac:dyDescent="0.25">
      <c r="A181" s="80"/>
      <c r="B181" s="11"/>
      <c r="C181" s="153"/>
      <c r="D181" s="153"/>
      <c r="E181" s="153"/>
      <c r="F181" s="153"/>
      <c r="G181" s="153"/>
      <c r="H181" s="153"/>
      <c r="I181" s="157"/>
      <c r="J181" s="157"/>
      <c r="K181" s="157"/>
      <c r="L181" s="157"/>
      <c r="M181" s="157"/>
      <c r="N181" s="221"/>
      <c r="O181" s="157"/>
      <c r="P181" s="157"/>
      <c r="Q181" s="157"/>
      <c r="R181" s="157"/>
      <c r="S181" s="157"/>
      <c r="T181" s="157"/>
      <c r="U181" s="157"/>
      <c r="V181" s="157"/>
      <c r="W181" s="153"/>
    </row>
    <row r="182" spans="1:23" s="14" customFormat="1" x14ac:dyDescent="0.25">
      <c r="A182" s="80"/>
      <c r="B182" s="11"/>
      <c r="C182" s="153"/>
      <c r="D182" s="153"/>
      <c r="E182" s="153"/>
      <c r="F182" s="153"/>
      <c r="G182" s="153"/>
      <c r="H182" s="153"/>
      <c r="I182" s="157"/>
      <c r="J182" s="157"/>
      <c r="K182" s="157"/>
      <c r="L182" s="157"/>
      <c r="M182" s="157"/>
      <c r="N182" s="221"/>
      <c r="O182" s="157"/>
      <c r="P182" s="157"/>
      <c r="Q182" s="157"/>
      <c r="R182" s="157"/>
      <c r="S182" s="157"/>
      <c r="T182" s="157"/>
      <c r="U182" s="157"/>
      <c r="V182" s="157"/>
      <c r="W182" s="153"/>
    </row>
    <row r="183" spans="1:23" s="14" customFormat="1" x14ac:dyDescent="0.25">
      <c r="A183" s="80"/>
      <c r="B183" s="11"/>
      <c r="C183" s="153"/>
      <c r="D183" s="153"/>
      <c r="E183" s="153"/>
      <c r="F183" s="153"/>
      <c r="G183" s="153"/>
      <c r="H183" s="153"/>
      <c r="I183" s="157"/>
      <c r="J183" s="157"/>
      <c r="K183" s="157"/>
      <c r="L183" s="157"/>
      <c r="M183" s="157"/>
      <c r="N183" s="221"/>
      <c r="O183" s="157"/>
      <c r="P183" s="157"/>
      <c r="Q183" s="157"/>
      <c r="R183" s="157"/>
      <c r="S183" s="157"/>
      <c r="T183" s="157"/>
      <c r="U183" s="157"/>
      <c r="V183" s="157"/>
      <c r="W183" s="153"/>
    </row>
    <row r="184" spans="1:23" s="14" customFormat="1" x14ac:dyDescent="0.25">
      <c r="A184" s="80"/>
      <c r="B184" s="11"/>
      <c r="C184" s="153"/>
      <c r="D184" s="153"/>
      <c r="E184" s="153"/>
      <c r="F184" s="153"/>
      <c r="G184" s="153"/>
      <c r="H184" s="153"/>
      <c r="I184" s="157"/>
      <c r="J184" s="157"/>
      <c r="K184" s="157"/>
      <c r="L184" s="157"/>
      <c r="M184" s="157"/>
      <c r="N184" s="221"/>
      <c r="O184" s="157"/>
      <c r="P184" s="157"/>
      <c r="Q184" s="157"/>
      <c r="R184" s="157"/>
      <c r="S184" s="157"/>
      <c r="T184" s="157"/>
      <c r="U184" s="157"/>
      <c r="V184" s="157"/>
      <c r="W184" s="153"/>
    </row>
    <row r="185" spans="1:23" s="14" customFormat="1" x14ac:dyDescent="0.25">
      <c r="A185" s="80"/>
      <c r="B185" s="11"/>
      <c r="C185" s="153"/>
      <c r="D185" s="153"/>
      <c r="E185" s="153"/>
      <c r="F185" s="153"/>
      <c r="G185" s="153"/>
      <c r="H185" s="153"/>
      <c r="I185" s="157"/>
      <c r="J185" s="157"/>
      <c r="K185" s="157"/>
      <c r="L185" s="157"/>
      <c r="M185" s="157"/>
      <c r="N185" s="221"/>
      <c r="O185" s="157"/>
      <c r="P185" s="157"/>
      <c r="Q185" s="157"/>
      <c r="R185" s="157"/>
      <c r="S185" s="157"/>
      <c r="T185" s="157"/>
      <c r="U185" s="157"/>
      <c r="V185" s="157"/>
      <c r="W185" s="153"/>
    </row>
    <row r="186" spans="1:23" s="14" customFormat="1" x14ac:dyDescent="0.25">
      <c r="A186" s="80"/>
      <c r="B186" s="11"/>
      <c r="C186" s="153"/>
      <c r="D186" s="153"/>
      <c r="E186" s="153"/>
      <c r="F186" s="153"/>
      <c r="G186" s="153"/>
      <c r="H186" s="153"/>
      <c r="I186" s="157"/>
      <c r="J186" s="157"/>
      <c r="K186" s="157"/>
      <c r="L186" s="157"/>
      <c r="M186" s="157"/>
      <c r="N186" s="221"/>
      <c r="O186" s="157"/>
      <c r="P186" s="157"/>
      <c r="Q186" s="157"/>
      <c r="R186" s="157"/>
      <c r="S186" s="157"/>
      <c r="T186" s="157"/>
      <c r="U186" s="157"/>
      <c r="V186" s="157"/>
      <c r="W186" s="153"/>
    </row>
    <row r="187" spans="1:23" s="14" customFormat="1" x14ac:dyDescent="0.25">
      <c r="A187" s="80"/>
      <c r="B187" s="11"/>
      <c r="C187" s="153"/>
      <c r="D187" s="153"/>
      <c r="E187" s="153"/>
      <c r="F187" s="153"/>
      <c r="G187" s="153"/>
      <c r="H187" s="153"/>
      <c r="I187" s="157"/>
      <c r="J187" s="157"/>
      <c r="K187" s="157"/>
      <c r="L187" s="157"/>
      <c r="M187" s="157"/>
      <c r="N187" s="221"/>
      <c r="O187" s="157"/>
      <c r="P187" s="157"/>
      <c r="Q187" s="157"/>
      <c r="R187" s="157"/>
      <c r="S187" s="157"/>
      <c r="T187" s="157"/>
      <c r="U187" s="157"/>
      <c r="V187" s="157"/>
      <c r="W187" s="153"/>
    </row>
    <row r="188" spans="1:23" s="14" customFormat="1" x14ac:dyDescent="0.25">
      <c r="A188" s="80"/>
      <c r="B188" s="11"/>
      <c r="C188" s="153"/>
      <c r="D188" s="153"/>
      <c r="E188" s="153"/>
      <c r="F188" s="153"/>
      <c r="G188" s="153"/>
      <c r="H188" s="153"/>
      <c r="I188" s="157"/>
      <c r="J188" s="157"/>
      <c r="K188" s="157"/>
      <c r="L188" s="157"/>
      <c r="M188" s="157"/>
      <c r="N188" s="221"/>
      <c r="O188" s="157"/>
      <c r="P188" s="157"/>
      <c r="Q188" s="157"/>
      <c r="R188" s="157"/>
      <c r="S188" s="157"/>
      <c r="T188" s="157"/>
      <c r="U188" s="157"/>
      <c r="V188" s="157"/>
      <c r="W188" s="153"/>
    </row>
    <row r="189" spans="1:23" s="14" customFormat="1" x14ac:dyDescent="0.25">
      <c r="A189" s="80"/>
      <c r="B189" s="11"/>
      <c r="C189" s="153"/>
      <c r="D189" s="153"/>
      <c r="E189" s="153"/>
      <c r="F189" s="153"/>
      <c r="G189" s="153"/>
      <c r="H189" s="153"/>
      <c r="I189" s="157"/>
      <c r="J189" s="157"/>
      <c r="K189" s="157"/>
      <c r="L189" s="157"/>
      <c r="M189" s="157"/>
      <c r="N189" s="221"/>
      <c r="O189" s="157"/>
      <c r="P189" s="157"/>
      <c r="Q189" s="157"/>
      <c r="R189" s="157"/>
      <c r="S189" s="157"/>
      <c r="T189" s="157"/>
      <c r="U189" s="157"/>
      <c r="V189" s="157"/>
      <c r="W189" s="153"/>
    </row>
    <row r="190" spans="1:23" s="14" customFormat="1" x14ac:dyDescent="0.25">
      <c r="A190" s="80"/>
      <c r="B190" s="11"/>
      <c r="C190" s="153"/>
      <c r="D190" s="153"/>
      <c r="E190" s="153"/>
      <c r="F190" s="153"/>
      <c r="G190" s="153"/>
      <c r="H190" s="153"/>
      <c r="I190" s="157"/>
      <c r="J190" s="157"/>
      <c r="K190" s="157"/>
      <c r="L190" s="157"/>
      <c r="M190" s="157"/>
      <c r="N190" s="221"/>
      <c r="O190" s="157"/>
      <c r="P190" s="157"/>
      <c r="Q190" s="157"/>
      <c r="R190" s="157"/>
      <c r="S190" s="157"/>
      <c r="T190" s="157"/>
      <c r="U190" s="157"/>
      <c r="V190" s="157"/>
      <c r="W190" s="153"/>
    </row>
    <row r="191" spans="1:23" s="14" customFormat="1" x14ac:dyDescent="0.25">
      <c r="A191" s="80"/>
      <c r="B191" s="11"/>
      <c r="C191" s="153"/>
      <c r="D191" s="153"/>
      <c r="E191" s="153"/>
      <c r="F191" s="153"/>
      <c r="G191" s="153"/>
      <c r="H191" s="153"/>
      <c r="I191" s="157"/>
      <c r="J191" s="157"/>
      <c r="K191" s="157"/>
      <c r="L191" s="157"/>
      <c r="M191" s="157"/>
      <c r="N191" s="221"/>
      <c r="O191" s="157"/>
      <c r="P191" s="157"/>
      <c r="Q191" s="157"/>
      <c r="R191" s="157"/>
      <c r="S191" s="157"/>
      <c r="T191" s="157"/>
      <c r="U191" s="157"/>
      <c r="V191" s="157"/>
      <c r="W191" s="153"/>
    </row>
    <row r="192" spans="1:23" s="14" customFormat="1" x14ac:dyDescent="0.25">
      <c r="A192" s="80"/>
      <c r="B192" s="11"/>
      <c r="C192" s="153"/>
      <c r="D192" s="153"/>
      <c r="E192" s="153"/>
      <c r="F192" s="153"/>
      <c r="G192" s="153"/>
      <c r="H192" s="153"/>
      <c r="I192" s="157"/>
      <c r="J192" s="157"/>
      <c r="K192" s="157"/>
      <c r="L192" s="157"/>
      <c r="M192" s="157"/>
      <c r="N192" s="221"/>
      <c r="O192" s="157"/>
      <c r="P192" s="157"/>
      <c r="Q192" s="157"/>
      <c r="R192" s="157"/>
      <c r="S192" s="157"/>
      <c r="T192" s="157"/>
      <c r="U192" s="157"/>
      <c r="V192" s="157"/>
      <c r="W192" s="153"/>
    </row>
    <row r="193" spans="1:23" s="14" customFormat="1" x14ac:dyDescent="0.25">
      <c r="A193" s="80"/>
      <c r="B193" s="11"/>
      <c r="C193" s="153"/>
      <c r="D193" s="153"/>
      <c r="E193" s="153"/>
      <c r="F193" s="153"/>
      <c r="G193" s="153"/>
      <c r="H193" s="153"/>
      <c r="I193" s="157"/>
      <c r="J193" s="157"/>
      <c r="K193" s="157"/>
      <c r="L193" s="157"/>
      <c r="M193" s="157"/>
      <c r="N193" s="221"/>
      <c r="O193" s="157"/>
      <c r="P193" s="157"/>
      <c r="Q193" s="157"/>
      <c r="R193" s="157"/>
      <c r="S193" s="157"/>
      <c r="T193" s="157"/>
      <c r="U193" s="157"/>
      <c r="V193" s="157"/>
      <c r="W193" s="153"/>
    </row>
    <row r="194" spans="1:23" s="14" customFormat="1" x14ac:dyDescent="0.25">
      <c r="A194" s="80"/>
      <c r="B194" s="11"/>
      <c r="C194" s="153"/>
      <c r="D194" s="153"/>
      <c r="E194" s="153"/>
      <c r="F194" s="153"/>
      <c r="G194" s="153"/>
      <c r="H194" s="153"/>
      <c r="I194" s="157"/>
      <c r="J194" s="157"/>
      <c r="K194" s="157"/>
      <c r="L194" s="157"/>
      <c r="M194" s="157"/>
      <c r="N194" s="221"/>
      <c r="O194" s="157"/>
      <c r="P194" s="157"/>
      <c r="Q194" s="157"/>
      <c r="R194" s="157"/>
      <c r="S194" s="157"/>
      <c r="T194" s="157"/>
      <c r="U194" s="157"/>
      <c r="V194" s="157"/>
      <c r="W194" s="153"/>
    </row>
    <row r="195" spans="1:23" s="14" customFormat="1" x14ac:dyDescent="0.25">
      <c r="A195" s="80"/>
      <c r="B195" s="11"/>
      <c r="C195" s="153"/>
      <c r="D195" s="153"/>
      <c r="E195" s="153"/>
      <c r="F195" s="153"/>
      <c r="G195" s="153"/>
      <c r="H195" s="153"/>
      <c r="I195" s="157"/>
      <c r="J195" s="157"/>
      <c r="K195" s="157"/>
      <c r="L195" s="157"/>
      <c r="M195" s="157"/>
      <c r="N195" s="221"/>
      <c r="O195" s="157"/>
      <c r="P195" s="157"/>
      <c r="Q195" s="157"/>
      <c r="R195" s="157"/>
      <c r="S195" s="157"/>
      <c r="T195" s="157"/>
      <c r="U195" s="157"/>
      <c r="V195" s="157"/>
      <c r="W195" s="153"/>
    </row>
    <row r="196" spans="1:23" s="14" customFormat="1" x14ac:dyDescent="0.25">
      <c r="A196" s="80"/>
      <c r="B196" s="11"/>
      <c r="C196" s="153"/>
      <c r="D196" s="153"/>
      <c r="E196" s="153"/>
      <c r="F196" s="153"/>
      <c r="G196" s="153"/>
      <c r="H196" s="153"/>
      <c r="I196" s="157"/>
      <c r="J196" s="157"/>
      <c r="K196" s="157"/>
      <c r="L196" s="157"/>
      <c r="M196" s="157"/>
      <c r="N196" s="221"/>
      <c r="O196" s="157"/>
      <c r="P196" s="157"/>
      <c r="Q196" s="157"/>
      <c r="R196" s="157"/>
      <c r="S196" s="157"/>
      <c r="T196" s="157"/>
      <c r="U196" s="157"/>
      <c r="V196" s="157"/>
      <c r="W196" s="153"/>
    </row>
    <row r="197" spans="1:23" s="14" customFormat="1" x14ac:dyDescent="0.25">
      <c r="A197" s="80"/>
      <c r="B197" s="11"/>
      <c r="C197" s="153"/>
      <c r="D197" s="153"/>
      <c r="E197" s="153"/>
      <c r="F197" s="153"/>
      <c r="G197" s="153"/>
      <c r="H197" s="153"/>
      <c r="I197" s="157"/>
      <c r="J197" s="157"/>
      <c r="K197" s="157"/>
      <c r="L197" s="157"/>
      <c r="M197" s="157"/>
      <c r="N197" s="221"/>
      <c r="O197" s="157"/>
      <c r="P197" s="157"/>
      <c r="Q197" s="157"/>
      <c r="R197" s="157"/>
      <c r="S197" s="157"/>
      <c r="T197" s="157"/>
      <c r="U197" s="157"/>
      <c r="V197" s="157"/>
      <c r="W197" s="153"/>
    </row>
    <row r="198" spans="1:23" s="14" customFormat="1" x14ac:dyDescent="0.25">
      <c r="A198" s="80"/>
      <c r="B198" s="11"/>
      <c r="C198" s="153"/>
      <c r="D198" s="153"/>
      <c r="E198" s="153"/>
      <c r="F198" s="153"/>
      <c r="G198" s="153"/>
      <c r="H198" s="153"/>
      <c r="I198" s="157"/>
      <c r="J198" s="157"/>
      <c r="K198" s="157"/>
      <c r="L198" s="157"/>
      <c r="M198" s="157"/>
      <c r="N198" s="221"/>
      <c r="O198" s="157"/>
      <c r="P198" s="157"/>
      <c r="Q198" s="157"/>
      <c r="R198" s="157"/>
      <c r="S198" s="157"/>
      <c r="T198" s="157"/>
      <c r="U198" s="157"/>
      <c r="V198" s="157"/>
      <c r="W198" s="153"/>
    </row>
    <row r="199" spans="1:23" s="14" customFormat="1" x14ac:dyDescent="0.25">
      <c r="A199" s="80"/>
      <c r="B199" s="11"/>
      <c r="C199" s="153"/>
      <c r="D199" s="153"/>
      <c r="E199" s="153"/>
      <c r="F199" s="153"/>
      <c r="G199" s="153"/>
      <c r="H199" s="153"/>
      <c r="I199" s="157"/>
      <c r="J199" s="157"/>
      <c r="K199" s="157"/>
      <c r="L199" s="157"/>
      <c r="M199" s="157"/>
      <c r="N199" s="221"/>
      <c r="O199" s="157"/>
      <c r="P199" s="157"/>
      <c r="Q199" s="157"/>
      <c r="R199" s="157"/>
      <c r="S199" s="157"/>
      <c r="T199" s="157"/>
      <c r="U199" s="157"/>
      <c r="V199" s="157"/>
      <c r="W199" s="153"/>
    </row>
    <row r="200" spans="1:23" s="14" customFormat="1" x14ac:dyDescent="0.25">
      <c r="A200" s="80"/>
      <c r="B200" s="11"/>
      <c r="C200" s="153"/>
      <c r="D200" s="153"/>
      <c r="E200" s="153"/>
      <c r="F200" s="153"/>
      <c r="G200" s="153"/>
      <c r="H200" s="153"/>
      <c r="I200" s="157"/>
      <c r="J200" s="157"/>
      <c r="K200" s="157"/>
      <c r="L200" s="157"/>
      <c r="M200" s="157"/>
      <c r="N200" s="221"/>
      <c r="O200" s="157"/>
      <c r="P200" s="157"/>
      <c r="Q200" s="157"/>
      <c r="R200" s="157"/>
      <c r="S200" s="157"/>
      <c r="T200" s="157"/>
      <c r="U200" s="157"/>
      <c r="V200" s="157"/>
      <c r="W200" s="153"/>
    </row>
    <row r="201" spans="1:23" s="14" customFormat="1" x14ac:dyDescent="0.25">
      <c r="A201" s="80"/>
      <c r="B201" s="11"/>
      <c r="C201" s="153"/>
      <c r="D201" s="153"/>
      <c r="E201" s="153"/>
      <c r="F201" s="153"/>
      <c r="G201" s="153"/>
      <c r="H201" s="153"/>
      <c r="I201" s="157"/>
      <c r="J201" s="157"/>
      <c r="K201" s="157"/>
      <c r="L201" s="157"/>
      <c r="M201" s="157"/>
      <c r="N201" s="221"/>
      <c r="O201" s="157"/>
      <c r="P201" s="157"/>
      <c r="Q201" s="157"/>
      <c r="R201" s="157"/>
      <c r="S201" s="157"/>
      <c r="T201" s="157"/>
      <c r="U201" s="157"/>
      <c r="V201" s="157"/>
      <c r="W201" s="153"/>
    </row>
    <row r="202" spans="1:23" s="14" customFormat="1" x14ac:dyDescent="0.25">
      <c r="A202" s="80"/>
      <c r="B202" s="11"/>
      <c r="C202" s="153"/>
      <c r="D202" s="153"/>
      <c r="E202" s="153"/>
      <c r="F202" s="153"/>
      <c r="G202" s="153"/>
      <c r="H202" s="153"/>
      <c r="I202" s="157"/>
      <c r="J202" s="157"/>
      <c r="K202" s="157"/>
      <c r="L202" s="157"/>
      <c r="M202" s="157"/>
      <c r="N202" s="221"/>
      <c r="O202" s="157"/>
      <c r="P202" s="157"/>
      <c r="Q202" s="157"/>
      <c r="R202" s="157"/>
      <c r="S202" s="157"/>
      <c r="T202" s="157"/>
      <c r="U202" s="157"/>
      <c r="V202" s="157"/>
      <c r="W202" s="153"/>
    </row>
    <row r="203" spans="1:23" s="14" customFormat="1" x14ac:dyDescent="0.25">
      <c r="A203" s="80"/>
      <c r="B203" s="11"/>
      <c r="C203" s="153"/>
      <c r="D203" s="153"/>
      <c r="E203" s="153"/>
      <c r="F203" s="153"/>
      <c r="G203" s="153"/>
      <c r="H203" s="153"/>
      <c r="I203" s="157"/>
      <c r="J203" s="157"/>
      <c r="K203" s="157"/>
      <c r="L203" s="157"/>
      <c r="M203" s="157"/>
      <c r="N203" s="221"/>
      <c r="O203" s="157"/>
      <c r="P203" s="157"/>
      <c r="Q203" s="157"/>
      <c r="R203" s="157"/>
      <c r="S203" s="157"/>
      <c r="T203" s="157"/>
      <c r="U203" s="157"/>
      <c r="V203" s="157"/>
      <c r="W203" s="153"/>
    </row>
    <row r="204" spans="1:23" s="14" customFormat="1" x14ac:dyDescent="0.25">
      <c r="A204" s="80"/>
      <c r="B204" s="11"/>
      <c r="C204" s="153"/>
      <c r="D204" s="153"/>
      <c r="E204" s="153"/>
      <c r="F204" s="153"/>
      <c r="G204" s="153"/>
      <c r="H204" s="153"/>
      <c r="I204" s="157"/>
      <c r="J204" s="157"/>
      <c r="K204" s="157"/>
      <c r="L204" s="157"/>
      <c r="M204" s="157"/>
      <c r="N204" s="221"/>
      <c r="O204" s="157"/>
      <c r="P204" s="157"/>
      <c r="Q204" s="157"/>
      <c r="R204" s="157"/>
      <c r="S204" s="157"/>
      <c r="T204" s="157"/>
      <c r="U204" s="157"/>
      <c r="V204" s="157"/>
      <c r="W204" s="153"/>
    </row>
    <row r="205" spans="1:23" s="14" customFormat="1" x14ac:dyDescent="0.25">
      <c r="A205" s="80"/>
      <c r="B205" s="11"/>
      <c r="C205" s="153"/>
      <c r="D205" s="153"/>
      <c r="E205" s="153"/>
      <c r="F205" s="153"/>
      <c r="G205" s="153"/>
      <c r="H205" s="153"/>
      <c r="I205" s="157"/>
      <c r="J205" s="157"/>
      <c r="K205" s="157"/>
      <c r="L205" s="157"/>
      <c r="M205" s="157"/>
      <c r="N205" s="221"/>
      <c r="O205" s="157"/>
      <c r="P205" s="157"/>
      <c r="Q205" s="157"/>
      <c r="R205" s="157"/>
      <c r="S205" s="157"/>
      <c r="T205" s="157"/>
      <c r="U205" s="157"/>
      <c r="V205" s="157"/>
      <c r="W205" s="153"/>
    </row>
    <row r="206" spans="1:23" s="14" customFormat="1" x14ac:dyDescent="0.25">
      <c r="A206" s="80"/>
      <c r="B206" s="11"/>
      <c r="C206" s="153"/>
      <c r="D206" s="153"/>
      <c r="E206" s="153"/>
      <c r="F206" s="153"/>
      <c r="G206" s="153"/>
      <c r="H206" s="153"/>
      <c r="I206" s="157"/>
      <c r="J206" s="157"/>
      <c r="K206" s="157"/>
      <c r="L206" s="157"/>
      <c r="M206" s="157"/>
      <c r="N206" s="221"/>
      <c r="O206" s="157"/>
      <c r="P206" s="157"/>
      <c r="Q206" s="157"/>
      <c r="R206" s="157"/>
      <c r="S206" s="157"/>
      <c r="T206" s="157"/>
      <c r="U206" s="157"/>
      <c r="V206" s="157"/>
      <c r="W206" s="153"/>
    </row>
    <row r="207" spans="1:23" s="14" customFormat="1" x14ac:dyDescent="0.25">
      <c r="A207" s="80"/>
      <c r="B207" s="11"/>
      <c r="C207" s="153"/>
      <c r="D207" s="153"/>
      <c r="E207" s="153"/>
      <c r="F207" s="153"/>
      <c r="G207" s="153"/>
      <c r="H207" s="153"/>
      <c r="I207" s="157"/>
      <c r="J207" s="157"/>
      <c r="K207" s="157"/>
      <c r="L207" s="157"/>
      <c r="M207" s="157"/>
      <c r="N207" s="221"/>
      <c r="O207" s="157"/>
      <c r="P207" s="157"/>
      <c r="Q207" s="157"/>
      <c r="R207" s="157"/>
      <c r="S207" s="157"/>
      <c r="T207" s="157"/>
      <c r="U207" s="157"/>
      <c r="V207" s="157"/>
      <c r="W207" s="153"/>
    </row>
    <row r="208" spans="1:23" s="14" customFormat="1" x14ac:dyDescent="0.25">
      <c r="A208" s="80"/>
      <c r="B208" s="11"/>
      <c r="C208" s="153"/>
      <c r="D208" s="153"/>
      <c r="E208" s="153"/>
      <c r="F208" s="153"/>
      <c r="G208" s="153"/>
      <c r="H208" s="153"/>
      <c r="I208" s="157"/>
      <c r="J208" s="157"/>
      <c r="K208" s="157"/>
      <c r="L208" s="157"/>
      <c r="M208" s="157"/>
      <c r="N208" s="221"/>
      <c r="O208" s="157"/>
      <c r="P208" s="157"/>
      <c r="Q208" s="157"/>
      <c r="R208" s="157"/>
      <c r="S208" s="157"/>
      <c r="T208" s="157"/>
      <c r="U208" s="157"/>
      <c r="V208" s="157"/>
      <c r="W208" s="153"/>
    </row>
    <row r="209" spans="1:23" s="14" customFormat="1" x14ac:dyDescent="0.25">
      <c r="A209" s="80"/>
      <c r="B209" s="11"/>
      <c r="C209" s="153"/>
      <c r="D209" s="153"/>
      <c r="E209" s="153"/>
      <c r="F209" s="153"/>
      <c r="G209" s="153"/>
      <c r="H209" s="153"/>
      <c r="I209" s="157"/>
      <c r="J209" s="157"/>
      <c r="K209" s="157"/>
      <c r="L209" s="157"/>
      <c r="M209" s="157"/>
      <c r="N209" s="221"/>
      <c r="O209" s="157"/>
      <c r="P209" s="157"/>
      <c r="Q209" s="157"/>
      <c r="R209" s="157"/>
      <c r="S209" s="157"/>
      <c r="T209" s="157"/>
      <c r="U209" s="157"/>
      <c r="V209" s="157"/>
      <c r="W209" s="153"/>
    </row>
    <row r="210" spans="1:23" s="14" customFormat="1" x14ac:dyDescent="0.25">
      <c r="A210" s="80"/>
      <c r="B210" s="11"/>
      <c r="C210" s="153"/>
      <c r="D210" s="153"/>
      <c r="E210" s="153"/>
      <c r="F210" s="153"/>
      <c r="G210" s="153"/>
      <c r="H210" s="153"/>
      <c r="I210" s="157"/>
      <c r="J210" s="157"/>
      <c r="K210" s="157"/>
      <c r="L210" s="157"/>
      <c r="M210" s="157"/>
      <c r="N210" s="221"/>
      <c r="O210" s="157"/>
      <c r="P210" s="157"/>
      <c r="Q210" s="157"/>
      <c r="R210" s="157"/>
      <c r="S210" s="157"/>
      <c r="T210" s="157"/>
      <c r="U210" s="157"/>
      <c r="V210" s="157"/>
      <c r="W210" s="153"/>
    </row>
    <row r="211" spans="1:23" s="14" customFormat="1" x14ac:dyDescent="0.25">
      <c r="A211" s="80"/>
      <c r="B211" s="11"/>
      <c r="C211" s="153"/>
      <c r="D211" s="153"/>
      <c r="E211" s="153"/>
      <c r="F211" s="153"/>
      <c r="G211" s="153"/>
      <c r="H211" s="153"/>
      <c r="I211" s="157"/>
      <c r="J211" s="157"/>
      <c r="K211" s="157"/>
      <c r="L211" s="157"/>
      <c r="M211" s="157"/>
      <c r="N211" s="221"/>
      <c r="O211" s="157"/>
      <c r="P211" s="157"/>
      <c r="Q211" s="157"/>
      <c r="R211" s="157"/>
      <c r="S211" s="157"/>
      <c r="T211" s="157"/>
      <c r="U211" s="157"/>
      <c r="V211" s="157"/>
      <c r="W211" s="153"/>
    </row>
    <row r="212" spans="1:23" s="14" customFormat="1" x14ac:dyDescent="0.25">
      <c r="A212" s="80"/>
      <c r="B212" s="11"/>
      <c r="C212" s="153"/>
      <c r="D212" s="153"/>
      <c r="E212" s="153"/>
      <c r="F212" s="153"/>
      <c r="G212" s="153"/>
      <c r="H212" s="153"/>
      <c r="I212" s="157"/>
      <c r="J212" s="157"/>
      <c r="K212" s="157"/>
      <c r="L212" s="157"/>
      <c r="M212" s="157"/>
      <c r="N212" s="221"/>
      <c r="O212" s="157"/>
      <c r="P212" s="157"/>
      <c r="Q212" s="157"/>
      <c r="R212" s="157"/>
      <c r="S212" s="157"/>
      <c r="T212" s="157"/>
      <c r="U212" s="157"/>
      <c r="V212" s="157"/>
      <c r="W212" s="153"/>
    </row>
    <row r="213" spans="1:23" s="14" customFormat="1" x14ac:dyDescent="0.25">
      <c r="A213" s="80"/>
      <c r="B213" s="11"/>
      <c r="C213" s="153"/>
      <c r="D213" s="153"/>
      <c r="E213" s="153"/>
      <c r="F213" s="153"/>
      <c r="G213" s="153"/>
      <c r="H213" s="153"/>
      <c r="I213" s="157"/>
      <c r="J213" s="157"/>
      <c r="K213" s="157"/>
      <c r="L213" s="157"/>
      <c r="M213" s="157"/>
      <c r="N213" s="221"/>
      <c r="O213" s="157"/>
      <c r="P213" s="157"/>
      <c r="Q213" s="157"/>
      <c r="R213" s="157"/>
      <c r="S213" s="157"/>
      <c r="T213" s="157"/>
      <c r="U213" s="157"/>
      <c r="V213" s="157"/>
      <c r="W213" s="153"/>
    </row>
    <row r="214" spans="1:23" s="14" customFormat="1" x14ac:dyDescent="0.25">
      <c r="A214" s="80"/>
      <c r="B214" s="11"/>
      <c r="C214" s="153"/>
      <c r="D214" s="153"/>
      <c r="E214" s="153"/>
      <c r="F214" s="153"/>
      <c r="G214" s="153"/>
      <c r="H214" s="153"/>
      <c r="I214" s="157"/>
      <c r="J214" s="157"/>
      <c r="K214" s="157"/>
      <c r="L214" s="157"/>
      <c r="M214" s="157"/>
      <c r="N214" s="221"/>
      <c r="O214" s="157"/>
      <c r="P214" s="157"/>
      <c r="Q214" s="157"/>
      <c r="R214" s="157"/>
      <c r="S214" s="157"/>
      <c r="T214" s="157"/>
      <c r="U214" s="157"/>
      <c r="V214" s="157"/>
      <c r="W214" s="153"/>
    </row>
    <row r="215" spans="1:23" s="14" customFormat="1" x14ac:dyDescent="0.25">
      <c r="A215" s="80"/>
      <c r="B215" s="11"/>
      <c r="C215" s="153"/>
      <c r="D215" s="153"/>
      <c r="E215" s="153"/>
      <c r="F215" s="153"/>
      <c r="G215" s="153"/>
      <c r="H215" s="153"/>
      <c r="I215" s="157"/>
      <c r="J215" s="157"/>
      <c r="K215" s="157"/>
      <c r="L215" s="157"/>
      <c r="M215" s="157"/>
      <c r="N215" s="221"/>
      <c r="O215" s="157"/>
      <c r="P215" s="157"/>
      <c r="Q215" s="157"/>
      <c r="R215" s="157"/>
      <c r="S215" s="157"/>
      <c r="T215" s="157"/>
      <c r="U215" s="157"/>
      <c r="V215" s="157"/>
      <c r="W215" s="153"/>
    </row>
    <row r="216" spans="1:23" s="14" customFormat="1" x14ac:dyDescent="0.25">
      <c r="A216" s="80"/>
      <c r="B216" s="11"/>
      <c r="C216" s="153"/>
      <c r="D216" s="153"/>
      <c r="E216" s="153"/>
      <c r="F216" s="153"/>
      <c r="G216" s="153"/>
      <c r="H216" s="153"/>
      <c r="I216" s="157"/>
      <c r="J216" s="157"/>
      <c r="K216" s="157"/>
      <c r="L216" s="157"/>
      <c r="M216" s="157"/>
      <c r="N216" s="221"/>
      <c r="O216" s="157"/>
      <c r="P216" s="157"/>
      <c r="Q216" s="157"/>
      <c r="R216" s="157"/>
      <c r="S216" s="157"/>
      <c r="T216" s="157"/>
      <c r="U216" s="157"/>
      <c r="V216" s="157"/>
      <c r="W216" s="153"/>
    </row>
    <row r="217" spans="1:23" s="14" customFormat="1" x14ac:dyDescent="0.25">
      <c r="A217" s="80"/>
      <c r="B217" s="11"/>
      <c r="C217" s="153"/>
      <c r="D217" s="153"/>
      <c r="E217" s="153"/>
      <c r="F217" s="153"/>
      <c r="G217" s="153"/>
      <c r="H217" s="153"/>
      <c r="I217" s="157"/>
      <c r="J217" s="157"/>
      <c r="K217" s="157"/>
      <c r="L217" s="157"/>
      <c r="M217" s="157"/>
      <c r="N217" s="221"/>
      <c r="O217" s="157"/>
      <c r="P217" s="157"/>
      <c r="Q217" s="157"/>
      <c r="R217" s="157"/>
      <c r="S217" s="157"/>
      <c r="T217" s="157"/>
      <c r="U217" s="157"/>
      <c r="V217" s="157"/>
      <c r="W217" s="153"/>
    </row>
    <row r="218" spans="1:23" s="14" customFormat="1" x14ac:dyDescent="0.25">
      <c r="A218" s="80"/>
      <c r="B218" s="11"/>
      <c r="C218" s="153"/>
      <c r="D218" s="153"/>
      <c r="E218" s="153"/>
      <c r="F218" s="153"/>
      <c r="G218" s="153"/>
      <c r="H218" s="153"/>
      <c r="I218" s="157"/>
      <c r="J218" s="157"/>
      <c r="K218" s="157"/>
      <c r="L218" s="157"/>
      <c r="M218" s="157"/>
      <c r="N218" s="221"/>
      <c r="O218" s="157"/>
      <c r="P218" s="157"/>
      <c r="Q218" s="157"/>
      <c r="R218" s="157"/>
      <c r="S218" s="157"/>
      <c r="T218" s="157"/>
      <c r="U218" s="157"/>
      <c r="V218" s="157"/>
      <c r="W218" s="153"/>
    </row>
    <row r="219" spans="1:23" s="14" customFormat="1" x14ac:dyDescent="0.25">
      <c r="A219" s="80"/>
      <c r="B219" s="11"/>
      <c r="C219" s="153"/>
      <c r="D219" s="153"/>
      <c r="E219" s="153"/>
      <c r="F219" s="153"/>
      <c r="G219" s="153"/>
      <c r="H219" s="153"/>
      <c r="I219" s="157"/>
      <c r="J219" s="157"/>
      <c r="K219" s="157"/>
      <c r="L219" s="157"/>
      <c r="M219" s="157"/>
      <c r="N219" s="221"/>
      <c r="O219" s="157"/>
      <c r="P219" s="157"/>
      <c r="Q219" s="157"/>
      <c r="R219" s="157"/>
      <c r="S219" s="157"/>
      <c r="T219" s="157"/>
      <c r="U219" s="157"/>
      <c r="V219" s="157"/>
      <c r="W219" s="153"/>
    </row>
    <row r="220" spans="1:23" s="14" customFormat="1" x14ac:dyDescent="0.25">
      <c r="A220" s="80"/>
      <c r="B220" s="11"/>
      <c r="C220" s="153"/>
      <c r="D220" s="153"/>
      <c r="E220" s="153"/>
      <c r="F220" s="153"/>
      <c r="G220" s="153"/>
      <c r="H220" s="153"/>
      <c r="I220" s="157"/>
      <c r="J220" s="157"/>
      <c r="K220" s="157"/>
      <c r="L220" s="157"/>
      <c r="M220" s="157"/>
      <c r="N220" s="221"/>
      <c r="O220" s="157"/>
      <c r="P220" s="157"/>
      <c r="Q220" s="157"/>
      <c r="R220" s="157"/>
      <c r="S220" s="157"/>
      <c r="T220" s="157"/>
      <c r="U220" s="157"/>
      <c r="V220" s="157"/>
      <c r="W220" s="153"/>
    </row>
    <row r="221" spans="1:23" s="14" customFormat="1" x14ac:dyDescent="0.25">
      <c r="A221" s="80"/>
      <c r="B221" s="11"/>
      <c r="C221" s="153"/>
      <c r="D221" s="153"/>
      <c r="E221" s="153"/>
      <c r="F221" s="153"/>
      <c r="G221" s="153"/>
      <c r="H221" s="153"/>
      <c r="I221" s="157"/>
      <c r="J221" s="157"/>
      <c r="K221" s="157"/>
      <c r="L221" s="157"/>
      <c r="M221" s="157"/>
      <c r="N221" s="221"/>
      <c r="O221" s="157"/>
      <c r="P221" s="157"/>
      <c r="Q221" s="157"/>
      <c r="R221" s="157"/>
      <c r="S221" s="157"/>
      <c r="T221" s="157"/>
      <c r="U221" s="157"/>
      <c r="V221" s="157"/>
      <c r="W221" s="153"/>
    </row>
    <row r="222" spans="1:23" s="14" customFormat="1" x14ac:dyDescent="0.25">
      <c r="A222" s="80"/>
      <c r="B222" s="11"/>
      <c r="C222" s="153"/>
      <c r="D222" s="153"/>
      <c r="E222" s="153"/>
      <c r="F222" s="153"/>
      <c r="G222" s="153"/>
      <c r="H222" s="153"/>
      <c r="I222" s="157"/>
      <c r="J222" s="157"/>
      <c r="K222" s="157"/>
      <c r="L222" s="157"/>
      <c r="M222" s="157"/>
      <c r="N222" s="221"/>
      <c r="O222" s="157"/>
      <c r="P222" s="157"/>
      <c r="Q222" s="157"/>
      <c r="R222" s="157"/>
      <c r="S222" s="157"/>
      <c r="T222" s="157"/>
      <c r="U222" s="157"/>
      <c r="V222" s="157"/>
      <c r="W222" s="153"/>
    </row>
    <row r="223" spans="1:23" s="14" customFormat="1" x14ac:dyDescent="0.25">
      <c r="A223" s="80"/>
      <c r="B223" s="11"/>
      <c r="C223" s="153"/>
      <c r="D223" s="153"/>
      <c r="E223" s="153"/>
      <c r="F223" s="153"/>
      <c r="G223" s="153"/>
      <c r="H223" s="153"/>
      <c r="I223" s="157"/>
      <c r="J223" s="157"/>
      <c r="K223" s="157"/>
      <c r="L223" s="157"/>
      <c r="M223" s="157"/>
      <c r="N223" s="221"/>
      <c r="O223" s="157"/>
      <c r="P223" s="157"/>
      <c r="Q223" s="157"/>
      <c r="R223" s="157"/>
      <c r="S223" s="157"/>
      <c r="T223" s="157"/>
      <c r="U223" s="157"/>
      <c r="V223" s="157"/>
      <c r="W223" s="153"/>
    </row>
    <row r="224" spans="1:23" s="14" customFormat="1" x14ac:dyDescent="0.25">
      <c r="A224" s="80"/>
      <c r="B224" s="11"/>
      <c r="C224" s="153"/>
      <c r="D224" s="153"/>
      <c r="E224" s="153"/>
      <c r="F224" s="153"/>
      <c r="G224" s="153"/>
      <c r="H224" s="153"/>
      <c r="I224" s="157"/>
      <c r="J224" s="157"/>
      <c r="K224" s="157"/>
      <c r="L224" s="157"/>
      <c r="M224" s="157"/>
      <c r="N224" s="221"/>
      <c r="O224" s="157"/>
      <c r="P224" s="157"/>
      <c r="Q224" s="157"/>
      <c r="R224" s="157"/>
      <c r="S224" s="157"/>
      <c r="T224" s="157"/>
      <c r="U224" s="157"/>
      <c r="V224" s="157"/>
      <c r="W224" s="153"/>
    </row>
    <row r="225" spans="1:23" s="14" customFormat="1" x14ac:dyDescent="0.25">
      <c r="A225" s="80"/>
      <c r="B225" s="11"/>
      <c r="C225" s="153"/>
      <c r="D225" s="153"/>
      <c r="E225" s="153"/>
      <c r="F225" s="153"/>
      <c r="G225" s="153"/>
      <c r="H225" s="153"/>
      <c r="I225" s="157"/>
      <c r="J225" s="157"/>
      <c r="K225" s="157"/>
      <c r="L225" s="157"/>
      <c r="M225" s="157"/>
      <c r="N225" s="221"/>
      <c r="O225" s="157"/>
      <c r="P225" s="157"/>
      <c r="Q225" s="157"/>
      <c r="R225" s="157"/>
      <c r="S225" s="157"/>
      <c r="T225" s="157"/>
      <c r="U225" s="157"/>
      <c r="V225" s="157"/>
      <c r="W225" s="153"/>
    </row>
    <row r="226" spans="1:23" s="14" customFormat="1" x14ac:dyDescent="0.25">
      <c r="A226" s="80"/>
      <c r="B226" s="11"/>
      <c r="C226" s="153"/>
      <c r="D226" s="153"/>
      <c r="E226" s="153"/>
      <c r="F226" s="153"/>
      <c r="G226" s="153"/>
      <c r="H226" s="153"/>
      <c r="I226" s="157"/>
      <c r="J226" s="157"/>
      <c r="K226" s="157"/>
      <c r="L226" s="157"/>
      <c r="M226" s="157"/>
      <c r="N226" s="221"/>
      <c r="O226" s="157"/>
      <c r="P226" s="157"/>
      <c r="Q226" s="157"/>
      <c r="R226" s="157"/>
      <c r="S226" s="157"/>
      <c r="T226" s="157"/>
      <c r="U226" s="157"/>
      <c r="V226" s="157"/>
      <c r="W226" s="153"/>
    </row>
    <row r="227" spans="1:23" s="14" customFormat="1" x14ac:dyDescent="0.25">
      <c r="A227" s="80"/>
      <c r="B227" s="11"/>
      <c r="C227" s="153"/>
      <c r="D227" s="153"/>
      <c r="E227" s="153"/>
      <c r="F227" s="153"/>
      <c r="G227" s="153"/>
      <c r="H227" s="153"/>
      <c r="I227" s="157"/>
      <c r="J227" s="157"/>
      <c r="K227" s="157"/>
      <c r="L227" s="157"/>
      <c r="M227" s="157"/>
      <c r="N227" s="221"/>
      <c r="O227" s="157"/>
      <c r="P227" s="157"/>
      <c r="Q227" s="157"/>
      <c r="R227" s="157"/>
      <c r="S227" s="157"/>
      <c r="T227" s="157"/>
      <c r="U227" s="157"/>
      <c r="V227" s="157"/>
      <c r="W227" s="153"/>
    </row>
    <row r="228" spans="1:23" s="14" customFormat="1" x14ac:dyDescent="0.25">
      <c r="A228" s="80"/>
      <c r="B228" s="11"/>
      <c r="C228" s="153"/>
      <c r="D228" s="153"/>
      <c r="E228" s="153"/>
      <c r="F228" s="153"/>
      <c r="G228" s="153"/>
      <c r="H228" s="153"/>
      <c r="I228" s="157"/>
      <c r="J228" s="157"/>
      <c r="K228" s="157"/>
      <c r="L228" s="157"/>
      <c r="M228" s="157"/>
      <c r="N228" s="221"/>
      <c r="O228" s="157"/>
      <c r="P228" s="157"/>
      <c r="Q228" s="157"/>
      <c r="R228" s="157"/>
      <c r="S228" s="157"/>
      <c r="T228" s="157"/>
      <c r="U228" s="157"/>
      <c r="V228" s="157"/>
      <c r="W228" s="153"/>
    </row>
    <row r="229" spans="1:23" s="14" customFormat="1" x14ac:dyDescent="0.25">
      <c r="A229" s="80"/>
      <c r="B229" s="11"/>
      <c r="C229" s="153"/>
      <c r="D229" s="153"/>
      <c r="E229" s="153"/>
      <c r="F229" s="153"/>
      <c r="G229" s="153"/>
      <c r="H229" s="153"/>
      <c r="I229" s="157"/>
      <c r="J229" s="157"/>
      <c r="K229" s="157"/>
      <c r="L229" s="157"/>
      <c r="M229" s="157"/>
      <c r="N229" s="221"/>
      <c r="O229" s="157"/>
      <c r="P229" s="157"/>
      <c r="Q229" s="157"/>
      <c r="R229" s="157"/>
      <c r="S229" s="157"/>
      <c r="T229" s="157"/>
      <c r="U229" s="157"/>
      <c r="V229" s="157"/>
      <c r="W229" s="153"/>
    </row>
    <row r="230" spans="1:23" s="14" customFormat="1" x14ac:dyDescent="0.25">
      <c r="A230" s="80"/>
      <c r="B230" s="11"/>
      <c r="C230" s="153"/>
      <c r="D230" s="153"/>
      <c r="E230" s="153"/>
      <c r="F230" s="153"/>
      <c r="G230" s="153"/>
      <c r="H230" s="153"/>
      <c r="I230" s="157"/>
      <c r="J230" s="157"/>
      <c r="K230" s="157"/>
      <c r="L230" s="157"/>
      <c r="M230" s="157"/>
      <c r="N230" s="221"/>
      <c r="O230" s="157"/>
      <c r="P230" s="157"/>
      <c r="Q230" s="157"/>
      <c r="R230" s="157"/>
      <c r="S230" s="157"/>
      <c r="T230" s="157"/>
      <c r="U230" s="157"/>
      <c r="V230" s="157"/>
      <c r="W230" s="153"/>
    </row>
    <row r="231" spans="1:23" s="14" customFormat="1" x14ac:dyDescent="0.25">
      <c r="A231" s="80"/>
      <c r="B231" s="11"/>
      <c r="C231" s="153"/>
      <c r="D231" s="153"/>
      <c r="E231" s="153"/>
      <c r="F231" s="153"/>
      <c r="G231" s="153"/>
      <c r="H231" s="153"/>
      <c r="I231" s="157"/>
      <c r="J231" s="157"/>
      <c r="K231" s="157"/>
      <c r="L231" s="157"/>
      <c r="M231" s="157"/>
      <c r="N231" s="221"/>
      <c r="O231" s="157"/>
      <c r="P231" s="157"/>
      <c r="Q231" s="157"/>
      <c r="R231" s="157"/>
      <c r="S231" s="157"/>
      <c r="T231" s="157"/>
      <c r="U231" s="157"/>
      <c r="V231" s="157"/>
      <c r="W231" s="153"/>
    </row>
    <row r="232" spans="1:23" s="14" customFormat="1" x14ac:dyDescent="0.25">
      <c r="A232" s="80"/>
      <c r="B232" s="11"/>
      <c r="C232" s="153"/>
      <c r="D232" s="153"/>
      <c r="E232" s="153"/>
      <c r="F232" s="153"/>
      <c r="G232" s="153"/>
      <c r="H232" s="153"/>
      <c r="I232" s="157"/>
      <c r="J232" s="157"/>
      <c r="K232" s="157"/>
      <c r="L232" s="157"/>
      <c r="M232" s="157"/>
      <c r="N232" s="221"/>
      <c r="O232" s="157"/>
      <c r="P232" s="157"/>
      <c r="Q232" s="157"/>
      <c r="R232" s="157"/>
      <c r="S232" s="157"/>
      <c r="T232" s="157"/>
      <c r="U232" s="157"/>
      <c r="V232" s="157"/>
      <c r="W232" s="153"/>
    </row>
    <row r="233" spans="1:23" s="14" customFormat="1" x14ac:dyDescent="0.25">
      <c r="A233" s="80"/>
      <c r="B233" s="11"/>
      <c r="C233" s="153"/>
      <c r="D233" s="153"/>
      <c r="E233" s="153"/>
      <c r="F233" s="153"/>
      <c r="G233" s="153"/>
      <c r="H233" s="153"/>
      <c r="I233" s="157"/>
      <c r="J233" s="157"/>
      <c r="K233" s="157"/>
      <c r="L233" s="157"/>
      <c r="M233" s="157"/>
      <c r="N233" s="221"/>
      <c r="O233" s="157"/>
      <c r="P233" s="157"/>
      <c r="Q233" s="157"/>
      <c r="R233" s="157"/>
      <c r="S233" s="157"/>
      <c r="T233" s="157"/>
      <c r="U233" s="157"/>
      <c r="V233" s="157"/>
      <c r="W233" s="153"/>
    </row>
    <row r="234" spans="1:23" s="14" customFormat="1" x14ac:dyDescent="0.25">
      <c r="A234" s="80"/>
      <c r="B234" s="11"/>
      <c r="C234" s="153"/>
      <c r="D234" s="153"/>
      <c r="E234" s="153"/>
      <c r="F234" s="153"/>
      <c r="G234" s="153"/>
      <c r="H234" s="153"/>
      <c r="I234" s="157"/>
      <c r="J234" s="157"/>
      <c r="K234" s="157"/>
      <c r="L234" s="157"/>
      <c r="M234" s="157"/>
      <c r="N234" s="221"/>
      <c r="O234" s="157"/>
      <c r="P234" s="157"/>
      <c r="Q234" s="157"/>
      <c r="R234" s="157"/>
      <c r="S234" s="157"/>
      <c r="T234" s="157"/>
      <c r="U234" s="157"/>
      <c r="V234" s="157"/>
      <c r="W234" s="153"/>
    </row>
    <row r="235" spans="1:23" s="14" customFormat="1" x14ac:dyDescent="0.25">
      <c r="A235" s="80"/>
      <c r="B235" s="11"/>
      <c r="C235" s="153"/>
      <c r="D235" s="153"/>
      <c r="E235" s="153"/>
      <c r="F235" s="153"/>
      <c r="G235" s="153"/>
      <c r="H235" s="153"/>
      <c r="I235" s="157"/>
      <c r="J235" s="157"/>
      <c r="K235" s="157"/>
      <c r="L235" s="157"/>
      <c r="M235" s="157"/>
      <c r="N235" s="221"/>
      <c r="O235" s="157"/>
      <c r="P235" s="157"/>
      <c r="Q235" s="157"/>
      <c r="R235" s="157"/>
      <c r="S235" s="157"/>
      <c r="T235" s="157"/>
      <c r="U235" s="157"/>
      <c r="V235" s="157"/>
      <c r="W235" s="153"/>
    </row>
    <row r="236" spans="1:23" s="14" customFormat="1" x14ac:dyDescent="0.25">
      <c r="A236" s="80"/>
      <c r="B236" s="11"/>
      <c r="C236" s="153"/>
      <c r="D236" s="153"/>
      <c r="E236" s="153"/>
      <c r="F236" s="153"/>
      <c r="G236" s="153"/>
      <c r="H236" s="153"/>
      <c r="I236" s="157"/>
      <c r="J236" s="157"/>
      <c r="K236" s="157"/>
      <c r="L236" s="157"/>
      <c r="M236" s="157"/>
      <c r="N236" s="221"/>
      <c r="O236" s="157"/>
      <c r="P236" s="157"/>
      <c r="Q236" s="157"/>
      <c r="R236" s="157"/>
      <c r="S236" s="157"/>
      <c r="T236" s="157"/>
      <c r="U236" s="157"/>
      <c r="V236" s="157"/>
      <c r="W236" s="153"/>
    </row>
    <row r="237" spans="1:23" s="14" customFormat="1" x14ac:dyDescent="0.25">
      <c r="A237" s="80"/>
      <c r="B237" s="11"/>
      <c r="C237" s="153"/>
      <c r="D237" s="153"/>
      <c r="E237" s="153"/>
      <c r="F237" s="153"/>
      <c r="G237" s="153"/>
      <c r="H237" s="153"/>
      <c r="I237" s="157"/>
      <c r="J237" s="157"/>
      <c r="K237" s="157"/>
      <c r="L237" s="157"/>
      <c r="M237" s="157"/>
      <c r="N237" s="221"/>
      <c r="O237" s="157"/>
      <c r="P237" s="157"/>
      <c r="Q237" s="157"/>
      <c r="R237" s="157"/>
      <c r="S237" s="157"/>
      <c r="T237" s="157"/>
      <c r="U237" s="157"/>
      <c r="V237" s="157"/>
      <c r="W237" s="153"/>
    </row>
    <row r="238" spans="1:23" s="14" customFormat="1" x14ac:dyDescent="0.25">
      <c r="A238" s="80"/>
      <c r="B238" s="11"/>
      <c r="C238" s="153"/>
      <c r="D238" s="153"/>
      <c r="E238" s="153"/>
      <c r="F238" s="153"/>
      <c r="G238" s="153"/>
      <c r="H238" s="153"/>
      <c r="I238" s="157"/>
      <c r="J238" s="157"/>
      <c r="K238" s="157"/>
      <c r="L238" s="157"/>
      <c r="M238" s="157"/>
      <c r="N238" s="221"/>
      <c r="O238" s="157"/>
      <c r="P238" s="157"/>
      <c r="Q238" s="157"/>
      <c r="R238" s="157"/>
      <c r="S238" s="157"/>
      <c r="T238" s="157"/>
      <c r="U238" s="157"/>
      <c r="V238" s="157"/>
      <c r="W238" s="153"/>
    </row>
    <row r="239" spans="1:23" s="14" customFormat="1" x14ac:dyDescent="0.25">
      <c r="A239" s="80"/>
      <c r="B239" s="11"/>
      <c r="C239" s="153"/>
      <c r="D239" s="153"/>
      <c r="E239" s="153"/>
      <c r="F239" s="153"/>
      <c r="G239" s="153"/>
      <c r="H239" s="153"/>
      <c r="I239" s="157"/>
      <c r="J239" s="157"/>
      <c r="K239" s="157"/>
      <c r="L239" s="157"/>
      <c r="M239" s="157"/>
      <c r="N239" s="221"/>
      <c r="O239" s="157"/>
      <c r="P239" s="157"/>
      <c r="Q239" s="157"/>
      <c r="R239" s="157"/>
      <c r="S239" s="157"/>
      <c r="T239" s="157"/>
      <c r="U239" s="157"/>
      <c r="V239" s="157"/>
      <c r="W239" s="153"/>
    </row>
    <row r="240" spans="1:23" s="14" customFormat="1" x14ac:dyDescent="0.25">
      <c r="A240" s="80"/>
      <c r="B240" s="76"/>
      <c r="C240" s="153"/>
      <c r="D240" s="153"/>
      <c r="E240" s="153"/>
      <c r="F240" s="153"/>
      <c r="G240" s="153"/>
      <c r="H240" s="153"/>
      <c r="I240" s="157"/>
      <c r="J240" s="157"/>
      <c r="K240" s="157"/>
      <c r="L240" s="157"/>
      <c r="M240" s="157"/>
      <c r="N240" s="221"/>
      <c r="O240" s="157"/>
      <c r="P240" s="157"/>
      <c r="Q240" s="157"/>
      <c r="R240" s="157"/>
      <c r="S240" s="157"/>
      <c r="T240" s="157"/>
      <c r="U240" s="157"/>
      <c r="V240" s="157"/>
      <c r="W240" s="153"/>
    </row>
    <row r="241" spans="1:23" s="14" customFormat="1" x14ac:dyDescent="0.25">
      <c r="A241" s="80"/>
      <c r="B241" s="76"/>
      <c r="C241" s="153"/>
      <c r="D241" s="153"/>
      <c r="E241" s="153"/>
      <c r="F241" s="153"/>
      <c r="G241" s="153"/>
      <c r="H241" s="153"/>
      <c r="I241" s="157"/>
      <c r="J241" s="157"/>
      <c r="K241" s="157"/>
      <c r="L241" s="157"/>
      <c r="M241" s="157"/>
      <c r="N241" s="221"/>
      <c r="O241" s="157"/>
      <c r="P241" s="157"/>
      <c r="Q241" s="157"/>
      <c r="R241" s="157"/>
      <c r="S241" s="157"/>
      <c r="T241" s="157"/>
      <c r="U241" s="157"/>
      <c r="V241" s="157"/>
      <c r="W241" s="153"/>
    </row>
    <row r="242" spans="1:23" s="14" customFormat="1" x14ac:dyDescent="0.25">
      <c r="A242" s="80"/>
      <c r="B242" s="76"/>
      <c r="C242" s="153"/>
      <c r="D242" s="153"/>
      <c r="E242" s="153"/>
      <c r="F242" s="153"/>
      <c r="G242" s="153"/>
      <c r="H242" s="153"/>
      <c r="I242" s="157"/>
      <c r="J242" s="157"/>
      <c r="K242" s="157"/>
      <c r="L242" s="157"/>
      <c r="M242" s="157"/>
      <c r="N242" s="221"/>
      <c r="O242" s="157"/>
      <c r="P242" s="157"/>
      <c r="Q242" s="157"/>
      <c r="R242" s="157"/>
      <c r="S242" s="157"/>
      <c r="T242" s="157"/>
      <c r="U242" s="157"/>
      <c r="V242" s="157"/>
      <c r="W242" s="153"/>
    </row>
    <row r="243" spans="1:23" s="14" customFormat="1" x14ac:dyDescent="0.25">
      <c r="A243" s="80"/>
      <c r="B243" s="76"/>
      <c r="C243" s="153"/>
      <c r="D243" s="153"/>
      <c r="E243" s="153"/>
      <c r="F243" s="153"/>
      <c r="G243" s="153"/>
      <c r="H243" s="153"/>
      <c r="I243" s="157"/>
      <c r="J243" s="157"/>
      <c r="K243" s="157"/>
      <c r="L243" s="157"/>
      <c r="M243" s="157"/>
      <c r="N243" s="221"/>
      <c r="O243" s="157"/>
      <c r="P243" s="157"/>
      <c r="Q243" s="157"/>
      <c r="R243" s="157"/>
      <c r="S243" s="157"/>
      <c r="T243" s="157"/>
      <c r="U243" s="157"/>
      <c r="V243" s="157"/>
      <c r="W243" s="153"/>
    </row>
    <row r="244" spans="1:23" s="14" customFormat="1" x14ac:dyDescent="0.25">
      <c r="A244" s="80"/>
      <c r="B244" s="76"/>
      <c r="C244" s="153"/>
      <c r="D244" s="153"/>
      <c r="E244" s="153"/>
      <c r="F244" s="153"/>
      <c r="G244" s="153"/>
      <c r="H244" s="153"/>
      <c r="I244" s="157"/>
      <c r="J244" s="157"/>
      <c r="K244" s="157"/>
      <c r="L244" s="157"/>
      <c r="M244" s="157"/>
      <c r="N244" s="221"/>
      <c r="O244" s="157"/>
      <c r="P244" s="157"/>
      <c r="Q244" s="157"/>
      <c r="R244" s="157"/>
      <c r="S244" s="157"/>
      <c r="T244" s="157"/>
      <c r="U244" s="157"/>
      <c r="V244" s="157"/>
      <c r="W244" s="153"/>
    </row>
    <row r="245" spans="1:23" s="14" customFormat="1" x14ac:dyDescent="0.25">
      <c r="A245" s="80"/>
      <c r="B245" s="76"/>
      <c r="C245" s="153"/>
      <c r="D245" s="153"/>
      <c r="E245" s="153"/>
      <c r="F245" s="153"/>
      <c r="G245" s="153"/>
      <c r="H245" s="153"/>
      <c r="I245" s="157"/>
      <c r="J245" s="157"/>
      <c r="K245" s="157"/>
      <c r="L245" s="157"/>
      <c r="M245" s="157"/>
      <c r="N245" s="221"/>
      <c r="O245" s="157"/>
      <c r="P245" s="157"/>
      <c r="Q245" s="157"/>
      <c r="R245" s="157"/>
      <c r="S245" s="157"/>
      <c r="T245" s="157"/>
      <c r="U245" s="157"/>
      <c r="V245" s="157"/>
      <c r="W245" s="153"/>
    </row>
    <row r="246" spans="1:23" s="14" customFormat="1" x14ac:dyDescent="0.25">
      <c r="A246" s="80"/>
      <c r="B246" s="76"/>
      <c r="C246" s="153"/>
      <c r="D246" s="153"/>
      <c r="E246" s="153"/>
      <c r="F246" s="153"/>
      <c r="G246" s="153"/>
      <c r="H246" s="153"/>
      <c r="I246" s="157"/>
      <c r="J246" s="157"/>
      <c r="K246" s="157"/>
      <c r="L246" s="157"/>
      <c r="M246" s="157"/>
      <c r="N246" s="221"/>
      <c r="O246" s="157"/>
      <c r="P246" s="157"/>
      <c r="Q246" s="157"/>
      <c r="R246" s="157"/>
      <c r="S246" s="157"/>
      <c r="T246" s="157"/>
      <c r="U246" s="157"/>
      <c r="V246" s="157"/>
      <c r="W246" s="153"/>
    </row>
    <row r="247" spans="1:23" s="14" customFormat="1" x14ac:dyDescent="0.25">
      <c r="A247" s="80"/>
      <c r="B247" s="76"/>
      <c r="C247" s="153"/>
      <c r="D247" s="153"/>
      <c r="E247" s="153"/>
      <c r="F247" s="153"/>
      <c r="G247" s="153"/>
      <c r="H247" s="153"/>
      <c r="I247" s="157"/>
      <c r="J247" s="157"/>
      <c r="K247" s="157"/>
      <c r="L247" s="157"/>
      <c r="M247" s="157"/>
      <c r="N247" s="221"/>
      <c r="O247" s="157"/>
      <c r="P247" s="157"/>
      <c r="Q247" s="157"/>
      <c r="R247" s="157"/>
      <c r="S247" s="157"/>
      <c r="T247" s="157"/>
      <c r="U247" s="157"/>
      <c r="V247" s="157"/>
      <c r="W247" s="153"/>
    </row>
    <row r="248" spans="1:23" s="14" customFormat="1" x14ac:dyDescent="0.25">
      <c r="A248" s="80"/>
      <c r="B248" s="76"/>
      <c r="C248" s="153"/>
      <c r="D248" s="153"/>
      <c r="E248" s="153"/>
      <c r="F248" s="153"/>
      <c r="G248" s="153"/>
      <c r="H248" s="153"/>
      <c r="I248" s="157"/>
      <c r="J248" s="157"/>
      <c r="K248" s="157"/>
      <c r="L248" s="157"/>
      <c r="M248" s="157"/>
      <c r="N248" s="221"/>
      <c r="O248" s="157"/>
      <c r="P248" s="157"/>
      <c r="Q248" s="157"/>
      <c r="R248" s="157"/>
      <c r="S248" s="157"/>
      <c r="T248" s="157"/>
      <c r="U248" s="157"/>
      <c r="V248" s="157"/>
      <c r="W248" s="153"/>
    </row>
    <row r="249" spans="1:23" s="14" customFormat="1" x14ac:dyDescent="0.25">
      <c r="A249" s="80"/>
      <c r="B249" s="76"/>
      <c r="C249" s="153"/>
      <c r="D249" s="153"/>
      <c r="E249" s="153"/>
      <c r="F249" s="153"/>
      <c r="G249" s="153"/>
      <c r="H249" s="153"/>
      <c r="I249" s="157"/>
      <c r="J249" s="157"/>
      <c r="K249" s="157"/>
      <c r="L249" s="157"/>
      <c r="M249" s="157"/>
      <c r="N249" s="221"/>
      <c r="O249" s="157"/>
      <c r="P249" s="157"/>
      <c r="Q249" s="157"/>
      <c r="R249" s="157"/>
      <c r="S249" s="157"/>
      <c r="T249" s="157"/>
      <c r="U249" s="157"/>
      <c r="V249" s="157"/>
      <c r="W249" s="153"/>
    </row>
    <row r="250" spans="1:23" s="14" customFormat="1" x14ac:dyDescent="0.25">
      <c r="A250" s="80"/>
      <c r="B250" s="76"/>
      <c r="C250" s="153"/>
      <c r="D250" s="153"/>
      <c r="E250" s="153"/>
      <c r="F250" s="153"/>
      <c r="G250" s="153"/>
      <c r="H250" s="153"/>
      <c r="I250" s="157"/>
      <c r="J250" s="157"/>
      <c r="K250" s="157"/>
      <c r="L250" s="157"/>
      <c r="M250" s="157"/>
      <c r="N250" s="221"/>
      <c r="O250" s="157"/>
      <c r="P250" s="157"/>
      <c r="Q250" s="157"/>
      <c r="R250" s="157"/>
      <c r="S250" s="157"/>
      <c r="T250" s="157"/>
      <c r="U250" s="157"/>
      <c r="V250" s="157"/>
      <c r="W250" s="153"/>
    </row>
    <row r="251" spans="1:23" s="14" customFormat="1" x14ac:dyDescent="0.25">
      <c r="A251" s="80"/>
      <c r="B251" s="76"/>
      <c r="C251" s="153"/>
      <c r="D251" s="153"/>
      <c r="E251" s="153"/>
      <c r="F251" s="153"/>
      <c r="G251" s="153"/>
      <c r="H251" s="153"/>
      <c r="I251" s="157"/>
      <c r="J251" s="157"/>
      <c r="K251" s="157"/>
      <c r="L251" s="157"/>
      <c r="M251" s="157"/>
      <c r="N251" s="221"/>
      <c r="O251" s="157"/>
      <c r="P251" s="157"/>
      <c r="Q251" s="157"/>
      <c r="R251" s="157"/>
      <c r="S251" s="157"/>
      <c r="T251" s="157"/>
      <c r="U251" s="157"/>
      <c r="V251" s="157"/>
      <c r="W251" s="153"/>
    </row>
    <row r="252" spans="1:23" s="14" customFormat="1" x14ac:dyDescent="0.25">
      <c r="A252" s="80"/>
      <c r="B252" s="76"/>
      <c r="C252" s="153"/>
      <c r="D252" s="153"/>
      <c r="E252" s="153"/>
      <c r="F252" s="153"/>
      <c r="G252" s="153"/>
      <c r="H252" s="153"/>
      <c r="I252" s="157"/>
      <c r="J252" s="157"/>
      <c r="K252" s="157"/>
      <c r="L252" s="157"/>
      <c r="M252" s="157"/>
      <c r="N252" s="221"/>
      <c r="O252" s="157"/>
      <c r="P252" s="157"/>
      <c r="Q252" s="157"/>
      <c r="R252" s="157"/>
      <c r="S252" s="157"/>
      <c r="T252" s="157"/>
      <c r="U252" s="157"/>
      <c r="V252" s="157"/>
      <c r="W252" s="153"/>
    </row>
    <row r="253" spans="1:23" s="14" customFormat="1" x14ac:dyDescent="0.25">
      <c r="A253" s="80"/>
      <c r="B253" s="76"/>
      <c r="C253" s="153"/>
      <c r="D253" s="153"/>
      <c r="E253" s="153"/>
      <c r="F253" s="153"/>
      <c r="G253" s="153"/>
      <c r="H253" s="153"/>
      <c r="I253" s="157"/>
      <c r="J253" s="157"/>
      <c r="K253" s="157"/>
      <c r="L253" s="157"/>
      <c r="M253" s="157"/>
      <c r="N253" s="221"/>
      <c r="O253" s="157"/>
      <c r="P253" s="157"/>
      <c r="Q253" s="157"/>
      <c r="R253" s="157"/>
      <c r="S253" s="157"/>
      <c r="T253" s="157"/>
      <c r="U253" s="157"/>
      <c r="V253" s="157"/>
      <c r="W253" s="153"/>
    </row>
    <row r="254" spans="1:23" s="14" customFormat="1" x14ac:dyDescent="0.25">
      <c r="A254" s="80"/>
      <c r="B254" s="76"/>
      <c r="C254" s="153"/>
      <c r="D254" s="153"/>
      <c r="E254" s="153"/>
      <c r="F254" s="153"/>
      <c r="G254" s="153"/>
      <c r="H254" s="153"/>
      <c r="I254" s="157"/>
      <c r="J254" s="157"/>
      <c r="K254" s="157"/>
      <c r="L254" s="157"/>
      <c r="M254" s="157"/>
      <c r="N254" s="221"/>
      <c r="O254" s="157"/>
      <c r="P254" s="157"/>
      <c r="Q254" s="157"/>
      <c r="R254" s="157"/>
      <c r="S254" s="157"/>
      <c r="T254" s="157"/>
      <c r="U254" s="157"/>
      <c r="V254" s="157"/>
      <c r="W254" s="153"/>
    </row>
    <row r="255" spans="1:23" s="14" customFormat="1" x14ac:dyDescent="0.25">
      <c r="A255" s="80"/>
      <c r="B255" s="76"/>
      <c r="C255" s="153"/>
      <c r="D255" s="153"/>
      <c r="E255" s="153"/>
      <c r="F255" s="153"/>
      <c r="G255" s="153"/>
      <c r="H255" s="153"/>
      <c r="I255" s="157"/>
      <c r="J255" s="157"/>
      <c r="K255" s="157"/>
      <c r="L255" s="157"/>
      <c r="M255" s="157"/>
      <c r="N255" s="221"/>
      <c r="O255" s="157"/>
      <c r="P255" s="157"/>
      <c r="Q255" s="157"/>
      <c r="R255" s="157"/>
      <c r="S255" s="157"/>
      <c r="T255" s="157"/>
      <c r="U255" s="157"/>
      <c r="V255" s="157"/>
      <c r="W255" s="153"/>
    </row>
    <row r="256" spans="1:23" s="14" customFormat="1" x14ac:dyDescent="0.25">
      <c r="A256" s="80"/>
      <c r="B256" s="76"/>
      <c r="C256" s="153"/>
      <c r="D256" s="153"/>
      <c r="E256" s="153"/>
      <c r="F256" s="153"/>
      <c r="G256" s="153"/>
      <c r="H256" s="153"/>
      <c r="I256" s="157"/>
      <c r="J256" s="157"/>
      <c r="K256" s="157"/>
      <c r="L256" s="157"/>
      <c r="M256" s="157"/>
      <c r="N256" s="221"/>
      <c r="O256" s="157"/>
      <c r="P256" s="157"/>
      <c r="Q256" s="157"/>
      <c r="R256" s="157"/>
      <c r="S256" s="157"/>
      <c r="T256" s="157"/>
      <c r="U256" s="157"/>
      <c r="V256" s="157"/>
      <c r="W256" s="153"/>
    </row>
    <row r="257" spans="1:23" s="14" customFormat="1" x14ac:dyDescent="0.25">
      <c r="A257" s="80"/>
      <c r="B257" s="76"/>
      <c r="C257" s="153"/>
      <c r="D257" s="153"/>
      <c r="E257" s="153"/>
      <c r="F257" s="153"/>
      <c r="G257" s="153"/>
      <c r="H257" s="153"/>
      <c r="I257" s="157"/>
      <c r="J257" s="157"/>
      <c r="K257" s="157"/>
      <c r="L257" s="157"/>
      <c r="M257" s="157"/>
      <c r="N257" s="221"/>
      <c r="O257" s="157"/>
      <c r="P257" s="157"/>
      <c r="Q257" s="157"/>
      <c r="R257" s="157"/>
      <c r="S257" s="157"/>
      <c r="T257" s="157"/>
      <c r="U257" s="157"/>
      <c r="V257" s="157"/>
      <c r="W257" s="153"/>
    </row>
    <row r="258" spans="1:23" s="14" customFormat="1" x14ac:dyDescent="0.25">
      <c r="A258" s="80"/>
      <c r="B258" s="76"/>
      <c r="C258" s="153"/>
      <c r="D258" s="153"/>
      <c r="E258" s="153"/>
      <c r="F258" s="153"/>
      <c r="G258" s="153"/>
      <c r="H258" s="153"/>
      <c r="I258" s="157"/>
      <c r="J258" s="157"/>
      <c r="K258" s="157"/>
      <c r="L258" s="157"/>
      <c r="M258" s="157"/>
      <c r="N258" s="221"/>
      <c r="O258" s="157"/>
      <c r="P258" s="157"/>
      <c r="Q258" s="157"/>
      <c r="R258" s="157"/>
      <c r="S258" s="157"/>
      <c r="T258" s="157"/>
      <c r="U258" s="157"/>
      <c r="V258" s="157"/>
      <c r="W258" s="153"/>
    </row>
    <row r="259" spans="1:23" s="14" customFormat="1" x14ac:dyDescent="0.25">
      <c r="A259" s="80"/>
      <c r="B259" s="76"/>
      <c r="C259" s="153"/>
      <c r="D259" s="153"/>
      <c r="E259" s="153"/>
      <c r="F259" s="153"/>
      <c r="G259" s="153"/>
      <c r="H259" s="153"/>
      <c r="I259" s="157"/>
      <c r="J259" s="157"/>
      <c r="K259" s="157"/>
      <c r="L259" s="157"/>
      <c r="M259" s="157"/>
      <c r="N259" s="221"/>
      <c r="O259" s="157"/>
      <c r="P259" s="157"/>
      <c r="Q259" s="157"/>
      <c r="R259" s="157"/>
      <c r="S259" s="157"/>
      <c r="T259" s="157"/>
      <c r="U259" s="157"/>
      <c r="V259" s="157"/>
      <c r="W259" s="153"/>
    </row>
    <row r="260" spans="1:23" s="14" customFormat="1" x14ac:dyDescent="0.25">
      <c r="A260" s="80"/>
      <c r="B260" s="76"/>
      <c r="C260" s="153"/>
      <c r="D260" s="153"/>
      <c r="E260" s="153"/>
      <c r="F260" s="153"/>
      <c r="G260" s="153"/>
      <c r="H260" s="153"/>
      <c r="I260" s="157"/>
      <c r="J260" s="157"/>
      <c r="K260" s="157"/>
      <c r="L260" s="157"/>
      <c r="M260" s="157"/>
      <c r="N260" s="221"/>
      <c r="O260" s="157"/>
      <c r="P260" s="157"/>
      <c r="Q260" s="157"/>
      <c r="R260" s="157"/>
      <c r="S260" s="157"/>
      <c r="T260" s="157"/>
      <c r="U260" s="157"/>
      <c r="V260" s="157"/>
      <c r="W260" s="153"/>
    </row>
    <row r="261" spans="1:23" s="14" customFormat="1" x14ac:dyDescent="0.25">
      <c r="A261" s="80"/>
      <c r="B261" s="76"/>
      <c r="C261" s="153"/>
      <c r="D261" s="153"/>
      <c r="E261" s="153"/>
      <c r="F261" s="153"/>
      <c r="G261" s="153"/>
      <c r="H261" s="153"/>
      <c r="I261" s="157"/>
      <c r="J261" s="157"/>
      <c r="K261" s="157"/>
      <c r="L261" s="157"/>
      <c r="M261" s="157"/>
      <c r="N261" s="221"/>
      <c r="O261" s="157"/>
      <c r="P261" s="157"/>
      <c r="Q261" s="157"/>
      <c r="R261" s="157"/>
      <c r="S261" s="157"/>
      <c r="T261" s="157"/>
      <c r="U261" s="157"/>
      <c r="V261" s="157"/>
      <c r="W261" s="153"/>
    </row>
    <row r="262" spans="1:23" s="14" customFormat="1" x14ac:dyDescent="0.25">
      <c r="A262" s="80"/>
      <c r="B262" s="76"/>
      <c r="C262" s="153"/>
      <c r="D262" s="153"/>
      <c r="E262" s="153"/>
      <c r="F262" s="153"/>
      <c r="G262" s="153"/>
      <c r="H262" s="153"/>
      <c r="I262" s="157"/>
      <c r="J262" s="157"/>
      <c r="K262" s="157"/>
      <c r="L262" s="157"/>
      <c r="M262" s="157"/>
      <c r="N262" s="221"/>
      <c r="O262" s="157"/>
      <c r="P262" s="157"/>
      <c r="Q262" s="157"/>
      <c r="R262" s="157"/>
      <c r="S262" s="157"/>
      <c r="T262" s="157"/>
      <c r="U262" s="157"/>
      <c r="V262" s="157"/>
      <c r="W262" s="153"/>
    </row>
    <row r="263" spans="1:23" s="14" customFormat="1" x14ac:dyDescent="0.25">
      <c r="A263" s="80"/>
      <c r="B263" s="76"/>
      <c r="C263" s="153"/>
      <c r="D263" s="153"/>
      <c r="E263" s="153"/>
      <c r="F263" s="153"/>
      <c r="G263" s="153"/>
      <c r="H263" s="153"/>
      <c r="I263" s="157"/>
      <c r="J263" s="157"/>
      <c r="K263" s="157"/>
      <c r="L263" s="157"/>
      <c r="M263" s="157"/>
      <c r="N263" s="221"/>
      <c r="O263" s="157"/>
      <c r="P263" s="157"/>
      <c r="Q263" s="157"/>
      <c r="R263" s="157"/>
      <c r="S263" s="157"/>
      <c r="T263" s="157"/>
      <c r="U263" s="157"/>
      <c r="V263" s="157"/>
      <c r="W263" s="153"/>
    </row>
    <row r="264" spans="1:23" s="14" customFormat="1" x14ac:dyDescent="0.25">
      <c r="A264" s="80"/>
      <c r="B264" s="76"/>
      <c r="C264" s="153"/>
      <c r="D264" s="153"/>
      <c r="E264" s="153"/>
      <c r="F264" s="153"/>
      <c r="G264" s="153"/>
      <c r="H264" s="153"/>
      <c r="I264" s="157"/>
      <c r="J264" s="157"/>
      <c r="K264" s="157"/>
      <c r="L264" s="157"/>
      <c r="M264" s="157"/>
      <c r="N264" s="221"/>
      <c r="O264" s="157"/>
      <c r="P264" s="157"/>
      <c r="Q264" s="157"/>
      <c r="R264" s="157"/>
      <c r="S264" s="157"/>
      <c r="T264" s="157"/>
      <c r="U264" s="157"/>
      <c r="V264" s="157"/>
      <c r="W264" s="153"/>
    </row>
    <row r="265" spans="1:23" s="14" customFormat="1" x14ac:dyDescent="0.25">
      <c r="A265" s="80"/>
      <c r="B265" s="76"/>
      <c r="C265" s="153"/>
      <c r="D265" s="153"/>
      <c r="E265" s="153"/>
      <c r="F265" s="153"/>
      <c r="G265" s="153"/>
      <c r="H265" s="153"/>
      <c r="I265" s="157"/>
      <c r="J265" s="157"/>
      <c r="K265" s="157"/>
      <c r="L265" s="157"/>
      <c r="M265" s="157"/>
      <c r="N265" s="221"/>
      <c r="O265" s="157"/>
      <c r="P265" s="157"/>
      <c r="Q265" s="157"/>
      <c r="R265" s="157"/>
      <c r="S265" s="157"/>
      <c r="T265" s="157"/>
      <c r="U265" s="157"/>
      <c r="V265" s="157"/>
      <c r="W265" s="153"/>
    </row>
    <row r="266" spans="1:23" s="14" customFormat="1" x14ac:dyDescent="0.25">
      <c r="A266" s="80"/>
      <c r="B266" s="76"/>
      <c r="C266" s="153"/>
      <c r="D266" s="153"/>
      <c r="E266" s="153"/>
      <c r="F266" s="153"/>
      <c r="G266" s="153"/>
      <c r="H266" s="153"/>
      <c r="I266" s="157"/>
      <c r="J266" s="157"/>
      <c r="K266" s="157"/>
      <c r="L266" s="157"/>
      <c r="M266" s="157"/>
      <c r="N266" s="221"/>
      <c r="O266" s="157"/>
      <c r="P266" s="157"/>
      <c r="Q266" s="157"/>
      <c r="R266" s="157"/>
      <c r="S266" s="157"/>
      <c r="T266" s="157"/>
      <c r="U266" s="157"/>
      <c r="V266" s="157"/>
      <c r="W266" s="153"/>
    </row>
    <row r="267" spans="1:23" s="14" customFormat="1" x14ac:dyDescent="0.25">
      <c r="A267" s="80"/>
      <c r="B267" s="76"/>
      <c r="C267" s="153"/>
      <c r="D267" s="153"/>
      <c r="E267" s="153"/>
      <c r="F267" s="153"/>
      <c r="G267" s="153"/>
      <c r="H267" s="153"/>
      <c r="I267" s="157"/>
      <c r="J267" s="157"/>
      <c r="K267" s="157"/>
      <c r="L267" s="157"/>
      <c r="M267" s="157"/>
      <c r="N267" s="221"/>
      <c r="O267" s="157"/>
      <c r="P267" s="157"/>
      <c r="Q267" s="157"/>
      <c r="R267" s="157"/>
      <c r="S267" s="157"/>
      <c r="T267" s="157"/>
      <c r="U267" s="157"/>
      <c r="V267" s="157"/>
      <c r="W267" s="153"/>
    </row>
    <row r="268" spans="1:23" s="14" customFormat="1" x14ac:dyDescent="0.25">
      <c r="A268" s="80"/>
      <c r="B268" s="76"/>
      <c r="C268" s="153"/>
      <c r="D268" s="153"/>
      <c r="E268" s="153"/>
      <c r="F268" s="153"/>
      <c r="G268" s="153"/>
      <c r="H268" s="153"/>
      <c r="I268" s="157"/>
      <c r="J268" s="157"/>
      <c r="K268" s="157"/>
      <c r="L268" s="157"/>
      <c r="M268" s="157"/>
      <c r="N268" s="221"/>
      <c r="O268" s="157"/>
      <c r="P268" s="157"/>
      <c r="Q268" s="157"/>
      <c r="R268" s="157"/>
      <c r="S268" s="157"/>
      <c r="T268" s="157"/>
      <c r="U268" s="157"/>
      <c r="V268" s="157"/>
      <c r="W268" s="153"/>
    </row>
    <row r="269" spans="1:23" s="14" customFormat="1" x14ac:dyDescent="0.25">
      <c r="A269" s="80"/>
      <c r="B269" s="76"/>
      <c r="C269" s="153"/>
      <c r="D269" s="153"/>
      <c r="E269" s="153"/>
      <c r="F269" s="153"/>
      <c r="G269" s="153"/>
      <c r="H269" s="153"/>
      <c r="I269" s="157"/>
      <c r="J269" s="157"/>
      <c r="K269" s="157"/>
      <c r="L269" s="157"/>
      <c r="M269" s="157"/>
      <c r="N269" s="221"/>
      <c r="O269" s="157"/>
      <c r="P269" s="157"/>
      <c r="Q269" s="157"/>
      <c r="R269" s="157"/>
      <c r="S269" s="157"/>
      <c r="T269" s="157"/>
      <c r="U269" s="157"/>
      <c r="V269" s="157"/>
      <c r="W269" s="153"/>
    </row>
    <row r="270" spans="1:23" s="14" customFormat="1" x14ac:dyDescent="0.25">
      <c r="A270" s="80"/>
      <c r="B270" s="76"/>
      <c r="C270" s="153"/>
      <c r="D270" s="153"/>
      <c r="E270" s="153"/>
      <c r="F270" s="153"/>
      <c r="G270" s="153"/>
      <c r="H270" s="153"/>
      <c r="I270" s="157"/>
      <c r="J270" s="157"/>
      <c r="K270" s="157"/>
      <c r="L270" s="157"/>
      <c r="M270" s="157"/>
      <c r="N270" s="221"/>
      <c r="O270" s="157"/>
      <c r="P270" s="157"/>
      <c r="Q270" s="157"/>
      <c r="R270" s="157"/>
      <c r="S270" s="157"/>
      <c r="T270" s="157"/>
      <c r="U270" s="157"/>
      <c r="V270" s="157"/>
      <c r="W270" s="153"/>
    </row>
    <row r="271" spans="1:23" s="14" customFormat="1" x14ac:dyDescent="0.25">
      <c r="A271" s="80"/>
      <c r="B271" s="76"/>
      <c r="C271" s="153"/>
      <c r="D271" s="153"/>
      <c r="E271" s="153"/>
      <c r="F271" s="153"/>
      <c r="G271" s="153"/>
      <c r="H271" s="153"/>
      <c r="I271" s="157"/>
      <c r="J271" s="157"/>
      <c r="K271" s="157"/>
      <c r="L271" s="157"/>
      <c r="M271" s="157"/>
      <c r="N271" s="221"/>
      <c r="O271" s="157"/>
      <c r="P271" s="157"/>
      <c r="Q271" s="157"/>
      <c r="R271" s="157"/>
      <c r="S271" s="157"/>
      <c r="T271" s="157"/>
      <c r="U271" s="157"/>
      <c r="V271" s="157"/>
      <c r="W271" s="153"/>
    </row>
    <row r="272" spans="1:23" s="14" customFormat="1" x14ac:dyDescent="0.25">
      <c r="A272" s="80"/>
      <c r="B272" s="76"/>
      <c r="C272" s="153"/>
      <c r="D272" s="153"/>
      <c r="E272" s="153"/>
      <c r="F272" s="153"/>
      <c r="G272" s="153"/>
      <c r="H272" s="153"/>
      <c r="I272" s="157"/>
      <c r="J272" s="157"/>
      <c r="K272" s="157"/>
      <c r="L272" s="157"/>
      <c r="M272" s="157"/>
      <c r="N272" s="221"/>
      <c r="O272" s="157"/>
      <c r="P272" s="157"/>
      <c r="Q272" s="157"/>
      <c r="R272" s="157"/>
      <c r="S272" s="157"/>
      <c r="T272" s="157"/>
      <c r="U272" s="157"/>
      <c r="V272" s="157"/>
      <c r="W272" s="153"/>
    </row>
    <row r="273" spans="1:23" s="14" customFormat="1" x14ac:dyDescent="0.25">
      <c r="A273" s="80"/>
      <c r="B273" s="76"/>
      <c r="C273" s="153"/>
      <c r="D273" s="153"/>
      <c r="E273" s="153"/>
      <c r="F273" s="153"/>
      <c r="G273" s="153"/>
      <c r="H273" s="153"/>
      <c r="I273" s="157"/>
      <c r="J273" s="157"/>
      <c r="K273" s="157"/>
      <c r="L273" s="157"/>
      <c r="M273" s="157"/>
      <c r="N273" s="221"/>
      <c r="O273" s="157"/>
      <c r="P273" s="157"/>
      <c r="Q273" s="157"/>
      <c r="R273" s="157"/>
      <c r="S273" s="157"/>
      <c r="T273" s="157"/>
      <c r="U273" s="157"/>
      <c r="V273" s="157"/>
      <c r="W273" s="153"/>
    </row>
    <row r="274" spans="1:23" s="14" customFormat="1" x14ac:dyDescent="0.25">
      <c r="A274" s="80"/>
      <c r="B274" s="76"/>
      <c r="C274" s="153"/>
      <c r="D274" s="153"/>
      <c r="E274" s="153"/>
      <c r="F274" s="153"/>
      <c r="G274" s="153"/>
      <c r="H274" s="153"/>
      <c r="I274" s="157"/>
      <c r="J274" s="157"/>
      <c r="K274" s="157"/>
      <c r="L274" s="157"/>
      <c r="M274" s="157"/>
      <c r="N274" s="221"/>
      <c r="O274" s="157"/>
      <c r="P274" s="157"/>
      <c r="Q274" s="157"/>
      <c r="R274" s="157"/>
      <c r="S274" s="157"/>
      <c r="T274" s="157"/>
      <c r="U274" s="157"/>
      <c r="V274" s="157"/>
      <c r="W274" s="153"/>
    </row>
    <row r="275" spans="1:23" s="14" customFormat="1" x14ac:dyDescent="0.25">
      <c r="A275" s="80"/>
      <c r="B275" s="76"/>
      <c r="C275" s="153"/>
      <c r="D275" s="153"/>
      <c r="E275" s="153"/>
      <c r="F275" s="153"/>
      <c r="G275" s="153"/>
      <c r="H275" s="153"/>
      <c r="I275" s="157"/>
      <c r="J275" s="157"/>
      <c r="K275" s="157"/>
      <c r="L275" s="157"/>
      <c r="M275" s="157"/>
      <c r="N275" s="221"/>
      <c r="O275" s="157"/>
      <c r="P275" s="157"/>
      <c r="Q275" s="157"/>
      <c r="R275" s="157"/>
      <c r="S275" s="157"/>
      <c r="T275" s="157"/>
      <c r="U275" s="157"/>
      <c r="V275" s="157"/>
      <c r="W275" s="153"/>
    </row>
    <row r="276" spans="1:23" s="14" customFormat="1" x14ac:dyDescent="0.25">
      <c r="A276" s="80"/>
      <c r="B276" s="76"/>
      <c r="C276" s="153"/>
      <c r="D276" s="153"/>
      <c r="E276" s="153"/>
      <c r="F276" s="153"/>
      <c r="G276" s="153"/>
      <c r="H276" s="153"/>
      <c r="I276" s="157"/>
      <c r="J276" s="157"/>
      <c r="K276" s="157"/>
      <c r="L276" s="157"/>
      <c r="M276" s="157"/>
      <c r="N276" s="221"/>
      <c r="O276" s="157"/>
      <c r="P276" s="157"/>
      <c r="Q276" s="157"/>
      <c r="R276" s="157"/>
      <c r="S276" s="157"/>
      <c r="T276" s="157"/>
      <c r="U276" s="157"/>
      <c r="V276" s="157"/>
      <c r="W276" s="153"/>
    </row>
    <row r="277" spans="1:23" s="14" customFormat="1" x14ac:dyDescent="0.25">
      <c r="A277" s="80"/>
      <c r="B277" s="76"/>
      <c r="C277" s="153"/>
      <c r="D277" s="153"/>
      <c r="E277" s="153"/>
      <c r="F277" s="153"/>
      <c r="G277" s="153"/>
      <c r="H277" s="153"/>
      <c r="I277" s="157"/>
      <c r="J277" s="157"/>
      <c r="K277" s="157"/>
      <c r="L277" s="157"/>
      <c r="M277" s="157"/>
      <c r="N277" s="221"/>
      <c r="O277" s="157"/>
      <c r="P277" s="157"/>
      <c r="Q277" s="157"/>
      <c r="R277" s="157"/>
      <c r="S277" s="157"/>
      <c r="T277" s="157"/>
      <c r="U277" s="157"/>
      <c r="V277" s="157"/>
      <c r="W277" s="153"/>
    </row>
    <row r="278" spans="1:23" s="14" customFormat="1" x14ac:dyDescent="0.25">
      <c r="A278" s="80"/>
      <c r="B278" s="76"/>
      <c r="C278" s="153"/>
      <c r="D278" s="153"/>
      <c r="E278" s="153"/>
      <c r="F278" s="153"/>
      <c r="G278" s="153"/>
      <c r="H278" s="153"/>
      <c r="I278" s="157"/>
      <c r="J278" s="157"/>
      <c r="K278" s="157"/>
      <c r="L278" s="157"/>
      <c r="M278" s="157"/>
      <c r="N278" s="221"/>
      <c r="O278" s="157"/>
      <c r="P278" s="157"/>
      <c r="Q278" s="157"/>
      <c r="R278" s="157"/>
      <c r="S278" s="157"/>
      <c r="T278" s="157"/>
      <c r="U278" s="157"/>
      <c r="V278" s="157"/>
      <c r="W278" s="153"/>
    </row>
    <row r="279" spans="1:23" s="14" customFormat="1" x14ac:dyDescent="0.25">
      <c r="A279" s="80"/>
      <c r="B279" s="76"/>
      <c r="C279" s="153"/>
      <c r="D279" s="153"/>
      <c r="E279" s="153"/>
      <c r="F279" s="153"/>
      <c r="G279" s="153"/>
      <c r="H279" s="153"/>
      <c r="I279" s="157"/>
      <c r="J279" s="157"/>
      <c r="K279" s="157"/>
      <c r="L279" s="157"/>
      <c r="M279" s="157"/>
      <c r="N279" s="221"/>
      <c r="O279" s="157"/>
      <c r="P279" s="157"/>
      <c r="Q279" s="157"/>
      <c r="R279" s="157"/>
      <c r="S279" s="157"/>
      <c r="T279" s="157"/>
      <c r="U279" s="157"/>
      <c r="V279" s="157"/>
      <c r="W279" s="153"/>
    </row>
    <row r="280" spans="1:23" s="14" customFormat="1" x14ac:dyDescent="0.25">
      <c r="A280" s="80"/>
      <c r="B280" s="76"/>
      <c r="C280" s="153"/>
      <c r="D280" s="153"/>
      <c r="E280" s="153"/>
      <c r="F280" s="153"/>
      <c r="G280" s="153"/>
      <c r="H280" s="153"/>
      <c r="I280" s="157"/>
      <c r="J280" s="157"/>
      <c r="K280" s="157"/>
      <c r="L280" s="157"/>
      <c r="M280" s="157"/>
      <c r="N280" s="221"/>
      <c r="O280" s="157"/>
      <c r="P280" s="157"/>
      <c r="Q280" s="157"/>
      <c r="R280" s="157"/>
      <c r="S280" s="157"/>
      <c r="T280" s="157"/>
      <c r="U280" s="157"/>
      <c r="V280" s="157"/>
      <c r="W280" s="153"/>
    </row>
    <row r="281" spans="1:23" s="14" customFormat="1" x14ac:dyDescent="0.25">
      <c r="A281" s="80"/>
      <c r="B281" s="76"/>
      <c r="C281" s="153"/>
      <c r="D281" s="153"/>
      <c r="E281" s="153"/>
      <c r="F281" s="153"/>
      <c r="G281" s="153"/>
      <c r="H281" s="153"/>
      <c r="I281" s="157"/>
      <c r="J281" s="157"/>
      <c r="K281" s="157"/>
      <c r="L281" s="157"/>
      <c r="M281" s="157"/>
      <c r="N281" s="221"/>
      <c r="O281" s="157"/>
      <c r="P281" s="157"/>
      <c r="Q281" s="157"/>
      <c r="R281" s="157"/>
      <c r="S281" s="157"/>
      <c r="T281" s="157"/>
      <c r="U281" s="157"/>
      <c r="V281" s="157"/>
      <c r="W281" s="153"/>
    </row>
    <row r="282" spans="1:23" s="14" customFormat="1" x14ac:dyDescent="0.25">
      <c r="A282" s="80"/>
      <c r="B282" s="76"/>
      <c r="C282" s="153"/>
      <c r="D282" s="153"/>
      <c r="E282" s="153"/>
      <c r="F282" s="153"/>
      <c r="G282" s="153"/>
      <c r="H282" s="153"/>
      <c r="I282" s="157"/>
      <c r="J282" s="157"/>
      <c r="K282" s="157"/>
      <c r="L282" s="157"/>
      <c r="M282" s="157"/>
      <c r="N282" s="221"/>
      <c r="O282" s="157"/>
      <c r="P282" s="157"/>
      <c r="Q282" s="157"/>
      <c r="R282" s="157"/>
      <c r="S282" s="157"/>
      <c r="T282" s="157"/>
      <c r="U282" s="157"/>
      <c r="V282" s="157"/>
      <c r="W282" s="153"/>
    </row>
    <row r="283" spans="1:23" s="14" customFormat="1" x14ac:dyDescent="0.25">
      <c r="A283" s="80"/>
      <c r="B283" s="76"/>
      <c r="C283" s="153"/>
      <c r="D283" s="153"/>
      <c r="E283" s="153"/>
      <c r="F283" s="153"/>
      <c r="G283" s="153"/>
      <c r="H283" s="153"/>
      <c r="I283" s="157"/>
      <c r="J283" s="157"/>
      <c r="K283" s="157"/>
      <c r="L283" s="157"/>
      <c r="M283" s="157"/>
      <c r="N283" s="221"/>
      <c r="O283" s="157"/>
      <c r="P283" s="157"/>
      <c r="Q283" s="157"/>
      <c r="R283" s="157"/>
      <c r="S283" s="157"/>
      <c r="T283" s="157"/>
      <c r="U283" s="157"/>
      <c r="V283" s="157"/>
      <c r="W283" s="153"/>
    </row>
    <row r="284" spans="1:23" s="14" customFormat="1" x14ac:dyDescent="0.25">
      <c r="A284" s="80"/>
      <c r="B284" s="76"/>
      <c r="C284" s="153"/>
      <c r="D284" s="153"/>
      <c r="E284" s="153"/>
      <c r="F284" s="153"/>
      <c r="G284" s="153"/>
      <c r="H284" s="153"/>
      <c r="I284" s="157"/>
      <c r="J284" s="157"/>
      <c r="K284" s="157"/>
      <c r="L284" s="157"/>
      <c r="M284" s="157"/>
      <c r="N284" s="221"/>
      <c r="O284" s="157"/>
      <c r="P284" s="157"/>
      <c r="Q284" s="157"/>
      <c r="R284" s="157"/>
      <c r="S284" s="157"/>
      <c r="T284" s="157"/>
      <c r="U284" s="157"/>
      <c r="V284" s="157"/>
      <c r="W284" s="153"/>
    </row>
    <row r="285" spans="1:23" s="14" customFormat="1" x14ac:dyDescent="0.25">
      <c r="A285" s="80"/>
      <c r="B285" s="76"/>
      <c r="C285" s="153"/>
      <c r="D285" s="153"/>
      <c r="E285" s="153"/>
      <c r="F285" s="153"/>
      <c r="G285" s="153"/>
      <c r="H285" s="153"/>
      <c r="I285" s="157"/>
      <c r="J285" s="157"/>
      <c r="K285" s="157"/>
      <c r="L285" s="157"/>
      <c r="M285" s="157"/>
      <c r="N285" s="221"/>
      <c r="O285" s="157"/>
      <c r="P285" s="157"/>
      <c r="Q285" s="157"/>
      <c r="R285" s="157"/>
      <c r="S285" s="157"/>
      <c r="T285" s="157"/>
      <c r="U285" s="157"/>
      <c r="V285" s="157"/>
      <c r="W285" s="153"/>
    </row>
    <row r="286" spans="1:23" s="14" customFormat="1" x14ac:dyDescent="0.25">
      <c r="A286" s="80"/>
      <c r="B286" s="76"/>
      <c r="C286" s="153"/>
      <c r="D286" s="153"/>
      <c r="E286" s="153"/>
      <c r="F286" s="153"/>
      <c r="G286" s="153"/>
      <c r="H286" s="153"/>
      <c r="I286" s="157"/>
      <c r="J286" s="157"/>
      <c r="K286" s="157"/>
      <c r="L286" s="157"/>
      <c r="M286" s="157"/>
      <c r="N286" s="221"/>
      <c r="O286" s="157"/>
      <c r="P286" s="157"/>
      <c r="Q286" s="157"/>
      <c r="R286" s="157"/>
      <c r="S286" s="157"/>
      <c r="T286" s="157"/>
      <c r="U286" s="157"/>
      <c r="V286" s="157"/>
      <c r="W286" s="153"/>
    </row>
    <row r="287" spans="1:23" s="14" customFormat="1" x14ac:dyDescent="0.25">
      <c r="A287" s="80"/>
      <c r="B287" s="76"/>
      <c r="C287" s="153"/>
      <c r="D287" s="153"/>
      <c r="E287" s="153"/>
      <c r="F287" s="153"/>
      <c r="G287" s="153"/>
      <c r="H287" s="153"/>
      <c r="I287" s="157"/>
      <c r="J287" s="157"/>
      <c r="K287" s="157"/>
      <c r="L287" s="157"/>
      <c r="M287" s="157"/>
      <c r="N287" s="221"/>
      <c r="O287" s="157"/>
      <c r="P287" s="157"/>
      <c r="Q287" s="157"/>
      <c r="R287" s="157"/>
      <c r="S287" s="157"/>
      <c r="T287" s="157"/>
      <c r="U287" s="157"/>
      <c r="V287" s="157"/>
      <c r="W287" s="153"/>
    </row>
    <row r="288" spans="1:23" s="14" customFormat="1" x14ac:dyDescent="0.25">
      <c r="A288" s="80"/>
      <c r="B288" s="76"/>
      <c r="C288" s="153"/>
      <c r="D288" s="153"/>
      <c r="E288" s="153"/>
      <c r="F288" s="153"/>
      <c r="G288" s="153"/>
      <c r="H288" s="153"/>
      <c r="I288" s="157"/>
      <c r="J288" s="157"/>
      <c r="K288" s="157"/>
      <c r="L288" s="157"/>
      <c r="M288" s="157"/>
      <c r="N288" s="221"/>
      <c r="O288" s="157"/>
      <c r="P288" s="157"/>
      <c r="Q288" s="157"/>
      <c r="R288" s="157"/>
      <c r="S288" s="157"/>
      <c r="T288" s="157"/>
      <c r="U288" s="157"/>
      <c r="V288" s="157"/>
      <c r="W288" s="153"/>
    </row>
    <row r="289" spans="1:23" s="14" customFormat="1" x14ac:dyDescent="0.25">
      <c r="A289" s="80"/>
      <c r="B289" s="76"/>
      <c r="C289" s="153"/>
      <c r="D289" s="153"/>
      <c r="E289" s="153"/>
      <c r="F289" s="153"/>
      <c r="G289" s="153"/>
      <c r="H289" s="153"/>
      <c r="I289" s="157"/>
      <c r="J289" s="157"/>
      <c r="K289" s="157"/>
      <c r="L289" s="157"/>
      <c r="M289" s="157"/>
      <c r="N289" s="221"/>
      <c r="O289" s="157"/>
      <c r="P289" s="157"/>
      <c r="Q289" s="157"/>
      <c r="R289" s="157"/>
      <c r="S289" s="157"/>
      <c r="T289" s="157"/>
      <c r="U289" s="157"/>
      <c r="V289" s="157"/>
      <c r="W289" s="153"/>
    </row>
    <row r="290" spans="1:23" s="14" customFormat="1" x14ac:dyDescent="0.25">
      <c r="A290" s="80"/>
      <c r="B290" s="76"/>
      <c r="C290" s="153"/>
      <c r="D290" s="153"/>
      <c r="E290" s="153"/>
      <c r="F290" s="153"/>
      <c r="G290" s="153"/>
      <c r="H290" s="153"/>
      <c r="I290" s="157"/>
      <c r="J290" s="157"/>
      <c r="K290" s="157"/>
      <c r="L290" s="157"/>
      <c r="M290" s="157"/>
      <c r="N290" s="221"/>
      <c r="O290" s="157"/>
      <c r="P290" s="157"/>
      <c r="Q290" s="157"/>
      <c r="R290" s="157"/>
      <c r="S290" s="157"/>
      <c r="T290" s="157"/>
      <c r="U290" s="157"/>
      <c r="V290" s="157"/>
      <c r="W290" s="153"/>
    </row>
    <row r="291" spans="1:23" s="14" customFormat="1" x14ac:dyDescent="0.25">
      <c r="A291" s="80"/>
      <c r="B291" s="76"/>
      <c r="C291" s="153"/>
      <c r="D291" s="153"/>
      <c r="E291" s="153"/>
      <c r="F291" s="153"/>
      <c r="G291" s="153"/>
      <c r="H291" s="153"/>
      <c r="I291" s="157"/>
      <c r="J291" s="157"/>
      <c r="K291" s="157"/>
      <c r="L291" s="157"/>
      <c r="M291" s="157"/>
      <c r="N291" s="221"/>
      <c r="O291" s="157"/>
      <c r="P291" s="157"/>
      <c r="Q291" s="157"/>
      <c r="R291" s="157"/>
      <c r="S291" s="157"/>
      <c r="T291" s="157"/>
      <c r="U291" s="157"/>
      <c r="V291" s="157"/>
      <c r="W291" s="153"/>
    </row>
    <row r="292" spans="1:23" s="14" customFormat="1" x14ac:dyDescent="0.25">
      <c r="A292" s="80"/>
      <c r="B292" s="76"/>
      <c r="C292" s="153"/>
      <c r="D292" s="153"/>
      <c r="E292" s="153"/>
      <c r="F292" s="153"/>
      <c r="G292" s="153"/>
      <c r="H292" s="153"/>
      <c r="I292" s="157"/>
      <c r="J292" s="157"/>
      <c r="K292" s="157"/>
      <c r="L292" s="157"/>
      <c r="M292" s="157"/>
      <c r="N292" s="221"/>
      <c r="O292" s="157"/>
      <c r="P292" s="157"/>
      <c r="Q292" s="157"/>
      <c r="R292" s="157"/>
      <c r="S292" s="157"/>
      <c r="T292" s="157"/>
      <c r="U292" s="157"/>
      <c r="V292" s="157"/>
      <c r="W292" s="153"/>
    </row>
    <row r="293" spans="1:23" s="14" customFormat="1" x14ac:dyDescent="0.25">
      <c r="A293" s="80"/>
      <c r="B293" s="76"/>
      <c r="C293" s="153"/>
      <c r="D293" s="153"/>
      <c r="E293" s="153"/>
      <c r="F293" s="153"/>
      <c r="G293" s="153"/>
      <c r="H293" s="153"/>
      <c r="I293" s="157"/>
      <c r="J293" s="157"/>
      <c r="K293" s="157"/>
      <c r="L293" s="157"/>
      <c r="M293" s="157"/>
      <c r="N293" s="221"/>
      <c r="O293" s="157"/>
      <c r="P293" s="157"/>
      <c r="Q293" s="157"/>
      <c r="R293" s="157"/>
      <c r="S293" s="157"/>
      <c r="T293" s="157"/>
      <c r="U293" s="157"/>
      <c r="V293" s="157"/>
      <c r="W293" s="153"/>
    </row>
    <row r="294" spans="1:23" s="14" customFormat="1" x14ac:dyDescent="0.25">
      <c r="A294" s="80"/>
      <c r="B294" s="76"/>
      <c r="C294" s="153"/>
      <c r="D294" s="153"/>
      <c r="E294" s="153"/>
      <c r="F294" s="153"/>
      <c r="G294" s="153"/>
      <c r="H294" s="153"/>
      <c r="I294" s="157"/>
      <c r="J294" s="157"/>
      <c r="K294" s="157"/>
      <c r="L294" s="157"/>
      <c r="M294" s="157"/>
      <c r="N294" s="221"/>
      <c r="O294" s="157"/>
      <c r="P294" s="157"/>
      <c r="Q294" s="157"/>
      <c r="R294" s="157"/>
      <c r="S294" s="157"/>
      <c r="T294" s="157"/>
      <c r="U294" s="157"/>
      <c r="V294" s="157"/>
      <c r="W294" s="153"/>
    </row>
    <row r="295" spans="1:23" s="14" customFormat="1" x14ac:dyDescent="0.25">
      <c r="A295" s="80"/>
      <c r="B295" s="76"/>
      <c r="C295" s="153"/>
      <c r="D295" s="153"/>
      <c r="E295" s="153"/>
      <c r="F295" s="153"/>
      <c r="G295" s="153"/>
      <c r="H295" s="153"/>
      <c r="I295" s="157"/>
      <c r="J295" s="157"/>
      <c r="K295" s="157"/>
      <c r="L295" s="157"/>
      <c r="M295" s="157"/>
      <c r="N295" s="221"/>
      <c r="O295" s="157"/>
      <c r="P295" s="157"/>
      <c r="Q295" s="157"/>
      <c r="R295" s="157"/>
      <c r="S295" s="157"/>
      <c r="T295" s="157"/>
      <c r="U295" s="157"/>
      <c r="V295" s="157"/>
      <c r="W295" s="153"/>
    </row>
    <row r="296" spans="1:23" s="14" customFormat="1" x14ac:dyDescent="0.25">
      <c r="A296" s="80"/>
      <c r="B296" s="76"/>
      <c r="C296" s="153"/>
      <c r="D296" s="153"/>
      <c r="E296" s="153"/>
      <c r="F296" s="153"/>
      <c r="G296" s="153"/>
      <c r="H296" s="153"/>
      <c r="I296" s="157"/>
      <c r="J296" s="157"/>
      <c r="K296" s="157"/>
      <c r="L296" s="157"/>
      <c r="M296" s="157"/>
      <c r="N296" s="221"/>
      <c r="O296" s="157"/>
      <c r="P296" s="157"/>
      <c r="Q296" s="157"/>
      <c r="R296" s="157"/>
      <c r="S296" s="157"/>
      <c r="T296" s="157"/>
      <c r="U296" s="157"/>
      <c r="V296" s="157"/>
      <c r="W296" s="153"/>
    </row>
    <row r="297" spans="1:23" s="14" customFormat="1" x14ac:dyDescent="0.25">
      <c r="A297" s="80"/>
      <c r="B297" s="76"/>
      <c r="C297" s="153"/>
      <c r="D297" s="153"/>
      <c r="E297" s="153"/>
      <c r="F297" s="153"/>
      <c r="G297" s="153"/>
      <c r="H297" s="153"/>
      <c r="I297" s="157"/>
      <c r="J297" s="157"/>
      <c r="K297" s="157"/>
      <c r="L297" s="157"/>
      <c r="M297" s="157"/>
      <c r="N297" s="221"/>
      <c r="O297" s="157"/>
      <c r="P297" s="157"/>
      <c r="Q297" s="157"/>
      <c r="R297" s="157"/>
      <c r="S297" s="157"/>
      <c r="T297" s="157"/>
      <c r="U297" s="157"/>
      <c r="V297" s="157"/>
      <c r="W297" s="153"/>
    </row>
    <row r="298" spans="1:23" s="14" customFormat="1" x14ac:dyDescent="0.25">
      <c r="A298" s="80"/>
      <c r="B298" s="76"/>
      <c r="C298" s="153"/>
      <c r="D298" s="153"/>
      <c r="E298" s="153"/>
      <c r="F298" s="153"/>
      <c r="G298" s="153"/>
      <c r="H298" s="153"/>
      <c r="I298" s="157"/>
      <c r="J298" s="157"/>
      <c r="K298" s="157"/>
      <c r="L298" s="157"/>
      <c r="M298" s="157"/>
      <c r="N298" s="221"/>
      <c r="O298" s="157"/>
      <c r="P298" s="157"/>
      <c r="Q298" s="157"/>
      <c r="R298" s="157"/>
      <c r="S298" s="157"/>
      <c r="T298" s="157"/>
      <c r="U298" s="157"/>
      <c r="V298" s="157"/>
      <c r="W298" s="153"/>
    </row>
    <row r="299" spans="1:23" s="14" customFormat="1" x14ac:dyDescent="0.25">
      <c r="A299" s="80"/>
      <c r="B299" s="76"/>
      <c r="C299" s="153"/>
      <c r="D299" s="153"/>
      <c r="E299" s="153"/>
      <c r="F299" s="153"/>
      <c r="G299" s="153"/>
      <c r="H299" s="153"/>
      <c r="I299" s="157"/>
      <c r="J299" s="157"/>
      <c r="K299" s="157"/>
      <c r="L299" s="157"/>
      <c r="M299" s="157"/>
      <c r="N299" s="221"/>
      <c r="O299" s="157"/>
      <c r="P299" s="157"/>
      <c r="Q299" s="157"/>
      <c r="R299" s="157"/>
      <c r="S299" s="157"/>
      <c r="T299" s="157"/>
      <c r="U299" s="157"/>
      <c r="V299" s="157"/>
      <c r="W299" s="153"/>
    </row>
    <row r="300" spans="1:23" s="14" customFormat="1" x14ac:dyDescent="0.25">
      <c r="A300" s="80"/>
      <c r="B300" s="76"/>
      <c r="C300" s="153"/>
      <c r="D300" s="153"/>
      <c r="E300" s="153"/>
      <c r="F300" s="153"/>
      <c r="G300" s="153"/>
      <c r="H300" s="153"/>
      <c r="I300" s="157"/>
      <c r="J300" s="157"/>
      <c r="K300" s="157"/>
      <c r="L300" s="157"/>
      <c r="M300" s="157"/>
      <c r="N300" s="221"/>
      <c r="O300" s="157"/>
      <c r="P300" s="157"/>
      <c r="Q300" s="157"/>
      <c r="R300" s="157"/>
      <c r="S300" s="157"/>
      <c r="T300" s="157"/>
      <c r="U300" s="157"/>
      <c r="V300" s="157"/>
      <c r="W300" s="153"/>
    </row>
    <row r="301" spans="1:23" s="14" customFormat="1" x14ac:dyDescent="0.25">
      <c r="A301" s="80"/>
      <c r="B301" s="76"/>
      <c r="C301" s="153"/>
      <c r="D301" s="153"/>
      <c r="E301" s="153"/>
      <c r="F301" s="153"/>
      <c r="G301" s="153"/>
      <c r="H301" s="153"/>
      <c r="I301" s="157"/>
      <c r="J301" s="157"/>
      <c r="K301" s="157"/>
      <c r="L301" s="157"/>
      <c r="M301" s="157"/>
      <c r="N301" s="221"/>
      <c r="O301" s="157"/>
      <c r="P301" s="157"/>
      <c r="Q301" s="157"/>
      <c r="R301" s="157"/>
      <c r="S301" s="157"/>
      <c r="T301" s="157"/>
      <c r="U301" s="157"/>
      <c r="V301" s="157"/>
      <c r="W301" s="153"/>
    </row>
    <row r="302" spans="1:23" s="14" customFormat="1" x14ac:dyDescent="0.25">
      <c r="A302" s="80"/>
      <c r="B302" s="76"/>
      <c r="C302" s="153"/>
      <c r="D302" s="153"/>
      <c r="E302" s="153"/>
      <c r="F302" s="153"/>
      <c r="G302" s="153"/>
      <c r="H302" s="153"/>
      <c r="I302" s="157"/>
      <c r="J302" s="157"/>
      <c r="K302" s="157"/>
      <c r="L302" s="157"/>
      <c r="M302" s="157"/>
      <c r="N302" s="221"/>
      <c r="O302" s="157"/>
      <c r="P302" s="157"/>
      <c r="Q302" s="157"/>
      <c r="R302" s="157"/>
      <c r="S302" s="157"/>
      <c r="T302" s="157"/>
      <c r="U302" s="157"/>
      <c r="V302" s="157"/>
      <c r="W302" s="153"/>
    </row>
    <row r="303" spans="1:23" s="14" customFormat="1" x14ac:dyDescent="0.25">
      <c r="A303" s="80"/>
      <c r="B303" s="76"/>
      <c r="C303" s="153"/>
      <c r="D303" s="153"/>
      <c r="E303" s="153"/>
      <c r="F303" s="153"/>
      <c r="G303" s="153"/>
      <c r="H303" s="153"/>
      <c r="I303" s="157"/>
      <c r="J303" s="157"/>
      <c r="K303" s="157"/>
      <c r="L303" s="157"/>
      <c r="M303" s="157"/>
      <c r="N303" s="221"/>
      <c r="O303" s="157"/>
      <c r="P303" s="157"/>
      <c r="Q303" s="157"/>
      <c r="R303" s="157"/>
      <c r="S303" s="157"/>
      <c r="T303" s="157"/>
      <c r="U303" s="157"/>
      <c r="V303" s="157"/>
      <c r="W303" s="153"/>
    </row>
    <row r="304" spans="1:23" s="14" customFormat="1" x14ac:dyDescent="0.25">
      <c r="A304" s="80"/>
      <c r="B304" s="76"/>
      <c r="C304" s="153"/>
      <c r="D304" s="153"/>
      <c r="E304" s="153"/>
      <c r="F304" s="153"/>
      <c r="G304" s="153"/>
      <c r="H304" s="153"/>
      <c r="I304" s="157"/>
      <c r="J304" s="157"/>
      <c r="K304" s="157"/>
      <c r="L304" s="157"/>
      <c r="M304" s="157"/>
      <c r="N304" s="221"/>
      <c r="O304" s="157"/>
      <c r="P304" s="157"/>
      <c r="Q304" s="157"/>
      <c r="R304" s="157"/>
      <c r="S304" s="157"/>
      <c r="T304" s="157"/>
      <c r="U304" s="157"/>
      <c r="V304" s="157"/>
      <c r="W304" s="153"/>
    </row>
    <row r="305" spans="1:23" s="14" customFormat="1" x14ac:dyDescent="0.25">
      <c r="A305" s="80"/>
      <c r="B305" s="76"/>
      <c r="C305" s="153"/>
      <c r="D305" s="153"/>
      <c r="E305" s="153"/>
      <c r="F305" s="153"/>
      <c r="G305" s="153"/>
      <c r="H305" s="153"/>
      <c r="I305" s="157"/>
      <c r="J305" s="157"/>
      <c r="K305" s="157"/>
      <c r="L305" s="157"/>
      <c r="M305" s="157"/>
      <c r="N305" s="221"/>
      <c r="O305" s="157"/>
      <c r="P305" s="157"/>
      <c r="Q305" s="157"/>
      <c r="R305" s="157"/>
      <c r="S305" s="157"/>
      <c r="T305" s="157"/>
      <c r="U305" s="157"/>
      <c r="V305" s="157"/>
      <c r="W305" s="153"/>
    </row>
    <row r="306" spans="1:23" s="14" customFormat="1" x14ac:dyDescent="0.25">
      <c r="A306" s="80"/>
      <c r="B306" s="76"/>
      <c r="C306" s="153"/>
      <c r="D306" s="153"/>
      <c r="E306" s="153"/>
      <c r="F306" s="153"/>
      <c r="G306" s="153"/>
      <c r="H306" s="153"/>
      <c r="I306" s="157"/>
      <c r="J306" s="157"/>
      <c r="K306" s="157"/>
      <c r="L306" s="157"/>
      <c r="M306" s="157"/>
      <c r="N306" s="221"/>
      <c r="O306" s="157"/>
      <c r="P306" s="157"/>
      <c r="Q306" s="157"/>
      <c r="R306" s="157"/>
      <c r="S306" s="157"/>
      <c r="T306" s="157"/>
      <c r="U306" s="157"/>
      <c r="V306" s="157"/>
      <c r="W306" s="153"/>
    </row>
    <row r="307" spans="1:23" s="14" customFormat="1" x14ac:dyDescent="0.25">
      <c r="A307" s="80"/>
      <c r="B307" s="76"/>
      <c r="C307" s="153"/>
      <c r="D307" s="153"/>
      <c r="E307" s="153"/>
      <c r="F307" s="153"/>
      <c r="G307" s="153"/>
      <c r="H307" s="153"/>
      <c r="I307" s="157"/>
      <c r="J307" s="157"/>
      <c r="K307" s="157"/>
      <c r="L307" s="157"/>
      <c r="M307" s="157"/>
      <c r="N307" s="221"/>
      <c r="O307" s="157"/>
      <c r="P307" s="157"/>
      <c r="Q307" s="157"/>
      <c r="R307" s="157"/>
      <c r="S307" s="157"/>
      <c r="T307" s="157"/>
      <c r="U307" s="157"/>
      <c r="V307" s="157"/>
      <c r="W307" s="153"/>
    </row>
    <row r="308" spans="1:23" s="14" customFormat="1" x14ac:dyDescent="0.25">
      <c r="A308" s="80"/>
      <c r="B308" s="76"/>
      <c r="C308" s="153"/>
      <c r="D308" s="153"/>
      <c r="E308" s="153"/>
      <c r="F308" s="153"/>
      <c r="G308" s="153"/>
      <c r="H308" s="153"/>
      <c r="I308" s="157"/>
      <c r="J308" s="157"/>
      <c r="K308" s="157"/>
      <c r="L308" s="157"/>
      <c r="M308" s="157"/>
      <c r="N308" s="221"/>
      <c r="O308" s="157"/>
      <c r="P308" s="157"/>
      <c r="Q308" s="157"/>
      <c r="R308" s="157"/>
      <c r="S308" s="157"/>
      <c r="T308" s="157"/>
      <c r="U308" s="157"/>
      <c r="V308" s="157"/>
      <c r="W308" s="153"/>
    </row>
    <row r="309" spans="1:23" s="14" customFormat="1" x14ac:dyDescent="0.25">
      <c r="A309" s="80"/>
      <c r="B309" s="76"/>
      <c r="C309" s="153"/>
      <c r="D309" s="153"/>
      <c r="E309" s="153"/>
      <c r="F309" s="153"/>
      <c r="G309" s="153"/>
      <c r="H309" s="153"/>
      <c r="I309" s="157"/>
      <c r="J309" s="157"/>
      <c r="K309" s="157"/>
      <c r="L309" s="157"/>
      <c r="M309" s="157"/>
      <c r="N309" s="221"/>
      <c r="O309" s="157"/>
      <c r="P309" s="157"/>
      <c r="Q309" s="157"/>
      <c r="R309" s="157"/>
      <c r="S309" s="157"/>
      <c r="T309" s="157"/>
      <c r="U309" s="157"/>
      <c r="V309" s="157"/>
      <c r="W309" s="153"/>
    </row>
    <row r="310" spans="1:23" s="14" customFormat="1" x14ac:dyDescent="0.25">
      <c r="A310" s="80"/>
      <c r="B310" s="76"/>
      <c r="C310" s="153"/>
      <c r="D310" s="153"/>
      <c r="E310" s="153"/>
      <c r="F310" s="153"/>
      <c r="G310" s="153"/>
      <c r="H310" s="153"/>
      <c r="I310" s="157"/>
      <c r="J310" s="157"/>
      <c r="K310" s="157"/>
      <c r="L310" s="157"/>
      <c r="M310" s="157"/>
      <c r="N310" s="221"/>
      <c r="O310" s="157"/>
      <c r="P310" s="157"/>
      <c r="Q310" s="157"/>
      <c r="R310" s="157"/>
      <c r="S310" s="157"/>
      <c r="T310" s="157"/>
      <c r="U310" s="157"/>
      <c r="V310" s="157"/>
      <c r="W310" s="153"/>
    </row>
    <row r="311" spans="1:23" s="14" customFormat="1" x14ac:dyDescent="0.25">
      <c r="A311" s="80"/>
      <c r="B311" s="76"/>
      <c r="C311" s="153"/>
      <c r="D311" s="153"/>
      <c r="E311" s="153"/>
      <c r="F311" s="153"/>
      <c r="G311" s="153"/>
      <c r="H311" s="153"/>
      <c r="I311" s="157"/>
      <c r="J311" s="157"/>
      <c r="K311" s="157"/>
      <c r="L311" s="157"/>
      <c r="M311" s="157"/>
      <c r="N311" s="221"/>
      <c r="O311" s="157"/>
      <c r="P311" s="157"/>
      <c r="Q311" s="157"/>
      <c r="R311" s="157"/>
      <c r="S311" s="157"/>
      <c r="T311" s="157"/>
      <c r="U311" s="157"/>
      <c r="V311" s="157"/>
      <c r="W311" s="153"/>
    </row>
    <row r="312" spans="1:23" s="14" customFormat="1" x14ac:dyDescent="0.25">
      <c r="A312" s="80"/>
      <c r="B312" s="76"/>
      <c r="C312" s="153"/>
      <c r="D312" s="153"/>
      <c r="E312" s="153"/>
      <c r="F312" s="153"/>
      <c r="G312" s="153"/>
      <c r="H312" s="153"/>
      <c r="I312" s="157"/>
      <c r="J312" s="157"/>
      <c r="K312" s="157"/>
      <c r="L312" s="157"/>
      <c r="M312" s="157"/>
      <c r="N312" s="221"/>
      <c r="O312" s="157"/>
      <c r="P312" s="157"/>
      <c r="Q312" s="157"/>
      <c r="R312" s="157"/>
      <c r="S312" s="157"/>
      <c r="T312" s="157"/>
      <c r="U312" s="157"/>
      <c r="V312" s="157"/>
      <c r="W312" s="153"/>
    </row>
    <row r="313" spans="1:23" s="14" customFormat="1" x14ac:dyDescent="0.25">
      <c r="A313" s="80"/>
      <c r="B313" s="76"/>
      <c r="C313" s="153"/>
      <c r="D313" s="153"/>
      <c r="E313" s="153"/>
      <c r="F313" s="153"/>
      <c r="G313" s="153"/>
      <c r="H313" s="153"/>
      <c r="I313" s="157"/>
      <c r="J313" s="157"/>
      <c r="K313" s="157"/>
      <c r="L313" s="157"/>
      <c r="M313" s="157"/>
      <c r="N313" s="221"/>
      <c r="O313" s="157"/>
      <c r="P313" s="157"/>
      <c r="Q313" s="157"/>
      <c r="R313" s="157"/>
      <c r="S313" s="157"/>
      <c r="T313" s="157"/>
      <c r="U313" s="157"/>
      <c r="V313" s="157"/>
      <c r="W313" s="153"/>
    </row>
    <row r="314" spans="1:23" s="14" customFormat="1" x14ac:dyDescent="0.25">
      <c r="A314" s="80"/>
      <c r="B314" s="76"/>
      <c r="C314" s="153"/>
      <c r="D314" s="153"/>
      <c r="E314" s="153"/>
      <c r="F314" s="153"/>
      <c r="G314" s="153"/>
      <c r="H314" s="153"/>
      <c r="I314" s="157"/>
      <c r="J314" s="157"/>
      <c r="K314" s="157"/>
      <c r="L314" s="157"/>
      <c r="M314" s="157"/>
      <c r="N314" s="221"/>
      <c r="O314" s="157"/>
      <c r="P314" s="157"/>
      <c r="Q314" s="157"/>
      <c r="R314" s="157"/>
      <c r="S314" s="157"/>
      <c r="T314" s="157"/>
      <c r="U314" s="157"/>
      <c r="V314" s="157"/>
      <c r="W314" s="153"/>
    </row>
    <row r="315" spans="1:23" s="14" customFormat="1" x14ac:dyDescent="0.25">
      <c r="A315" s="80"/>
      <c r="B315" s="76"/>
      <c r="C315" s="153"/>
      <c r="D315" s="153"/>
      <c r="E315" s="153"/>
      <c r="F315" s="153"/>
      <c r="G315" s="153"/>
      <c r="H315" s="153"/>
      <c r="I315" s="157"/>
      <c r="J315" s="157"/>
      <c r="K315" s="157"/>
      <c r="L315" s="157"/>
      <c r="M315" s="157"/>
      <c r="N315" s="221"/>
      <c r="O315" s="157"/>
      <c r="P315" s="157"/>
      <c r="Q315" s="157"/>
      <c r="R315" s="157"/>
      <c r="S315" s="157"/>
      <c r="T315" s="157"/>
      <c r="U315" s="157"/>
      <c r="V315" s="157"/>
      <c r="W315" s="153"/>
    </row>
    <row r="316" spans="1:23" s="14" customFormat="1" x14ac:dyDescent="0.25">
      <c r="A316" s="80"/>
      <c r="B316" s="76"/>
      <c r="C316" s="153"/>
      <c r="D316" s="153"/>
      <c r="E316" s="153"/>
      <c r="F316" s="153"/>
      <c r="G316" s="153"/>
      <c r="H316" s="153"/>
      <c r="I316" s="157"/>
      <c r="J316" s="157"/>
      <c r="K316" s="157"/>
      <c r="L316" s="157"/>
      <c r="M316" s="157"/>
      <c r="N316" s="221"/>
      <c r="O316" s="157"/>
      <c r="P316" s="157"/>
      <c r="Q316" s="157"/>
      <c r="R316" s="157"/>
      <c r="S316" s="157"/>
      <c r="T316" s="157"/>
      <c r="U316" s="157"/>
      <c r="V316" s="157"/>
      <c r="W316" s="153"/>
    </row>
    <row r="317" spans="1:23" s="14" customFormat="1" x14ac:dyDescent="0.25">
      <c r="A317" s="80"/>
      <c r="B317" s="76"/>
      <c r="C317" s="153"/>
      <c r="D317" s="153"/>
      <c r="E317" s="153"/>
      <c r="F317" s="153"/>
      <c r="G317" s="153"/>
      <c r="H317" s="153"/>
      <c r="I317" s="157"/>
      <c r="J317" s="157"/>
      <c r="K317" s="157"/>
      <c r="L317" s="157"/>
      <c r="M317" s="157"/>
      <c r="N317" s="221"/>
      <c r="O317" s="157"/>
      <c r="P317" s="157"/>
      <c r="Q317" s="157"/>
      <c r="R317" s="157"/>
      <c r="S317" s="157"/>
      <c r="T317" s="157"/>
      <c r="U317" s="157"/>
      <c r="V317" s="157"/>
      <c r="W317" s="153"/>
    </row>
    <row r="318" spans="1:23" s="14" customFormat="1" x14ac:dyDescent="0.25">
      <c r="A318" s="80"/>
      <c r="B318" s="76"/>
      <c r="C318" s="153"/>
      <c r="D318" s="153"/>
      <c r="E318" s="153"/>
      <c r="F318" s="153"/>
      <c r="G318" s="153"/>
      <c r="H318" s="153"/>
      <c r="I318" s="157"/>
      <c r="J318" s="157"/>
      <c r="K318" s="157"/>
      <c r="L318" s="157"/>
      <c r="M318" s="157"/>
      <c r="N318" s="221"/>
      <c r="O318" s="157"/>
      <c r="P318" s="157"/>
      <c r="Q318" s="157"/>
      <c r="R318" s="157"/>
      <c r="S318" s="157"/>
      <c r="T318" s="157"/>
      <c r="U318" s="157"/>
      <c r="V318" s="157"/>
      <c r="W318" s="153"/>
    </row>
    <row r="319" spans="1:23" s="14" customFormat="1" x14ac:dyDescent="0.25">
      <c r="A319" s="80"/>
      <c r="B319" s="76"/>
      <c r="C319" s="153"/>
      <c r="D319" s="153"/>
      <c r="E319" s="153"/>
      <c r="F319" s="153"/>
      <c r="G319" s="153"/>
      <c r="H319" s="153"/>
      <c r="I319" s="157"/>
      <c r="J319" s="157"/>
      <c r="K319" s="157"/>
      <c r="L319" s="157"/>
      <c r="M319" s="157"/>
      <c r="N319" s="221"/>
      <c r="O319" s="157"/>
      <c r="P319" s="157"/>
      <c r="Q319" s="157"/>
      <c r="R319" s="157"/>
      <c r="S319" s="157"/>
      <c r="T319" s="157"/>
      <c r="U319" s="157"/>
      <c r="V319" s="157"/>
      <c r="W319" s="153"/>
    </row>
    <row r="320" spans="1:23" s="14" customFormat="1" x14ac:dyDescent="0.25">
      <c r="A320" s="80"/>
      <c r="B320" s="76"/>
      <c r="C320" s="153"/>
      <c r="D320" s="153"/>
      <c r="E320" s="153"/>
      <c r="F320" s="153"/>
      <c r="G320" s="153"/>
      <c r="H320" s="153"/>
      <c r="I320" s="157"/>
      <c r="J320" s="157"/>
      <c r="K320" s="157"/>
      <c r="L320" s="157"/>
      <c r="M320" s="157"/>
      <c r="N320" s="221"/>
      <c r="O320" s="157"/>
      <c r="P320" s="157"/>
      <c r="Q320" s="157"/>
      <c r="R320" s="157"/>
      <c r="S320" s="157"/>
      <c r="T320" s="157"/>
      <c r="U320" s="157"/>
      <c r="V320" s="157"/>
      <c r="W320" s="153"/>
    </row>
    <row r="321" spans="1:23" s="14" customFormat="1" x14ac:dyDescent="0.25">
      <c r="A321" s="80"/>
      <c r="B321" s="76"/>
      <c r="C321" s="153"/>
      <c r="D321" s="153"/>
      <c r="E321" s="153"/>
      <c r="F321" s="153"/>
      <c r="G321" s="153"/>
      <c r="H321" s="153"/>
      <c r="I321" s="157"/>
      <c r="J321" s="157"/>
      <c r="K321" s="157"/>
      <c r="L321" s="157"/>
      <c r="M321" s="157"/>
      <c r="N321" s="221"/>
      <c r="O321" s="157"/>
      <c r="P321" s="157"/>
      <c r="Q321" s="157"/>
      <c r="R321" s="157"/>
      <c r="S321" s="157"/>
      <c r="T321" s="157"/>
      <c r="U321" s="157"/>
      <c r="V321" s="157"/>
      <c r="W321" s="153"/>
    </row>
    <row r="322" spans="1:23" s="14" customFormat="1" x14ac:dyDescent="0.25">
      <c r="A322" s="80"/>
      <c r="B322" s="76"/>
      <c r="C322" s="153"/>
      <c r="D322" s="153"/>
      <c r="E322" s="153"/>
      <c r="F322" s="153"/>
      <c r="G322" s="153"/>
      <c r="H322" s="153"/>
      <c r="I322" s="157"/>
      <c r="J322" s="157"/>
      <c r="K322" s="157"/>
      <c r="L322" s="157"/>
      <c r="M322" s="157"/>
      <c r="N322" s="221"/>
      <c r="O322" s="157"/>
      <c r="P322" s="157"/>
      <c r="Q322" s="157"/>
      <c r="R322" s="157"/>
      <c r="S322" s="157"/>
      <c r="T322" s="157"/>
      <c r="U322" s="157"/>
      <c r="V322" s="157"/>
      <c r="W322" s="153"/>
    </row>
    <row r="323" spans="1:23" s="14" customFormat="1" x14ac:dyDescent="0.25">
      <c r="A323" s="80"/>
      <c r="B323" s="76"/>
      <c r="C323" s="153"/>
      <c r="D323" s="153"/>
      <c r="E323" s="153"/>
      <c r="F323" s="153"/>
      <c r="G323" s="153"/>
      <c r="H323" s="153"/>
      <c r="I323" s="157"/>
      <c r="J323" s="157"/>
      <c r="K323" s="157"/>
      <c r="L323" s="157"/>
      <c r="M323" s="157"/>
      <c r="N323" s="221"/>
      <c r="O323" s="157"/>
      <c r="P323" s="157"/>
      <c r="Q323" s="157"/>
      <c r="R323" s="157"/>
      <c r="S323" s="157"/>
      <c r="T323" s="157"/>
      <c r="U323" s="157"/>
      <c r="V323" s="157"/>
      <c r="W323" s="153"/>
    </row>
    <row r="324" spans="1:23" s="14" customFormat="1" x14ac:dyDescent="0.25">
      <c r="A324" s="80"/>
      <c r="B324" s="76"/>
      <c r="C324" s="153"/>
      <c r="D324" s="153"/>
      <c r="E324" s="153"/>
      <c r="F324" s="153"/>
      <c r="G324" s="153"/>
      <c r="H324" s="153"/>
      <c r="I324" s="157"/>
      <c r="J324" s="157"/>
      <c r="K324" s="157"/>
      <c r="L324" s="157"/>
      <c r="M324" s="157"/>
      <c r="N324" s="221"/>
      <c r="O324" s="157"/>
      <c r="P324" s="157"/>
      <c r="Q324" s="157"/>
      <c r="R324" s="157"/>
      <c r="S324" s="157"/>
      <c r="T324" s="157"/>
      <c r="U324" s="157"/>
      <c r="V324" s="157"/>
      <c r="W324" s="153"/>
    </row>
    <row r="325" spans="1:23" s="14" customFormat="1" x14ac:dyDescent="0.25">
      <c r="A325" s="80"/>
      <c r="B325" s="76"/>
      <c r="C325" s="153"/>
      <c r="D325" s="153"/>
      <c r="E325" s="153"/>
      <c r="F325" s="153"/>
      <c r="G325" s="153"/>
      <c r="H325" s="153"/>
      <c r="I325" s="157"/>
      <c r="J325" s="157"/>
      <c r="K325" s="157"/>
      <c r="L325" s="157"/>
      <c r="M325" s="157"/>
      <c r="N325" s="221"/>
      <c r="O325" s="157"/>
      <c r="P325" s="157"/>
      <c r="Q325" s="157"/>
      <c r="R325" s="157"/>
      <c r="S325" s="157"/>
      <c r="T325" s="157"/>
      <c r="U325" s="157"/>
      <c r="V325" s="157"/>
      <c r="W325" s="153"/>
    </row>
    <row r="326" spans="1:23" s="14" customFormat="1" x14ac:dyDescent="0.25">
      <c r="A326" s="80"/>
      <c r="B326" s="76"/>
      <c r="C326" s="153"/>
      <c r="D326" s="153"/>
      <c r="E326" s="153"/>
      <c r="F326" s="153"/>
      <c r="G326" s="153"/>
      <c r="H326" s="153"/>
      <c r="I326" s="157"/>
      <c r="J326" s="157"/>
      <c r="K326" s="157"/>
      <c r="L326" s="157"/>
      <c r="M326" s="157"/>
      <c r="N326" s="221"/>
      <c r="O326" s="157"/>
      <c r="P326" s="157"/>
      <c r="Q326" s="157"/>
      <c r="R326" s="157"/>
      <c r="S326" s="157"/>
      <c r="T326" s="157"/>
      <c r="U326" s="157"/>
      <c r="V326" s="157"/>
      <c r="W326" s="153"/>
    </row>
    <row r="327" spans="1:23" s="14" customFormat="1" x14ac:dyDescent="0.25">
      <c r="A327" s="80"/>
      <c r="B327" s="76"/>
      <c r="C327" s="153"/>
      <c r="D327" s="153"/>
      <c r="E327" s="153"/>
      <c r="F327" s="153"/>
      <c r="G327" s="153"/>
      <c r="H327" s="153"/>
      <c r="I327" s="157"/>
      <c r="J327" s="157"/>
      <c r="K327" s="157"/>
      <c r="L327" s="157"/>
      <c r="M327" s="157"/>
      <c r="N327" s="221"/>
      <c r="O327" s="157"/>
      <c r="P327" s="157"/>
      <c r="Q327" s="157"/>
      <c r="R327" s="157"/>
      <c r="S327" s="157"/>
      <c r="T327" s="157"/>
      <c r="U327" s="157"/>
      <c r="V327" s="157"/>
      <c r="W327" s="153"/>
    </row>
    <row r="328" spans="1:23" s="14" customFormat="1" x14ac:dyDescent="0.25">
      <c r="A328" s="80"/>
      <c r="B328" s="76"/>
      <c r="C328" s="153"/>
      <c r="D328" s="153"/>
      <c r="E328" s="153"/>
      <c r="F328" s="153"/>
      <c r="G328" s="153"/>
      <c r="H328" s="153"/>
      <c r="I328" s="157"/>
      <c r="J328" s="157"/>
      <c r="K328" s="157"/>
      <c r="L328" s="157"/>
      <c r="M328" s="157"/>
      <c r="N328" s="221"/>
      <c r="O328" s="157"/>
      <c r="P328" s="157"/>
      <c r="Q328" s="157"/>
      <c r="R328" s="157"/>
      <c r="S328" s="157"/>
      <c r="T328" s="157"/>
      <c r="U328" s="157"/>
      <c r="V328" s="157"/>
      <c r="W328" s="153"/>
    </row>
    <row r="329" spans="1:23" s="14" customFormat="1" x14ac:dyDescent="0.25">
      <c r="A329" s="80"/>
      <c r="B329" s="76"/>
      <c r="C329" s="153"/>
      <c r="D329" s="153"/>
      <c r="E329" s="153"/>
      <c r="F329" s="153"/>
      <c r="G329" s="153"/>
      <c r="H329" s="153"/>
      <c r="I329" s="157"/>
      <c r="J329" s="157"/>
      <c r="K329" s="157"/>
      <c r="L329" s="157"/>
      <c r="M329" s="157"/>
      <c r="N329" s="221"/>
      <c r="O329" s="157"/>
      <c r="P329" s="157"/>
      <c r="Q329" s="157"/>
      <c r="R329" s="157"/>
      <c r="S329" s="157"/>
      <c r="T329" s="157"/>
      <c r="U329" s="157"/>
      <c r="V329" s="157"/>
      <c r="W329" s="153"/>
    </row>
    <row r="330" spans="1:23" s="14" customFormat="1" x14ac:dyDescent="0.25">
      <c r="A330" s="80"/>
      <c r="B330" s="76"/>
      <c r="C330" s="153"/>
      <c r="D330" s="153"/>
      <c r="E330" s="153"/>
      <c r="F330" s="153"/>
      <c r="G330" s="153"/>
      <c r="H330" s="153"/>
      <c r="I330" s="157"/>
      <c r="J330" s="157"/>
      <c r="K330" s="157"/>
      <c r="L330" s="157"/>
      <c r="M330" s="157"/>
      <c r="N330" s="221"/>
      <c r="O330" s="157"/>
      <c r="P330" s="157"/>
      <c r="Q330" s="157"/>
      <c r="R330" s="157"/>
      <c r="S330" s="157"/>
      <c r="T330" s="157"/>
      <c r="U330" s="157"/>
      <c r="V330" s="157"/>
      <c r="W330" s="153"/>
    </row>
    <row r="331" spans="1:23" s="14" customFormat="1" x14ac:dyDescent="0.25">
      <c r="A331" s="80"/>
      <c r="B331" s="76"/>
      <c r="C331" s="153"/>
      <c r="D331" s="153"/>
      <c r="E331" s="153"/>
      <c r="F331" s="153"/>
      <c r="G331" s="153"/>
      <c r="H331" s="153"/>
      <c r="I331" s="157"/>
      <c r="J331" s="157"/>
      <c r="K331" s="157"/>
      <c r="L331" s="157"/>
      <c r="M331" s="157"/>
      <c r="N331" s="221"/>
      <c r="O331" s="157"/>
      <c r="P331" s="157"/>
      <c r="Q331" s="157"/>
      <c r="R331" s="157"/>
      <c r="S331" s="157"/>
      <c r="T331" s="157"/>
      <c r="U331" s="157"/>
      <c r="V331" s="157"/>
      <c r="W331" s="153"/>
    </row>
    <row r="332" spans="1:23" s="14" customFormat="1" x14ac:dyDescent="0.25">
      <c r="A332" s="80"/>
      <c r="B332" s="76"/>
      <c r="C332" s="153"/>
      <c r="D332" s="153"/>
      <c r="E332" s="153"/>
      <c r="F332" s="153"/>
      <c r="G332" s="153"/>
      <c r="H332" s="153"/>
      <c r="I332" s="157"/>
      <c r="J332" s="157"/>
      <c r="K332" s="157"/>
      <c r="L332" s="157"/>
      <c r="M332" s="157"/>
      <c r="N332" s="221"/>
      <c r="O332" s="157"/>
      <c r="P332" s="157"/>
      <c r="Q332" s="157"/>
      <c r="R332" s="157"/>
      <c r="S332" s="157"/>
      <c r="T332" s="157"/>
      <c r="U332" s="157"/>
      <c r="V332" s="157"/>
      <c r="W332" s="153"/>
    </row>
    <row r="333" spans="1:23" s="14" customFormat="1" x14ac:dyDescent="0.25">
      <c r="A333" s="80"/>
      <c r="B333" s="76"/>
      <c r="C333" s="153"/>
      <c r="D333" s="153"/>
      <c r="E333" s="153"/>
      <c r="F333" s="153"/>
      <c r="G333" s="153"/>
      <c r="H333" s="153"/>
      <c r="I333" s="157"/>
      <c r="J333" s="157"/>
      <c r="K333" s="157"/>
      <c r="L333" s="157"/>
      <c r="M333" s="157"/>
      <c r="N333" s="221"/>
      <c r="O333" s="157"/>
      <c r="P333" s="157"/>
      <c r="Q333" s="157"/>
      <c r="R333" s="157"/>
      <c r="S333" s="157"/>
      <c r="T333" s="157"/>
      <c r="U333" s="157"/>
      <c r="V333" s="157"/>
      <c r="W333" s="153"/>
    </row>
    <row r="334" spans="1:23" s="14" customFormat="1" x14ac:dyDescent="0.25">
      <c r="A334" s="80"/>
      <c r="B334" s="76"/>
      <c r="C334" s="153"/>
      <c r="D334" s="153"/>
      <c r="E334" s="153"/>
      <c r="F334" s="153"/>
      <c r="G334" s="153"/>
      <c r="H334" s="153"/>
      <c r="I334" s="157"/>
      <c r="J334" s="157"/>
      <c r="K334" s="157"/>
      <c r="L334" s="157"/>
      <c r="M334" s="157"/>
      <c r="N334" s="221"/>
      <c r="O334" s="157"/>
      <c r="P334" s="157"/>
      <c r="Q334" s="157"/>
      <c r="R334" s="157"/>
      <c r="S334" s="157"/>
      <c r="T334" s="157"/>
      <c r="U334" s="157"/>
      <c r="V334" s="157"/>
      <c r="W334" s="153"/>
    </row>
    <row r="335" spans="1:23" s="14" customFormat="1" x14ac:dyDescent="0.25">
      <c r="A335" s="80"/>
      <c r="B335" s="76"/>
      <c r="C335" s="153"/>
      <c r="D335" s="153"/>
      <c r="E335" s="153"/>
      <c r="F335" s="153"/>
      <c r="G335" s="153"/>
      <c r="H335" s="153"/>
      <c r="I335" s="157"/>
      <c r="J335" s="157"/>
      <c r="K335" s="157"/>
      <c r="L335" s="157"/>
      <c r="M335" s="157"/>
      <c r="N335" s="221"/>
      <c r="O335" s="157"/>
      <c r="P335" s="157"/>
      <c r="Q335" s="157"/>
      <c r="R335" s="157"/>
      <c r="S335" s="157"/>
      <c r="T335" s="157"/>
      <c r="U335" s="157"/>
      <c r="V335" s="157"/>
      <c r="W335" s="153"/>
    </row>
    <row r="336" spans="1:23" s="14" customFormat="1" x14ac:dyDescent="0.25">
      <c r="A336" s="80"/>
      <c r="B336" s="76"/>
      <c r="C336" s="153"/>
      <c r="D336" s="153"/>
      <c r="E336" s="153"/>
      <c r="F336" s="153"/>
      <c r="G336" s="153"/>
      <c r="H336" s="153"/>
      <c r="I336" s="157"/>
      <c r="J336" s="157"/>
      <c r="K336" s="157"/>
      <c r="L336" s="157"/>
      <c r="M336" s="157"/>
      <c r="N336" s="221"/>
      <c r="O336" s="157"/>
      <c r="P336" s="157"/>
      <c r="Q336" s="157"/>
      <c r="R336" s="157"/>
      <c r="S336" s="157"/>
      <c r="T336" s="157"/>
      <c r="U336" s="157"/>
      <c r="V336" s="157"/>
      <c r="W336" s="153"/>
    </row>
    <row r="337" spans="1:23" s="14" customFormat="1" x14ac:dyDescent="0.25">
      <c r="A337" s="80"/>
      <c r="B337" s="76"/>
      <c r="C337" s="153"/>
      <c r="D337" s="153"/>
      <c r="E337" s="153"/>
      <c r="F337" s="153"/>
      <c r="G337" s="153"/>
      <c r="H337" s="153"/>
      <c r="I337" s="157"/>
      <c r="J337" s="157"/>
      <c r="K337" s="157"/>
      <c r="L337" s="157"/>
      <c r="M337" s="157"/>
      <c r="N337" s="221"/>
      <c r="O337" s="157"/>
      <c r="P337" s="157"/>
      <c r="Q337" s="157"/>
      <c r="R337" s="157"/>
      <c r="S337" s="157"/>
      <c r="T337" s="157"/>
      <c r="U337" s="157"/>
      <c r="V337" s="157"/>
      <c r="W337" s="153"/>
    </row>
    <row r="338" spans="1:23" s="14" customFormat="1" x14ac:dyDescent="0.25">
      <c r="A338" s="80"/>
      <c r="B338" s="76"/>
      <c r="C338" s="153"/>
      <c r="D338" s="153"/>
      <c r="E338" s="153"/>
      <c r="F338" s="153"/>
      <c r="G338" s="153"/>
      <c r="H338" s="153"/>
      <c r="I338" s="157"/>
      <c r="J338" s="157"/>
      <c r="K338" s="157"/>
      <c r="L338" s="157"/>
      <c r="M338" s="157"/>
      <c r="N338" s="221"/>
      <c r="O338" s="157"/>
      <c r="P338" s="157"/>
      <c r="Q338" s="157"/>
      <c r="R338" s="157"/>
      <c r="S338" s="157"/>
      <c r="T338" s="157"/>
      <c r="U338" s="157"/>
      <c r="V338" s="157"/>
      <c r="W338" s="153"/>
    </row>
    <row r="339" spans="1:23" s="14" customFormat="1" x14ac:dyDescent="0.25">
      <c r="A339" s="80"/>
      <c r="B339" s="76"/>
      <c r="C339" s="153"/>
      <c r="D339" s="153"/>
      <c r="E339" s="153"/>
      <c r="F339" s="153"/>
      <c r="G339" s="153"/>
      <c r="H339" s="153"/>
      <c r="I339" s="157"/>
      <c r="J339" s="157"/>
      <c r="K339" s="157"/>
      <c r="L339" s="157"/>
      <c r="M339" s="157"/>
      <c r="N339" s="221"/>
      <c r="O339" s="157"/>
      <c r="P339" s="157"/>
      <c r="Q339" s="157"/>
      <c r="R339" s="157"/>
      <c r="S339" s="157"/>
      <c r="T339" s="157"/>
      <c r="U339" s="157"/>
      <c r="V339" s="157"/>
      <c r="W339" s="153"/>
    </row>
    <row r="340" spans="1:23" s="14" customFormat="1" x14ac:dyDescent="0.25">
      <c r="A340" s="80"/>
      <c r="B340" s="76"/>
      <c r="C340" s="153"/>
      <c r="D340" s="153"/>
      <c r="E340" s="153"/>
      <c r="F340" s="153"/>
      <c r="G340" s="153"/>
      <c r="H340" s="153"/>
      <c r="I340" s="157"/>
      <c r="J340" s="157"/>
      <c r="K340" s="157"/>
      <c r="L340" s="157"/>
      <c r="M340" s="157"/>
      <c r="N340" s="221"/>
      <c r="O340" s="157"/>
      <c r="P340" s="157"/>
      <c r="Q340" s="157"/>
      <c r="R340" s="157"/>
      <c r="S340" s="157"/>
      <c r="T340" s="157"/>
      <c r="U340" s="157"/>
      <c r="V340" s="157"/>
      <c r="W340" s="153"/>
    </row>
    <row r="341" spans="1:23" s="14" customFormat="1" x14ac:dyDescent="0.25">
      <c r="A341" s="80"/>
      <c r="B341" s="76"/>
      <c r="C341" s="153"/>
      <c r="D341" s="153"/>
      <c r="E341" s="153"/>
      <c r="F341" s="153"/>
      <c r="G341" s="153"/>
      <c r="H341" s="153"/>
      <c r="I341" s="157"/>
      <c r="J341" s="157"/>
      <c r="K341" s="157"/>
      <c r="L341" s="157"/>
      <c r="M341" s="157"/>
      <c r="N341" s="221"/>
      <c r="O341" s="157"/>
      <c r="P341" s="157"/>
      <c r="Q341" s="157"/>
      <c r="R341" s="157"/>
      <c r="S341" s="157"/>
      <c r="T341" s="157"/>
      <c r="U341" s="157"/>
      <c r="V341" s="157"/>
      <c r="W341" s="153"/>
    </row>
    <row r="342" spans="1:23" s="14" customFormat="1" x14ac:dyDescent="0.25">
      <c r="A342" s="80"/>
      <c r="B342" s="76"/>
      <c r="C342" s="153"/>
      <c r="D342" s="153"/>
      <c r="E342" s="153"/>
      <c r="F342" s="153"/>
      <c r="G342" s="153"/>
      <c r="H342" s="153"/>
      <c r="I342" s="157"/>
      <c r="J342" s="157"/>
      <c r="K342" s="157"/>
      <c r="L342" s="157"/>
      <c r="M342" s="157"/>
      <c r="N342" s="221"/>
      <c r="O342" s="157"/>
      <c r="P342" s="157"/>
      <c r="Q342" s="157"/>
      <c r="R342" s="157"/>
      <c r="S342" s="157"/>
      <c r="T342" s="157"/>
      <c r="U342" s="157"/>
      <c r="V342" s="157"/>
      <c r="W342" s="153"/>
    </row>
    <row r="343" spans="1:23" s="14" customFormat="1" x14ac:dyDescent="0.25">
      <c r="A343" s="80"/>
      <c r="B343" s="76"/>
      <c r="C343" s="153"/>
      <c r="D343" s="153"/>
      <c r="E343" s="153"/>
      <c r="F343" s="153"/>
      <c r="G343" s="153"/>
      <c r="H343" s="153"/>
      <c r="I343" s="157"/>
      <c r="J343" s="157"/>
      <c r="K343" s="157"/>
      <c r="L343" s="157"/>
      <c r="M343" s="157"/>
      <c r="N343" s="221"/>
      <c r="O343" s="157"/>
      <c r="P343" s="157"/>
      <c r="Q343" s="157"/>
      <c r="R343" s="157"/>
      <c r="S343" s="157"/>
      <c r="T343" s="157"/>
      <c r="U343" s="157"/>
      <c r="V343" s="157"/>
      <c r="W343" s="153"/>
    </row>
    <row r="344" spans="1:23" s="14" customFormat="1" x14ac:dyDescent="0.25">
      <c r="A344" s="80"/>
      <c r="B344" s="76"/>
      <c r="C344" s="153"/>
      <c r="D344" s="153"/>
      <c r="E344" s="153"/>
      <c r="F344" s="153"/>
      <c r="G344" s="153"/>
      <c r="H344" s="153"/>
      <c r="I344" s="157"/>
      <c r="J344" s="157"/>
      <c r="K344" s="157"/>
      <c r="L344" s="157"/>
      <c r="M344" s="157"/>
      <c r="N344" s="221"/>
      <c r="O344" s="157"/>
      <c r="P344" s="157"/>
      <c r="Q344" s="157"/>
      <c r="R344" s="157"/>
      <c r="S344" s="157"/>
      <c r="T344" s="157"/>
      <c r="U344" s="157"/>
      <c r="V344" s="157"/>
      <c r="W344" s="153"/>
    </row>
    <row r="345" spans="1:23" s="14" customFormat="1" x14ac:dyDescent="0.25">
      <c r="A345" s="80"/>
      <c r="B345" s="76"/>
      <c r="C345" s="153"/>
      <c r="D345" s="153"/>
      <c r="E345" s="153"/>
      <c r="F345" s="153"/>
      <c r="G345" s="153"/>
      <c r="H345" s="153"/>
      <c r="I345" s="157"/>
      <c r="J345" s="157"/>
      <c r="K345" s="157"/>
      <c r="L345" s="157"/>
      <c r="M345" s="157"/>
      <c r="N345" s="221"/>
      <c r="O345" s="157"/>
      <c r="P345" s="157"/>
      <c r="Q345" s="157"/>
      <c r="R345" s="157"/>
      <c r="S345" s="157"/>
      <c r="T345" s="157"/>
      <c r="U345" s="157"/>
      <c r="V345" s="157"/>
      <c r="W345" s="153"/>
    </row>
    <row r="346" spans="1:23" s="14" customFormat="1" x14ac:dyDescent="0.25">
      <c r="A346" s="80"/>
      <c r="B346" s="76"/>
      <c r="C346" s="153"/>
      <c r="D346" s="153"/>
      <c r="E346" s="153"/>
      <c r="F346" s="153"/>
      <c r="G346" s="153"/>
      <c r="H346" s="153"/>
      <c r="I346" s="157"/>
      <c r="J346" s="157"/>
      <c r="K346" s="157"/>
      <c r="L346" s="157"/>
      <c r="M346" s="157"/>
      <c r="N346" s="221"/>
      <c r="O346" s="157"/>
      <c r="P346" s="157"/>
      <c r="Q346" s="157"/>
      <c r="R346" s="157"/>
      <c r="S346" s="157"/>
      <c r="T346" s="157"/>
      <c r="U346" s="157"/>
      <c r="V346" s="157"/>
      <c r="W346" s="153"/>
    </row>
    <row r="347" spans="1:23" s="14" customFormat="1" x14ac:dyDescent="0.25">
      <c r="A347" s="80"/>
      <c r="B347" s="76"/>
      <c r="C347" s="153"/>
      <c r="D347" s="153"/>
      <c r="E347" s="153"/>
      <c r="F347" s="153"/>
      <c r="G347" s="153"/>
      <c r="H347" s="153"/>
      <c r="I347" s="157"/>
      <c r="J347" s="157"/>
      <c r="K347" s="157"/>
      <c r="L347" s="157"/>
      <c r="M347" s="157"/>
      <c r="N347" s="221"/>
      <c r="O347" s="157"/>
      <c r="P347" s="157"/>
      <c r="Q347" s="157"/>
      <c r="R347" s="157"/>
      <c r="S347" s="157"/>
      <c r="T347" s="157"/>
      <c r="U347" s="157"/>
      <c r="V347" s="157"/>
      <c r="W347" s="153"/>
    </row>
    <row r="348" spans="1:23" s="14" customFormat="1" x14ac:dyDescent="0.25">
      <c r="A348" s="80"/>
      <c r="B348" s="76"/>
      <c r="C348" s="153"/>
      <c r="D348" s="153"/>
      <c r="E348" s="153"/>
      <c r="F348" s="153"/>
      <c r="G348" s="153"/>
      <c r="H348" s="153"/>
      <c r="I348" s="157"/>
      <c r="J348" s="157"/>
      <c r="K348" s="157"/>
      <c r="L348" s="157"/>
      <c r="M348" s="157"/>
      <c r="N348" s="221"/>
      <c r="O348" s="157"/>
      <c r="P348" s="157"/>
      <c r="Q348" s="157"/>
      <c r="R348" s="157"/>
      <c r="S348" s="157"/>
      <c r="T348" s="157"/>
      <c r="U348" s="157"/>
      <c r="V348" s="157"/>
      <c r="W348" s="153"/>
    </row>
    <row r="349" spans="1:23" s="14" customFormat="1" x14ac:dyDescent="0.25">
      <c r="A349" s="80"/>
      <c r="B349" s="76"/>
      <c r="C349" s="153"/>
      <c r="D349" s="153"/>
      <c r="E349" s="153"/>
      <c r="F349" s="153"/>
      <c r="G349" s="153"/>
      <c r="H349" s="153"/>
      <c r="I349" s="157"/>
      <c r="J349" s="157"/>
      <c r="K349" s="157"/>
      <c r="L349" s="157"/>
      <c r="M349" s="157"/>
      <c r="N349" s="221"/>
      <c r="O349" s="157"/>
      <c r="P349" s="157"/>
      <c r="Q349" s="157"/>
      <c r="R349" s="157"/>
      <c r="S349" s="157"/>
      <c r="T349" s="157"/>
      <c r="U349" s="157"/>
      <c r="V349" s="157"/>
      <c r="W349" s="153"/>
    </row>
    <row r="350" spans="1:23" s="14" customFormat="1" x14ac:dyDescent="0.25">
      <c r="A350" s="80"/>
      <c r="B350" s="76"/>
      <c r="C350" s="153"/>
      <c r="D350" s="153"/>
      <c r="E350" s="153"/>
      <c r="F350" s="153"/>
      <c r="G350" s="153"/>
      <c r="H350" s="153"/>
      <c r="I350" s="157"/>
      <c r="J350" s="157"/>
      <c r="K350" s="157"/>
      <c r="L350" s="157"/>
      <c r="M350" s="157"/>
      <c r="N350" s="221"/>
      <c r="O350" s="157"/>
      <c r="P350" s="157"/>
      <c r="Q350" s="157"/>
      <c r="R350" s="157"/>
      <c r="S350" s="157"/>
      <c r="T350" s="157"/>
      <c r="U350" s="157"/>
      <c r="V350" s="157"/>
      <c r="W350" s="153"/>
    </row>
    <row r="351" spans="1:23" s="14" customFormat="1" x14ac:dyDescent="0.25">
      <c r="A351" s="80"/>
      <c r="B351" s="76"/>
      <c r="C351" s="153"/>
      <c r="D351" s="153"/>
      <c r="E351" s="153"/>
      <c r="F351" s="153"/>
      <c r="G351" s="153"/>
      <c r="H351" s="153"/>
      <c r="I351" s="157"/>
      <c r="J351" s="157"/>
      <c r="K351" s="157"/>
      <c r="L351" s="157"/>
      <c r="M351" s="157"/>
      <c r="N351" s="221"/>
      <c r="O351" s="157"/>
      <c r="P351" s="157"/>
      <c r="Q351" s="157"/>
      <c r="R351" s="157"/>
      <c r="S351" s="157"/>
      <c r="T351" s="157"/>
      <c r="U351" s="157"/>
      <c r="V351" s="157"/>
      <c r="W351" s="153"/>
    </row>
    <row r="352" spans="1:23" s="14" customFormat="1" x14ac:dyDescent="0.25">
      <c r="A352" s="80"/>
      <c r="B352" s="76"/>
      <c r="C352" s="153"/>
      <c r="D352" s="153"/>
      <c r="E352" s="153"/>
      <c r="F352" s="153"/>
      <c r="G352" s="153"/>
      <c r="H352" s="153"/>
      <c r="I352" s="157"/>
      <c r="J352" s="157"/>
      <c r="K352" s="157"/>
      <c r="L352" s="157"/>
      <c r="M352" s="157"/>
      <c r="N352" s="221"/>
      <c r="O352" s="157"/>
      <c r="P352" s="157"/>
      <c r="Q352" s="157"/>
      <c r="R352" s="157"/>
      <c r="S352" s="157"/>
      <c r="T352" s="157"/>
      <c r="U352" s="157"/>
      <c r="V352" s="157"/>
      <c r="W352" s="153"/>
    </row>
    <row r="353" spans="1:23" s="14" customFormat="1" x14ac:dyDescent="0.25">
      <c r="A353" s="80"/>
      <c r="B353" s="76"/>
      <c r="C353" s="153"/>
      <c r="D353" s="153"/>
      <c r="E353" s="153"/>
      <c r="F353" s="153"/>
      <c r="G353" s="153"/>
      <c r="H353" s="153"/>
      <c r="I353" s="157"/>
      <c r="J353" s="157"/>
      <c r="K353" s="157"/>
      <c r="L353" s="157"/>
      <c r="M353" s="157"/>
      <c r="N353" s="221"/>
      <c r="O353" s="157"/>
      <c r="P353" s="157"/>
      <c r="Q353" s="157"/>
      <c r="R353" s="157"/>
      <c r="S353" s="157"/>
      <c r="T353" s="157"/>
      <c r="U353" s="157"/>
      <c r="V353" s="157"/>
      <c r="W353" s="153"/>
    </row>
    <row r="354" spans="1:23" s="14" customFormat="1" x14ac:dyDescent="0.25">
      <c r="A354" s="80"/>
      <c r="B354" s="76"/>
      <c r="C354" s="153"/>
      <c r="D354" s="153"/>
      <c r="E354" s="153"/>
      <c r="F354" s="153"/>
      <c r="G354" s="153"/>
      <c r="H354" s="153"/>
      <c r="I354" s="157"/>
      <c r="J354" s="157"/>
      <c r="K354" s="157"/>
      <c r="L354" s="157"/>
      <c r="M354" s="157"/>
      <c r="N354" s="221"/>
      <c r="O354" s="157"/>
      <c r="P354" s="157"/>
      <c r="Q354" s="157"/>
      <c r="R354" s="157"/>
      <c r="S354" s="157"/>
      <c r="T354" s="157"/>
      <c r="U354" s="157"/>
      <c r="V354" s="157"/>
      <c r="W354" s="153"/>
    </row>
    <row r="355" spans="1:23" s="14" customFormat="1" x14ac:dyDescent="0.25">
      <c r="A355" s="80"/>
      <c r="B355" s="76"/>
      <c r="C355" s="153"/>
      <c r="D355" s="153"/>
      <c r="E355" s="153"/>
      <c r="F355" s="153"/>
      <c r="G355" s="153"/>
      <c r="H355" s="153"/>
      <c r="I355" s="157"/>
      <c r="J355" s="157"/>
      <c r="K355" s="157"/>
      <c r="L355" s="157"/>
      <c r="M355" s="157"/>
      <c r="N355" s="221"/>
      <c r="O355" s="157"/>
      <c r="P355" s="157"/>
      <c r="Q355" s="157"/>
      <c r="R355" s="157"/>
      <c r="S355" s="157"/>
      <c r="T355" s="157"/>
      <c r="U355" s="157"/>
      <c r="V355" s="157"/>
      <c r="W355" s="153"/>
    </row>
    <row r="356" spans="1:23" s="14" customFormat="1" x14ac:dyDescent="0.25">
      <c r="A356" s="80"/>
      <c r="B356" s="76"/>
      <c r="C356" s="153"/>
      <c r="D356" s="153"/>
      <c r="E356" s="153"/>
      <c r="F356" s="153"/>
      <c r="G356" s="153"/>
      <c r="H356" s="153"/>
      <c r="I356" s="157"/>
      <c r="J356" s="157"/>
      <c r="K356" s="157"/>
      <c r="L356" s="157"/>
      <c r="M356" s="157"/>
      <c r="N356" s="221"/>
      <c r="O356" s="157"/>
      <c r="P356" s="157"/>
      <c r="Q356" s="157"/>
      <c r="R356" s="157"/>
      <c r="S356" s="157"/>
      <c r="T356" s="157"/>
      <c r="U356" s="157"/>
      <c r="V356" s="157"/>
      <c r="W356" s="153"/>
    </row>
    <row r="357" spans="1:23" s="14" customFormat="1" x14ac:dyDescent="0.25">
      <c r="A357" s="80"/>
      <c r="B357" s="76"/>
      <c r="C357" s="153"/>
      <c r="D357" s="153"/>
      <c r="E357" s="153"/>
      <c r="F357" s="153"/>
      <c r="G357" s="153"/>
      <c r="H357" s="153"/>
      <c r="I357" s="157"/>
      <c r="J357" s="157"/>
      <c r="K357" s="157"/>
      <c r="L357" s="157"/>
      <c r="M357" s="157"/>
      <c r="N357" s="221"/>
      <c r="O357" s="157"/>
      <c r="P357" s="157"/>
      <c r="Q357" s="157"/>
      <c r="R357" s="157"/>
      <c r="S357" s="157"/>
      <c r="T357" s="157"/>
      <c r="U357" s="157"/>
      <c r="V357" s="157"/>
      <c r="W357" s="153"/>
    </row>
    <row r="358" spans="1:23" s="14" customFormat="1" x14ac:dyDescent="0.25">
      <c r="A358" s="80"/>
      <c r="B358" s="76"/>
      <c r="C358" s="153"/>
      <c r="D358" s="153"/>
      <c r="E358" s="153"/>
      <c r="F358" s="153"/>
      <c r="G358" s="153"/>
      <c r="H358" s="153"/>
      <c r="I358" s="157"/>
      <c r="J358" s="157"/>
      <c r="K358" s="157"/>
      <c r="L358" s="157"/>
      <c r="M358" s="157"/>
      <c r="N358" s="221"/>
      <c r="O358" s="157"/>
      <c r="P358" s="157"/>
      <c r="Q358" s="157"/>
      <c r="R358" s="157"/>
      <c r="S358" s="157"/>
      <c r="T358" s="157"/>
      <c r="U358" s="157"/>
      <c r="V358" s="157"/>
      <c r="W358" s="153"/>
    </row>
    <row r="359" spans="1:23" s="14" customFormat="1" x14ac:dyDescent="0.25">
      <c r="A359" s="80"/>
      <c r="B359" s="76"/>
      <c r="C359" s="153"/>
      <c r="D359" s="153"/>
      <c r="E359" s="153"/>
      <c r="F359" s="153"/>
      <c r="G359" s="153"/>
      <c r="H359" s="153"/>
      <c r="I359" s="157"/>
      <c r="J359" s="157"/>
      <c r="K359" s="157"/>
      <c r="L359" s="157"/>
      <c r="M359" s="157"/>
      <c r="N359" s="221"/>
      <c r="O359" s="157"/>
      <c r="P359" s="157"/>
      <c r="Q359" s="157"/>
      <c r="R359" s="157"/>
      <c r="S359" s="157"/>
      <c r="T359" s="157"/>
      <c r="U359" s="157"/>
      <c r="V359" s="157"/>
      <c r="W359" s="153"/>
    </row>
    <row r="360" spans="1:23" s="14" customFormat="1" x14ac:dyDescent="0.25">
      <c r="A360" s="80"/>
      <c r="B360" s="76"/>
      <c r="C360" s="153"/>
      <c r="D360" s="153"/>
      <c r="E360" s="153"/>
      <c r="F360" s="153"/>
      <c r="G360" s="153"/>
      <c r="H360" s="153"/>
      <c r="I360" s="157"/>
      <c r="J360" s="157"/>
      <c r="K360" s="157"/>
      <c r="L360" s="157"/>
      <c r="M360" s="157"/>
      <c r="N360" s="221"/>
      <c r="O360" s="157"/>
      <c r="P360" s="157"/>
      <c r="Q360" s="157"/>
      <c r="R360" s="157"/>
      <c r="S360" s="157"/>
      <c r="T360" s="157"/>
      <c r="U360" s="157"/>
      <c r="V360" s="157"/>
      <c r="W360" s="153"/>
    </row>
    <row r="361" spans="1:23" s="14" customFormat="1" x14ac:dyDescent="0.25">
      <c r="A361" s="80"/>
      <c r="B361" s="76"/>
      <c r="C361" s="153"/>
      <c r="D361" s="153"/>
      <c r="E361" s="153"/>
      <c r="F361" s="153"/>
      <c r="G361" s="153"/>
      <c r="H361" s="153"/>
      <c r="I361" s="157"/>
      <c r="J361" s="157"/>
      <c r="K361" s="157"/>
      <c r="L361" s="157"/>
      <c r="M361" s="157"/>
      <c r="N361" s="221"/>
      <c r="O361" s="157"/>
      <c r="P361" s="157"/>
      <c r="Q361" s="157"/>
      <c r="R361" s="157"/>
      <c r="S361" s="157"/>
      <c r="T361" s="157"/>
      <c r="U361" s="157"/>
      <c r="V361" s="157"/>
      <c r="W361" s="153"/>
    </row>
    <row r="362" spans="1:23" s="14" customFormat="1" x14ac:dyDescent="0.25">
      <c r="A362" s="80"/>
      <c r="B362" s="76"/>
      <c r="C362" s="153"/>
      <c r="D362" s="153"/>
      <c r="E362" s="153"/>
      <c r="F362" s="153"/>
      <c r="G362" s="153"/>
      <c r="H362" s="153"/>
      <c r="I362" s="157"/>
      <c r="J362" s="157"/>
      <c r="K362" s="157"/>
      <c r="L362" s="157"/>
      <c r="M362" s="157"/>
      <c r="N362" s="221"/>
      <c r="O362" s="157"/>
      <c r="P362" s="157"/>
      <c r="Q362" s="157"/>
      <c r="R362" s="157"/>
      <c r="S362" s="157"/>
      <c r="T362" s="157"/>
      <c r="U362" s="157"/>
      <c r="V362" s="157"/>
      <c r="W362" s="153"/>
    </row>
    <row r="363" spans="1:23" s="14" customFormat="1" x14ac:dyDescent="0.25">
      <c r="A363" s="80"/>
      <c r="B363" s="76"/>
      <c r="C363" s="153"/>
      <c r="D363" s="153"/>
      <c r="E363" s="153"/>
      <c r="F363" s="153"/>
      <c r="G363" s="153"/>
      <c r="H363" s="153"/>
      <c r="I363" s="157"/>
      <c r="J363" s="157"/>
      <c r="K363" s="157"/>
      <c r="L363" s="157"/>
      <c r="M363" s="157"/>
      <c r="N363" s="221"/>
      <c r="O363" s="157"/>
      <c r="P363" s="157"/>
      <c r="Q363" s="157"/>
      <c r="R363" s="157"/>
      <c r="S363" s="157"/>
      <c r="T363" s="157"/>
      <c r="U363" s="157"/>
      <c r="V363" s="157"/>
      <c r="W363" s="153"/>
    </row>
    <row r="364" spans="1:23" s="14" customFormat="1" x14ac:dyDescent="0.25">
      <c r="A364" s="80"/>
      <c r="B364" s="76"/>
      <c r="C364" s="153"/>
      <c r="D364" s="153"/>
      <c r="E364" s="153"/>
      <c r="F364" s="153"/>
      <c r="G364" s="153"/>
      <c r="H364" s="153"/>
      <c r="I364" s="157"/>
      <c r="J364" s="157"/>
      <c r="K364" s="157"/>
      <c r="L364" s="157"/>
      <c r="M364" s="157"/>
      <c r="N364" s="221"/>
      <c r="O364" s="157"/>
      <c r="P364" s="157"/>
      <c r="Q364" s="157"/>
      <c r="R364" s="157"/>
      <c r="S364" s="157"/>
      <c r="T364" s="157"/>
      <c r="U364" s="157"/>
      <c r="V364" s="157"/>
      <c r="W364" s="153"/>
    </row>
    <row r="365" spans="1:23" s="14" customFormat="1" x14ac:dyDescent="0.25">
      <c r="A365" s="80"/>
      <c r="B365" s="76"/>
      <c r="C365" s="153"/>
      <c r="D365" s="153"/>
      <c r="E365" s="153"/>
      <c r="F365" s="153"/>
      <c r="G365" s="153"/>
      <c r="H365" s="153"/>
      <c r="I365" s="157"/>
      <c r="J365" s="157"/>
      <c r="K365" s="157"/>
      <c r="L365" s="157"/>
      <c r="M365" s="157"/>
      <c r="N365" s="221"/>
      <c r="O365" s="157"/>
      <c r="P365" s="157"/>
      <c r="Q365" s="157"/>
      <c r="R365" s="157"/>
      <c r="S365" s="157"/>
      <c r="T365" s="157"/>
      <c r="U365" s="157"/>
      <c r="V365" s="157"/>
      <c r="W365" s="153"/>
    </row>
    <row r="366" spans="1:23" s="14" customFormat="1" x14ac:dyDescent="0.25">
      <c r="A366" s="80"/>
      <c r="B366" s="76"/>
      <c r="C366" s="153"/>
      <c r="D366" s="153"/>
      <c r="E366" s="153"/>
      <c r="F366" s="153"/>
      <c r="G366" s="153"/>
      <c r="H366" s="153"/>
      <c r="I366" s="157"/>
      <c r="J366" s="157"/>
      <c r="K366" s="157"/>
      <c r="L366" s="157"/>
      <c r="M366" s="157"/>
      <c r="N366" s="221"/>
      <c r="O366" s="157"/>
      <c r="P366" s="157"/>
      <c r="Q366" s="157"/>
      <c r="R366" s="157"/>
      <c r="S366" s="157"/>
      <c r="T366" s="157"/>
      <c r="U366" s="157"/>
      <c r="V366" s="157"/>
      <c r="W366" s="153"/>
    </row>
    <row r="367" spans="1:23" s="14" customFormat="1" x14ac:dyDescent="0.25">
      <c r="A367" s="80"/>
      <c r="B367" s="76"/>
      <c r="C367" s="153"/>
      <c r="D367" s="153"/>
      <c r="E367" s="153"/>
      <c r="F367" s="153"/>
      <c r="G367" s="153"/>
      <c r="H367" s="153"/>
      <c r="I367" s="157"/>
      <c r="J367" s="157"/>
      <c r="K367" s="157"/>
      <c r="L367" s="157"/>
      <c r="M367" s="157"/>
      <c r="N367" s="221"/>
      <c r="O367" s="157"/>
      <c r="P367" s="157"/>
      <c r="Q367" s="157"/>
      <c r="R367" s="157"/>
      <c r="S367" s="157"/>
      <c r="T367" s="157"/>
      <c r="U367" s="157"/>
      <c r="V367" s="157"/>
      <c r="W367" s="153"/>
    </row>
    <row r="368" spans="1:23" s="14" customFormat="1" x14ac:dyDescent="0.25">
      <c r="A368" s="80"/>
      <c r="B368" s="76"/>
      <c r="C368" s="153"/>
      <c r="D368" s="153"/>
      <c r="E368" s="153"/>
      <c r="F368" s="153"/>
      <c r="G368" s="153"/>
      <c r="H368" s="153"/>
      <c r="I368" s="157"/>
      <c r="J368" s="157"/>
      <c r="K368" s="157"/>
      <c r="L368" s="157"/>
      <c r="M368" s="157"/>
      <c r="N368" s="221"/>
      <c r="O368" s="157"/>
      <c r="P368" s="157"/>
      <c r="Q368" s="157"/>
      <c r="R368" s="157"/>
      <c r="S368" s="157"/>
      <c r="T368" s="157"/>
      <c r="U368" s="157"/>
      <c r="V368" s="157"/>
      <c r="W368" s="153"/>
    </row>
    <row r="369" spans="1:23" s="14" customFormat="1" x14ac:dyDescent="0.25">
      <c r="A369" s="80"/>
      <c r="B369" s="76"/>
      <c r="C369" s="153"/>
      <c r="D369" s="153"/>
      <c r="E369" s="153"/>
      <c r="F369" s="153"/>
      <c r="G369" s="153"/>
      <c r="H369" s="153"/>
      <c r="I369" s="157"/>
      <c r="J369" s="157"/>
      <c r="K369" s="157"/>
      <c r="L369" s="157"/>
      <c r="M369" s="157"/>
      <c r="N369" s="221"/>
      <c r="O369" s="157"/>
      <c r="P369" s="157"/>
      <c r="Q369" s="157"/>
      <c r="R369" s="157"/>
      <c r="S369" s="157"/>
      <c r="T369" s="157"/>
      <c r="U369" s="157"/>
      <c r="V369" s="157"/>
      <c r="W369" s="153"/>
    </row>
    <row r="370" spans="1:23" s="14" customFormat="1" x14ac:dyDescent="0.25">
      <c r="A370" s="80"/>
      <c r="B370" s="76"/>
      <c r="C370" s="153"/>
      <c r="D370" s="153"/>
      <c r="E370" s="153"/>
      <c r="F370" s="153"/>
      <c r="G370" s="153"/>
      <c r="H370" s="153"/>
      <c r="I370" s="157"/>
      <c r="J370" s="157"/>
      <c r="K370" s="157"/>
      <c r="L370" s="157"/>
      <c r="M370" s="157"/>
      <c r="N370" s="221"/>
      <c r="O370" s="157"/>
      <c r="P370" s="157"/>
      <c r="Q370" s="157"/>
      <c r="R370" s="157"/>
      <c r="S370" s="157"/>
      <c r="T370" s="157"/>
      <c r="U370" s="157"/>
      <c r="V370" s="157"/>
      <c r="W370" s="153"/>
    </row>
    <row r="371" spans="1:23" s="14" customFormat="1" x14ac:dyDescent="0.25">
      <c r="A371" s="80"/>
      <c r="B371" s="76"/>
      <c r="C371" s="153"/>
      <c r="D371" s="153"/>
      <c r="E371" s="153"/>
      <c r="F371" s="153"/>
      <c r="G371" s="153"/>
      <c r="H371" s="153"/>
      <c r="I371" s="157"/>
      <c r="J371" s="157"/>
      <c r="K371" s="157"/>
      <c r="L371" s="157"/>
      <c r="M371" s="157"/>
      <c r="N371" s="221"/>
      <c r="O371" s="157"/>
      <c r="P371" s="157"/>
      <c r="Q371" s="157"/>
      <c r="R371" s="157"/>
      <c r="S371" s="157"/>
      <c r="T371" s="157"/>
      <c r="U371" s="157"/>
      <c r="V371" s="157"/>
      <c r="W371" s="153"/>
    </row>
    <row r="372" spans="1:23" s="14" customFormat="1" x14ac:dyDescent="0.25">
      <c r="A372" s="80"/>
      <c r="B372" s="76"/>
      <c r="C372" s="153"/>
      <c r="D372" s="153"/>
      <c r="E372" s="153"/>
      <c r="F372" s="153"/>
      <c r="G372" s="153"/>
      <c r="H372" s="153"/>
      <c r="I372" s="157"/>
      <c r="J372" s="157"/>
      <c r="K372" s="157"/>
      <c r="L372" s="157"/>
      <c r="M372" s="157"/>
      <c r="N372" s="221"/>
      <c r="O372" s="157"/>
      <c r="P372" s="157"/>
      <c r="Q372" s="157"/>
      <c r="R372" s="157"/>
      <c r="S372" s="157"/>
      <c r="T372" s="157"/>
      <c r="U372" s="157"/>
      <c r="V372" s="157"/>
      <c r="W372" s="153"/>
    </row>
    <row r="373" spans="1:23" s="14" customFormat="1" x14ac:dyDescent="0.25">
      <c r="A373" s="80"/>
      <c r="B373" s="76"/>
      <c r="C373" s="153"/>
      <c r="D373" s="153"/>
      <c r="E373" s="153"/>
      <c r="F373" s="153"/>
      <c r="G373" s="153"/>
      <c r="H373" s="153"/>
      <c r="I373" s="157"/>
      <c r="J373" s="157"/>
      <c r="K373" s="157"/>
      <c r="L373" s="157"/>
      <c r="M373" s="157"/>
      <c r="N373" s="221"/>
      <c r="O373" s="157"/>
      <c r="P373" s="157"/>
      <c r="Q373" s="157"/>
      <c r="R373" s="157"/>
      <c r="S373" s="157"/>
      <c r="T373" s="157"/>
      <c r="U373" s="157"/>
      <c r="V373" s="157"/>
      <c r="W373" s="153"/>
    </row>
    <row r="374" spans="1:23" s="14" customFormat="1" x14ac:dyDescent="0.25">
      <c r="A374" s="80"/>
      <c r="B374" s="76"/>
      <c r="C374" s="153"/>
      <c r="D374" s="153"/>
      <c r="E374" s="153"/>
      <c r="F374" s="153"/>
      <c r="G374" s="153"/>
      <c r="H374" s="153"/>
      <c r="I374" s="157"/>
      <c r="J374" s="157"/>
      <c r="K374" s="157"/>
      <c r="L374" s="157"/>
      <c r="M374" s="157"/>
      <c r="N374" s="221"/>
      <c r="O374" s="157"/>
      <c r="P374" s="157"/>
      <c r="Q374" s="157"/>
      <c r="R374" s="157"/>
      <c r="S374" s="157"/>
      <c r="T374" s="157"/>
      <c r="U374" s="157"/>
      <c r="V374" s="157"/>
      <c r="W374" s="153"/>
    </row>
    <row r="375" spans="1:23" s="14" customFormat="1" x14ac:dyDescent="0.25">
      <c r="A375" s="80"/>
      <c r="B375" s="76"/>
      <c r="C375" s="153"/>
      <c r="D375" s="153"/>
      <c r="E375" s="153"/>
      <c r="F375" s="153"/>
      <c r="G375" s="153"/>
      <c r="H375" s="153"/>
      <c r="I375" s="157"/>
      <c r="J375" s="157"/>
      <c r="K375" s="157"/>
      <c r="L375" s="157"/>
      <c r="M375" s="157"/>
      <c r="N375" s="221"/>
      <c r="O375" s="157"/>
      <c r="P375" s="157"/>
      <c r="Q375" s="157"/>
      <c r="R375" s="157"/>
      <c r="S375" s="157"/>
      <c r="T375" s="157"/>
      <c r="U375" s="157"/>
      <c r="V375" s="157"/>
      <c r="W375" s="153"/>
    </row>
    <row r="376" spans="1:23" s="14" customFormat="1" x14ac:dyDescent="0.25">
      <c r="A376" s="80"/>
      <c r="B376" s="76"/>
      <c r="C376" s="153"/>
      <c r="D376" s="153"/>
      <c r="E376" s="153"/>
      <c r="F376" s="153"/>
      <c r="G376" s="153"/>
      <c r="H376" s="153"/>
      <c r="I376" s="157"/>
      <c r="J376" s="157"/>
      <c r="K376" s="157"/>
      <c r="L376" s="157"/>
      <c r="M376" s="157"/>
      <c r="N376" s="221"/>
      <c r="O376" s="157"/>
      <c r="P376" s="157"/>
      <c r="Q376" s="157"/>
      <c r="R376" s="157"/>
      <c r="S376" s="157"/>
      <c r="T376" s="157"/>
      <c r="U376" s="157"/>
      <c r="V376" s="157"/>
      <c r="W376" s="153"/>
    </row>
    <row r="377" spans="1:23" s="14" customFormat="1" x14ac:dyDescent="0.25">
      <c r="A377" s="80"/>
      <c r="B377" s="76"/>
      <c r="C377" s="153"/>
      <c r="D377" s="153"/>
      <c r="E377" s="153"/>
      <c r="F377" s="153"/>
      <c r="G377" s="153"/>
      <c r="H377" s="153"/>
      <c r="I377" s="157"/>
      <c r="J377" s="157"/>
      <c r="K377" s="157"/>
      <c r="L377" s="157"/>
      <c r="M377" s="157"/>
      <c r="N377" s="221"/>
      <c r="O377" s="157"/>
      <c r="P377" s="157"/>
      <c r="Q377" s="157"/>
      <c r="R377" s="157"/>
      <c r="S377" s="157"/>
      <c r="T377" s="157"/>
      <c r="U377" s="157"/>
      <c r="V377" s="157"/>
      <c r="W377" s="153"/>
    </row>
    <row r="378" spans="1:23" s="14" customFormat="1" x14ac:dyDescent="0.25">
      <c r="A378" s="80"/>
      <c r="B378" s="76"/>
      <c r="C378" s="153"/>
      <c r="D378" s="153"/>
      <c r="E378" s="153"/>
      <c r="F378" s="153"/>
      <c r="G378" s="153"/>
      <c r="H378" s="153"/>
      <c r="I378" s="157"/>
      <c r="J378" s="157"/>
      <c r="K378" s="157"/>
      <c r="L378" s="157"/>
      <c r="M378" s="157"/>
      <c r="N378" s="221"/>
      <c r="O378" s="157"/>
      <c r="P378" s="157"/>
      <c r="Q378" s="157"/>
      <c r="R378" s="157"/>
      <c r="S378" s="157"/>
      <c r="T378" s="157"/>
      <c r="U378" s="157"/>
      <c r="V378" s="157"/>
      <c r="W378" s="153"/>
    </row>
    <row r="379" spans="1:23" s="14" customFormat="1" x14ac:dyDescent="0.25">
      <c r="A379" s="80"/>
      <c r="B379" s="76"/>
      <c r="C379" s="153"/>
      <c r="D379" s="153"/>
      <c r="E379" s="153"/>
      <c r="F379" s="153"/>
      <c r="G379" s="153"/>
      <c r="H379" s="153"/>
      <c r="I379" s="157"/>
      <c r="J379" s="157"/>
      <c r="K379" s="157"/>
      <c r="L379" s="157"/>
      <c r="M379" s="157"/>
      <c r="N379" s="221"/>
      <c r="O379" s="157"/>
      <c r="P379" s="157"/>
      <c r="Q379" s="157"/>
      <c r="R379" s="157"/>
      <c r="S379" s="157"/>
      <c r="T379" s="157"/>
      <c r="U379" s="157"/>
      <c r="V379" s="157"/>
      <c r="W379" s="153"/>
    </row>
    <row r="380" spans="1:23" s="14" customFormat="1" x14ac:dyDescent="0.25">
      <c r="A380" s="80"/>
      <c r="B380" s="76"/>
      <c r="C380" s="153"/>
      <c r="D380" s="153"/>
      <c r="E380" s="153"/>
      <c r="F380" s="153"/>
      <c r="G380" s="153"/>
      <c r="H380" s="153"/>
      <c r="I380" s="157"/>
      <c r="J380" s="157"/>
      <c r="K380" s="157"/>
      <c r="L380" s="157"/>
      <c r="M380" s="157"/>
      <c r="N380" s="221"/>
      <c r="O380" s="157"/>
      <c r="P380" s="157"/>
      <c r="Q380" s="157"/>
      <c r="R380" s="157"/>
      <c r="S380" s="157"/>
      <c r="T380" s="157"/>
      <c r="U380" s="157"/>
      <c r="V380" s="157"/>
      <c r="W380" s="153"/>
    </row>
    <row r="381" spans="1:23" s="14" customFormat="1" x14ac:dyDescent="0.25">
      <c r="A381" s="80"/>
      <c r="B381" s="76"/>
      <c r="C381" s="153"/>
      <c r="D381" s="153"/>
      <c r="E381" s="153"/>
      <c r="F381" s="153"/>
      <c r="G381" s="153"/>
      <c r="H381" s="153"/>
      <c r="I381" s="157"/>
      <c r="J381" s="157"/>
      <c r="K381" s="157"/>
      <c r="L381" s="157"/>
      <c r="M381" s="157"/>
      <c r="N381" s="221"/>
      <c r="O381" s="157"/>
      <c r="P381" s="157"/>
      <c r="Q381" s="157"/>
      <c r="R381" s="157"/>
      <c r="S381" s="157"/>
      <c r="T381" s="157"/>
      <c r="U381" s="157"/>
      <c r="V381" s="157"/>
      <c r="W381" s="153"/>
    </row>
    <row r="382" spans="1:23" s="14" customFormat="1" x14ac:dyDescent="0.25">
      <c r="A382" s="80"/>
      <c r="B382" s="76"/>
      <c r="C382" s="153"/>
      <c r="D382" s="153"/>
      <c r="E382" s="153"/>
      <c r="F382" s="153"/>
      <c r="G382" s="153"/>
      <c r="H382" s="153"/>
      <c r="I382" s="157"/>
      <c r="J382" s="157"/>
      <c r="K382" s="157"/>
      <c r="L382" s="157"/>
      <c r="M382" s="157"/>
      <c r="N382" s="221"/>
      <c r="O382" s="157"/>
      <c r="P382" s="157"/>
      <c r="Q382" s="157"/>
      <c r="R382" s="157"/>
      <c r="S382" s="157"/>
      <c r="T382" s="157"/>
      <c r="U382" s="157"/>
      <c r="V382" s="157"/>
      <c r="W382" s="153"/>
    </row>
    <row r="383" spans="1:23" s="14" customFormat="1" x14ac:dyDescent="0.25">
      <c r="A383" s="80"/>
      <c r="B383" s="76"/>
      <c r="C383" s="153"/>
      <c r="D383" s="153"/>
      <c r="E383" s="153"/>
      <c r="F383" s="153"/>
      <c r="G383" s="153"/>
      <c r="H383" s="153"/>
      <c r="I383" s="157"/>
      <c r="J383" s="157"/>
      <c r="K383" s="157"/>
      <c r="L383" s="157"/>
      <c r="M383" s="157"/>
      <c r="N383" s="221"/>
      <c r="O383" s="157"/>
      <c r="P383" s="157"/>
      <c r="Q383" s="157"/>
      <c r="R383" s="157"/>
      <c r="S383" s="157"/>
      <c r="T383" s="157"/>
      <c r="U383" s="157"/>
      <c r="V383" s="157"/>
      <c r="W383" s="153"/>
    </row>
    <row r="384" spans="1:23" s="14" customFormat="1" x14ac:dyDescent="0.25">
      <c r="A384" s="80"/>
      <c r="B384" s="76"/>
      <c r="C384" s="153"/>
      <c r="D384" s="153"/>
      <c r="E384" s="153"/>
      <c r="F384" s="153"/>
      <c r="G384" s="153"/>
      <c r="H384" s="153"/>
      <c r="I384" s="157"/>
      <c r="J384" s="157"/>
      <c r="K384" s="157"/>
      <c r="L384" s="157"/>
      <c r="M384" s="157"/>
      <c r="N384" s="221"/>
      <c r="O384" s="157"/>
      <c r="P384" s="157"/>
      <c r="Q384" s="157"/>
      <c r="R384" s="157"/>
      <c r="S384" s="157"/>
      <c r="T384" s="157"/>
      <c r="U384" s="157"/>
      <c r="V384" s="157"/>
      <c r="W384" s="153"/>
    </row>
    <row r="385" spans="1:23" s="14" customFormat="1" x14ac:dyDescent="0.25">
      <c r="A385" s="80"/>
      <c r="B385" s="76"/>
      <c r="C385" s="153"/>
      <c r="D385" s="153"/>
      <c r="E385" s="153"/>
      <c r="F385" s="153"/>
      <c r="G385" s="153"/>
      <c r="H385" s="153"/>
      <c r="I385" s="157"/>
      <c r="J385" s="157"/>
      <c r="K385" s="157"/>
      <c r="L385" s="157"/>
      <c r="M385" s="157"/>
      <c r="N385" s="221"/>
      <c r="O385" s="157"/>
      <c r="P385" s="157"/>
      <c r="Q385" s="157"/>
      <c r="R385" s="157"/>
      <c r="S385" s="157"/>
      <c r="T385" s="157"/>
      <c r="U385" s="157"/>
      <c r="V385" s="157"/>
      <c r="W385" s="153"/>
    </row>
    <row r="386" spans="1:23" s="14" customFormat="1" x14ac:dyDescent="0.25">
      <c r="A386" s="80"/>
      <c r="B386" s="76"/>
      <c r="C386" s="153"/>
      <c r="D386" s="153"/>
      <c r="E386" s="153"/>
      <c r="F386" s="153"/>
      <c r="G386" s="153"/>
      <c r="H386" s="153"/>
      <c r="I386" s="157"/>
      <c r="J386" s="157"/>
      <c r="K386" s="157"/>
      <c r="L386" s="157"/>
      <c r="M386" s="157"/>
      <c r="N386" s="221"/>
      <c r="O386" s="157"/>
      <c r="P386" s="157"/>
      <c r="Q386" s="157"/>
      <c r="R386" s="157"/>
      <c r="S386" s="157"/>
      <c r="T386" s="157"/>
      <c r="U386" s="157"/>
      <c r="V386" s="157"/>
      <c r="W386" s="153"/>
    </row>
    <row r="387" spans="1:23" s="14" customFormat="1" x14ac:dyDescent="0.25">
      <c r="A387" s="80"/>
      <c r="B387" s="76"/>
      <c r="C387" s="153"/>
      <c r="D387" s="153"/>
      <c r="E387" s="153"/>
      <c r="F387" s="153"/>
      <c r="G387" s="153"/>
      <c r="H387" s="153"/>
      <c r="I387" s="157"/>
      <c r="J387" s="157"/>
      <c r="K387" s="157"/>
      <c r="L387" s="157"/>
      <c r="M387" s="157"/>
      <c r="N387" s="221"/>
      <c r="O387" s="157"/>
      <c r="P387" s="157"/>
      <c r="Q387" s="157"/>
      <c r="R387" s="157"/>
      <c r="S387" s="157"/>
      <c r="T387" s="157"/>
      <c r="U387" s="157"/>
      <c r="V387" s="157"/>
      <c r="W387" s="153"/>
    </row>
    <row r="388" spans="1:23" s="14" customFormat="1" x14ac:dyDescent="0.25">
      <c r="A388" s="80"/>
      <c r="B388" s="76"/>
      <c r="C388" s="153"/>
      <c r="D388" s="153"/>
      <c r="E388" s="153"/>
      <c r="F388" s="153"/>
      <c r="G388" s="153"/>
      <c r="H388" s="153"/>
      <c r="I388" s="157"/>
      <c r="J388" s="157"/>
      <c r="K388" s="157"/>
      <c r="L388" s="157"/>
      <c r="M388" s="157"/>
      <c r="N388" s="221"/>
      <c r="O388" s="157"/>
      <c r="P388" s="157"/>
      <c r="Q388" s="157"/>
      <c r="R388" s="157"/>
      <c r="S388" s="157"/>
      <c r="T388" s="157"/>
      <c r="U388" s="157"/>
      <c r="V388" s="157"/>
      <c r="W388" s="153"/>
    </row>
    <row r="389" spans="1:23" s="14" customFormat="1" x14ac:dyDescent="0.25">
      <c r="A389" s="80"/>
      <c r="B389" s="76"/>
      <c r="C389" s="153"/>
      <c r="D389" s="153"/>
      <c r="E389" s="153"/>
      <c r="F389" s="153"/>
      <c r="G389" s="153"/>
      <c r="H389" s="153"/>
      <c r="I389" s="157"/>
      <c r="J389" s="157"/>
      <c r="K389" s="157"/>
      <c r="L389" s="157"/>
      <c r="M389" s="157"/>
      <c r="N389" s="221"/>
      <c r="O389" s="157"/>
      <c r="P389" s="157"/>
      <c r="Q389" s="157"/>
      <c r="R389" s="157"/>
      <c r="S389" s="157"/>
      <c r="T389" s="157"/>
      <c r="U389" s="157"/>
      <c r="V389" s="157"/>
      <c r="W389" s="153"/>
    </row>
    <row r="390" spans="1:23" s="14" customFormat="1" x14ac:dyDescent="0.25">
      <c r="A390" s="80"/>
      <c r="B390" s="76"/>
      <c r="C390" s="153"/>
      <c r="D390" s="153"/>
      <c r="E390" s="153"/>
      <c r="F390" s="153"/>
      <c r="G390" s="153"/>
      <c r="H390" s="153"/>
      <c r="I390" s="157"/>
      <c r="J390" s="157"/>
      <c r="K390" s="157"/>
      <c r="L390" s="157"/>
      <c r="M390" s="157"/>
      <c r="N390" s="221"/>
      <c r="O390" s="157"/>
      <c r="P390" s="157"/>
      <c r="Q390" s="157"/>
      <c r="R390" s="157"/>
      <c r="S390" s="157"/>
      <c r="T390" s="157"/>
      <c r="U390" s="157"/>
      <c r="V390" s="157"/>
      <c r="W390" s="153"/>
    </row>
    <row r="391" spans="1:23" s="14" customFormat="1" x14ac:dyDescent="0.25">
      <c r="A391" s="80"/>
      <c r="B391" s="76"/>
      <c r="C391" s="153"/>
      <c r="D391" s="153"/>
      <c r="E391" s="153"/>
      <c r="F391" s="153"/>
      <c r="G391" s="153"/>
      <c r="H391" s="153"/>
      <c r="I391" s="157"/>
      <c r="J391" s="157"/>
      <c r="K391" s="157"/>
      <c r="L391" s="157"/>
      <c r="M391" s="157"/>
      <c r="N391" s="221"/>
      <c r="O391" s="157"/>
      <c r="P391" s="157"/>
      <c r="Q391" s="157"/>
      <c r="R391" s="157"/>
      <c r="S391" s="157"/>
      <c r="T391" s="157"/>
      <c r="U391" s="157"/>
      <c r="V391" s="157"/>
      <c r="W391" s="153"/>
    </row>
    <row r="392" spans="1:23" s="14" customFormat="1" x14ac:dyDescent="0.25">
      <c r="A392" s="80"/>
      <c r="B392" s="76"/>
      <c r="C392" s="153"/>
      <c r="D392" s="153"/>
      <c r="E392" s="153"/>
      <c r="F392" s="153"/>
      <c r="G392" s="153"/>
      <c r="H392" s="153"/>
      <c r="I392" s="157"/>
      <c r="J392" s="157"/>
      <c r="K392" s="157"/>
      <c r="L392" s="157"/>
      <c r="M392" s="157"/>
      <c r="N392" s="221"/>
      <c r="O392" s="157"/>
      <c r="P392" s="157"/>
      <c r="Q392" s="157"/>
      <c r="R392" s="157"/>
      <c r="S392" s="157"/>
      <c r="T392" s="157"/>
      <c r="U392" s="157"/>
      <c r="V392" s="157"/>
      <c r="W392" s="153"/>
    </row>
    <row r="393" spans="1:23" s="14" customFormat="1" x14ac:dyDescent="0.25">
      <c r="A393" s="80"/>
      <c r="B393" s="76"/>
      <c r="C393" s="153"/>
      <c r="D393" s="153"/>
      <c r="E393" s="153"/>
      <c r="F393" s="153"/>
      <c r="G393" s="153"/>
      <c r="H393" s="153"/>
      <c r="I393" s="157"/>
      <c r="J393" s="157"/>
      <c r="K393" s="157"/>
      <c r="L393" s="157"/>
      <c r="M393" s="157"/>
      <c r="N393" s="221"/>
      <c r="O393" s="157"/>
      <c r="P393" s="157"/>
      <c r="Q393" s="157"/>
      <c r="R393" s="157"/>
      <c r="S393" s="157"/>
      <c r="T393" s="157"/>
      <c r="U393" s="157"/>
      <c r="V393" s="157"/>
      <c r="W393" s="153"/>
    </row>
    <row r="394" spans="1:23" s="14" customFormat="1" x14ac:dyDescent="0.25">
      <c r="A394" s="80"/>
      <c r="B394" s="76"/>
      <c r="C394" s="153"/>
      <c r="D394" s="153"/>
      <c r="E394" s="153"/>
      <c r="F394" s="153"/>
      <c r="G394" s="153"/>
      <c r="H394" s="153"/>
      <c r="I394" s="157"/>
      <c r="J394" s="157"/>
      <c r="K394" s="157"/>
      <c r="L394" s="157"/>
      <c r="M394" s="157"/>
      <c r="N394" s="221"/>
      <c r="O394" s="157"/>
      <c r="P394" s="157"/>
      <c r="Q394" s="157"/>
      <c r="R394" s="157"/>
      <c r="S394" s="157"/>
      <c r="T394" s="157"/>
      <c r="U394" s="157"/>
      <c r="V394" s="157"/>
      <c r="W394" s="153"/>
    </row>
    <row r="395" spans="1:23" s="14" customFormat="1" x14ac:dyDescent="0.25">
      <c r="A395" s="80"/>
      <c r="B395" s="76"/>
      <c r="C395" s="153"/>
      <c r="D395" s="153"/>
      <c r="E395" s="153"/>
      <c r="F395" s="153"/>
      <c r="G395" s="153"/>
      <c r="H395" s="153"/>
      <c r="I395" s="157"/>
      <c r="J395" s="157"/>
      <c r="K395" s="157"/>
      <c r="L395" s="157"/>
      <c r="M395" s="157"/>
      <c r="N395" s="221"/>
      <c r="O395" s="157"/>
      <c r="P395" s="157"/>
      <c r="Q395" s="157"/>
      <c r="R395" s="157"/>
      <c r="S395" s="157"/>
      <c r="T395" s="157"/>
      <c r="U395" s="157"/>
      <c r="V395" s="157"/>
      <c r="W395" s="153"/>
    </row>
    <row r="396" spans="1:23" s="14" customFormat="1" x14ac:dyDescent="0.25">
      <c r="A396" s="80"/>
      <c r="B396" s="76"/>
      <c r="C396" s="153"/>
      <c r="D396" s="153"/>
      <c r="E396" s="153"/>
      <c r="F396" s="153"/>
      <c r="G396" s="153"/>
      <c r="H396" s="153"/>
      <c r="I396" s="157"/>
      <c r="J396" s="157"/>
      <c r="K396" s="157"/>
      <c r="L396" s="157"/>
      <c r="M396" s="157"/>
      <c r="N396" s="221"/>
      <c r="O396" s="157"/>
      <c r="P396" s="157"/>
      <c r="Q396" s="157"/>
      <c r="R396" s="157"/>
      <c r="S396" s="157"/>
      <c r="T396" s="157"/>
      <c r="U396" s="157"/>
      <c r="V396" s="157"/>
      <c r="W396" s="153"/>
    </row>
    <row r="397" spans="1:23" s="14" customFormat="1" x14ac:dyDescent="0.25">
      <c r="A397" s="80"/>
      <c r="B397" s="76"/>
      <c r="C397" s="153"/>
      <c r="D397" s="153"/>
      <c r="E397" s="153"/>
      <c r="F397" s="153"/>
      <c r="G397" s="153"/>
      <c r="H397" s="153"/>
      <c r="I397" s="157"/>
      <c r="J397" s="157"/>
      <c r="K397" s="157"/>
      <c r="L397" s="157"/>
      <c r="M397" s="157"/>
      <c r="N397" s="221"/>
      <c r="O397" s="157"/>
      <c r="P397" s="157"/>
      <c r="Q397" s="157"/>
      <c r="R397" s="157"/>
      <c r="S397" s="157"/>
      <c r="T397" s="157"/>
      <c r="U397" s="157"/>
      <c r="V397" s="157"/>
      <c r="W397" s="153"/>
    </row>
    <row r="398" spans="1:23" s="14" customFormat="1" x14ac:dyDescent="0.25">
      <c r="A398" s="80"/>
      <c r="B398" s="76"/>
      <c r="C398" s="153"/>
      <c r="D398" s="153"/>
      <c r="E398" s="153"/>
      <c r="F398" s="153"/>
      <c r="G398" s="153"/>
      <c r="H398" s="153"/>
      <c r="I398" s="157"/>
      <c r="J398" s="157"/>
      <c r="K398" s="157"/>
      <c r="L398" s="157"/>
      <c r="M398" s="157"/>
      <c r="N398" s="221"/>
      <c r="O398" s="157"/>
      <c r="P398" s="157"/>
      <c r="Q398" s="157"/>
      <c r="R398" s="157"/>
      <c r="S398" s="157"/>
      <c r="T398" s="157"/>
      <c r="U398" s="157"/>
      <c r="V398" s="157"/>
      <c r="W398" s="153"/>
    </row>
    <row r="399" spans="1:23" s="14" customFormat="1" x14ac:dyDescent="0.25">
      <c r="A399" s="80"/>
      <c r="B399" s="76"/>
      <c r="C399" s="153"/>
      <c r="D399" s="153"/>
      <c r="E399" s="153"/>
      <c r="F399" s="153"/>
      <c r="G399" s="153"/>
      <c r="H399" s="153"/>
      <c r="I399" s="157"/>
      <c r="J399" s="157"/>
      <c r="K399" s="157"/>
      <c r="L399" s="157"/>
      <c r="M399" s="157"/>
      <c r="N399" s="221"/>
      <c r="O399" s="157"/>
      <c r="P399" s="157"/>
      <c r="Q399" s="157"/>
      <c r="R399" s="157"/>
      <c r="S399" s="157"/>
      <c r="T399" s="157"/>
      <c r="U399" s="157"/>
      <c r="V399" s="157"/>
      <c r="W399" s="153"/>
    </row>
    <row r="400" spans="1:23" s="14" customFormat="1" x14ac:dyDescent="0.25">
      <c r="A400" s="80"/>
      <c r="B400" s="76"/>
      <c r="C400" s="153"/>
      <c r="D400" s="153"/>
      <c r="E400" s="153"/>
      <c r="F400" s="153"/>
      <c r="G400" s="153"/>
      <c r="H400" s="153"/>
      <c r="I400" s="157"/>
      <c r="J400" s="157"/>
      <c r="K400" s="157"/>
      <c r="L400" s="157"/>
      <c r="M400" s="157"/>
      <c r="N400" s="221"/>
      <c r="O400" s="157"/>
      <c r="P400" s="157"/>
      <c r="Q400" s="157"/>
      <c r="R400" s="157"/>
      <c r="S400" s="157"/>
      <c r="T400" s="157"/>
      <c r="U400" s="157"/>
      <c r="V400" s="157"/>
      <c r="W400" s="153"/>
    </row>
    <row r="401" spans="1:23" s="14" customFormat="1" x14ac:dyDescent="0.25">
      <c r="A401" s="80"/>
      <c r="B401" s="76"/>
      <c r="C401" s="153"/>
      <c r="D401" s="153"/>
      <c r="E401" s="153"/>
      <c r="F401" s="153"/>
      <c r="G401" s="153"/>
      <c r="H401" s="153"/>
      <c r="I401" s="157"/>
      <c r="J401" s="157"/>
      <c r="K401" s="157"/>
      <c r="L401" s="157"/>
      <c r="M401" s="157"/>
      <c r="N401" s="221"/>
      <c r="O401" s="157"/>
      <c r="P401" s="157"/>
      <c r="Q401" s="157"/>
      <c r="R401" s="157"/>
      <c r="S401" s="157"/>
      <c r="T401" s="157"/>
      <c r="U401" s="157"/>
      <c r="V401" s="157"/>
      <c r="W401" s="153"/>
    </row>
    <row r="402" spans="1:23" s="14" customFormat="1" x14ac:dyDescent="0.25">
      <c r="A402" s="80"/>
      <c r="B402" s="76"/>
      <c r="C402" s="153"/>
      <c r="D402" s="153"/>
      <c r="E402" s="153"/>
      <c r="F402" s="153"/>
      <c r="G402" s="153"/>
      <c r="H402" s="153"/>
      <c r="I402" s="157"/>
      <c r="J402" s="157"/>
      <c r="K402" s="157"/>
      <c r="L402" s="157"/>
      <c r="M402" s="157"/>
      <c r="N402" s="221"/>
      <c r="O402" s="157"/>
      <c r="P402" s="157"/>
      <c r="Q402" s="157"/>
      <c r="R402" s="157"/>
      <c r="S402" s="157"/>
      <c r="T402" s="157"/>
      <c r="U402" s="157"/>
      <c r="V402" s="157"/>
      <c r="W402" s="153"/>
    </row>
    <row r="403" spans="1:23" s="14" customFormat="1" x14ac:dyDescent="0.25">
      <c r="A403" s="80"/>
      <c r="B403" s="76"/>
      <c r="C403" s="153"/>
      <c r="D403" s="153"/>
      <c r="E403" s="153"/>
      <c r="F403" s="153"/>
      <c r="G403" s="153"/>
      <c r="H403" s="153"/>
      <c r="I403" s="157"/>
      <c r="J403" s="157"/>
      <c r="K403" s="157"/>
      <c r="L403" s="157"/>
      <c r="M403" s="157"/>
      <c r="N403" s="221"/>
      <c r="O403" s="157"/>
      <c r="P403" s="157"/>
      <c r="Q403" s="157"/>
      <c r="R403" s="157"/>
      <c r="S403" s="157"/>
      <c r="T403" s="157"/>
      <c r="U403" s="157"/>
      <c r="V403" s="157"/>
      <c r="W403" s="153"/>
    </row>
    <row r="404" spans="1:23" s="14" customFormat="1" x14ac:dyDescent="0.25">
      <c r="A404" s="80"/>
      <c r="B404" s="76"/>
      <c r="C404" s="153"/>
      <c r="D404" s="153"/>
      <c r="E404" s="153"/>
      <c r="F404" s="153"/>
      <c r="G404" s="153"/>
      <c r="H404" s="153"/>
      <c r="I404" s="157"/>
      <c r="J404" s="157"/>
      <c r="K404" s="157"/>
      <c r="L404" s="157"/>
      <c r="M404" s="157"/>
      <c r="N404" s="221"/>
      <c r="O404" s="157"/>
      <c r="P404" s="157"/>
      <c r="Q404" s="157"/>
      <c r="R404" s="157"/>
      <c r="S404" s="157"/>
      <c r="T404" s="157"/>
      <c r="U404" s="157"/>
      <c r="V404" s="157"/>
      <c r="W404" s="153"/>
    </row>
    <row r="405" spans="1:23" s="14" customFormat="1" x14ac:dyDescent="0.25">
      <c r="A405" s="80"/>
      <c r="B405" s="76"/>
      <c r="C405" s="153"/>
      <c r="D405" s="153"/>
      <c r="E405" s="153"/>
      <c r="F405" s="153"/>
      <c r="G405" s="153"/>
      <c r="H405" s="153"/>
      <c r="I405" s="157"/>
      <c r="J405" s="157"/>
      <c r="K405" s="157"/>
      <c r="L405" s="157"/>
      <c r="M405" s="157"/>
      <c r="N405" s="221"/>
      <c r="O405" s="157"/>
      <c r="P405" s="157"/>
      <c r="Q405" s="157"/>
      <c r="R405" s="157"/>
      <c r="S405" s="157"/>
      <c r="T405" s="157"/>
      <c r="U405" s="157"/>
      <c r="V405" s="157"/>
      <c r="W405" s="153"/>
    </row>
    <row r="406" spans="1:23" s="14" customFormat="1" x14ac:dyDescent="0.25">
      <c r="A406" s="80"/>
      <c r="B406" s="76"/>
      <c r="C406" s="153"/>
      <c r="D406" s="153"/>
      <c r="E406" s="153"/>
      <c r="F406" s="153"/>
      <c r="G406" s="153"/>
      <c r="H406" s="153"/>
      <c r="I406" s="157"/>
      <c r="J406" s="157"/>
      <c r="K406" s="157"/>
      <c r="L406" s="157"/>
      <c r="M406" s="157"/>
      <c r="N406" s="221"/>
      <c r="O406" s="157"/>
      <c r="P406" s="157"/>
      <c r="Q406" s="157"/>
      <c r="R406" s="157"/>
      <c r="S406" s="157"/>
      <c r="T406" s="157"/>
      <c r="U406" s="157"/>
      <c r="V406" s="157"/>
      <c r="W406" s="153"/>
    </row>
    <row r="407" spans="1:23" s="14" customFormat="1" x14ac:dyDescent="0.25">
      <c r="A407" s="80"/>
      <c r="B407" s="76"/>
      <c r="C407" s="153"/>
      <c r="D407" s="153"/>
      <c r="E407" s="153"/>
      <c r="F407" s="153"/>
      <c r="G407" s="153"/>
      <c r="H407" s="153"/>
      <c r="I407" s="157"/>
      <c r="J407" s="157"/>
      <c r="K407" s="157"/>
      <c r="L407" s="157"/>
      <c r="M407" s="157"/>
      <c r="N407" s="221"/>
      <c r="O407" s="157"/>
      <c r="P407" s="157"/>
      <c r="Q407" s="157"/>
      <c r="R407" s="157"/>
      <c r="S407" s="157"/>
      <c r="T407" s="157"/>
      <c r="U407" s="157"/>
      <c r="V407" s="157"/>
      <c r="W407" s="153"/>
    </row>
    <row r="408" spans="1:23" s="14" customFormat="1" x14ac:dyDescent="0.25">
      <c r="A408" s="80"/>
      <c r="B408" s="76"/>
      <c r="C408" s="153"/>
      <c r="D408" s="153"/>
      <c r="E408" s="153"/>
      <c r="F408" s="153"/>
      <c r="G408" s="153"/>
      <c r="H408" s="153"/>
      <c r="I408" s="157"/>
      <c r="J408" s="157"/>
      <c r="K408" s="157"/>
      <c r="L408" s="157"/>
      <c r="M408" s="157"/>
      <c r="N408" s="221"/>
      <c r="O408" s="157"/>
      <c r="P408" s="157"/>
      <c r="Q408" s="157"/>
      <c r="R408" s="157"/>
      <c r="S408" s="157"/>
      <c r="T408" s="157"/>
      <c r="U408" s="157"/>
      <c r="V408" s="157"/>
      <c r="W408" s="153"/>
    </row>
    <row r="409" spans="1:23" s="14" customFormat="1" x14ac:dyDescent="0.25">
      <c r="A409" s="80"/>
      <c r="B409" s="76"/>
      <c r="C409" s="153"/>
      <c r="D409" s="153"/>
      <c r="E409" s="153"/>
      <c r="F409" s="153"/>
      <c r="G409" s="153"/>
      <c r="H409" s="153"/>
      <c r="I409" s="157"/>
      <c r="J409" s="157"/>
      <c r="K409" s="157"/>
      <c r="L409" s="157"/>
      <c r="M409" s="157"/>
      <c r="N409" s="221"/>
      <c r="O409" s="157"/>
      <c r="P409" s="157"/>
      <c r="Q409" s="157"/>
      <c r="R409" s="157"/>
      <c r="S409" s="157"/>
      <c r="T409" s="157"/>
      <c r="U409" s="157"/>
      <c r="V409" s="157"/>
      <c r="W409" s="153"/>
    </row>
    <row r="410" spans="1:23" s="14" customFormat="1" x14ac:dyDescent="0.25">
      <c r="A410" s="80"/>
      <c r="B410" s="76"/>
      <c r="C410" s="153"/>
      <c r="D410" s="153"/>
      <c r="E410" s="153"/>
      <c r="F410" s="153"/>
      <c r="G410" s="153"/>
      <c r="H410" s="153"/>
      <c r="I410" s="157"/>
      <c r="J410" s="157"/>
      <c r="K410" s="157"/>
      <c r="L410" s="157"/>
      <c r="M410" s="157"/>
      <c r="N410" s="221"/>
      <c r="O410" s="157"/>
      <c r="P410" s="157"/>
      <c r="Q410" s="157"/>
      <c r="R410" s="157"/>
      <c r="S410" s="157"/>
      <c r="T410" s="157"/>
      <c r="U410" s="157"/>
      <c r="V410" s="157"/>
      <c r="W410" s="153"/>
    </row>
    <row r="411" spans="1:23" s="14" customFormat="1" x14ac:dyDescent="0.25">
      <c r="A411" s="80"/>
      <c r="B411" s="76"/>
      <c r="C411" s="153"/>
      <c r="D411" s="153"/>
      <c r="E411" s="153"/>
      <c r="F411" s="153"/>
      <c r="G411" s="153"/>
      <c r="H411" s="153"/>
      <c r="I411" s="157"/>
      <c r="J411" s="157"/>
      <c r="K411" s="157"/>
      <c r="L411" s="157"/>
      <c r="M411" s="157"/>
      <c r="N411" s="221"/>
      <c r="O411" s="157"/>
      <c r="P411" s="157"/>
      <c r="Q411" s="157"/>
      <c r="R411" s="157"/>
      <c r="S411" s="157"/>
      <c r="T411" s="157"/>
      <c r="U411" s="157"/>
      <c r="V411" s="157"/>
      <c r="W411" s="153"/>
    </row>
    <row r="412" spans="1:23" s="14" customFormat="1" x14ac:dyDescent="0.25">
      <c r="A412" s="80"/>
      <c r="B412" s="76"/>
      <c r="C412" s="153"/>
      <c r="D412" s="153"/>
      <c r="E412" s="153"/>
      <c r="F412" s="153"/>
      <c r="G412" s="153"/>
      <c r="H412" s="153"/>
      <c r="I412" s="157"/>
      <c r="J412" s="157"/>
      <c r="K412" s="157"/>
      <c r="L412" s="157"/>
      <c r="M412" s="157"/>
      <c r="N412" s="221"/>
      <c r="O412" s="157"/>
      <c r="P412" s="157"/>
      <c r="Q412" s="157"/>
      <c r="R412" s="157"/>
      <c r="S412" s="157"/>
      <c r="T412" s="157"/>
      <c r="U412" s="157"/>
      <c r="V412" s="157"/>
      <c r="W412" s="153"/>
    </row>
    <row r="413" spans="1:23" s="14" customFormat="1" x14ac:dyDescent="0.25">
      <c r="A413" s="80"/>
      <c r="B413" s="76"/>
      <c r="C413" s="153"/>
      <c r="D413" s="153"/>
      <c r="E413" s="153"/>
      <c r="F413" s="153"/>
      <c r="G413" s="153"/>
      <c r="H413" s="153"/>
      <c r="I413" s="157"/>
      <c r="J413" s="157"/>
      <c r="K413" s="157"/>
      <c r="L413" s="157"/>
      <c r="M413" s="157"/>
      <c r="N413" s="221"/>
      <c r="O413" s="157"/>
      <c r="P413" s="157"/>
      <c r="Q413" s="157"/>
      <c r="R413" s="157"/>
      <c r="S413" s="157"/>
      <c r="T413" s="157"/>
      <c r="U413" s="157"/>
      <c r="V413" s="157"/>
      <c r="W413" s="153"/>
    </row>
    <row r="414" spans="1:23" s="14" customFormat="1" x14ac:dyDescent="0.25">
      <c r="A414" s="80"/>
      <c r="B414" s="76"/>
      <c r="C414" s="153"/>
      <c r="D414" s="153"/>
      <c r="E414" s="153"/>
      <c r="F414" s="153"/>
      <c r="G414" s="153"/>
      <c r="H414" s="153"/>
      <c r="I414" s="157"/>
      <c r="J414" s="157"/>
      <c r="K414" s="157"/>
      <c r="L414" s="157"/>
      <c r="M414" s="157"/>
      <c r="N414" s="221"/>
      <c r="O414" s="157"/>
      <c r="P414" s="157"/>
      <c r="Q414" s="157"/>
      <c r="R414" s="157"/>
      <c r="S414" s="157"/>
      <c r="T414" s="157"/>
      <c r="U414" s="157"/>
      <c r="V414" s="157"/>
      <c r="W414" s="153"/>
    </row>
    <row r="415" spans="1:23" s="14" customFormat="1" x14ac:dyDescent="0.25">
      <c r="A415" s="80"/>
      <c r="B415" s="76"/>
      <c r="C415" s="153"/>
      <c r="D415" s="153"/>
      <c r="E415" s="153"/>
      <c r="F415" s="153"/>
      <c r="G415" s="153"/>
      <c r="H415" s="153"/>
      <c r="I415" s="157"/>
      <c r="J415" s="157"/>
      <c r="K415" s="157"/>
      <c r="L415" s="157"/>
      <c r="M415" s="157"/>
      <c r="N415" s="221"/>
      <c r="O415" s="157"/>
      <c r="P415" s="157"/>
      <c r="Q415" s="157"/>
      <c r="R415" s="157"/>
      <c r="S415" s="157"/>
      <c r="T415" s="157"/>
      <c r="U415" s="157"/>
      <c r="V415" s="157"/>
      <c r="W415" s="153"/>
    </row>
    <row r="416" spans="1:23" s="14" customFormat="1" x14ac:dyDescent="0.25">
      <c r="A416" s="80"/>
      <c r="B416" s="76"/>
      <c r="C416" s="153"/>
      <c r="D416" s="153"/>
      <c r="E416" s="153"/>
      <c r="F416" s="153"/>
      <c r="G416" s="153"/>
      <c r="H416" s="153"/>
      <c r="I416" s="157"/>
      <c r="J416" s="157"/>
      <c r="K416" s="157"/>
      <c r="L416" s="157"/>
      <c r="M416" s="157"/>
      <c r="N416" s="221"/>
      <c r="O416" s="157"/>
      <c r="P416" s="157"/>
      <c r="Q416" s="157"/>
      <c r="R416" s="157"/>
      <c r="S416" s="157"/>
      <c r="T416" s="157"/>
      <c r="U416" s="157"/>
      <c r="V416" s="157"/>
      <c r="W416" s="153"/>
    </row>
    <row r="417" spans="1:23" s="14" customFormat="1" x14ac:dyDescent="0.25">
      <c r="A417" s="80"/>
      <c r="B417" s="76"/>
      <c r="C417" s="153"/>
      <c r="D417" s="153"/>
      <c r="E417" s="153"/>
      <c r="F417" s="153"/>
      <c r="G417" s="153"/>
      <c r="H417" s="153"/>
      <c r="I417" s="157"/>
      <c r="J417" s="157"/>
      <c r="K417" s="157"/>
      <c r="L417" s="157"/>
      <c r="M417" s="157"/>
      <c r="N417" s="221"/>
      <c r="O417" s="157"/>
      <c r="P417" s="157"/>
      <c r="Q417" s="157"/>
      <c r="R417" s="157"/>
      <c r="S417" s="157"/>
      <c r="T417" s="157"/>
      <c r="U417" s="157"/>
      <c r="V417" s="157"/>
      <c r="W417" s="153"/>
    </row>
    <row r="418" spans="1:23" s="14" customFormat="1" x14ac:dyDescent="0.25">
      <c r="A418" s="80"/>
      <c r="B418" s="76"/>
      <c r="C418" s="153"/>
      <c r="D418" s="153"/>
      <c r="E418" s="153"/>
      <c r="F418" s="153"/>
      <c r="G418" s="153"/>
      <c r="H418" s="153"/>
      <c r="I418" s="157"/>
      <c r="J418" s="157"/>
      <c r="K418" s="157"/>
      <c r="L418" s="157"/>
      <c r="M418" s="157"/>
      <c r="N418" s="221"/>
      <c r="O418" s="157"/>
      <c r="P418" s="157"/>
      <c r="Q418" s="157"/>
      <c r="R418" s="157"/>
      <c r="S418" s="157"/>
      <c r="T418" s="157"/>
      <c r="U418" s="157"/>
      <c r="V418" s="157"/>
      <c r="W418" s="153"/>
    </row>
    <row r="419" spans="1:23" s="14" customFormat="1" x14ac:dyDescent="0.25">
      <c r="A419" s="80"/>
      <c r="B419" s="76"/>
      <c r="C419" s="153"/>
      <c r="D419" s="153"/>
      <c r="E419" s="153"/>
      <c r="F419" s="153"/>
      <c r="G419" s="153"/>
      <c r="H419" s="153"/>
      <c r="I419" s="157"/>
      <c r="J419" s="157"/>
      <c r="K419" s="157"/>
      <c r="L419" s="157"/>
      <c r="M419" s="157"/>
      <c r="N419" s="221"/>
      <c r="O419" s="157"/>
      <c r="P419" s="157"/>
      <c r="Q419" s="157"/>
      <c r="R419" s="157"/>
      <c r="S419" s="157"/>
      <c r="T419" s="157"/>
      <c r="U419" s="157"/>
      <c r="V419" s="157"/>
      <c r="W419" s="153"/>
    </row>
    <row r="420" spans="1:23" s="14" customFormat="1" x14ac:dyDescent="0.25">
      <c r="A420" s="80"/>
      <c r="B420" s="76"/>
      <c r="C420" s="153"/>
      <c r="D420" s="153"/>
      <c r="E420" s="153"/>
      <c r="F420" s="153"/>
      <c r="G420" s="153"/>
      <c r="H420" s="153"/>
      <c r="I420" s="157"/>
      <c r="J420" s="157"/>
      <c r="K420" s="157"/>
      <c r="L420" s="157"/>
      <c r="M420" s="157"/>
      <c r="N420" s="221"/>
      <c r="O420" s="157"/>
      <c r="P420" s="157"/>
      <c r="Q420" s="157"/>
      <c r="R420" s="157"/>
      <c r="S420" s="157"/>
      <c r="T420" s="157"/>
      <c r="U420" s="157"/>
      <c r="V420" s="157"/>
      <c r="W420" s="153"/>
    </row>
    <row r="421" spans="1:23" s="14" customFormat="1" x14ac:dyDescent="0.25">
      <c r="A421" s="80"/>
      <c r="B421" s="76"/>
      <c r="C421" s="153"/>
      <c r="D421" s="153"/>
      <c r="E421" s="153"/>
      <c r="F421" s="153"/>
      <c r="G421" s="153"/>
      <c r="H421" s="153"/>
      <c r="I421" s="157"/>
      <c r="J421" s="157"/>
      <c r="K421" s="157"/>
      <c r="L421" s="157"/>
      <c r="M421" s="157"/>
      <c r="N421" s="221"/>
      <c r="O421" s="157"/>
      <c r="P421" s="157"/>
      <c r="Q421" s="157"/>
      <c r="R421" s="157"/>
      <c r="S421" s="157"/>
      <c r="T421" s="157"/>
      <c r="U421" s="157"/>
      <c r="V421" s="157"/>
      <c r="W421" s="153"/>
    </row>
    <row r="422" spans="1:23" s="14" customFormat="1" x14ac:dyDescent="0.25">
      <c r="A422" s="80"/>
      <c r="B422" s="76"/>
      <c r="C422" s="153"/>
      <c r="D422" s="153"/>
      <c r="E422" s="153"/>
      <c r="F422" s="153"/>
      <c r="G422" s="153"/>
      <c r="H422" s="153"/>
      <c r="I422" s="157"/>
      <c r="J422" s="157"/>
      <c r="K422" s="157"/>
      <c r="L422" s="157"/>
      <c r="M422" s="157"/>
      <c r="N422" s="221"/>
      <c r="O422" s="157"/>
      <c r="P422" s="157"/>
      <c r="Q422" s="157"/>
      <c r="R422" s="157"/>
      <c r="S422" s="157"/>
      <c r="T422" s="157"/>
      <c r="U422" s="157"/>
      <c r="V422" s="157"/>
      <c r="W422" s="153"/>
    </row>
    <row r="423" spans="1:23" s="14" customFormat="1" x14ac:dyDescent="0.25">
      <c r="A423" s="80"/>
      <c r="B423" s="76"/>
      <c r="C423" s="153"/>
      <c r="D423" s="153"/>
      <c r="E423" s="153"/>
      <c r="F423" s="153"/>
      <c r="G423" s="153"/>
      <c r="H423" s="153"/>
      <c r="I423" s="157"/>
      <c r="J423" s="157"/>
      <c r="K423" s="157"/>
      <c r="L423" s="157"/>
      <c r="M423" s="157"/>
      <c r="N423" s="221"/>
      <c r="O423" s="157"/>
      <c r="P423" s="157"/>
      <c r="Q423" s="157"/>
      <c r="R423" s="157"/>
      <c r="S423" s="157"/>
      <c r="T423" s="157"/>
      <c r="U423" s="157"/>
      <c r="V423" s="157"/>
      <c r="W423" s="153"/>
    </row>
    <row r="424" spans="1:23" s="14" customFormat="1" x14ac:dyDescent="0.25">
      <c r="A424" s="80"/>
      <c r="B424" s="76"/>
      <c r="C424" s="153"/>
      <c r="D424" s="153"/>
      <c r="E424" s="153"/>
      <c r="F424" s="153"/>
      <c r="G424" s="153"/>
      <c r="H424" s="153"/>
      <c r="I424" s="157"/>
      <c r="J424" s="157"/>
      <c r="K424" s="157"/>
      <c r="L424" s="157"/>
      <c r="M424" s="157"/>
      <c r="N424" s="221"/>
      <c r="O424" s="157"/>
      <c r="P424" s="157"/>
      <c r="Q424" s="157"/>
      <c r="R424" s="157"/>
      <c r="S424" s="157"/>
      <c r="T424" s="157"/>
      <c r="U424" s="157"/>
      <c r="V424" s="157"/>
      <c r="W424" s="153"/>
    </row>
    <row r="425" spans="1:23" s="14" customFormat="1" x14ac:dyDescent="0.25">
      <c r="A425" s="80"/>
      <c r="B425" s="76"/>
      <c r="C425" s="153"/>
      <c r="D425" s="153"/>
      <c r="E425" s="153"/>
      <c r="F425" s="153"/>
      <c r="G425" s="153"/>
      <c r="H425" s="153"/>
      <c r="I425" s="157"/>
      <c r="J425" s="157"/>
      <c r="K425" s="157"/>
      <c r="L425" s="157"/>
      <c r="M425" s="157"/>
      <c r="N425" s="221"/>
      <c r="O425" s="157"/>
      <c r="P425" s="157"/>
      <c r="Q425" s="157"/>
      <c r="R425" s="157"/>
      <c r="S425" s="157"/>
      <c r="T425" s="157"/>
      <c r="U425" s="157"/>
      <c r="V425" s="157"/>
      <c r="W425" s="153"/>
    </row>
    <row r="426" spans="1:23" s="14" customFormat="1" x14ac:dyDescent="0.25">
      <c r="A426" s="80"/>
      <c r="B426" s="76"/>
      <c r="C426" s="153"/>
      <c r="D426" s="153"/>
      <c r="E426" s="153"/>
      <c r="F426" s="153"/>
      <c r="G426" s="153"/>
      <c r="H426" s="153"/>
      <c r="I426" s="157"/>
      <c r="J426" s="157"/>
      <c r="K426" s="157"/>
      <c r="L426" s="157"/>
      <c r="M426" s="157"/>
      <c r="N426" s="221"/>
      <c r="O426" s="157"/>
      <c r="P426" s="157"/>
      <c r="Q426" s="157"/>
      <c r="R426" s="157"/>
      <c r="S426" s="157"/>
      <c r="T426" s="157"/>
      <c r="U426" s="157"/>
      <c r="V426" s="157"/>
      <c r="W426" s="153"/>
    </row>
    <row r="427" spans="1:23" s="14" customFormat="1" x14ac:dyDescent="0.25">
      <c r="A427" s="80"/>
      <c r="B427" s="76"/>
      <c r="C427" s="153"/>
      <c r="D427" s="153"/>
      <c r="E427" s="153"/>
      <c r="F427" s="153"/>
      <c r="G427" s="153"/>
      <c r="H427" s="153"/>
      <c r="I427" s="157"/>
      <c r="J427" s="157"/>
      <c r="K427" s="157"/>
      <c r="L427" s="157"/>
      <c r="M427" s="157"/>
      <c r="N427" s="221"/>
      <c r="O427" s="157"/>
      <c r="P427" s="157"/>
      <c r="Q427" s="157"/>
      <c r="R427" s="157"/>
      <c r="S427" s="157"/>
      <c r="T427" s="157"/>
      <c r="U427" s="157"/>
      <c r="V427" s="157"/>
      <c r="W427" s="153"/>
    </row>
    <row r="428" spans="1:23" s="14" customFormat="1" x14ac:dyDescent="0.25">
      <c r="A428" s="80"/>
      <c r="B428" s="76"/>
      <c r="C428" s="153"/>
      <c r="D428" s="153"/>
      <c r="E428" s="153"/>
      <c r="F428" s="153"/>
      <c r="G428" s="153"/>
      <c r="H428" s="153"/>
      <c r="I428" s="157"/>
      <c r="J428" s="157"/>
      <c r="K428" s="157"/>
      <c r="L428" s="157"/>
      <c r="M428" s="157"/>
      <c r="N428" s="221"/>
      <c r="O428" s="157"/>
      <c r="P428" s="157"/>
      <c r="Q428" s="157"/>
      <c r="R428" s="157"/>
      <c r="S428" s="157"/>
      <c r="T428" s="157"/>
      <c r="U428" s="157"/>
      <c r="V428" s="157"/>
      <c r="W428" s="153"/>
    </row>
    <row r="429" spans="1:23" s="14" customFormat="1" x14ac:dyDescent="0.25">
      <c r="A429" s="80"/>
      <c r="B429" s="76"/>
      <c r="C429" s="153"/>
      <c r="D429" s="153"/>
      <c r="E429" s="153"/>
      <c r="F429" s="153"/>
      <c r="G429" s="153"/>
      <c r="H429" s="153"/>
      <c r="I429" s="157"/>
      <c r="J429" s="157"/>
      <c r="K429" s="157"/>
      <c r="L429" s="157"/>
      <c r="M429" s="157"/>
      <c r="N429" s="221"/>
      <c r="O429" s="157"/>
      <c r="P429" s="157"/>
      <c r="Q429" s="157"/>
      <c r="R429" s="157"/>
      <c r="S429" s="157"/>
      <c r="T429" s="157"/>
      <c r="U429" s="157"/>
      <c r="V429" s="157"/>
      <c r="W429" s="153"/>
    </row>
    <row r="430" spans="1:23" s="14" customFormat="1" x14ac:dyDescent="0.25">
      <c r="A430" s="80"/>
      <c r="B430" s="76"/>
      <c r="C430" s="153"/>
      <c r="D430" s="153"/>
      <c r="E430" s="153"/>
      <c r="F430" s="153"/>
      <c r="G430" s="153"/>
      <c r="H430" s="153"/>
      <c r="I430" s="157"/>
      <c r="J430" s="157"/>
      <c r="K430" s="157"/>
      <c r="L430" s="157"/>
      <c r="M430" s="157"/>
      <c r="N430" s="221"/>
      <c r="O430" s="157"/>
      <c r="P430" s="157"/>
      <c r="Q430" s="157"/>
      <c r="R430" s="157"/>
      <c r="S430" s="157"/>
      <c r="T430" s="157"/>
      <c r="U430" s="157"/>
      <c r="V430" s="157"/>
      <c r="W430" s="153"/>
    </row>
    <row r="431" spans="1:23" s="14" customFormat="1" x14ac:dyDescent="0.25">
      <c r="A431" s="80"/>
      <c r="B431" s="76"/>
      <c r="C431" s="153"/>
      <c r="D431" s="153"/>
      <c r="E431" s="153"/>
      <c r="F431" s="153"/>
      <c r="G431" s="153"/>
      <c r="H431" s="153"/>
      <c r="I431" s="157"/>
      <c r="J431" s="157"/>
      <c r="K431" s="157"/>
      <c r="L431" s="157"/>
      <c r="M431" s="157"/>
      <c r="N431" s="221"/>
      <c r="O431" s="157"/>
      <c r="P431" s="157"/>
      <c r="Q431" s="157"/>
      <c r="R431" s="157"/>
      <c r="S431" s="157"/>
      <c r="T431" s="157"/>
      <c r="U431" s="157"/>
      <c r="V431" s="157"/>
      <c r="W431" s="153"/>
    </row>
    <row r="432" spans="1:23" s="14" customFormat="1" x14ac:dyDescent="0.25">
      <c r="A432" s="80"/>
      <c r="B432" s="76"/>
      <c r="C432" s="153"/>
      <c r="D432" s="153"/>
      <c r="E432" s="153"/>
      <c r="F432" s="153"/>
      <c r="G432" s="153"/>
      <c r="H432" s="153"/>
      <c r="I432" s="157"/>
      <c r="J432" s="157"/>
      <c r="K432" s="157"/>
      <c r="L432" s="157"/>
      <c r="M432" s="157"/>
      <c r="N432" s="221"/>
      <c r="O432" s="157"/>
      <c r="P432" s="157"/>
      <c r="Q432" s="157"/>
      <c r="R432" s="157"/>
      <c r="S432" s="157"/>
      <c r="T432" s="157"/>
      <c r="U432" s="157"/>
      <c r="V432" s="157"/>
      <c r="W432" s="153"/>
    </row>
    <row r="433" spans="1:23" s="14" customFormat="1" x14ac:dyDescent="0.25">
      <c r="A433" s="80"/>
      <c r="B433" s="76"/>
      <c r="C433" s="153"/>
      <c r="D433" s="153"/>
      <c r="E433" s="153"/>
      <c r="F433" s="153"/>
      <c r="G433" s="153"/>
      <c r="H433" s="153"/>
      <c r="I433" s="157"/>
      <c r="J433" s="157"/>
      <c r="K433" s="157"/>
      <c r="L433" s="157"/>
      <c r="M433" s="157"/>
      <c r="N433" s="221"/>
      <c r="O433" s="157"/>
      <c r="P433" s="157"/>
      <c r="Q433" s="157"/>
      <c r="R433" s="157"/>
      <c r="S433" s="157"/>
      <c r="T433" s="157"/>
      <c r="U433" s="157"/>
      <c r="V433" s="157"/>
      <c r="W433" s="153"/>
    </row>
    <row r="434" spans="1:23" s="14" customFormat="1" x14ac:dyDescent="0.25">
      <c r="A434" s="80"/>
      <c r="B434" s="76"/>
      <c r="C434" s="153"/>
      <c r="D434" s="153"/>
      <c r="E434" s="153"/>
      <c r="F434" s="153"/>
      <c r="G434" s="153"/>
      <c r="H434" s="153"/>
      <c r="I434" s="157"/>
      <c r="J434" s="157"/>
      <c r="K434" s="157"/>
      <c r="L434" s="157"/>
      <c r="M434" s="157"/>
      <c r="N434" s="221"/>
      <c r="O434" s="157"/>
      <c r="P434" s="157"/>
      <c r="Q434" s="157"/>
      <c r="R434" s="157"/>
      <c r="S434" s="157"/>
      <c r="T434" s="157"/>
      <c r="U434" s="157"/>
      <c r="V434" s="157"/>
      <c r="W434" s="153"/>
    </row>
    <row r="435" spans="1:23" s="14" customFormat="1" x14ac:dyDescent="0.25">
      <c r="A435" s="80"/>
      <c r="B435" s="76"/>
      <c r="C435" s="153"/>
      <c r="D435" s="153"/>
      <c r="E435" s="153"/>
      <c r="F435" s="153"/>
      <c r="G435" s="153"/>
      <c r="H435" s="153"/>
      <c r="I435" s="157"/>
      <c r="J435" s="157"/>
      <c r="K435" s="157"/>
      <c r="L435" s="157"/>
      <c r="M435" s="157"/>
      <c r="N435" s="221"/>
      <c r="O435" s="157"/>
      <c r="P435" s="157"/>
      <c r="Q435" s="157"/>
      <c r="R435" s="157"/>
      <c r="S435" s="157"/>
      <c r="T435" s="157"/>
      <c r="U435" s="157"/>
      <c r="V435" s="157"/>
      <c r="W435" s="153"/>
    </row>
    <row r="436" spans="1:23" s="14" customFormat="1" x14ac:dyDescent="0.25">
      <c r="A436" s="80"/>
      <c r="B436" s="76"/>
      <c r="C436" s="153"/>
      <c r="D436" s="153"/>
      <c r="E436" s="153"/>
      <c r="F436" s="153"/>
      <c r="G436" s="153"/>
      <c r="H436" s="153"/>
      <c r="I436" s="157"/>
      <c r="J436" s="157"/>
      <c r="K436" s="157"/>
      <c r="L436" s="157"/>
      <c r="M436" s="157"/>
      <c r="N436" s="221"/>
      <c r="O436" s="157"/>
      <c r="P436" s="157"/>
      <c r="Q436" s="157"/>
      <c r="R436" s="157"/>
      <c r="S436" s="157"/>
      <c r="T436" s="157"/>
      <c r="U436" s="157"/>
      <c r="V436" s="157"/>
      <c r="W436" s="153"/>
    </row>
    <row r="437" spans="1:23" s="14" customFormat="1" x14ac:dyDescent="0.25">
      <c r="A437" s="80"/>
      <c r="B437" s="76"/>
      <c r="C437" s="153"/>
      <c r="D437" s="153"/>
      <c r="E437" s="153"/>
      <c r="F437" s="153"/>
      <c r="G437" s="153"/>
      <c r="H437" s="153"/>
      <c r="I437" s="157"/>
      <c r="J437" s="157"/>
      <c r="K437" s="157"/>
      <c r="L437" s="157"/>
      <c r="M437" s="157"/>
      <c r="N437" s="221"/>
      <c r="O437" s="157"/>
      <c r="P437" s="157"/>
      <c r="Q437" s="157"/>
      <c r="R437" s="157"/>
      <c r="S437" s="157"/>
      <c r="T437" s="157"/>
      <c r="U437" s="157"/>
      <c r="V437" s="157"/>
      <c r="W437" s="153"/>
    </row>
    <row r="438" spans="1:23" s="14" customFormat="1" x14ac:dyDescent="0.25">
      <c r="A438" s="80"/>
      <c r="B438" s="76"/>
      <c r="C438" s="153"/>
      <c r="D438" s="153"/>
      <c r="E438" s="153"/>
      <c r="F438" s="153"/>
      <c r="G438" s="153"/>
      <c r="H438" s="153"/>
      <c r="I438" s="157"/>
      <c r="J438" s="157"/>
      <c r="K438" s="157"/>
      <c r="L438" s="157"/>
      <c r="M438" s="157"/>
      <c r="N438" s="221"/>
      <c r="O438" s="157"/>
      <c r="P438" s="157"/>
      <c r="Q438" s="157"/>
      <c r="R438" s="157"/>
      <c r="S438" s="157"/>
      <c r="T438" s="157"/>
      <c r="U438" s="157"/>
      <c r="V438" s="157"/>
      <c r="W438" s="153"/>
    </row>
    <row r="439" spans="1:23" s="14" customFormat="1" x14ac:dyDescent="0.25">
      <c r="A439" s="80"/>
      <c r="B439" s="76"/>
      <c r="C439" s="153"/>
      <c r="D439" s="153"/>
      <c r="E439" s="153"/>
      <c r="F439" s="153"/>
      <c r="G439" s="153"/>
      <c r="H439" s="153"/>
      <c r="I439" s="157"/>
      <c r="J439" s="157"/>
      <c r="K439" s="157"/>
      <c r="L439" s="157"/>
      <c r="M439" s="157"/>
      <c r="N439" s="221"/>
      <c r="O439" s="157"/>
      <c r="P439" s="157"/>
      <c r="Q439" s="157"/>
      <c r="R439" s="157"/>
      <c r="S439" s="157"/>
      <c r="T439" s="157"/>
      <c r="U439" s="157"/>
      <c r="V439" s="157"/>
      <c r="W439" s="153"/>
    </row>
    <row r="440" spans="1:23" s="14" customFormat="1" x14ac:dyDescent="0.25">
      <c r="A440" s="80"/>
      <c r="B440" s="76"/>
      <c r="C440" s="153"/>
      <c r="D440" s="153"/>
      <c r="E440" s="153"/>
      <c r="F440" s="153"/>
      <c r="G440" s="153"/>
      <c r="H440" s="153"/>
      <c r="I440" s="157"/>
      <c r="J440" s="157"/>
      <c r="K440" s="157"/>
      <c r="L440" s="157"/>
      <c r="M440" s="157"/>
      <c r="N440" s="221"/>
      <c r="O440" s="157"/>
      <c r="P440" s="157"/>
      <c r="Q440" s="157"/>
      <c r="R440" s="157"/>
      <c r="S440" s="157"/>
      <c r="T440" s="157"/>
      <c r="U440" s="157"/>
      <c r="V440" s="157"/>
      <c r="W440" s="153"/>
    </row>
    <row r="441" spans="1:23" s="14" customFormat="1" x14ac:dyDescent="0.25">
      <c r="A441" s="80"/>
      <c r="B441" s="76"/>
      <c r="C441" s="153"/>
      <c r="D441" s="153"/>
      <c r="E441" s="153"/>
      <c r="F441" s="153"/>
      <c r="G441" s="153"/>
      <c r="H441" s="153"/>
      <c r="I441" s="157"/>
      <c r="J441" s="157"/>
      <c r="K441" s="157"/>
      <c r="L441" s="157"/>
      <c r="M441" s="157"/>
      <c r="N441" s="221"/>
      <c r="O441" s="157"/>
      <c r="P441" s="157"/>
      <c r="Q441" s="157"/>
      <c r="R441" s="157"/>
      <c r="S441" s="157"/>
      <c r="T441" s="157"/>
      <c r="U441" s="157"/>
      <c r="V441" s="157"/>
      <c r="W441" s="153"/>
    </row>
    <row r="442" spans="1:23" s="14" customFormat="1" x14ac:dyDescent="0.25">
      <c r="A442" s="80"/>
      <c r="B442" s="76"/>
      <c r="C442" s="153"/>
      <c r="D442" s="153"/>
      <c r="E442" s="153"/>
      <c r="F442" s="153"/>
      <c r="G442" s="153"/>
      <c r="H442" s="153"/>
      <c r="I442" s="157"/>
      <c r="J442" s="157"/>
      <c r="K442" s="157"/>
      <c r="L442" s="157"/>
      <c r="M442" s="157"/>
      <c r="N442" s="221"/>
      <c r="O442" s="157"/>
      <c r="P442" s="157"/>
      <c r="Q442" s="157"/>
      <c r="R442" s="157"/>
      <c r="S442" s="157"/>
      <c r="T442" s="157"/>
      <c r="U442" s="157"/>
      <c r="V442" s="157"/>
      <c r="W442" s="153"/>
    </row>
    <row r="443" spans="1:23" s="14" customFormat="1" x14ac:dyDescent="0.25">
      <c r="A443" s="80"/>
      <c r="B443" s="76"/>
      <c r="C443" s="153"/>
      <c r="D443" s="153"/>
      <c r="E443" s="153"/>
      <c r="F443" s="153"/>
      <c r="G443" s="153"/>
      <c r="H443" s="153"/>
      <c r="I443" s="157"/>
      <c r="J443" s="157"/>
      <c r="K443" s="157"/>
      <c r="L443" s="157"/>
      <c r="M443" s="157"/>
      <c r="N443" s="221"/>
      <c r="O443" s="157"/>
      <c r="P443" s="157"/>
      <c r="Q443" s="157"/>
      <c r="R443" s="157"/>
      <c r="S443" s="157"/>
      <c r="T443" s="157"/>
      <c r="U443" s="157"/>
      <c r="V443" s="157"/>
      <c r="W443" s="153"/>
    </row>
    <row r="444" spans="1:23" s="14" customFormat="1" x14ac:dyDescent="0.25">
      <c r="A444" s="80"/>
      <c r="B444" s="76"/>
      <c r="C444" s="153"/>
      <c r="D444" s="153"/>
      <c r="E444" s="153"/>
      <c r="F444" s="153"/>
      <c r="G444" s="153"/>
      <c r="H444" s="153"/>
      <c r="I444" s="157"/>
      <c r="J444" s="157"/>
      <c r="K444" s="157"/>
      <c r="L444" s="157"/>
      <c r="M444" s="157"/>
      <c r="N444" s="221"/>
      <c r="O444" s="157"/>
      <c r="P444" s="157"/>
      <c r="Q444" s="157"/>
      <c r="R444" s="157"/>
      <c r="S444" s="157"/>
      <c r="T444" s="157"/>
      <c r="U444" s="157"/>
      <c r="V444" s="157"/>
      <c r="W444" s="153"/>
    </row>
    <row r="445" spans="1:23" s="14" customFormat="1" x14ac:dyDescent="0.25">
      <c r="A445" s="80"/>
      <c r="B445" s="76"/>
      <c r="C445" s="153"/>
      <c r="D445" s="153"/>
      <c r="E445" s="153"/>
      <c r="F445" s="153"/>
      <c r="G445" s="153"/>
      <c r="H445" s="153"/>
      <c r="I445" s="157"/>
      <c r="J445" s="157"/>
      <c r="K445" s="157"/>
      <c r="L445" s="157"/>
      <c r="M445" s="157"/>
      <c r="N445" s="221"/>
      <c r="O445" s="157"/>
      <c r="P445" s="157"/>
      <c r="Q445" s="157"/>
      <c r="R445" s="157"/>
      <c r="S445" s="157"/>
      <c r="T445" s="157"/>
      <c r="U445" s="157"/>
      <c r="V445" s="157"/>
      <c r="W445" s="153"/>
    </row>
    <row r="446" spans="1:23" s="14" customFormat="1" x14ac:dyDescent="0.25">
      <c r="A446" s="80"/>
      <c r="B446" s="76"/>
      <c r="C446" s="153"/>
      <c r="D446" s="153"/>
      <c r="E446" s="153"/>
      <c r="F446" s="153"/>
      <c r="G446" s="153"/>
      <c r="H446" s="153"/>
      <c r="I446" s="157"/>
      <c r="J446" s="157"/>
      <c r="K446" s="157"/>
      <c r="L446" s="157"/>
      <c r="M446" s="157"/>
      <c r="N446" s="221"/>
      <c r="O446" s="157"/>
      <c r="P446" s="157"/>
      <c r="Q446" s="157"/>
      <c r="R446" s="157"/>
      <c r="S446" s="157"/>
      <c r="T446" s="157"/>
      <c r="U446" s="157"/>
      <c r="V446" s="157"/>
      <c r="W446" s="153"/>
    </row>
    <row r="447" spans="1:23" s="14" customFormat="1" x14ac:dyDescent="0.25">
      <c r="A447" s="80"/>
      <c r="B447" s="76"/>
      <c r="C447" s="153"/>
      <c r="D447" s="153"/>
      <c r="E447" s="153"/>
      <c r="F447" s="153"/>
      <c r="G447" s="153"/>
      <c r="H447" s="153"/>
      <c r="I447" s="157"/>
      <c r="J447" s="157"/>
      <c r="K447" s="157"/>
      <c r="L447" s="157"/>
      <c r="M447" s="157"/>
      <c r="N447" s="221"/>
      <c r="O447" s="157"/>
      <c r="P447" s="157"/>
      <c r="Q447" s="157"/>
      <c r="R447" s="157"/>
      <c r="S447" s="157"/>
      <c r="T447" s="157"/>
      <c r="U447" s="157"/>
      <c r="V447" s="157"/>
      <c r="W447" s="153"/>
    </row>
    <row r="448" spans="1:23" s="14" customFormat="1" x14ac:dyDescent="0.25">
      <c r="A448" s="80"/>
      <c r="B448" s="76"/>
      <c r="C448" s="153"/>
      <c r="D448" s="153"/>
      <c r="E448" s="153"/>
      <c r="F448" s="153"/>
      <c r="G448" s="153"/>
      <c r="H448" s="153"/>
      <c r="I448" s="157"/>
      <c r="J448" s="157"/>
      <c r="K448" s="157"/>
      <c r="L448" s="157"/>
      <c r="M448" s="157"/>
      <c r="N448" s="221"/>
      <c r="O448" s="157"/>
      <c r="P448" s="157"/>
      <c r="Q448" s="157"/>
      <c r="R448" s="157"/>
      <c r="S448" s="157"/>
      <c r="T448" s="157"/>
      <c r="U448" s="157"/>
      <c r="V448" s="157"/>
      <c r="W448" s="153"/>
    </row>
    <row r="449" spans="1:23" s="14" customFormat="1" x14ac:dyDescent="0.25">
      <c r="A449" s="80"/>
      <c r="B449" s="76"/>
      <c r="C449" s="153"/>
      <c r="D449" s="153"/>
      <c r="E449" s="153"/>
      <c r="F449" s="153"/>
      <c r="G449" s="153"/>
      <c r="H449" s="153"/>
      <c r="I449" s="157"/>
      <c r="J449" s="157"/>
      <c r="K449" s="157"/>
      <c r="L449" s="157"/>
      <c r="M449" s="157"/>
      <c r="N449" s="221"/>
      <c r="O449" s="157"/>
      <c r="P449" s="157"/>
      <c r="Q449" s="157"/>
      <c r="R449" s="157"/>
      <c r="S449" s="157"/>
      <c r="T449" s="157"/>
      <c r="U449" s="157"/>
      <c r="V449" s="157"/>
      <c r="W449" s="153"/>
    </row>
    <row r="450" spans="1:23" s="14" customFormat="1" x14ac:dyDescent="0.25">
      <c r="A450" s="80"/>
      <c r="B450" s="76"/>
      <c r="C450" s="153"/>
      <c r="D450" s="153"/>
      <c r="E450" s="153"/>
      <c r="F450" s="153"/>
      <c r="G450" s="153"/>
      <c r="H450" s="153"/>
      <c r="I450" s="157"/>
      <c r="J450" s="157"/>
      <c r="K450" s="157"/>
      <c r="L450" s="157"/>
      <c r="M450" s="157"/>
      <c r="N450" s="221"/>
      <c r="O450" s="157"/>
      <c r="P450" s="157"/>
      <c r="Q450" s="157"/>
      <c r="R450" s="157"/>
      <c r="S450" s="157"/>
      <c r="T450" s="157"/>
      <c r="U450" s="157"/>
      <c r="V450" s="157"/>
      <c r="W450" s="153"/>
    </row>
    <row r="451" spans="1:23" s="14" customFormat="1" x14ac:dyDescent="0.25">
      <c r="A451" s="80"/>
      <c r="B451" s="76"/>
      <c r="C451" s="153"/>
      <c r="D451" s="153"/>
      <c r="E451" s="153"/>
      <c r="F451" s="153"/>
      <c r="G451" s="153"/>
      <c r="H451" s="153"/>
      <c r="I451" s="157"/>
      <c r="J451" s="157"/>
      <c r="K451" s="157"/>
      <c r="L451" s="157"/>
      <c r="M451" s="157"/>
      <c r="N451" s="221"/>
      <c r="O451" s="157"/>
      <c r="P451" s="157"/>
      <c r="Q451" s="157"/>
      <c r="R451" s="157"/>
      <c r="S451" s="157"/>
      <c r="T451" s="157"/>
      <c r="U451" s="157"/>
      <c r="V451" s="157"/>
      <c r="W451" s="153"/>
    </row>
    <row r="452" spans="1:23" s="14" customFormat="1" x14ac:dyDescent="0.25">
      <c r="A452" s="80"/>
      <c r="B452" s="76"/>
      <c r="C452" s="153"/>
      <c r="D452" s="153"/>
      <c r="E452" s="153"/>
      <c r="F452" s="153"/>
      <c r="G452" s="153"/>
      <c r="H452" s="153"/>
      <c r="I452" s="157"/>
      <c r="J452" s="157"/>
      <c r="K452" s="157"/>
      <c r="L452" s="157"/>
      <c r="M452" s="157"/>
      <c r="N452" s="221"/>
      <c r="O452" s="157"/>
      <c r="P452" s="157"/>
      <c r="Q452" s="157"/>
      <c r="R452" s="157"/>
      <c r="S452" s="157"/>
      <c r="T452" s="157"/>
      <c r="U452" s="157"/>
      <c r="V452" s="157"/>
      <c r="W452" s="153"/>
    </row>
    <row r="453" spans="1:23" s="14" customFormat="1" x14ac:dyDescent="0.25">
      <c r="A453" s="80"/>
      <c r="B453" s="76"/>
      <c r="C453" s="153"/>
      <c r="D453" s="153"/>
      <c r="E453" s="153"/>
      <c r="F453" s="153"/>
      <c r="G453" s="153"/>
      <c r="H453" s="153"/>
      <c r="I453" s="157"/>
      <c r="J453" s="157"/>
      <c r="K453" s="157"/>
      <c r="L453" s="157"/>
      <c r="M453" s="157"/>
      <c r="N453" s="221"/>
      <c r="O453" s="157"/>
      <c r="P453" s="157"/>
      <c r="Q453" s="157"/>
      <c r="R453" s="157"/>
      <c r="S453" s="157"/>
      <c r="T453" s="157"/>
      <c r="U453" s="157"/>
      <c r="V453" s="157"/>
      <c r="W453" s="153"/>
    </row>
    <row r="454" spans="1:23" s="14" customFormat="1" x14ac:dyDescent="0.25">
      <c r="A454" s="80"/>
      <c r="B454" s="76"/>
      <c r="C454" s="153"/>
      <c r="D454" s="153"/>
      <c r="E454" s="153"/>
      <c r="F454" s="153"/>
      <c r="G454" s="153"/>
      <c r="H454" s="153"/>
      <c r="I454" s="157"/>
      <c r="J454" s="157"/>
      <c r="K454" s="157"/>
      <c r="L454" s="157"/>
      <c r="M454" s="157"/>
      <c r="N454" s="221"/>
      <c r="O454" s="157"/>
      <c r="P454" s="157"/>
      <c r="Q454" s="157"/>
      <c r="R454" s="157"/>
      <c r="S454" s="157"/>
      <c r="T454" s="157"/>
      <c r="U454" s="157"/>
      <c r="V454" s="157"/>
      <c r="W454" s="153"/>
    </row>
    <row r="455" spans="1:23" s="14" customFormat="1" x14ac:dyDescent="0.25">
      <c r="A455" s="80"/>
      <c r="B455" s="76"/>
      <c r="C455" s="153"/>
      <c r="D455" s="153"/>
      <c r="E455" s="153"/>
      <c r="F455" s="153"/>
      <c r="G455" s="153"/>
      <c r="H455" s="153"/>
      <c r="I455" s="157"/>
      <c r="J455" s="157"/>
      <c r="K455" s="157"/>
      <c r="L455" s="157"/>
      <c r="M455" s="157"/>
      <c r="N455" s="221"/>
      <c r="O455" s="157"/>
      <c r="P455" s="157"/>
      <c r="Q455" s="157"/>
      <c r="R455" s="157"/>
      <c r="S455" s="157"/>
      <c r="T455" s="157"/>
      <c r="U455" s="157"/>
      <c r="V455" s="157"/>
      <c r="W455" s="153"/>
    </row>
    <row r="456" spans="1:23" s="14" customFormat="1" x14ac:dyDescent="0.25">
      <c r="A456" s="80"/>
      <c r="B456" s="76"/>
      <c r="C456" s="153"/>
      <c r="D456" s="153"/>
      <c r="E456" s="153"/>
      <c r="F456" s="153"/>
      <c r="G456" s="153"/>
      <c r="H456" s="153"/>
      <c r="I456" s="157"/>
      <c r="J456" s="157"/>
      <c r="K456" s="157"/>
      <c r="L456" s="157"/>
      <c r="M456" s="157"/>
      <c r="N456" s="221"/>
      <c r="O456" s="157"/>
      <c r="P456" s="157"/>
      <c r="Q456" s="157"/>
      <c r="R456" s="157"/>
      <c r="S456" s="157"/>
      <c r="T456" s="157"/>
      <c r="U456" s="157"/>
      <c r="V456" s="157"/>
      <c r="W456" s="153"/>
    </row>
    <row r="457" spans="1:23" s="14" customFormat="1" x14ac:dyDescent="0.25">
      <c r="A457" s="80"/>
      <c r="B457" s="76"/>
      <c r="C457" s="153"/>
      <c r="D457" s="153"/>
      <c r="E457" s="153"/>
      <c r="F457" s="153"/>
      <c r="G457" s="153"/>
      <c r="H457" s="153"/>
      <c r="I457" s="157"/>
      <c r="J457" s="157"/>
      <c r="K457" s="157"/>
      <c r="L457" s="157"/>
      <c r="M457" s="157"/>
      <c r="N457" s="221"/>
      <c r="O457" s="157"/>
      <c r="P457" s="157"/>
      <c r="Q457" s="157"/>
      <c r="R457" s="157"/>
      <c r="S457" s="157"/>
      <c r="T457" s="157"/>
      <c r="U457" s="157"/>
      <c r="V457" s="157"/>
      <c r="W457" s="153"/>
    </row>
    <row r="458" spans="1:23" s="14" customFormat="1" x14ac:dyDescent="0.25">
      <c r="A458" s="80"/>
      <c r="B458" s="76"/>
      <c r="C458" s="153"/>
      <c r="D458" s="153"/>
      <c r="E458" s="153"/>
      <c r="F458" s="153"/>
      <c r="G458" s="153"/>
      <c r="H458" s="153"/>
      <c r="I458" s="157"/>
      <c r="J458" s="157"/>
      <c r="K458" s="157"/>
      <c r="L458" s="157"/>
      <c r="M458" s="157"/>
      <c r="N458" s="221"/>
      <c r="O458" s="157"/>
      <c r="P458" s="157"/>
      <c r="Q458" s="157"/>
      <c r="R458" s="157"/>
      <c r="S458" s="157"/>
      <c r="T458" s="157"/>
      <c r="U458" s="157"/>
      <c r="V458" s="157"/>
      <c r="W458" s="153"/>
    </row>
    <row r="459" spans="1:23" s="14" customFormat="1" x14ac:dyDescent="0.25">
      <c r="A459" s="80"/>
      <c r="B459" s="76"/>
      <c r="C459" s="153"/>
      <c r="D459" s="153"/>
      <c r="E459" s="153"/>
      <c r="F459" s="153"/>
      <c r="G459" s="153"/>
      <c r="H459" s="153"/>
      <c r="I459" s="157"/>
      <c r="J459" s="157"/>
      <c r="K459" s="157"/>
      <c r="L459" s="157"/>
      <c r="M459" s="157"/>
      <c r="N459" s="221"/>
      <c r="O459" s="157"/>
      <c r="P459" s="157"/>
      <c r="Q459" s="157"/>
      <c r="R459" s="157"/>
      <c r="S459" s="157"/>
      <c r="T459" s="157"/>
      <c r="U459" s="157"/>
      <c r="V459" s="157"/>
      <c r="W459" s="153"/>
    </row>
    <row r="460" spans="1:23" s="14" customFormat="1" x14ac:dyDescent="0.25">
      <c r="A460" s="80"/>
      <c r="B460" s="76"/>
      <c r="C460" s="153"/>
      <c r="D460" s="153"/>
      <c r="E460" s="153"/>
      <c r="F460" s="153"/>
      <c r="G460" s="153"/>
      <c r="H460" s="153"/>
      <c r="I460" s="157"/>
      <c r="J460" s="157"/>
      <c r="K460" s="157"/>
      <c r="L460" s="157"/>
      <c r="M460" s="157"/>
      <c r="N460" s="221"/>
      <c r="O460" s="157"/>
      <c r="P460" s="157"/>
      <c r="Q460" s="157"/>
      <c r="R460" s="157"/>
      <c r="S460" s="157"/>
      <c r="T460" s="157"/>
      <c r="U460" s="157"/>
      <c r="V460" s="157"/>
      <c r="W460" s="153"/>
    </row>
    <row r="461" spans="1:23" s="14" customFormat="1" x14ac:dyDescent="0.25">
      <c r="A461" s="80"/>
      <c r="B461" s="76"/>
      <c r="C461" s="153"/>
      <c r="D461" s="153"/>
      <c r="E461" s="153"/>
      <c r="F461" s="153"/>
      <c r="G461" s="153"/>
      <c r="H461" s="153"/>
      <c r="I461" s="157"/>
      <c r="J461" s="157"/>
      <c r="K461" s="157"/>
      <c r="L461" s="157"/>
      <c r="M461" s="157"/>
      <c r="N461" s="221"/>
      <c r="O461" s="157"/>
      <c r="P461" s="157"/>
      <c r="Q461" s="157"/>
      <c r="R461" s="157"/>
      <c r="S461" s="157"/>
      <c r="T461" s="157"/>
      <c r="U461" s="157"/>
      <c r="V461" s="157"/>
      <c r="W461" s="153"/>
    </row>
    <row r="462" spans="1:23" s="14" customFormat="1" x14ac:dyDescent="0.25">
      <c r="A462" s="80"/>
      <c r="B462" s="76"/>
      <c r="C462" s="153"/>
      <c r="D462" s="153"/>
      <c r="E462" s="153"/>
      <c r="F462" s="153"/>
      <c r="G462" s="153"/>
      <c r="H462" s="153"/>
      <c r="I462" s="157"/>
      <c r="J462" s="157"/>
      <c r="K462" s="157"/>
      <c r="L462" s="157"/>
      <c r="M462" s="157"/>
      <c r="N462" s="221"/>
      <c r="O462" s="157"/>
      <c r="P462" s="157"/>
      <c r="Q462" s="157"/>
      <c r="R462" s="157"/>
      <c r="S462" s="157"/>
      <c r="T462" s="157"/>
      <c r="U462" s="157"/>
      <c r="V462" s="157"/>
      <c r="W462" s="153"/>
    </row>
    <row r="463" spans="1:23" s="14" customFormat="1" x14ac:dyDescent="0.25">
      <c r="A463" s="80"/>
      <c r="B463" s="76"/>
      <c r="C463" s="153"/>
      <c r="D463" s="153"/>
      <c r="E463" s="153"/>
      <c r="F463" s="153"/>
      <c r="G463" s="153"/>
      <c r="H463" s="153"/>
      <c r="I463" s="157"/>
      <c r="J463" s="157"/>
      <c r="K463" s="157"/>
      <c r="L463" s="157"/>
      <c r="M463" s="157"/>
      <c r="N463" s="221"/>
      <c r="O463" s="157"/>
      <c r="P463" s="157"/>
      <c r="Q463" s="157"/>
      <c r="R463" s="157"/>
      <c r="S463" s="157"/>
      <c r="T463" s="157"/>
      <c r="U463" s="157"/>
      <c r="V463" s="157"/>
      <c r="W463" s="153"/>
    </row>
    <row r="464" spans="1:23" s="14" customFormat="1" x14ac:dyDescent="0.25">
      <c r="A464" s="80"/>
      <c r="B464" s="76"/>
      <c r="C464" s="153"/>
      <c r="D464" s="153"/>
      <c r="E464" s="153"/>
      <c r="F464" s="153"/>
      <c r="G464" s="153"/>
      <c r="H464" s="153"/>
      <c r="I464" s="157"/>
      <c r="J464" s="157"/>
      <c r="K464" s="157"/>
      <c r="L464" s="157"/>
      <c r="M464" s="157"/>
      <c r="N464" s="221"/>
      <c r="O464" s="157"/>
      <c r="P464" s="157"/>
      <c r="Q464" s="157"/>
      <c r="R464" s="157"/>
      <c r="S464" s="157"/>
      <c r="T464" s="157"/>
      <c r="U464" s="157"/>
      <c r="V464" s="157"/>
      <c r="W464" s="153"/>
    </row>
    <row r="465" spans="1:23" s="14" customFormat="1" x14ac:dyDescent="0.25">
      <c r="A465" s="80"/>
      <c r="B465" s="76"/>
      <c r="C465" s="153"/>
      <c r="D465" s="153"/>
      <c r="E465" s="153"/>
      <c r="F465" s="153"/>
      <c r="G465" s="153"/>
      <c r="H465" s="153"/>
      <c r="I465" s="157"/>
      <c r="J465" s="157"/>
      <c r="K465" s="157"/>
      <c r="L465" s="157"/>
      <c r="M465" s="157"/>
      <c r="N465" s="221"/>
      <c r="O465" s="157"/>
      <c r="P465" s="157"/>
      <c r="Q465" s="157"/>
      <c r="R465" s="157"/>
      <c r="S465" s="157"/>
      <c r="T465" s="157"/>
      <c r="U465" s="157"/>
      <c r="V465" s="157"/>
      <c r="W465" s="153"/>
    </row>
    <row r="466" spans="1:23" s="14" customFormat="1" x14ac:dyDescent="0.25">
      <c r="A466" s="80"/>
      <c r="B466" s="76"/>
      <c r="C466" s="153"/>
      <c r="D466" s="153"/>
      <c r="E466" s="153"/>
      <c r="F466" s="153"/>
      <c r="G466" s="153"/>
      <c r="H466" s="153"/>
      <c r="I466" s="157"/>
      <c r="J466" s="157"/>
      <c r="K466" s="157"/>
      <c r="L466" s="157"/>
      <c r="M466" s="157"/>
      <c r="N466" s="221"/>
      <c r="O466" s="157"/>
      <c r="P466" s="157"/>
      <c r="Q466" s="157"/>
      <c r="R466" s="157"/>
      <c r="S466" s="157"/>
      <c r="T466" s="157"/>
      <c r="U466" s="157"/>
      <c r="V466" s="157"/>
      <c r="W466" s="153"/>
    </row>
    <row r="467" spans="1:23" s="14" customFormat="1" x14ac:dyDescent="0.25">
      <c r="A467" s="80"/>
      <c r="B467" s="76"/>
      <c r="C467" s="153"/>
      <c r="D467" s="153"/>
      <c r="E467" s="153"/>
      <c r="F467" s="153"/>
      <c r="G467" s="153"/>
      <c r="H467" s="153"/>
      <c r="I467" s="157"/>
      <c r="J467" s="157"/>
      <c r="K467" s="157"/>
      <c r="L467" s="157"/>
      <c r="M467" s="157"/>
      <c r="N467" s="221"/>
      <c r="O467" s="157"/>
      <c r="P467" s="157"/>
      <c r="Q467" s="157"/>
      <c r="R467" s="157"/>
      <c r="S467" s="157"/>
      <c r="T467" s="157"/>
      <c r="U467" s="157"/>
      <c r="V467" s="157"/>
      <c r="W467" s="153"/>
    </row>
    <row r="468" spans="1:23" s="14" customFormat="1" x14ac:dyDescent="0.25">
      <c r="A468" s="80"/>
      <c r="B468" s="76"/>
      <c r="C468" s="153"/>
      <c r="D468" s="153"/>
      <c r="E468" s="153"/>
      <c r="F468" s="153"/>
      <c r="G468" s="153"/>
      <c r="H468" s="153"/>
      <c r="I468" s="157"/>
      <c r="J468" s="157"/>
      <c r="K468" s="157"/>
      <c r="L468" s="157"/>
      <c r="M468" s="157"/>
      <c r="N468" s="221"/>
      <c r="O468" s="157"/>
      <c r="P468" s="157"/>
      <c r="Q468" s="157"/>
      <c r="R468" s="157"/>
      <c r="S468" s="157"/>
      <c r="T468" s="157"/>
      <c r="U468" s="157"/>
      <c r="V468" s="157"/>
      <c r="W468" s="153"/>
    </row>
    <row r="469" spans="1:23" s="14" customFormat="1" x14ac:dyDescent="0.25">
      <c r="A469" s="80"/>
      <c r="B469" s="76"/>
      <c r="C469" s="153"/>
      <c r="D469" s="153"/>
      <c r="E469" s="153"/>
      <c r="F469" s="153"/>
      <c r="G469" s="153"/>
      <c r="H469" s="153"/>
      <c r="I469" s="157"/>
      <c r="J469" s="157"/>
      <c r="K469" s="157"/>
      <c r="L469" s="157"/>
      <c r="M469" s="157"/>
      <c r="N469" s="221"/>
      <c r="O469" s="157"/>
      <c r="P469" s="157"/>
      <c r="Q469" s="157"/>
      <c r="R469" s="157"/>
      <c r="S469" s="157"/>
      <c r="T469" s="157"/>
      <c r="U469" s="157"/>
      <c r="V469" s="157"/>
      <c r="W469" s="153"/>
    </row>
    <row r="470" spans="1:23" s="14" customFormat="1" x14ac:dyDescent="0.25">
      <c r="A470" s="80"/>
      <c r="B470" s="76"/>
      <c r="C470" s="153"/>
      <c r="D470" s="153"/>
      <c r="E470" s="153"/>
      <c r="F470" s="153"/>
      <c r="G470" s="153"/>
      <c r="H470" s="153"/>
      <c r="I470" s="157"/>
      <c r="J470" s="157"/>
      <c r="K470" s="157"/>
      <c r="L470" s="157"/>
      <c r="M470" s="157"/>
      <c r="N470" s="221"/>
      <c r="O470" s="157"/>
      <c r="P470" s="157"/>
      <c r="Q470" s="157"/>
      <c r="R470" s="157"/>
      <c r="S470" s="157"/>
      <c r="T470" s="157"/>
      <c r="U470" s="157"/>
      <c r="V470" s="157"/>
      <c r="W470" s="153"/>
    </row>
    <row r="471" spans="1:23" s="14" customFormat="1" x14ac:dyDescent="0.25">
      <c r="A471" s="80"/>
      <c r="B471" s="76"/>
      <c r="C471" s="153"/>
      <c r="D471" s="153"/>
      <c r="E471" s="153"/>
      <c r="F471" s="153"/>
      <c r="G471" s="153"/>
      <c r="H471" s="153"/>
      <c r="I471" s="157"/>
      <c r="J471" s="157"/>
      <c r="K471" s="157"/>
      <c r="L471" s="157"/>
      <c r="M471" s="157"/>
      <c r="N471" s="221"/>
      <c r="O471" s="157"/>
      <c r="P471" s="157"/>
      <c r="Q471" s="157"/>
      <c r="R471" s="157"/>
      <c r="S471" s="157"/>
      <c r="T471" s="157"/>
      <c r="U471" s="157"/>
      <c r="V471" s="157"/>
      <c r="W471" s="153"/>
    </row>
    <row r="472" spans="1:23" s="14" customFormat="1" x14ac:dyDescent="0.25">
      <c r="A472" s="80"/>
      <c r="B472" s="76"/>
      <c r="C472" s="153"/>
      <c r="D472" s="153"/>
      <c r="E472" s="153"/>
      <c r="F472" s="153"/>
      <c r="G472" s="153"/>
      <c r="H472" s="153"/>
      <c r="I472" s="157"/>
      <c r="J472" s="157"/>
      <c r="K472" s="157"/>
      <c r="L472" s="157"/>
      <c r="M472" s="157"/>
      <c r="N472" s="221"/>
      <c r="O472" s="157"/>
      <c r="P472" s="157"/>
      <c r="Q472" s="157"/>
      <c r="R472" s="157"/>
      <c r="S472" s="157"/>
      <c r="T472" s="157"/>
      <c r="U472" s="157"/>
      <c r="V472" s="157"/>
      <c r="W472" s="153"/>
    </row>
    <row r="473" spans="1:23" s="14" customFormat="1" x14ac:dyDescent="0.25">
      <c r="A473" s="80"/>
      <c r="B473" s="76"/>
      <c r="C473" s="153"/>
      <c r="D473" s="153"/>
      <c r="E473" s="153"/>
      <c r="F473" s="153"/>
      <c r="G473" s="153"/>
      <c r="H473" s="153"/>
      <c r="I473" s="157"/>
      <c r="J473" s="157"/>
      <c r="K473" s="157"/>
      <c r="L473" s="157"/>
      <c r="M473" s="157"/>
      <c r="N473" s="221"/>
      <c r="O473" s="157"/>
      <c r="P473" s="157"/>
      <c r="Q473" s="157"/>
      <c r="R473" s="157"/>
      <c r="S473" s="157"/>
      <c r="T473" s="157"/>
      <c r="U473" s="157"/>
      <c r="V473" s="157"/>
      <c r="W473" s="153"/>
    </row>
    <row r="474" spans="1:23" s="14" customFormat="1" x14ac:dyDescent="0.25">
      <c r="A474" s="80"/>
      <c r="B474" s="76"/>
      <c r="C474" s="153"/>
      <c r="D474" s="153"/>
      <c r="E474" s="153"/>
      <c r="F474" s="153"/>
      <c r="G474" s="153"/>
      <c r="H474" s="153"/>
      <c r="I474" s="157"/>
      <c r="J474" s="157"/>
      <c r="K474" s="157"/>
      <c r="L474" s="157"/>
      <c r="M474" s="157"/>
      <c r="N474" s="221"/>
      <c r="O474" s="157"/>
      <c r="P474" s="157"/>
      <c r="Q474" s="157"/>
      <c r="R474" s="157"/>
      <c r="S474" s="157"/>
      <c r="T474" s="157"/>
      <c r="U474" s="157"/>
      <c r="V474" s="157"/>
      <c r="W474" s="153"/>
    </row>
    <row r="475" spans="1:23" s="14" customFormat="1" x14ac:dyDescent="0.25">
      <c r="A475" s="80"/>
      <c r="B475" s="76"/>
      <c r="C475" s="153"/>
      <c r="D475" s="153"/>
      <c r="E475" s="153"/>
      <c r="F475" s="153"/>
      <c r="G475" s="153"/>
      <c r="H475" s="153"/>
      <c r="I475" s="157"/>
      <c r="J475" s="157"/>
      <c r="K475" s="157"/>
      <c r="L475" s="157"/>
      <c r="M475" s="157"/>
      <c r="N475" s="221"/>
      <c r="O475" s="157"/>
      <c r="P475" s="157"/>
      <c r="Q475" s="157"/>
      <c r="R475" s="157"/>
      <c r="S475" s="157"/>
      <c r="T475" s="157"/>
      <c r="U475" s="157"/>
      <c r="V475" s="157"/>
      <c r="W475" s="153"/>
    </row>
    <row r="476" spans="1:23" s="14" customFormat="1" x14ac:dyDescent="0.25">
      <c r="A476" s="80"/>
      <c r="B476" s="76"/>
      <c r="C476" s="153"/>
      <c r="D476" s="153"/>
      <c r="E476" s="153"/>
      <c r="F476" s="153"/>
      <c r="G476" s="153"/>
      <c r="H476" s="153"/>
      <c r="I476" s="157"/>
      <c r="J476" s="157"/>
      <c r="K476" s="157"/>
      <c r="L476" s="157"/>
      <c r="M476" s="157"/>
      <c r="N476" s="221"/>
      <c r="O476" s="157"/>
      <c r="P476" s="157"/>
      <c r="Q476" s="157"/>
      <c r="R476" s="157"/>
      <c r="S476" s="157"/>
      <c r="T476" s="157"/>
      <c r="U476" s="157"/>
      <c r="V476" s="157"/>
      <c r="W476" s="153"/>
    </row>
    <row r="477" spans="1:23" s="14" customFormat="1" x14ac:dyDescent="0.25">
      <c r="A477" s="80"/>
      <c r="B477" s="76"/>
      <c r="C477" s="153"/>
      <c r="D477" s="153"/>
      <c r="E477" s="153"/>
      <c r="F477" s="153"/>
      <c r="G477" s="153"/>
      <c r="H477" s="153"/>
      <c r="I477" s="157"/>
      <c r="J477" s="157"/>
      <c r="K477" s="157"/>
      <c r="L477" s="157"/>
      <c r="M477" s="157"/>
      <c r="N477" s="221"/>
      <c r="O477" s="157"/>
      <c r="P477" s="157"/>
      <c r="Q477" s="157"/>
      <c r="R477" s="157"/>
      <c r="S477" s="157"/>
      <c r="T477" s="157"/>
      <c r="U477" s="157"/>
      <c r="V477" s="157"/>
      <c r="W477" s="153"/>
    </row>
    <row r="478" spans="1:23" s="14" customFormat="1" x14ac:dyDescent="0.25">
      <c r="A478" s="80"/>
      <c r="B478" s="76"/>
      <c r="C478" s="153"/>
      <c r="D478" s="153"/>
      <c r="E478" s="153"/>
      <c r="F478" s="153"/>
      <c r="G478" s="153"/>
      <c r="H478" s="153"/>
      <c r="I478" s="157"/>
      <c r="J478" s="157"/>
      <c r="K478" s="157"/>
      <c r="L478" s="157"/>
      <c r="M478" s="157"/>
      <c r="N478" s="221"/>
      <c r="O478" s="157"/>
      <c r="P478" s="157"/>
      <c r="Q478" s="157"/>
      <c r="R478" s="157"/>
      <c r="S478" s="157"/>
      <c r="T478" s="157"/>
      <c r="U478" s="157"/>
      <c r="V478" s="157"/>
      <c r="W478" s="153"/>
    </row>
    <row r="479" spans="1:23" s="14" customFormat="1" x14ac:dyDescent="0.25">
      <c r="A479" s="80"/>
      <c r="B479" s="76"/>
      <c r="C479" s="153"/>
      <c r="D479" s="153"/>
      <c r="E479" s="153"/>
      <c r="F479" s="153"/>
      <c r="G479" s="153"/>
      <c r="H479" s="153"/>
      <c r="I479" s="157"/>
      <c r="J479" s="157"/>
      <c r="K479" s="157"/>
      <c r="L479" s="157"/>
      <c r="M479" s="157"/>
      <c r="N479" s="221"/>
      <c r="O479" s="157"/>
      <c r="P479" s="157"/>
      <c r="Q479" s="157"/>
      <c r="R479" s="157"/>
      <c r="S479" s="157"/>
      <c r="T479" s="157"/>
      <c r="U479" s="157"/>
      <c r="V479" s="157"/>
      <c r="W479" s="153"/>
    </row>
    <row r="480" spans="1:23" s="14" customFormat="1" x14ac:dyDescent="0.25">
      <c r="A480" s="80"/>
      <c r="B480" s="76"/>
      <c r="C480" s="153"/>
      <c r="D480" s="153"/>
      <c r="E480" s="153"/>
      <c r="F480" s="153"/>
      <c r="G480" s="153"/>
      <c r="H480" s="153"/>
      <c r="I480" s="157"/>
      <c r="J480" s="157"/>
      <c r="K480" s="157"/>
      <c r="L480" s="157"/>
      <c r="M480" s="157"/>
      <c r="N480" s="221"/>
      <c r="O480" s="157"/>
      <c r="P480" s="157"/>
      <c r="Q480" s="157"/>
      <c r="R480" s="157"/>
      <c r="S480" s="157"/>
      <c r="T480" s="157"/>
      <c r="U480" s="157"/>
      <c r="V480" s="157"/>
      <c r="W480" s="153"/>
    </row>
    <row r="481" spans="1:23" s="14" customFormat="1" x14ac:dyDescent="0.25">
      <c r="A481" s="80"/>
      <c r="B481" s="76"/>
      <c r="C481" s="153"/>
      <c r="D481" s="153"/>
      <c r="E481" s="153"/>
      <c r="F481" s="153"/>
      <c r="G481" s="153"/>
      <c r="H481" s="153"/>
      <c r="I481" s="157"/>
      <c r="J481" s="157"/>
      <c r="K481" s="157"/>
      <c r="L481" s="157"/>
      <c r="M481" s="157"/>
      <c r="N481" s="221"/>
      <c r="O481" s="157"/>
      <c r="P481" s="157"/>
      <c r="Q481" s="157"/>
      <c r="R481" s="157"/>
      <c r="S481" s="157"/>
      <c r="T481" s="157"/>
      <c r="U481" s="157"/>
      <c r="V481" s="157"/>
      <c r="W481" s="153"/>
    </row>
    <row r="482" spans="1:23" s="14" customFormat="1" x14ac:dyDescent="0.25">
      <c r="A482" s="80"/>
      <c r="B482" s="76"/>
      <c r="C482" s="153"/>
      <c r="D482" s="153"/>
      <c r="E482" s="153"/>
      <c r="F482" s="153"/>
      <c r="G482" s="153"/>
      <c r="H482" s="153"/>
      <c r="I482" s="157"/>
      <c r="J482" s="157"/>
      <c r="K482" s="157"/>
      <c r="L482" s="157"/>
      <c r="M482" s="157"/>
      <c r="N482" s="221"/>
      <c r="O482" s="157"/>
      <c r="P482" s="157"/>
      <c r="Q482" s="157"/>
      <c r="R482" s="157"/>
      <c r="S482" s="157"/>
      <c r="T482" s="157"/>
      <c r="U482" s="157"/>
      <c r="V482" s="157"/>
      <c r="W482" s="153"/>
    </row>
    <row r="483" spans="1:23" s="14" customFormat="1" x14ac:dyDescent="0.25">
      <c r="A483" s="80"/>
      <c r="B483" s="76"/>
      <c r="C483" s="153"/>
      <c r="D483" s="153"/>
      <c r="E483" s="153"/>
      <c r="F483" s="153"/>
      <c r="G483" s="153"/>
      <c r="H483" s="153"/>
      <c r="I483" s="157"/>
      <c r="J483" s="157"/>
      <c r="K483" s="157"/>
      <c r="L483" s="157"/>
      <c r="M483" s="157"/>
      <c r="N483" s="221"/>
      <c r="O483" s="157"/>
      <c r="P483" s="157"/>
      <c r="Q483" s="157"/>
      <c r="R483" s="157"/>
      <c r="S483" s="157"/>
      <c r="T483" s="157"/>
      <c r="U483" s="157"/>
      <c r="V483" s="157"/>
      <c r="W483" s="153"/>
    </row>
    <row r="484" spans="1:23" s="14" customFormat="1" x14ac:dyDescent="0.25">
      <c r="A484" s="80"/>
      <c r="B484" s="76"/>
      <c r="C484" s="153"/>
      <c r="D484" s="153"/>
      <c r="E484" s="153"/>
      <c r="F484" s="153"/>
      <c r="G484" s="153"/>
      <c r="H484" s="153"/>
      <c r="I484" s="157"/>
      <c r="J484" s="157"/>
      <c r="K484" s="157"/>
      <c r="L484" s="157"/>
      <c r="M484" s="157"/>
      <c r="N484" s="221"/>
      <c r="O484" s="157"/>
      <c r="P484" s="157"/>
      <c r="Q484" s="157"/>
      <c r="R484" s="157"/>
      <c r="S484" s="157"/>
      <c r="T484" s="157"/>
      <c r="U484" s="157"/>
      <c r="V484" s="157"/>
      <c r="W484" s="153"/>
    </row>
    <row r="485" spans="1:23" s="14" customFormat="1" x14ac:dyDescent="0.25">
      <c r="A485" s="80"/>
      <c r="B485" s="76"/>
      <c r="C485" s="153"/>
      <c r="D485" s="153"/>
      <c r="E485" s="153"/>
      <c r="F485" s="153"/>
      <c r="G485" s="153"/>
      <c r="H485" s="153"/>
      <c r="I485" s="157"/>
      <c r="J485" s="157"/>
      <c r="K485" s="157"/>
      <c r="L485" s="157"/>
      <c r="M485" s="157"/>
      <c r="N485" s="221"/>
      <c r="O485" s="157"/>
      <c r="P485" s="157"/>
      <c r="Q485" s="157"/>
      <c r="R485" s="157"/>
      <c r="S485" s="157"/>
      <c r="T485" s="157"/>
      <c r="U485" s="157"/>
      <c r="V485" s="157"/>
      <c r="W485" s="153"/>
    </row>
    <row r="486" spans="1:23" s="14" customFormat="1" x14ac:dyDescent="0.25">
      <c r="A486" s="80"/>
      <c r="B486" s="76"/>
      <c r="C486" s="153"/>
      <c r="D486" s="153"/>
      <c r="E486" s="153"/>
      <c r="F486" s="153"/>
      <c r="G486" s="153"/>
      <c r="H486" s="153"/>
      <c r="I486" s="157"/>
      <c r="J486" s="157"/>
      <c r="K486" s="157"/>
      <c r="L486" s="157"/>
      <c r="M486" s="157"/>
      <c r="N486" s="221"/>
      <c r="O486" s="157"/>
      <c r="P486" s="157"/>
      <c r="Q486" s="157"/>
      <c r="R486" s="157"/>
      <c r="S486" s="157"/>
      <c r="T486" s="157"/>
      <c r="U486" s="157"/>
      <c r="V486" s="157"/>
      <c r="W486" s="153"/>
    </row>
    <row r="487" spans="1:23" s="14" customFormat="1" x14ac:dyDescent="0.25">
      <c r="A487" s="80"/>
      <c r="B487" s="76"/>
      <c r="C487" s="153"/>
      <c r="D487" s="153"/>
      <c r="E487" s="153"/>
      <c r="F487" s="153"/>
      <c r="G487" s="153"/>
      <c r="H487" s="153"/>
      <c r="I487" s="157"/>
      <c r="J487" s="157"/>
      <c r="K487" s="157"/>
      <c r="L487" s="157"/>
      <c r="M487" s="157"/>
      <c r="N487" s="221"/>
      <c r="O487" s="157"/>
      <c r="P487" s="157"/>
      <c r="Q487" s="157"/>
      <c r="R487" s="157"/>
      <c r="S487" s="157"/>
      <c r="T487" s="157"/>
      <c r="U487" s="157"/>
      <c r="V487" s="157"/>
      <c r="W487" s="153"/>
    </row>
    <row r="488" spans="1:23" s="14" customFormat="1" x14ac:dyDescent="0.25">
      <c r="A488" s="80"/>
      <c r="B488" s="76"/>
      <c r="C488" s="153"/>
      <c r="D488" s="153"/>
      <c r="E488" s="153"/>
      <c r="F488" s="153"/>
      <c r="G488" s="153"/>
      <c r="H488" s="153"/>
      <c r="I488" s="157"/>
      <c r="J488" s="157"/>
      <c r="K488" s="157"/>
      <c r="L488" s="157"/>
      <c r="M488" s="157"/>
      <c r="N488" s="221"/>
      <c r="O488" s="157"/>
      <c r="P488" s="157"/>
      <c r="Q488" s="157"/>
      <c r="R488" s="157"/>
      <c r="S488" s="157"/>
      <c r="T488" s="157"/>
      <c r="U488" s="157"/>
      <c r="V488" s="157"/>
      <c r="W488" s="153"/>
    </row>
    <row r="489" spans="1:23" s="14" customFormat="1" x14ac:dyDescent="0.25">
      <c r="A489" s="80"/>
      <c r="B489" s="76"/>
      <c r="C489" s="153"/>
      <c r="D489" s="153"/>
      <c r="E489" s="153"/>
      <c r="F489" s="153"/>
      <c r="G489" s="153"/>
      <c r="H489" s="153"/>
      <c r="I489" s="157"/>
      <c r="J489" s="157"/>
      <c r="K489" s="157"/>
      <c r="L489" s="157"/>
      <c r="M489" s="157"/>
      <c r="N489" s="221"/>
      <c r="O489" s="157"/>
      <c r="P489" s="157"/>
      <c r="Q489" s="157"/>
      <c r="R489" s="157"/>
      <c r="S489" s="157"/>
      <c r="T489" s="157"/>
      <c r="U489" s="157"/>
      <c r="V489" s="157"/>
      <c r="W489" s="153"/>
    </row>
    <row r="490" spans="1:23" s="14" customFormat="1" x14ac:dyDescent="0.25">
      <c r="A490" s="80"/>
      <c r="B490" s="76"/>
      <c r="C490" s="153"/>
      <c r="D490" s="153"/>
      <c r="E490" s="153"/>
      <c r="F490" s="153"/>
      <c r="G490" s="153"/>
      <c r="H490" s="153"/>
      <c r="I490" s="157"/>
      <c r="J490" s="157"/>
      <c r="K490" s="157"/>
      <c r="L490" s="157"/>
      <c r="M490" s="157"/>
      <c r="N490" s="221"/>
      <c r="O490" s="157"/>
      <c r="P490" s="157"/>
      <c r="Q490" s="157"/>
      <c r="R490" s="157"/>
      <c r="S490" s="157"/>
      <c r="T490" s="157"/>
      <c r="U490" s="157"/>
      <c r="V490" s="157"/>
      <c r="W490" s="153"/>
    </row>
    <row r="491" spans="1:23" s="14" customFormat="1" x14ac:dyDescent="0.25">
      <c r="A491" s="80"/>
      <c r="B491" s="76"/>
      <c r="C491" s="153"/>
      <c r="D491" s="153"/>
      <c r="E491" s="153"/>
      <c r="F491" s="153"/>
      <c r="G491" s="153"/>
      <c r="H491" s="153"/>
      <c r="I491" s="157"/>
      <c r="J491" s="157"/>
      <c r="K491" s="157"/>
      <c r="L491" s="157"/>
      <c r="M491" s="157"/>
      <c r="N491" s="221"/>
      <c r="O491" s="157"/>
      <c r="P491" s="157"/>
      <c r="Q491" s="157"/>
      <c r="R491" s="157"/>
      <c r="S491" s="157"/>
      <c r="T491" s="157"/>
      <c r="U491" s="157"/>
      <c r="V491" s="157"/>
      <c r="W491" s="153"/>
    </row>
    <row r="492" spans="1:23" s="14" customFormat="1" x14ac:dyDescent="0.25">
      <c r="A492" s="80"/>
      <c r="B492" s="76"/>
      <c r="C492" s="153"/>
      <c r="D492" s="153"/>
      <c r="E492" s="153"/>
      <c r="F492" s="153"/>
      <c r="G492" s="153"/>
      <c r="H492" s="153"/>
      <c r="I492" s="157"/>
      <c r="J492" s="157"/>
      <c r="K492" s="157"/>
      <c r="L492" s="157"/>
      <c r="M492" s="157"/>
      <c r="N492" s="221"/>
      <c r="O492" s="157"/>
      <c r="P492" s="157"/>
      <c r="Q492" s="157"/>
      <c r="R492" s="157"/>
      <c r="S492" s="157"/>
      <c r="T492" s="157"/>
      <c r="U492" s="157"/>
      <c r="V492" s="157"/>
      <c r="W492" s="153"/>
    </row>
    <row r="493" spans="1:23" s="14" customFormat="1" x14ac:dyDescent="0.25">
      <c r="A493" s="80"/>
      <c r="B493" s="76"/>
      <c r="C493" s="153"/>
      <c r="D493" s="153"/>
      <c r="E493" s="153"/>
      <c r="F493" s="153"/>
      <c r="G493" s="153"/>
      <c r="H493" s="153"/>
      <c r="I493" s="157"/>
      <c r="J493" s="157"/>
      <c r="K493" s="157"/>
      <c r="L493" s="157"/>
      <c r="M493" s="157"/>
      <c r="N493" s="221"/>
      <c r="O493" s="157"/>
      <c r="P493" s="157"/>
      <c r="Q493" s="157"/>
      <c r="R493" s="157"/>
      <c r="S493" s="157"/>
      <c r="T493" s="157"/>
      <c r="U493" s="157"/>
      <c r="V493" s="157"/>
      <c r="W493" s="153"/>
    </row>
    <row r="494" spans="1:23" s="14" customFormat="1" x14ac:dyDescent="0.25">
      <c r="A494" s="80"/>
      <c r="B494" s="76"/>
      <c r="C494" s="153"/>
      <c r="D494" s="153"/>
      <c r="E494" s="153"/>
      <c r="F494" s="153"/>
      <c r="G494" s="153"/>
      <c r="H494" s="153"/>
      <c r="I494" s="157"/>
      <c r="J494" s="157"/>
      <c r="K494" s="157"/>
      <c r="L494" s="157"/>
      <c r="M494" s="157"/>
      <c r="N494" s="221"/>
      <c r="O494" s="157"/>
      <c r="P494" s="157"/>
      <c r="Q494" s="157"/>
      <c r="R494" s="157"/>
      <c r="S494" s="157"/>
      <c r="T494" s="157"/>
      <c r="U494" s="157"/>
      <c r="V494" s="157"/>
      <c r="W494" s="153"/>
    </row>
    <row r="495" spans="1:23" s="14" customFormat="1" x14ac:dyDescent="0.25">
      <c r="A495" s="80"/>
      <c r="B495" s="76"/>
      <c r="C495" s="153"/>
      <c r="D495" s="153"/>
      <c r="E495" s="153"/>
      <c r="F495" s="153"/>
      <c r="G495" s="153"/>
      <c r="H495" s="153"/>
      <c r="I495" s="157"/>
      <c r="J495" s="157"/>
      <c r="K495" s="157"/>
      <c r="L495" s="157"/>
      <c r="M495" s="157"/>
      <c r="N495" s="221"/>
      <c r="O495" s="157"/>
      <c r="P495" s="157"/>
      <c r="Q495" s="157"/>
      <c r="R495" s="157"/>
      <c r="S495" s="157"/>
      <c r="T495" s="157"/>
      <c r="U495" s="157"/>
      <c r="V495" s="157"/>
      <c r="W495" s="153"/>
    </row>
    <row r="496" spans="1:23" s="14" customFormat="1" x14ac:dyDescent="0.25">
      <c r="A496" s="80"/>
      <c r="B496" s="76"/>
      <c r="C496" s="153"/>
      <c r="D496" s="153"/>
      <c r="E496" s="153"/>
      <c r="F496" s="153"/>
      <c r="G496" s="153"/>
      <c r="H496" s="153"/>
      <c r="I496" s="157"/>
      <c r="J496" s="157"/>
      <c r="K496" s="157"/>
      <c r="L496" s="157"/>
      <c r="M496" s="157"/>
      <c r="N496" s="221"/>
      <c r="O496" s="157"/>
      <c r="P496" s="157"/>
      <c r="Q496" s="157"/>
      <c r="R496" s="157"/>
      <c r="S496" s="157"/>
      <c r="T496" s="157"/>
      <c r="U496" s="157"/>
      <c r="V496" s="157"/>
      <c r="W496" s="153"/>
    </row>
    <row r="497" spans="1:23" s="14" customFormat="1" x14ac:dyDescent="0.25">
      <c r="A497" s="80"/>
      <c r="B497" s="76"/>
      <c r="C497" s="153"/>
      <c r="D497" s="153"/>
      <c r="E497" s="153"/>
      <c r="F497" s="153"/>
      <c r="G497" s="153"/>
      <c r="H497" s="153"/>
      <c r="I497" s="157"/>
      <c r="J497" s="157"/>
      <c r="K497" s="157"/>
      <c r="L497" s="157"/>
      <c r="M497" s="157"/>
      <c r="N497" s="221"/>
      <c r="O497" s="157"/>
      <c r="P497" s="157"/>
      <c r="Q497" s="157"/>
      <c r="R497" s="157"/>
      <c r="S497" s="157"/>
      <c r="T497" s="157"/>
      <c r="U497" s="157"/>
      <c r="V497" s="157"/>
      <c r="W497" s="153"/>
    </row>
    <row r="498" spans="1:23" s="14" customFormat="1" x14ac:dyDescent="0.25">
      <c r="A498" s="80"/>
      <c r="B498" s="76"/>
      <c r="C498" s="153"/>
      <c r="D498" s="153"/>
      <c r="E498" s="153"/>
      <c r="F498" s="153"/>
      <c r="G498" s="153"/>
      <c r="H498" s="153"/>
      <c r="I498" s="157"/>
      <c r="J498" s="157"/>
      <c r="K498" s="157"/>
      <c r="L498" s="157"/>
      <c r="M498" s="157"/>
      <c r="N498" s="221"/>
      <c r="O498" s="157"/>
      <c r="P498" s="157"/>
      <c r="Q498" s="157"/>
      <c r="R498" s="157"/>
      <c r="S498" s="157"/>
      <c r="T498" s="157"/>
      <c r="U498" s="157"/>
      <c r="V498" s="157"/>
      <c r="W498" s="153"/>
    </row>
    <row r="499" spans="1:23" s="14" customFormat="1" x14ac:dyDescent="0.25">
      <c r="A499" s="80"/>
      <c r="B499" s="76"/>
      <c r="C499" s="153"/>
      <c r="D499" s="153"/>
      <c r="E499" s="153"/>
      <c r="F499" s="153"/>
      <c r="G499" s="153"/>
      <c r="H499" s="153"/>
      <c r="I499" s="157"/>
      <c r="J499" s="157"/>
      <c r="K499" s="157"/>
      <c r="L499" s="157"/>
      <c r="M499" s="157"/>
      <c r="N499" s="221"/>
      <c r="O499" s="157"/>
      <c r="P499" s="157"/>
      <c r="Q499" s="157"/>
      <c r="R499" s="157"/>
      <c r="S499" s="157"/>
      <c r="T499" s="157"/>
      <c r="U499" s="157"/>
      <c r="V499" s="157"/>
      <c r="W499" s="153"/>
    </row>
    <row r="500" spans="1:23" s="14" customFormat="1" x14ac:dyDescent="0.25">
      <c r="A500" s="80"/>
      <c r="B500" s="76"/>
      <c r="C500" s="153"/>
      <c r="D500" s="153"/>
      <c r="E500" s="153"/>
      <c r="F500" s="153"/>
      <c r="G500" s="153"/>
      <c r="H500" s="153"/>
      <c r="I500" s="157"/>
      <c r="J500" s="157"/>
      <c r="K500" s="157"/>
      <c r="L500" s="157"/>
      <c r="M500" s="157"/>
      <c r="N500" s="221"/>
      <c r="O500" s="157"/>
      <c r="P500" s="157"/>
      <c r="Q500" s="157"/>
      <c r="R500" s="157"/>
      <c r="S500" s="157"/>
      <c r="T500" s="157"/>
      <c r="U500" s="157"/>
      <c r="V500" s="157"/>
      <c r="W500" s="153"/>
    </row>
    <row r="501" spans="1:23" s="14" customFormat="1" x14ac:dyDescent="0.25">
      <c r="A501" s="80"/>
      <c r="B501" s="76"/>
      <c r="C501" s="153"/>
      <c r="D501" s="153"/>
      <c r="E501" s="153"/>
      <c r="F501" s="153"/>
      <c r="G501" s="153"/>
      <c r="H501" s="153"/>
      <c r="I501" s="157"/>
      <c r="J501" s="157"/>
      <c r="K501" s="157"/>
      <c r="L501" s="157"/>
      <c r="M501" s="157"/>
      <c r="N501" s="221"/>
      <c r="O501" s="157"/>
      <c r="P501" s="157"/>
      <c r="Q501" s="157"/>
      <c r="R501" s="157"/>
      <c r="S501" s="157"/>
      <c r="T501" s="157"/>
      <c r="U501" s="157"/>
      <c r="V501" s="157"/>
      <c r="W501" s="153"/>
    </row>
    <row r="502" spans="1:23" s="14" customFormat="1" x14ac:dyDescent="0.25">
      <c r="A502" s="80"/>
      <c r="B502" s="76"/>
      <c r="C502" s="153"/>
      <c r="D502" s="153"/>
      <c r="E502" s="153"/>
      <c r="F502" s="153"/>
      <c r="G502" s="153"/>
      <c r="H502" s="153"/>
      <c r="I502" s="157"/>
      <c r="J502" s="157"/>
      <c r="K502" s="157"/>
      <c r="L502" s="157"/>
      <c r="M502" s="157"/>
      <c r="N502" s="221"/>
      <c r="O502" s="157"/>
      <c r="P502" s="157"/>
      <c r="Q502" s="157"/>
      <c r="R502" s="157"/>
      <c r="S502" s="157"/>
      <c r="T502" s="157"/>
      <c r="U502" s="157"/>
      <c r="V502" s="157"/>
      <c r="W502" s="153"/>
    </row>
    <row r="503" spans="1:23" s="14" customFormat="1" x14ac:dyDescent="0.25">
      <c r="A503" s="80"/>
      <c r="B503" s="76"/>
      <c r="C503" s="153"/>
      <c r="D503" s="153"/>
      <c r="E503" s="153"/>
      <c r="F503" s="153"/>
      <c r="G503" s="153"/>
      <c r="H503" s="153"/>
      <c r="I503" s="157"/>
      <c r="J503" s="157"/>
      <c r="K503" s="157"/>
      <c r="L503" s="157"/>
      <c r="M503" s="157"/>
      <c r="N503" s="221"/>
      <c r="O503" s="157"/>
      <c r="P503" s="157"/>
      <c r="Q503" s="157"/>
      <c r="R503" s="157"/>
      <c r="S503" s="157"/>
      <c r="T503" s="157"/>
      <c r="U503" s="157"/>
      <c r="V503" s="157"/>
      <c r="W503" s="153"/>
    </row>
    <row r="504" spans="1:23" s="14" customFormat="1" x14ac:dyDescent="0.25">
      <c r="A504" s="80"/>
      <c r="B504" s="76"/>
      <c r="C504" s="153"/>
      <c r="D504" s="153"/>
      <c r="E504" s="153"/>
      <c r="F504" s="153"/>
      <c r="G504" s="153"/>
      <c r="H504" s="153"/>
      <c r="I504" s="157"/>
      <c r="J504" s="157"/>
      <c r="K504" s="157"/>
      <c r="L504" s="157"/>
      <c r="M504" s="157"/>
      <c r="N504" s="221"/>
      <c r="O504" s="157"/>
      <c r="P504" s="157"/>
      <c r="Q504" s="157"/>
      <c r="R504" s="157"/>
      <c r="S504" s="157"/>
      <c r="T504" s="157"/>
      <c r="U504" s="157"/>
      <c r="V504" s="157"/>
      <c r="W504" s="153"/>
    </row>
    <row r="505" spans="1:23" s="14" customFormat="1" x14ac:dyDescent="0.25">
      <c r="A505" s="80"/>
      <c r="B505" s="76"/>
      <c r="C505" s="153"/>
      <c r="D505" s="153"/>
      <c r="E505" s="153"/>
      <c r="F505" s="153"/>
      <c r="G505" s="153"/>
      <c r="H505" s="153"/>
      <c r="I505" s="157"/>
      <c r="J505" s="157"/>
      <c r="K505" s="157"/>
      <c r="L505" s="157"/>
      <c r="M505" s="157"/>
      <c r="N505" s="221"/>
      <c r="O505" s="157"/>
      <c r="P505" s="157"/>
      <c r="Q505" s="157"/>
      <c r="R505" s="157"/>
      <c r="S505" s="157"/>
      <c r="T505" s="157"/>
      <c r="U505" s="157"/>
      <c r="V505" s="157"/>
      <c r="W505" s="153"/>
    </row>
    <row r="506" spans="1:23" s="14" customFormat="1" x14ac:dyDescent="0.25">
      <c r="A506" s="80"/>
      <c r="B506" s="76"/>
      <c r="C506" s="153"/>
      <c r="D506" s="153"/>
      <c r="E506" s="153"/>
      <c r="F506" s="153"/>
      <c r="G506" s="153"/>
      <c r="H506" s="153"/>
      <c r="I506" s="157"/>
      <c r="J506" s="157"/>
      <c r="K506" s="157"/>
      <c r="L506" s="157"/>
      <c r="M506" s="157"/>
      <c r="N506" s="221"/>
      <c r="O506" s="157"/>
      <c r="P506" s="157"/>
      <c r="Q506" s="157"/>
      <c r="R506" s="157"/>
      <c r="S506" s="157"/>
      <c r="T506" s="157"/>
      <c r="U506" s="157"/>
      <c r="V506" s="157"/>
      <c r="W506" s="153"/>
    </row>
    <row r="507" spans="1:23" s="14" customFormat="1" x14ac:dyDescent="0.25">
      <c r="A507" s="80"/>
      <c r="B507" s="76"/>
      <c r="C507" s="153"/>
      <c r="D507" s="153"/>
      <c r="E507" s="153"/>
      <c r="F507" s="153"/>
      <c r="G507" s="153"/>
      <c r="H507" s="153"/>
      <c r="I507" s="157"/>
      <c r="J507" s="157"/>
      <c r="K507" s="157"/>
      <c r="L507" s="157"/>
      <c r="M507" s="157"/>
      <c r="N507" s="221"/>
      <c r="O507" s="157"/>
      <c r="P507" s="157"/>
      <c r="Q507" s="157"/>
      <c r="R507" s="157"/>
      <c r="S507" s="157"/>
      <c r="T507" s="157"/>
      <c r="U507" s="157"/>
      <c r="V507" s="157"/>
      <c r="W507" s="153"/>
    </row>
    <row r="508" spans="1:23" s="14" customFormat="1" x14ac:dyDescent="0.25">
      <c r="A508" s="80"/>
      <c r="B508" s="76"/>
      <c r="C508" s="153"/>
      <c r="D508" s="153"/>
      <c r="E508" s="153"/>
      <c r="F508" s="153"/>
      <c r="G508" s="153"/>
      <c r="H508" s="153"/>
      <c r="I508" s="157"/>
      <c r="J508" s="157"/>
      <c r="K508" s="157"/>
      <c r="L508" s="157"/>
      <c r="M508" s="157"/>
      <c r="N508" s="221"/>
      <c r="O508" s="157"/>
      <c r="P508" s="157"/>
      <c r="Q508" s="157"/>
      <c r="R508" s="157"/>
      <c r="S508" s="157"/>
      <c r="T508" s="157"/>
      <c r="U508" s="157"/>
      <c r="V508" s="157"/>
      <c r="W508" s="153"/>
    </row>
    <row r="509" spans="1:23" s="14" customFormat="1" x14ac:dyDescent="0.25">
      <c r="A509" s="80"/>
      <c r="B509" s="76"/>
      <c r="C509" s="153"/>
      <c r="D509" s="153"/>
      <c r="E509" s="153"/>
      <c r="F509" s="153"/>
      <c r="G509" s="153"/>
      <c r="H509" s="153"/>
      <c r="I509" s="157"/>
      <c r="J509" s="157"/>
      <c r="K509" s="157"/>
      <c r="L509" s="157"/>
      <c r="M509" s="157"/>
      <c r="N509" s="221"/>
      <c r="O509" s="157"/>
      <c r="P509" s="157"/>
      <c r="Q509" s="157"/>
      <c r="R509" s="157"/>
      <c r="S509" s="157"/>
      <c r="T509" s="157"/>
      <c r="U509" s="157"/>
      <c r="V509" s="157"/>
      <c r="W509" s="153"/>
    </row>
    <row r="510" spans="1:23" s="14" customFormat="1" x14ac:dyDescent="0.25">
      <c r="A510" s="80"/>
      <c r="B510" s="76"/>
      <c r="C510" s="153"/>
      <c r="D510" s="153"/>
      <c r="E510" s="153"/>
      <c r="F510" s="153"/>
      <c r="G510" s="153"/>
      <c r="H510" s="153"/>
      <c r="I510" s="157"/>
      <c r="J510" s="157"/>
      <c r="K510" s="157"/>
      <c r="L510" s="157"/>
      <c r="M510" s="157"/>
      <c r="N510" s="221"/>
      <c r="O510" s="157"/>
      <c r="P510" s="157"/>
      <c r="Q510" s="157"/>
      <c r="R510" s="157"/>
      <c r="S510" s="157"/>
      <c r="T510" s="157"/>
      <c r="U510" s="157"/>
      <c r="V510" s="157"/>
      <c r="W510" s="153"/>
    </row>
    <row r="511" spans="1:23" s="14" customFormat="1" x14ac:dyDescent="0.25">
      <c r="A511" s="80"/>
      <c r="B511" s="76"/>
      <c r="C511" s="153"/>
      <c r="D511" s="153"/>
      <c r="E511" s="153"/>
      <c r="F511" s="153"/>
      <c r="G511" s="153"/>
      <c r="H511" s="153"/>
      <c r="I511" s="157"/>
      <c r="J511" s="157"/>
      <c r="K511" s="157"/>
      <c r="L511" s="157"/>
      <c r="M511" s="157"/>
      <c r="N511" s="221"/>
      <c r="O511" s="157"/>
      <c r="P511" s="157"/>
      <c r="Q511" s="157"/>
      <c r="R511" s="157"/>
      <c r="S511" s="157"/>
      <c r="T511" s="157"/>
      <c r="U511" s="157"/>
      <c r="V511" s="157"/>
      <c r="W511" s="153"/>
    </row>
    <row r="512" spans="1:23" s="14" customFormat="1" x14ac:dyDescent="0.25">
      <c r="A512" s="80"/>
      <c r="B512" s="76"/>
      <c r="C512" s="153"/>
      <c r="D512" s="153"/>
      <c r="E512" s="153"/>
      <c r="F512" s="153"/>
      <c r="G512" s="153"/>
      <c r="H512" s="153"/>
      <c r="I512" s="157"/>
      <c r="J512" s="157"/>
      <c r="K512" s="157"/>
      <c r="L512" s="157"/>
      <c r="M512" s="157"/>
      <c r="N512" s="221"/>
      <c r="O512" s="157"/>
      <c r="P512" s="157"/>
      <c r="Q512" s="157"/>
      <c r="R512" s="157"/>
      <c r="S512" s="157"/>
      <c r="T512" s="157"/>
      <c r="U512" s="157"/>
      <c r="V512" s="157"/>
      <c r="W512" s="153"/>
    </row>
    <row r="513" spans="1:23" s="14" customFormat="1" x14ac:dyDescent="0.25">
      <c r="A513" s="80"/>
      <c r="B513" s="76"/>
      <c r="C513" s="153"/>
      <c r="D513" s="153"/>
      <c r="E513" s="153"/>
      <c r="F513" s="153"/>
      <c r="G513" s="153"/>
      <c r="H513" s="153"/>
      <c r="I513" s="157"/>
      <c r="J513" s="157"/>
      <c r="K513" s="157"/>
      <c r="L513" s="157"/>
      <c r="M513" s="157"/>
      <c r="N513" s="221"/>
      <c r="O513" s="157"/>
      <c r="P513" s="157"/>
      <c r="Q513" s="157"/>
      <c r="R513" s="157"/>
      <c r="S513" s="157"/>
      <c r="T513" s="157"/>
      <c r="U513" s="157"/>
      <c r="V513" s="157"/>
      <c r="W513" s="153"/>
    </row>
    <row r="514" spans="1:23" s="14" customFormat="1" x14ac:dyDescent="0.25">
      <c r="A514" s="80"/>
      <c r="B514" s="76"/>
      <c r="C514" s="153"/>
      <c r="D514" s="153"/>
      <c r="E514" s="153"/>
      <c r="F514" s="153"/>
      <c r="G514" s="153"/>
      <c r="H514" s="153"/>
      <c r="I514" s="157"/>
      <c r="J514" s="157"/>
      <c r="K514" s="157"/>
      <c r="L514" s="157"/>
      <c r="M514" s="157"/>
      <c r="N514" s="221"/>
      <c r="O514" s="157"/>
      <c r="P514" s="157"/>
      <c r="Q514" s="157"/>
      <c r="R514" s="157"/>
      <c r="S514" s="157"/>
      <c r="T514" s="157"/>
      <c r="U514" s="157"/>
      <c r="V514" s="157"/>
      <c r="W514" s="153"/>
    </row>
    <row r="515" spans="1:23" s="14" customFormat="1" x14ac:dyDescent="0.25">
      <c r="A515" s="80"/>
      <c r="B515" s="76"/>
      <c r="C515" s="153"/>
      <c r="D515" s="153"/>
      <c r="E515" s="153"/>
      <c r="F515" s="153"/>
      <c r="G515" s="153"/>
      <c r="H515" s="153"/>
      <c r="I515" s="157"/>
      <c r="J515" s="157"/>
      <c r="K515" s="157"/>
      <c r="L515" s="157"/>
      <c r="M515" s="157"/>
      <c r="N515" s="221"/>
      <c r="O515" s="157"/>
      <c r="P515" s="157"/>
      <c r="Q515" s="157"/>
      <c r="R515" s="157"/>
      <c r="S515" s="157"/>
      <c r="T515" s="157"/>
      <c r="U515" s="157"/>
      <c r="V515" s="157"/>
      <c r="W515" s="153"/>
    </row>
    <row r="516" spans="1:23" s="14" customFormat="1" x14ac:dyDescent="0.25">
      <c r="A516" s="80"/>
      <c r="B516" s="76"/>
      <c r="C516" s="153"/>
      <c r="D516" s="153"/>
      <c r="E516" s="153"/>
      <c r="F516" s="153"/>
      <c r="G516" s="153"/>
      <c r="H516" s="153"/>
      <c r="I516" s="157"/>
      <c r="J516" s="157"/>
      <c r="K516" s="157"/>
      <c r="L516" s="157"/>
      <c r="M516" s="157"/>
      <c r="N516" s="221"/>
      <c r="O516" s="157"/>
      <c r="P516" s="157"/>
      <c r="Q516" s="157"/>
      <c r="R516" s="157"/>
      <c r="S516" s="157"/>
      <c r="T516" s="157"/>
      <c r="U516" s="157"/>
      <c r="V516" s="157"/>
      <c r="W516" s="153"/>
    </row>
    <row r="517" spans="1:23" s="14" customFormat="1" x14ac:dyDescent="0.25">
      <c r="A517" s="80"/>
      <c r="B517" s="76"/>
      <c r="C517" s="153"/>
      <c r="D517" s="153"/>
      <c r="E517" s="153"/>
      <c r="F517" s="153"/>
      <c r="G517" s="153"/>
      <c r="H517" s="153"/>
      <c r="I517" s="157"/>
      <c r="J517" s="157"/>
      <c r="K517" s="157"/>
      <c r="L517" s="157"/>
      <c r="M517" s="157"/>
      <c r="N517" s="221"/>
      <c r="O517" s="157"/>
      <c r="P517" s="157"/>
      <c r="Q517" s="157"/>
      <c r="R517" s="157"/>
      <c r="S517" s="157"/>
      <c r="T517" s="157"/>
      <c r="U517" s="157"/>
      <c r="V517" s="157"/>
      <c r="W517" s="153"/>
    </row>
    <row r="518" spans="1:23" s="14" customFormat="1" x14ac:dyDescent="0.25">
      <c r="A518" s="80"/>
      <c r="B518" s="76"/>
      <c r="C518" s="153"/>
      <c r="D518" s="153"/>
      <c r="E518" s="153"/>
      <c r="F518" s="153"/>
      <c r="G518" s="153"/>
      <c r="H518" s="153"/>
      <c r="I518" s="157"/>
      <c r="J518" s="157"/>
      <c r="K518" s="157"/>
      <c r="L518" s="157"/>
      <c r="M518" s="157"/>
      <c r="N518" s="221"/>
      <c r="O518" s="157"/>
      <c r="P518" s="157"/>
      <c r="Q518" s="157"/>
      <c r="R518" s="157"/>
      <c r="S518" s="157"/>
      <c r="T518" s="157"/>
      <c r="U518" s="157"/>
      <c r="V518" s="157"/>
      <c r="W518" s="153"/>
    </row>
    <row r="519" spans="1:23" s="14" customFormat="1" x14ac:dyDescent="0.25">
      <c r="A519" s="80"/>
      <c r="B519" s="76"/>
      <c r="C519" s="153"/>
      <c r="D519" s="153"/>
      <c r="E519" s="153"/>
      <c r="F519" s="153"/>
      <c r="G519" s="153"/>
      <c r="H519" s="153"/>
      <c r="I519" s="157"/>
      <c r="J519" s="157"/>
      <c r="K519" s="157"/>
      <c r="L519" s="157"/>
      <c r="M519" s="157"/>
      <c r="N519" s="221"/>
      <c r="O519" s="157"/>
      <c r="P519" s="157"/>
      <c r="Q519" s="157"/>
      <c r="R519" s="157"/>
      <c r="S519" s="157"/>
      <c r="T519" s="157"/>
      <c r="U519" s="157"/>
      <c r="V519" s="157"/>
      <c r="W519" s="153"/>
    </row>
    <row r="520" spans="1:23" s="14" customFormat="1" x14ac:dyDescent="0.25">
      <c r="B520" s="76"/>
      <c r="C520" s="153"/>
      <c r="D520" s="153"/>
      <c r="E520" s="153"/>
      <c r="F520" s="153"/>
      <c r="G520" s="153"/>
      <c r="H520" s="153"/>
      <c r="I520" s="157"/>
      <c r="J520" s="157"/>
      <c r="K520" s="157"/>
      <c r="L520" s="157"/>
      <c r="M520" s="157"/>
      <c r="N520" s="221"/>
      <c r="O520" s="157"/>
      <c r="P520" s="157"/>
      <c r="Q520" s="157"/>
      <c r="R520" s="157"/>
      <c r="S520" s="157"/>
      <c r="T520" s="157"/>
      <c r="U520" s="157"/>
      <c r="V520" s="157"/>
      <c r="W520" s="153"/>
    </row>
    <row r="521" spans="1:23" s="14" customFormat="1" x14ac:dyDescent="0.25">
      <c r="B521" s="76"/>
      <c r="C521" s="153"/>
      <c r="D521" s="153"/>
      <c r="E521" s="153"/>
      <c r="F521" s="153"/>
      <c r="G521" s="153"/>
      <c r="H521" s="153"/>
      <c r="I521" s="157"/>
      <c r="J521" s="157"/>
      <c r="K521" s="157"/>
      <c r="L521" s="157"/>
      <c r="M521" s="157"/>
      <c r="N521" s="221"/>
      <c r="O521" s="157"/>
      <c r="P521" s="157"/>
      <c r="Q521" s="157"/>
      <c r="R521" s="157"/>
      <c r="S521" s="157"/>
      <c r="T521" s="157"/>
      <c r="U521" s="157"/>
      <c r="V521" s="157"/>
      <c r="W521" s="153"/>
    </row>
    <row r="522" spans="1:23" s="14" customFormat="1" x14ac:dyDescent="0.25">
      <c r="B522" s="76"/>
      <c r="C522" s="153"/>
      <c r="D522" s="153"/>
      <c r="E522" s="153"/>
      <c r="F522" s="153"/>
      <c r="G522" s="153"/>
      <c r="H522" s="153"/>
      <c r="I522" s="157"/>
      <c r="J522" s="157"/>
      <c r="K522" s="157"/>
      <c r="L522" s="157"/>
      <c r="M522" s="157"/>
      <c r="N522" s="221"/>
      <c r="O522" s="157"/>
      <c r="P522" s="157"/>
      <c r="Q522" s="157"/>
      <c r="R522" s="157"/>
      <c r="S522" s="157"/>
      <c r="T522" s="157"/>
      <c r="U522" s="157"/>
      <c r="V522" s="157"/>
      <c r="W522" s="153"/>
    </row>
    <row r="523" spans="1:23" s="14" customFormat="1" x14ac:dyDescent="0.25">
      <c r="B523" s="76"/>
      <c r="C523" s="153"/>
      <c r="D523" s="153"/>
      <c r="E523" s="153"/>
      <c r="F523" s="153"/>
      <c r="G523" s="153"/>
      <c r="H523" s="153"/>
      <c r="I523" s="157"/>
      <c r="J523" s="157"/>
      <c r="K523" s="157"/>
      <c r="L523" s="157"/>
      <c r="M523" s="157"/>
      <c r="N523" s="221"/>
      <c r="O523" s="157"/>
      <c r="P523" s="157"/>
      <c r="Q523" s="157"/>
      <c r="R523" s="157"/>
      <c r="S523" s="157"/>
      <c r="T523" s="157"/>
      <c r="U523" s="157"/>
      <c r="V523" s="157"/>
      <c r="W523" s="153"/>
    </row>
    <row r="524" spans="1:23" s="14" customFormat="1" x14ac:dyDescent="0.25">
      <c r="B524" s="76"/>
      <c r="C524" s="153"/>
      <c r="D524" s="153"/>
      <c r="E524" s="153"/>
      <c r="F524" s="153"/>
      <c r="G524" s="153"/>
      <c r="H524" s="153"/>
      <c r="I524" s="157"/>
      <c r="J524" s="157"/>
      <c r="K524" s="157"/>
      <c r="L524" s="157"/>
      <c r="M524" s="157"/>
      <c r="N524" s="221"/>
      <c r="O524" s="157"/>
      <c r="P524" s="157"/>
      <c r="Q524" s="157"/>
      <c r="R524" s="157"/>
      <c r="S524" s="157"/>
      <c r="T524" s="157"/>
      <c r="U524" s="157"/>
      <c r="V524" s="157"/>
      <c r="W524" s="153"/>
    </row>
    <row r="525" spans="1:23" s="14" customFormat="1" x14ac:dyDescent="0.25">
      <c r="B525" s="76"/>
      <c r="C525" s="153"/>
      <c r="D525" s="153"/>
      <c r="E525" s="153"/>
      <c r="F525" s="153"/>
      <c r="G525" s="153"/>
      <c r="H525" s="153"/>
      <c r="I525" s="157"/>
      <c r="J525" s="157"/>
      <c r="K525" s="157"/>
      <c r="L525" s="157"/>
      <c r="M525" s="157"/>
      <c r="N525" s="221"/>
      <c r="O525" s="157"/>
      <c r="P525" s="157"/>
      <c r="Q525" s="157"/>
      <c r="R525" s="157"/>
      <c r="S525" s="157"/>
      <c r="T525" s="157"/>
      <c r="U525" s="157"/>
      <c r="V525" s="157"/>
      <c r="W525" s="153"/>
    </row>
    <row r="526" spans="1:23" s="14" customFormat="1" x14ac:dyDescent="0.25">
      <c r="B526" s="76"/>
      <c r="C526" s="153"/>
      <c r="D526" s="153"/>
      <c r="E526" s="153"/>
      <c r="F526" s="153"/>
      <c r="G526" s="153"/>
      <c r="H526" s="153"/>
      <c r="I526" s="157"/>
      <c r="J526" s="157"/>
      <c r="K526" s="157"/>
      <c r="L526" s="157"/>
      <c r="M526" s="157"/>
      <c r="N526" s="221"/>
      <c r="O526" s="157"/>
      <c r="P526" s="157"/>
      <c r="Q526" s="157"/>
      <c r="R526" s="157"/>
      <c r="S526" s="157"/>
      <c r="T526" s="157"/>
      <c r="U526" s="157"/>
      <c r="V526" s="157"/>
      <c r="W526" s="153"/>
    </row>
    <row r="527" spans="1:23" s="14" customFormat="1" x14ac:dyDescent="0.25">
      <c r="B527" s="76"/>
      <c r="C527" s="153"/>
      <c r="D527" s="153"/>
      <c r="E527" s="153"/>
      <c r="F527" s="153"/>
      <c r="G527" s="153"/>
      <c r="H527" s="153"/>
      <c r="I527" s="157"/>
      <c r="J527" s="157"/>
      <c r="K527" s="157"/>
      <c r="L527" s="157"/>
      <c r="M527" s="157"/>
      <c r="N527" s="221"/>
      <c r="O527" s="157"/>
      <c r="P527" s="157"/>
      <c r="Q527" s="157"/>
      <c r="R527" s="157"/>
      <c r="S527" s="157"/>
      <c r="T527" s="157"/>
      <c r="U527" s="157"/>
      <c r="V527" s="157"/>
      <c r="W527" s="153"/>
    </row>
    <row r="528" spans="1:23" s="14" customFormat="1" x14ac:dyDescent="0.25">
      <c r="B528" s="76"/>
      <c r="C528" s="153"/>
      <c r="D528" s="153"/>
      <c r="E528" s="153"/>
      <c r="F528" s="153"/>
      <c r="G528" s="153"/>
      <c r="H528" s="153"/>
      <c r="I528" s="157"/>
      <c r="J528" s="157"/>
      <c r="K528" s="157"/>
      <c r="L528" s="157"/>
      <c r="M528" s="157"/>
      <c r="N528" s="221"/>
      <c r="O528" s="157"/>
      <c r="P528" s="157"/>
      <c r="Q528" s="157"/>
      <c r="R528" s="157"/>
      <c r="S528" s="157"/>
      <c r="T528" s="157"/>
      <c r="U528" s="157"/>
      <c r="V528" s="157"/>
      <c r="W528" s="153"/>
    </row>
    <row r="529" spans="2:23" s="14" customFormat="1" x14ac:dyDescent="0.25">
      <c r="B529" s="76"/>
      <c r="C529" s="153"/>
      <c r="D529" s="153"/>
      <c r="E529" s="153"/>
      <c r="F529" s="153"/>
      <c r="G529" s="153"/>
      <c r="H529" s="153"/>
      <c r="I529" s="157"/>
      <c r="J529" s="157"/>
      <c r="K529" s="157"/>
      <c r="L529" s="157"/>
      <c r="M529" s="157"/>
      <c r="N529" s="221"/>
      <c r="O529" s="157"/>
      <c r="P529" s="157"/>
      <c r="Q529" s="157"/>
      <c r="R529" s="157"/>
      <c r="S529" s="157"/>
      <c r="T529" s="157"/>
      <c r="U529" s="157"/>
      <c r="V529" s="157"/>
      <c r="W529" s="153"/>
    </row>
    <row r="530" spans="2:23" s="14" customFormat="1" x14ac:dyDescent="0.25">
      <c r="B530" s="76"/>
      <c r="C530" s="153"/>
      <c r="D530" s="153"/>
      <c r="E530" s="153"/>
      <c r="F530" s="153"/>
      <c r="G530" s="153"/>
      <c r="H530" s="153"/>
      <c r="I530" s="157"/>
      <c r="J530" s="157"/>
      <c r="K530" s="157"/>
      <c r="L530" s="157"/>
      <c r="M530" s="157"/>
      <c r="N530" s="221"/>
      <c r="O530" s="157"/>
      <c r="P530" s="157"/>
      <c r="Q530" s="157"/>
      <c r="R530" s="157"/>
      <c r="S530" s="157"/>
      <c r="T530" s="157"/>
      <c r="U530" s="157"/>
      <c r="V530" s="157"/>
      <c r="W530" s="153"/>
    </row>
    <row r="531" spans="2:23" s="14" customFormat="1" x14ac:dyDescent="0.25">
      <c r="B531" s="76"/>
      <c r="C531" s="153"/>
      <c r="D531" s="153"/>
      <c r="E531" s="153"/>
      <c r="F531" s="153"/>
      <c r="G531" s="153"/>
      <c r="H531" s="153"/>
      <c r="I531" s="157"/>
      <c r="J531" s="157"/>
      <c r="K531" s="157"/>
      <c r="L531" s="157"/>
      <c r="M531" s="157"/>
      <c r="N531" s="221"/>
      <c r="O531" s="157"/>
      <c r="P531" s="157"/>
      <c r="Q531" s="157"/>
      <c r="R531" s="157"/>
      <c r="S531" s="157"/>
      <c r="T531" s="157"/>
      <c r="U531" s="157"/>
      <c r="V531" s="157"/>
      <c r="W531" s="153"/>
    </row>
    <row r="532" spans="2:23" s="14" customFormat="1" x14ac:dyDescent="0.25">
      <c r="B532" s="76"/>
      <c r="C532" s="153"/>
      <c r="D532" s="153"/>
      <c r="E532" s="153"/>
      <c r="F532" s="153"/>
      <c r="G532" s="153"/>
      <c r="H532" s="153"/>
      <c r="I532" s="157"/>
      <c r="J532" s="157"/>
      <c r="K532" s="157"/>
      <c r="L532" s="157"/>
      <c r="M532" s="157"/>
      <c r="N532" s="221"/>
      <c r="O532" s="157"/>
      <c r="P532" s="157"/>
      <c r="Q532" s="157"/>
      <c r="R532" s="157"/>
      <c r="S532" s="157"/>
      <c r="T532" s="157"/>
      <c r="U532" s="157"/>
      <c r="V532" s="157"/>
      <c r="W532" s="153"/>
    </row>
    <row r="533" spans="2:23" s="14" customFormat="1" x14ac:dyDescent="0.25">
      <c r="B533" s="76"/>
      <c r="C533" s="153"/>
      <c r="D533" s="153"/>
      <c r="E533" s="153"/>
      <c r="F533" s="153"/>
      <c r="G533" s="153"/>
      <c r="H533" s="153"/>
      <c r="I533" s="157"/>
      <c r="J533" s="157"/>
      <c r="K533" s="157"/>
      <c r="L533" s="157"/>
      <c r="M533" s="157"/>
      <c r="N533" s="221"/>
      <c r="O533" s="157"/>
      <c r="P533" s="157"/>
      <c r="Q533" s="157"/>
      <c r="R533" s="157"/>
      <c r="S533" s="157"/>
      <c r="T533" s="157"/>
      <c r="U533" s="157"/>
      <c r="V533" s="157"/>
      <c r="W533" s="153"/>
    </row>
    <row r="534" spans="2:23" s="14" customFormat="1" x14ac:dyDescent="0.25">
      <c r="B534" s="76"/>
      <c r="C534" s="153"/>
      <c r="D534" s="153"/>
      <c r="E534" s="153"/>
      <c r="F534" s="153"/>
      <c r="G534" s="153"/>
      <c r="H534" s="153"/>
      <c r="I534" s="157"/>
      <c r="J534" s="157"/>
      <c r="K534" s="157"/>
      <c r="L534" s="157"/>
      <c r="M534" s="157"/>
      <c r="N534" s="221"/>
      <c r="O534" s="157"/>
      <c r="P534" s="157"/>
      <c r="Q534" s="157"/>
      <c r="R534" s="157"/>
      <c r="S534" s="157"/>
      <c r="T534" s="157"/>
      <c r="U534" s="157"/>
      <c r="V534" s="157"/>
      <c r="W534" s="153"/>
    </row>
    <row r="535" spans="2:23" s="14" customFormat="1" x14ac:dyDescent="0.25">
      <c r="B535" s="76"/>
      <c r="C535" s="153"/>
      <c r="D535" s="153"/>
      <c r="E535" s="153"/>
      <c r="F535" s="153"/>
      <c r="G535" s="153"/>
      <c r="H535" s="153"/>
      <c r="I535" s="157"/>
      <c r="J535" s="157"/>
      <c r="K535" s="157"/>
      <c r="L535" s="157"/>
      <c r="M535" s="157"/>
      <c r="N535" s="221"/>
      <c r="O535" s="157"/>
      <c r="P535" s="157"/>
      <c r="Q535" s="157"/>
      <c r="R535" s="157"/>
      <c r="S535" s="157"/>
      <c r="T535" s="157"/>
      <c r="U535" s="157"/>
      <c r="V535" s="157"/>
      <c r="W535" s="153"/>
    </row>
    <row r="536" spans="2:23" s="14" customFormat="1" x14ac:dyDescent="0.25">
      <c r="B536" s="76"/>
      <c r="C536" s="153"/>
      <c r="D536" s="153"/>
      <c r="E536" s="153"/>
      <c r="F536" s="153"/>
      <c r="G536" s="153"/>
      <c r="H536" s="153"/>
      <c r="I536" s="157"/>
      <c r="J536" s="157"/>
      <c r="K536" s="157"/>
      <c r="L536" s="157"/>
      <c r="M536" s="157"/>
      <c r="N536" s="221"/>
      <c r="O536" s="157"/>
      <c r="P536" s="157"/>
      <c r="Q536" s="157"/>
      <c r="R536" s="157"/>
      <c r="S536" s="157"/>
      <c r="T536" s="157"/>
      <c r="U536" s="157"/>
      <c r="V536" s="157"/>
      <c r="W536" s="153"/>
    </row>
    <row r="537" spans="2:23" s="14" customFormat="1" x14ac:dyDescent="0.25">
      <c r="B537" s="76"/>
      <c r="C537" s="153"/>
      <c r="D537" s="153"/>
      <c r="E537" s="153"/>
      <c r="F537" s="153"/>
      <c r="G537" s="153"/>
      <c r="H537" s="153"/>
      <c r="I537" s="157"/>
      <c r="J537" s="157"/>
      <c r="K537" s="157"/>
      <c r="L537" s="157"/>
      <c r="M537" s="157"/>
      <c r="N537" s="221"/>
      <c r="O537" s="157"/>
      <c r="P537" s="157"/>
      <c r="Q537" s="157"/>
      <c r="R537" s="157"/>
      <c r="S537" s="157"/>
      <c r="T537" s="157"/>
      <c r="U537" s="157"/>
      <c r="V537" s="157"/>
      <c r="W537" s="153"/>
    </row>
    <row r="538" spans="2:23" s="14" customFormat="1" x14ac:dyDescent="0.25">
      <c r="B538" s="76"/>
      <c r="C538" s="153"/>
      <c r="D538" s="153"/>
      <c r="E538" s="153"/>
      <c r="F538" s="153"/>
      <c r="G538" s="153"/>
      <c r="H538" s="153"/>
      <c r="I538" s="157"/>
      <c r="J538" s="157"/>
      <c r="K538" s="157"/>
      <c r="L538" s="157"/>
      <c r="M538" s="157"/>
      <c r="N538" s="221"/>
      <c r="O538" s="157"/>
      <c r="P538" s="157"/>
      <c r="Q538" s="157"/>
      <c r="R538" s="157"/>
      <c r="S538" s="157"/>
      <c r="T538" s="157"/>
      <c r="U538" s="157"/>
      <c r="V538" s="157"/>
      <c r="W538" s="153"/>
    </row>
    <row r="539" spans="2:23" s="14" customFormat="1" x14ac:dyDescent="0.25">
      <c r="B539" s="76"/>
      <c r="C539" s="153"/>
      <c r="D539" s="153"/>
      <c r="E539" s="153"/>
      <c r="F539" s="153"/>
      <c r="G539" s="153"/>
      <c r="H539" s="153"/>
      <c r="I539" s="157"/>
      <c r="J539" s="157"/>
      <c r="K539" s="157"/>
      <c r="L539" s="157"/>
      <c r="M539" s="157"/>
      <c r="N539" s="221"/>
      <c r="O539" s="157"/>
      <c r="P539" s="157"/>
      <c r="Q539" s="157"/>
      <c r="R539" s="157"/>
      <c r="S539" s="157"/>
      <c r="T539" s="157"/>
      <c r="U539" s="157"/>
      <c r="V539" s="157"/>
      <c r="W539" s="153"/>
    </row>
    <row r="540" spans="2:23" s="14" customFormat="1" x14ac:dyDescent="0.25">
      <c r="B540" s="76"/>
      <c r="C540" s="153"/>
      <c r="D540" s="153"/>
      <c r="E540" s="153"/>
      <c r="F540" s="153"/>
      <c r="G540" s="153"/>
      <c r="H540" s="153"/>
      <c r="I540" s="157"/>
      <c r="J540" s="157"/>
      <c r="K540" s="157"/>
      <c r="L540" s="157"/>
      <c r="M540" s="157"/>
      <c r="N540" s="221"/>
      <c r="O540" s="157"/>
      <c r="P540" s="157"/>
      <c r="Q540" s="157"/>
      <c r="R540" s="157"/>
      <c r="S540" s="157"/>
      <c r="T540" s="157"/>
      <c r="U540" s="157"/>
      <c r="V540" s="157"/>
      <c r="W540" s="153"/>
    </row>
    <row r="541" spans="2:23" s="14" customFormat="1" x14ac:dyDescent="0.25">
      <c r="B541" s="76"/>
      <c r="C541" s="153"/>
      <c r="D541" s="153"/>
      <c r="E541" s="153"/>
      <c r="F541" s="153"/>
      <c r="G541" s="153"/>
      <c r="H541" s="153"/>
      <c r="I541" s="157"/>
      <c r="J541" s="157"/>
      <c r="K541" s="157"/>
      <c r="L541" s="157"/>
      <c r="M541" s="157"/>
      <c r="N541" s="221"/>
      <c r="O541" s="157"/>
      <c r="P541" s="157"/>
      <c r="Q541" s="157"/>
      <c r="R541" s="157"/>
      <c r="S541" s="157"/>
      <c r="T541" s="157"/>
      <c r="U541" s="157"/>
      <c r="V541" s="157"/>
      <c r="W541" s="153"/>
    </row>
    <row r="542" spans="2:23" s="14" customFormat="1" x14ac:dyDescent="0.25">
      <c r="B542" s="76"/>
      <c r="C542" s="153"/>
      <c r="D542" s="153"/>
      <c r="E542" s="153"/>
      <c r="F542" s="153"/>
      <c r="G542" s="153"/>
      <c r="H542" s="153"/>
      <c r="I542" s="157"/>
      <c r="J542" s="157"/>
      <c r="K542" s="157"/>
      <c r="L542" s="157"/>
      <c r="M542" s="157"/>
      <c r="N542" s="221"/>
      <c r="O542" s="157"/>
      <c r="P542" s="157"/>
      <c r="Q542" s="157"/>
      <c r="R542" s="157"/>
      <c r="S542" s="157"/>
      <c r="T542" s="157"/>
      <c r="U542" s="157"/>
      <c r="V542" s="157"/>
      <c r="W542" s="153"/>
    </row>
    <row r="543" spans="2:23" s="14" customFormat="1" x14ac:dyDescent="0.25">
      <c r="B543" s="76"/>
      <c r="C543" s="153"/>
      <c r="D543" s="153"/>
      <c r="E543" s="153"/>
      <c r="F543" s="153"/>
      <c r="G543" s="153"/>
      <c r="H543" s="153"/>
      <c r="I543" s="157"/>
      <c r="J543" s="157"/>
      <c r="K543" s="157"/>
      <c r="L543" s="157"/>
      <c r="M543" s="157"/>
      <c r="N543" s="221"/>
      <c r="O543" s="157"/>
      <c r="P543" s="157"/>
      <c r="Q543" s="157"/>
      <c r="R543" s="157"/>
      <c r="S543" s="157"/>
      <c r="T543" s="157"/>
      <c r="U543" s="157"/>
      <c r="V543" s="157"/>
      <c r="W543" s="153"/>
    </row>
    <row r="544" spans="2:23" s="14" customFormat="1" x14ac:dyDescent="0.25">
      <c r="B544" s="76"/>
      <c r="C544" s="153"/>
      <c r="D544" s="153"/>
      <c r="E544" s="153"/>
      <c r="F544" s="153"/>
      <c r="G544" s="153"/>
      <c r="H544" s="153"/>
      <c r="I544" s="157"/>
      <c r="J544" s="157"/>
      <c r="K544" s="157"/>
      <c r="L544" s="157"/>
      <c r="M544" s="157"/>
      <c r="N544" s="221"/>
      <c r="O544" s="157"/>
      <c r="P544" s="157"/>
      <c r="Q544" s="157"/>
      <c r="R544" s="157"/>
      <c r="S544" s="157"/>
      <c r="T544" s="157"/>
      <c r="U544" s="157"/>
      <c r="V544" s="157"/>
      <c r="W544" s="153"/>
    </row>
    <row r="545" spans="2:23" s="14" customFormat="1" x14ac:dyDescent="0.25">
      <c r="B545" s="76"/>
      <c r="C545" s="153"/>
      <c r="D545" s="153"/>
      <c r="E545" s="153"/>
      <c r="F545" s="153"/>
      <c r="G545" s="153"/>
      <c r="H545" s="153"/>
      <c r="I545" s="157"/>
      <c r="J545" s="157"/>
      <c r="K545" s="157"/>
      <c r="L545" s="157"/>
      <c r="M545" s="157"/>
      <c r="N545" s="221"/>
      <c r="O545" s="157"/>
      <c r="P545" s="157"/>
      <c r="Q545" s="157"/>
      <c r="R545" s="157"/>
      <c r="S545" s="157"/>
      <c r="T545" s="157"/>
      <c r="U545" s="157"/>
      <c r="V545" s="157"/>
      <c r="W545" s="153"/>
    </row>
    <row r="546" spans="2:23" s="14" customFormat="1" x14ac:dyDescent="0.25">
      <c r="B546" s="76"/>
      <c r="C546" s="153"/>
      <c r="D546" s="153"/>
      <c r="E546" s="153"/>
      <c r="F546" s="153"/>
      <c r="G546" s="153"/>
      <c r="H546" s="153"/>
      <c r="I546" s="157"/>
      <c r="J546" s="157"/>
      <c r="K546" s="157"/>
      <c r="L546" s="157"/>
      <c r="M546" s="157"/>
      <c r="N546" s="221"/>
      <c r="O546" s="157"/>
      <c r="P546" s="157"/>
      <c r="Q546" s="157"/>
      <c r="R546" s="157"/>
      <c r="S546" s="157"/>
      <c r="T546" s="157"/>
      <c r="U546" s="157"/>
      <c r="V546" s="157"/>
      <c r="W546" s="153"/>
    </row>
    <row r="547" spans="2:23" s="14" customFormat="1" x14ac:dyDescent="0.25">
      <c r="B547" s="76"/>
      <c r="C547" s="153"/>
      <c r="D547" s="153"/>
      <c r="E547" s="153"/>
      <c r="F547" s="153"/>
      <c r="G547" s="153"/>
      <c r="H547" s="153"/>
      <c r="I547" s="157"/>
      <c r="J547" s="157"/>
      <c r="K547" s="157"/>
      <c r="L547" s="157"/>
      <c r="M547" s="157"/>
      <c r="N547" s="221"/>
      <c r="O547" s="157"/>
      <c r="P547" s="157"/>
      <c r="Q547" s="157"/>
      <c r="R547" s="157"/>
      <c r="S547" s="157"/>
      <c r="T547" s="157"/>
      <c r="U547" s="157"/>
      <c r="V547" s="157"/>
      <c r="W547" s="153"/>
    </row>
    <row r="548" spans="2:23" s="14" customFormat="1" x14ac:dyDescent="0.25">
      <c r="B548" s="76"/>
      <c r="C548" s="153"/>
      <c r="D548" s="153"/>
      <c r="E548" s="153"/>
      <c r="F548" s="153"/>
      <c r="G548" s="153"/>
      <c r="H548" s="153"/>
      <c r="I548" s="157"/>
      <c r="J548" s="157"/>
      <c r="K548" s="157"/>
      <c r="L548" s="157"/>
      <c r="M548" s="157"/>
      <c r="N548" s="221"/>
      <c r="O548" s="157"/>
      <c r="P548" s="157"/>
      <c r="Q548" s="157"/>
      <c r="R548" s="157"/>
      <c r="S548" s="157"/>
      <c r="T548" s="157"/>
      <c r="U548" s="157"/>
      <c r="V548" s="157"/>
      <c r="W548" s="153"/>
    </row>
    <row r="549" spans="2:23" s="14" customFormat="1" x14ac:dyDescent="0.25">
      <c r="B549" s="76"/>
      <c r="C549" s="153"/>
      <c r="D549" s="153"/>
      <c r="E549" s="153"/>
      <c r="F549" s="153"/>
      <c r="G549" s="153"/>
      <c r="H549" s="153"/>
      <c r="I549" s="157"/>
      <c r="J549" s="157"/>
      <c r="K549" s="157"/>
      <c r="L549" s="157"/>
      <c r="M549" s="157"/>
      <c r="N549" s="221"/>
      <c r="O549" s="157"/>
      <c r="P549" s="157"/>
      <c r="Q549" s="157"/>
      <c r="R549" s="157"/>
      <c r="S549" s="157"/>
      <c r="T549" s="157"/>
      <c r="U549" s="157"/>
      <c r="V549" s="157"/>
      <c r="W549" s="153"/>
    </row>
    <row r="550" spans="2:23" s="14" customFormat="1" x14ac:dyDescent="0.25">
      <c r="B550" s="76"/>
      <c r="C550" s="153"/>
      <c r="D550" s="153"/>
      <c r="E550" s="153"/>
      <c r="F550" s="153"/>
      <c r="G550" s="153"/>
      <c r="H550" s="153"/>
      <c r="I550" s="157"/>
      <c r="J550" s="157"/>
      <c r="K550" s="157"/>
      <c r="L550" s="157"/>
      <c r="M550" s="157"/>
      <c r="N550" s="221"/>
      <c r="O550" s="157"/>
      <c r="P550" s="157"/>
      <c r="Q550" s="157"/>
      <c r="R550" s="157"/>
      <c r="S550" s="157"/>
      <c r="T550" s="157"/>
      <c r="U550" s="157"/>
      <c r="V550" s="157"/>
      <c r="W550" s="153"/>
    </row>
    <row r="551" spans="2:23" s="14" customFormat="1" x14ac:dyDescent="0.25">
      <c r="B551" s="76"/>
      <c r="C551" s="153"/>
      <c r="D551" s="153"/>
      <c r="E551" s="153"/>
      <c r="F551" s="153"/>
      <c r="G551" s="153"/>
      <c r="H551" s="153"/>
      <c r="I551" s="157"/>
      <c r="J551" s="157"/>
      <c r="K551" s="157"/>
      <c r="L551" s="157"/>
      <c r="M551" s="157"/>
      <c r="N551" s="221"/>
      <c r="O551" s="157"/>
      <c r="P551" s="157"/>
      <c r="Q551" s="157"/>
      <c r="R551" s="157"/>
      <c r="S551" s="157"/>
      <c r="T551" s="157"/>
      <c r="U551" s="157"/>
      <c r="V551" s="157"/>
      <c r="W551" s="153"/>
    </row>
    <row r="552" spans="2:23" s="14" customFormat="1" x14ac:dyDescent="0.25">
      <c r="B552" s="76"/>
      <c r="C552" s="153"/>
      <c r="D552" s="153"/>
      <c r="E552" s="153"/>
      <c r="F552" s="153"/>
      <c r="G552" s="153"/>
      <c r="H552" s="153"/>
      <c r="I552" s="157"/>
      <c r="J552" s="157"/>
      <c r="K552" s="157"/>
      <c r="L552" s="157"/>
      <c r="M552" s="157"/>
      <c r="N552" s="221"/>
      <c r="O552" s="157"/>
      <c r="P552" s="157"/>
      <c r="Q552" s="157"/>
      <c r="R552" s="157"/>
      <c r="S552" s="157"/>
      <c r="T552" s="157"/>
      <c r="U552" s="157"/>
      <c r="V552" s="157"/>
      <c r="W552" s="153"/>
    </row>
    <row r="553" spans="2:23" s="14" customFormat="1" x14ac:dyDescent="0.25">
      <c r="B553" s="76"/>
      <c r="C553" s="153"/>
      <c r="D553" s="153"/>
      <c r="E553" s="153"/>
      <c r="F553" s="153"/>
      <c r="G553" s="153"/>
      <c r="H553" s="153"/>
      <c r="I553" s="157"/>
      <c r="J553" s="157"/>
      <c r="K553" s="157"/>
      <c r="L553" s="157"/>
      <c r="M553" s="157"/>
      <c r="N553" s="221"/>
      <c r="O553" s="157"/>
      <c r="P553" s="157"/>
      <c r="Q553" s="157"/>
      <c r="R553" s="157"/>
      <c r="S553" s="157"/>
      <c r="T553" s="157"/>
      <c r="U553" s="157"/>
      <c r="V553" s="157"/>
      <c r="W553" s="153"/>
    </row>
    <row r="554" spans="2:23" s="14" customFormat="1" x14ac:dyDescent="0.25">
      <c r="B554" s="76"/>
      <c r="C554" s="153"/>
      <c r="D554" s="153"/>
      <c r="E554" s="153"/>
      <c r="F554" s="153"/>
      <c r="G554" s="153"/>
      <c r="H554" s="153"/>
      <c r="I554" s="157"/>
      <c r="J554" s="157"/>
      <c r="K554" s="157"/>
      <c r="L554" s="157"/>
      <c r="M554" s="157"/>
      <c r="N554" s="221"/>
      <c r="O554" s="157"/>
      <c r="P554" s="157"/>
      <c r="Q554" s="157"/>
      <c r="R554" s="157"/>
      <c r="S554" s="157"/>
      <c r="T554" s="157"/>
      <c r="U554" s="157"/>
      <c r="V554" s="157"/>
      <c r="W554" s="153"/>
    </row>
    <row r="555" spans="2:23" s="14" customFormat="1" x14ac:dyDescent="0.25">
      <c r="B555" s="76"/>
      <c r="C555" s="153"/>
      <c r="D555" s="153"/>
      <c r="E555" s="153"/>
      <c r="F555" s="153"/>
      <c r="G555" s="153"/>
      <c r="H555" s="153"/>
      <c r="I555" s="157"/>
      <c r="J555" s="157"/>
      <c r="K555" s="157"/>
      <c r="L555" s="157"/>
      <c r="M555" s="157"/>
      <c r="N555" s="221"/>
      <c r="O555" s="157"/>
      <c r="P555" s="157"/>
      <c r="Q555" s="157"/>
      <c r="R555" s="157"/>
      <c r="S555" s="157"/>
      <c r="T555" s="157"/>
      <c r="U555" s="157"/>
      <c r="V555" s="157"/>
      <c r="W555" s="153"/>
    </row>
    <row r="556" spans="2:23" s="14" customFormat="1" x14ac:dyDescent="0.25">
      <c r="B556" s="76"/>
      <c r="C556" s="153"/>
      <c r="D556" s="153"/>
      <c r="E556" s="153"/>
      <c r="F556" s="153"/>
      <c r="G556" s="153"/>
      <c r="H556" s="153"/>
      <c r="I556" s="157"/>
      <c r="J556" s="157"/>
      <c r="K556" s="157"/>
      <c r="L556" s="157"/>
      <c r="M556" s="157"/>
      <c r="N556" s="221"/>
      <c r="O556" s="157"/>
      <c r="P556" s="157"/>
      <c r="Q556" s="157"/>
      <c r="R556" s="157"/>
      <c r="S556" s="157"/>
      <c r="T556" s="157"/>
      <c r="U556" s="157"/>
      <c r="V556" s="157"/>
      <c r="W556" s="153"/>
    </row>
    <row r="557" spans="2:23" s="14" customFormat="1" x14ac:dyDescent="0.25">
      <c r="B557" s="76"/>
      <c r="C557" s="153"/>
      <c r="D557" s="153"/>
      <c r="E557" s="153"/>
      <c r="F557" s="153"/>
      <c r="G557" s="153"/>
      <c r="H557" s="153"/>
      <c r="I557" s="157"/>
      <c r="J557" s="157"/>
      <c r="K557" s="157"/>
      <c r="L557" s="157"/>
      <c r="M557" s="157"/>
      <c r="N557" s="221"/>
      <c r="O557" s="157"/>
      <c r="P557" s="157"/>
      <c r="Q557" s="157"/>
      <c r="R557" s="157"/>
      <c r="S557" s="157"/>
      <c r="T557" s="157"/>
      <c r="U557" s="157"/>
      <c r="V557" s="157"/>
      <c r="W557" s="153"/>
    </row>
    <row r="558" spans="2:23" s="14" customFormat="1" x14ac:dyDescent="0.25">
      <c r="B558" s="76"/>
      <c r="C558" s="153"/>
      <c r="D558" s="153"/>
      <c r="E558" s="153"/>
      <c r="F558" s="153"/>
      <c r="G558" s="153"/>
      <c r="H558" s="153"/>
      <c r="I558" s="157"/>
      <c r="J558" s="157"/>
      <c r="K558" s="157"/>
      <c r="L558" s="157"/>
      <c r="M558" s="157"/>
      <c r="N558" s="221"/>
      <c r="O558" s="157"/>
      <c r="P558" s="157"/>
      <c r="Q558" s="157"/>
      <c r="R558" s="157"/>
      <c r="S558" s="157"/>
      <c r="T558" s="157"/>
      <c r="U558" s="157"/>
      <c r="V558" s="157"/>
      <c r="W558" s="153"/>
    </row>
    <row r="559" spans="2:23" s="14" customFormat="1" x14ac:dyDescent="0.25">
      <c r="B559" s="76"/>
      <c r="C559" s="153"/>
      <c r="D559" s="153"/>
      <c r="E559" s="153"/>
      <c r="F559" s="153"/>
      <c r="G559" s="153"/>
      <c r="H559" s="153"/>
      <c r="I559" s="157"/>
      <c r="J559" s="157"/>
      <c r="K559" s="157"/>
      <c r="L559" s="157"/>
      <c r="M559" s="157"/>
      <c r="N559" s="221"/>
      <c r="O559" s="157"/>
      <c r="P559" s="157"/>
      <c r="Q559" s="157"/>
      <c r="R559" s="157"/>
      <c r="S559" s="157"/>
      <c r="T559" s="157"/>
      <c r="U559" s="157"/>
      <c r="V559" s="157"/>
      <c r="W559" s="153"/>
    </row>
    <row r="560" spans="2:23" s="14" customFormat="1" x14ac:dyDescent="0.25">
      <c r="B560" s="76"/>
      <c r="C560" s="153"/>
      <c r="D560" s="153"/>
      <c r="E560" s="153"/>
      <c r="F560" s="153"/>
      <c r="G560" s="153"/>
      <c r="H560" s="153"/>
      <c r="I560" s="157"/>
      <c r="J560" s="157"/>
      <c r="K560" s="157"/>
      <c r="L560" s="157"/>
      <c r="M560" s="157"/>
      <c r="N560" s="221"/>
      <c r="O560" s="157"/>
      <c r="P560" s="157"/>
      <c r="Q560" s="157"/>
      <c r="R560" s="157"/>
      <c r="S560" s="157"/>
      <c r="T560" s="157"/>
      <c r="U560" s="157"/>
      <c r="V560" s="157"/>
      <c r="W560" s="153"/>
    </row>
    <row r="561" spans="2:23" s="14" customFormat="1" x14ac:dyDescent="0.25">
      <c r="B561" s="76"/>
      <c r="C561" s="153"/>
      <c r="D561" s="153"/>
      <c r="E561" s="153"/>
      <c r="F561" s="153"/>
      <c r="G561" s="153"/>
      <c r="H561" s="153"/>
      <c r="I561" s="157"/>
      <c r="J561" s="157"/>
      <c r="K561" s="157"/>
      <c r="L561" s="157"/>
      <c r="M561" s="157"/>
      <c r="N561" s="221"/>
      <c r="O561" s="157"/>
      <c r="P561" s="157"/>
      <c r="Q561" s="157"/>
      <c r="R561" s="157"/>
      <c r="S561" s="157"/>
      <c r="T561" s="157"/>
      <c r="U561" s="157"/>
      <c r="V561" s="157"/>
      <c r="W561" s="153"/>
    </row>
    <row r="562" spans="2:23" s="14" customFormat="1" x14ac:dyDescent="0.25">
      <c r="B562" s="76"/>
      <c r="C562" s="153"/>
      <c r="D562" s="153"/>
      <c r="E562" s="153"/>
      <c r="F562" s="153"/>
      <c r="G562" s="153"/>
      <c r="H562" s="153"/>
      <c r="I562" s="157"/>
      <c r="J562" s="157"/>
      <c r="K562" s="157"/>
      <c r="L562" s="157"/>
      <c r="M562" s="157"/>
      <c r="N562" s="221"/>
      <c r="O562" s="157"/>
      <c r="P562" s="157"/>
      <c r="Q562" s="157"/>
      <c r="R562" s="157"/>
      <c r="S562" s="157"/>
      <c r="T562" s="157"/>
      <c r="U562" s="157"/>
      <c r="V562" s="157"/>
      <c r="W562" s="153"/>
    </row>
    <row r="563" spans="2:23" s="14" customFormat="1" x14ac:dyDescent="0.25">
      <c r="B563" s="76"/>
      <c r="C563" s="153"/>
      <c r="D563" s="153"/>
      <c r="E563" s="153"/>
      <c r="F563" s="153"/>
      <c r="G563" s="153"/>
      <c r="H563" s="153"/>
      <c r="I563" s="157"/>
      <c r="J563" s="157"/>
      <c r="K563" s="157"/>
      <c r="L563" s="157"/>
      <c r="M563" s="157"/>
      <c r="N563" s="221"/>
      <c r="O563" s="157"/>
      <c r="P563" s="157"/>
      <c r="Q563" s="157"/>
      <c r="R563" s="157"/>
      <c r="S563" s="157"/>
      <c r="T563" s="157"/>
      <c r="U563" s="157"/>
      <c r="V563" s="157"/>
      <c r="W563" s="153"/>
    </row>
    <row r="564" spans="2:23" s="14" customFormat="1" x14ac:dyDescent="0.25">
      <c r="B564" s="76"/>
      <c r="C564" s="153"/>
      <c r="D564" s="153"/>
      <c r="E564" s="153"/>
      <c r="F564" s="153"/>
      <c r="G564" s="153"/>
      <c r="H564" s="153"/>
      <c r="I564" s="157"/>
      <c r="J564" s="157"/>
      <c r="K564" s="157"/>
      <c r="L564" s="157"/>
      <c r="M564" s="157"/>
      <c r="N564" s="221"/>
      <c r="O564" s="157"/>
      <c r="P564" s="157"/>
      <c r="Q564" s="157"/>
      <c r="R564" s="157"/>
      <c r="S564" s="157"/>
      <c r="T564" s="157"/>
      <c r="U564" s="157"/>
      <c r="V564" s="157"/>
      <c r="W564" s="153"/>
    </row>
    <row r="565" spans="2:23" s="14" customFormat="1" x14ac:dyDescent="0.25">
      <c r="B565" s="76"/>
      <c r="C565" s="153"/>
      <c r="D565" s="153"/>
      <c r="E565" s="153"/>
      <c r="F565" s="153"/>
      <c r="G565" s="153"/>
      <c r="H565" s="153"/>
      <c r="I565" s="157"/>
      <c r="J565" s="157"/>
      <c r="K565" s="157"/>
      <c r="L565" s="157"/>
      <c r="M565" s="157"/>
      <c r="N565" s="221"/>
      <c r="O565" s="157"/>
      <c r="P565" s="157"/>
      <c r="Q565" s="157"/>
      <c r="R565" s="157"/>
      <c r="S565" s="157"/>
      <c r="T565" s="157"/>
      <c r="U565" s="157"/>
      <c r="V565" s="157"/>
      <c r="W565" s="153"/>
    </row>
    <row r="566" spans="2:23" s="14" customFormat="1" x14ac:dyDescent="0.25">
      <c r="B566" s="76"/>
      <c r="C566" s="153"/>
      <c r="D566" s="153"/>
      <c r="E566" s="153"/>
      <c r="F566" s="153"/>
      <c r="G566" s="153"/>
      <c r="H566" s="153"/>
      <c r="I566" s="157"/>
      <c r="J566" s="157"/>
      <c r="K566" s="157"/>
      <c r="L566" s="157"/>
      <c r="M566" s="157"/>
      <c r="N566" s="221"/>
      <c r="O566" s="157"/>
      <c r="P566" s="157"/>
      <c r="Q566" s="157"/>
      <c r="R566" s="157"/>
      <c r="S566" s="157"/>
      <c r="T566" s="157"/>
      <c r="U566" s="157"/>
      <c r="V566" s="157"/>
      <c r="W566" s="153"/>
    </row>
    <row r="567" spans="2:23" s="14" customFormat="1" x14ac:dyDescent="0.25">
      <c r="B567" s="76"/>
      <c r="C567" s="153"/>
      <c r="D567" s="153"/>
      <c r="E567" s="153"/>
      <c r="F567" s="153"/>
      <c r="G567" s="153"/>
      <c r="H567" s="153"/>
      <c r="I567" s="157"/>
      <c r="J567" s="157"/>
      <c r="K567" s="157"/>
      <c r="L567" s="157"/>
      <c r="M567" s="157"/>
      <c r="N567" s="221"/>
      <c r="O567" s="157"/>
      <c r="P567" s="157"/>
      <c r="Q567" s="157"/>
      <c r="R567" s="157"/>
      <c r="S567" s="157"/>
      <c r="T567" s="157"/>
      <c r="U567" s="157"/>
      <c r="V567" s="157"/>
      <c r="W567" s="153"/>
    </row>
    <row r="568" spans="2:23" s="14" customFormat="1" x14ac:dyDescent="0.25">
      <c r="B568" s="76"/>
      <c r="C568" s="153"/>
      <c r="D568" s="153"/>
      <c r="E568" s="153"/>
      <c r="F568" s="153"/>
      <c r="G568" s="153"/>
      <c r="H568" s="153"/>
      <c r="I568" s="157"/>
      <c r="J568" s="157"/>
      <c r="K568" s="157"/>
      <c r="L568" s="157"/>
      <c r="M568" s="157"/>
      <c r="N568" s="221"/>
      <c r="O568" s="157"/>
      <c r="P568" s="157"/>
      <c r="Q568" s="157"/>
      <c r="R568" s="157"/>
      <c r="S568" s="157"/>
      <c r="T568" s="157"/>
      <c r="U568" s="157"/>
      <c r="V568" s="157"/>
      <c r="W568" s="153"/>
    </row>
    <row r="569" spans="2:23" s="14" customFormat="1" x14ac:dyDescent="0.25">
      <c r="B569" s="76"/>
      <c r="C569" s="153"/>
      <c r="D569" s="153"/>
      <c r="E569" s="153"/>
      <c r="F569" s="153"/>
      <c r="G569" s="153"/>
      <c r="H569" s="153"/>
      <c r="I569" s="157"/>
      <c r="J569" s="157"/>
      <c r="K569" s="157"/>
      <c r="L569" s="157"/>
      <c r="M569" s="157"/>
      <c r="N569" s="221"/>
      <c r="O569" s="157"/>
      <c r="P569" s="157"/>
      <c r="Q569" s="157"/>
      <c r="R569" s="157"/>
      <c r="S569" s="157"/>
      <c r="T569" s="157"/>
      <c r="U569" s="157"/>
      <c r="V569" s="157"/>
      <c r="W569" s="153"/>
    </row>
    <row r="570" spans="2:23" s="14" customFormat="1" x14ac:dyDescent="0.25">
      <c r="B570" s="76"/>
      <c r="C570" s="153"/>
      <c r="D570" s="153"/>
      <c r="E570" s="153"/>
      <c r="F570" s="153"/>
      <c r="G570" s="153"/>
      <c r="H570" s="153"/>
      <c r="I570" s="157"/>
      <c r="J570" s="157"/>
      <c r="K570" s="157"/>
      <c r="L570" s="157"/>
      <c r="M570" s="157"/>
      <c r="N570" s="221"/>
      <c r="O570" s="157"/>
      <c r="P570" s="157"/>
      <c r="Q570" s="157"/>
      <c r="R570" s="157"/>
      <c r="S570" s="157"/>
      <c r="T570" s="157"/>
      <c r="U570" s="157"/>
      <c r="V570" s="157"/>
      <c r="W570" s="153"/>
    </row>
    <row r="571" spans="2:23" s="14" customFormat="1" x14ac:dyDescent="0.25">
      <c r="B571" s="76"/>
      <c r="C571" s="153"/>
      <c r="D571" s="153"/>
      <c r="E571" s="153"/>
      <c r="F571" s="153"/>
      <c r="G571" s="153"/>
      <c r="H571" s="153"/>
      <c r="I571" s="157"/>
      <c r="J571" s="157"/>
      <c r="K571" s="157"/>
      <c r="L571" s="157"/>
      <c r="M571" s="157"/>
      <c r="N571" s="221"/>
      <c r="O571" s="157"/>
      <c r="P571" s="157"/>
      <c r="Q571" s="157"/>
      <c r="R571" s="157"/>
      <c r="S571" s="157"/>
      <c r="T571" s="157"/>
      <c r="U571" s="157"/>
      <c r="V571" s="157"/>
      <c r="W571" s="153"/>
    </row>
    <row r="572" spans="2:23" s="14" customFormat="1" x14ac:dyDescent="0.25">
      <c r="B572" s="76"/>
      <c r="C572" s="153"/>
      <c r="D572" s="153"/>
      <c r="E572" s="153"/>
      <c r="F572" s="153"/>
      <c r="G572" s="153"/>
      <c r="H572" s="153"/>
      <c r="I572" s="157"/>
      <c r="J572" s="157"/>
      <c r="K572" s="157"/>
      <c r="L572" s="157"/>
      <c r="M572" s="157"/>
      <c r="N572" s="221"/>
      <c r="O572" s="157"/>
      <c r="P572" s="157"/>
      <c r="Q572" s="157"/>
      <c r="R572" s="157"/>
      <c r="S572" s="157"/>
      <c r="T572" s="157"/>
      <c r="U572" s="157"/>
      <c r="V572" s="157"/>
      <c r="W572" s="153"/>
    </row>
    <row r="573" spans="2:23" s="14" customFormat="1" x14ac:dyDescent="0.25">
      <c r="B573" s="76"/>
      <c r="C573" s="153"/>
      <c r="D573" s="153"/>
      <c r="E573" s="153"/>
      <c r="F573" s="153"/>
      <c r="G573" s="153"/>
      <c r="H573" s="153"/>
      <c r="I573" s="157"/>
      <c r="J573" s="157"/>
      <c r="K573" s="157"/>
      <c r="L573" s="157"/>
      <c r="M573" s="157"/>
      <c r="N573" s="221"/>
      <c r="O573" s="157"/>
      <c r="P573" s="157"/>
      <c r="Q573" s="157"/>
      <c r="R573" s="157"/>
      <c r="S573" s="157"/>
      <c r="T573" s="157"/>
      <c r="U573" s="157"/>
      <c r="V573" s="157"/>
      <c r="W573" s="153"/>
    </row>
    <row r="574" spans="2:23" s="14" customFormat="1" x14ac:dyDescent="0.25">
      <c r="B574" s="76"/>
      <c r="C574" s="153"/>
      <c r="D574" s="153"/>
      <c r="E574" s="153"/>
      <c r="F574" s="153"/>
      <c r="G574" s="153"/>
      <c r="H574" s="153"/>
      <c r="I574" s="157"/>
      <c r="J574" s="157"/>
      <c r="K574" s="157"/>
      <c r="L574" s="157"/>
      <c r="M574" s="157"/>
      <c r="N574" s="221"/>
      <c r="O574" s="157"/>
      <c r="P574" s="157"/>
      <c r="Q574" s="157"/>
      <c r="R574" s="157"/>
      <c r="S574" s="157"/>
      <c r="T574" s="157"/>
      <c r="U574" s="157"/>
      <c r="V574" s="157"/>
      <c r="W574" s="153"/>
    </row>
    <row r="575" spans="2:23" s="14" customFormat="1" x14ac:dyDescent="0.25">
      <c r="B575" s="76"/>
      <c r="C575" s="153"/>
      <c r="D575" s="153"/>
      <c r="E575" s="153"/>
      <c r="F575" s="153"/>
      <c r="G575" s="153"/>
      <c r="H575" s="153"/>
      <c r="I575" s="157"/>
      <c r="J575" s="157"/>
      <c r="K575" s="157"/>
      <c r="L575" s="157"/>
      <c r="M575" s="157"/>
      <c r="N575" s="221"/>
      <c r="O575" s="157"/>
      <c r="P575" s="157"/>
      <c r="Q575" s="157"/>
      <c r="R575" s="157"/>
      <c r="S575" s="157"/>
      <c r="T575" s="157"/>
      <c r="U575" s="157"/>
      <c r="V575" s="157"/>
      <c r="W575" s="153"/>
    </row>
    <row r="576" spans="2:23" s="14" customFormat="1" x14ac:dyDescent="0.25">
      <c r="B576" s="76"/>
      <c r="C576" s="153"/>
      <c r="D576" s="153"/>
      <c r="E576" s="153"/>
      <c r="F576" s="153"/>
      <c r="G576" s="153"/>
      <c r="H576" s="153"/>
      <c r="I576" s="157"/>
      <c r="J576" s="157"/>
      <c r="K576" s="157"/>
      <c r="L576" s="157"/>
      <c r="M576" s="157"/>
      <c r="N576" s="221"/>
      <c r="O576" s="157"/>
      <c r="P576" s="157"/>
      <c r="Q576" s="157"/>
      <c r="R576" s="157"/>
      <c r="S576" s="157"/>
      <c r="T576" s="157"/>
      <c r="U576" s="157"/>
      <c r="V576" s="157"/>
      <c r="W576" s="153"/>
    </row>
    <row r="577" spans="2:23" s="14" customFormat="1" x14ac:dyDescent="0.25">
      <c r="B577" s="76"/>
      <c r="C577" s="153"/>
      <c r="D577" s="153"/>
      <c r="E577" s="153"/>
      <c r="F577" s="153"/>
      <c r="G577" s="153"/>
      <c r="H577" s="153"/>
      <c r="I577" s="157"/>
      <c r="J577" s="157"/>
      <c r="K577" s="157"/>
      <c r="L577" s="157"/>
      <c r="M577" s="157"/>
      <c r="N577" s="221"/>
      <c r="O577" s="157"/>
      <c r="P577" s="157"/>
      <c r="Q577" s="157"/>
      <c r="R577" s="157"/>
      <c r="S577" s="157"/>
      <c r="T577" s="157"/>
      <c r="U577" s="157"/>
      <c r="V577" s="157"/>
      <c r="W577" s="153"/>
    </row>
    <row r="578" spans="2:23" s="14" customFormat="1" x14ac:dyDescent="0.25">
      <c r="B578" s="76"/>
      <c r="C578" s="153"/>
      <c r="D578" s="153"/>
      <c r="E578" s="153"/>
      <c r="F578" s="153"/>
      <c r="G578" s="153"/>
      <c r="H578" s="153"/>
      <c r="I578" s="157"/>
      <c r="J578" s="157"/>
      <c r="K578" s="157"/>
      <c r="L578" s="157"/>
      <c r="M578" s="157"/>
      <c r="N578" s="221"/>
      <c r="O578" s="157"/>
      <c r="P578" s="157"/>
      <c r="Q578" s="157"/>
      <c r="R578" s="157"/>
      <c r="S578" s="157"/>
      <c r="T578" s="157"/>
      <c r="U578" s="157"/>
      <c r="V578" s="157"/>
      <c r="W578" s="153"/>
    </row>
    <row r="579" spans="2:23" s="14" customFormat="1" x14ac:dyDescent="0.25">
      <c r="B579" s="76"/>
      <c r="C579" s="153"/>
      <c r="D579" s="153"/>
      <c r="E579" s="153"/>
      <c r="F579" s="153"/>
      <c r="G579" s="153"/>
      <c r="H579" s="153"/>
      <c r="I579" s="157"/>
      <c r="J579" s="157"/>
      <c r="K579" s="157"/>
      <c r="L579" s="157"/>
      <c r="M579" s="157"/>
      <c r="N579" s="221"/>
      <c r="O579" s="157"/>
      <c r="P579" s="157"/>
      <c r="Q579" s="157"/>
      <c r="R579" s="157"/>
      <c r="S579" s="157"/>
      <c r="T579" s="157"/>
      <c r="U579" s="157"/>
      <c r="V579" s="157"/>
      <c r="W579" s="153"/>
    </row>
    <row r="580" spans="2:23" s="14" customFormat="1" x14ac:dyDescent="0.25">
      <c r="B580" s="76"/>
      <c r="C580" s="153"/>
      <c r="D580" s="153"/>
      <c r="E580" s="153"/>
      <c r="F580" s="153"/>
      <c r="G580" s="153"/>
      <c r="H580" s="153"/>
      <c r="I580" s="157"/>
      <c r="J580" s="157"/>
      <c r="K580" s="157"/>
      <c r="L580" s="157"/>
      <c r="M580" s="157"/>
      <c r="N580" s="221"/>
      <c r="O580" s="157"/>
      <c r="P580" s="157"/>
      <c r="Q580" s="157"/>
      <c r="R580" s="157"/>
      <c r="S580" s="157"/>
      <c r="T580" s="157"/>
      <c r="U580" s="157"/>
      <c r="V580" s="157"/>
      <c r="W580" s="153"/>
    </row>
    <row r="581" spans="2:23" s="14" customFormat="1" x14ac:dyDescent="0.25">
      <c r="B581" s="76"/>
      <c r="C581" s="153"/>
      <c r="D581" s="153"/>
      <c r="E581" s="153"/>
      <c r="F581" s="153"/>
      <c r="G581" s="153"/>
      <c r="H581" s="153"/>
      <c r="I581" s="157"/>
      <c r="J581" s="157"/>
      <c r="K581" s="157"/>
      <c r="L581" s="157"/>
      <c r="M581" s="157"/>
      <c r="N581" s="221"/>
      <c r="O581" s="157"/>
      <c r="P581" s="157"/>
      <c r="Q581" s="157"/>
      <c r="R581" s="157"/>
      <c r="S581" s="157"/>
      <c r="T581" s="157"/>
      <c r="U581" s="157"/>
      <c r="V581" s="157"/>
      <c r="W581" s="153"/>
    </row>
    <row r="582" spans="2:23" s="14" customFormat="1" x14ac:dyDescent="0.25">
      <c r="B582" s="76"/>
      <c r="C582" s="153"/>
      <c r="D582" s="153"/>
      <c r="E582" s="153"/>
      <c r="F582" s="153"/>
      <c r="G582" s="153"/>
      <c r="H582" s="153"/>
      <c r="I582" s="157"/>
      <c r="J582" s="157"/>
      <c r="K582" s="157"/>
      <c r="L582" s="157"/>
      <c r="M582" s="157"/>
      <c r="N582" s="221"/>
      <c r="O582" s="157"/>
      <c r="P582" s="157"/>
      <c r="Q582" s="157"/>
      <c r="R582" s="157"/>
      <c r="S582" s="157"/>
      <c r="T582" s="157"/>
      <c r="U582" s="157"/>
      <c r="V582" s="157"/>
      <c r="W582" s="153"/>
    </row>
    <row r="583" spans="2:23" s="14" customFormat="1" x14ac:dyDescent="0.25">
      <c r="B583" s="76"/>
      <c r="C583" s="153"/>
      <c r="D583" s="153"/>
      <c r="E583" s="153"/>
      <c r="F583" s="153"/>
      <c r="G583" s="153"/>
      <c r="H583" s="153"/>
      <c r="I583" s="157"/>
      <c r="J583" s="157"/>
      <c r="K583" s="157"/>
      <c r="L583" s="157"/>
      <c r="M583" s="157"/>
      <c r="N583" s="221"/>
      <c r="O583" s="157"/>
      <c r="P583" s="157"/>
      <c r="Q583" s="157"/>
      <c r="R583" s="157"/>
      <c r="S583" s="157"/>
      <c r="T583" s="157"/>
      <c r="U583" s="157"/>
      <c r="V583" s="157"/>
      <c r="W583" s="153"/>
    </row>
    <row r="584" spans="2:23" s="14" customFormat="1" x14ac:dyDescent="0.25">
      <c r="B584" s="76"/>
      <c r="C584" s="153"/>
      <c r="D584" s="153"/>
      <c r="E584" s="153"/>
      <c r="F584" s="153"/>
      <c r="G584" s="153"/>
      <c r="H584" s="153"/>
      <c r="I584" s="157"/>
      <c r="J584" s="157"/>
      <c r="K584" s="157"/>
      <c r="L584" s="157"/>
      <c r="M584" s="157"/>
      <c r="N584" s="221"/>
      <c r="O584" s="157"/>
      <c r="P584" s="157"/>
      <c r="Q584" s="157"/>
      <c r="R584" s="157"/>
      <c r="S584" s="157"/>
      <c r="T584" s="157"/>
      <c r="U584" s="157"/>
      <c r="V584" s="157"/>
      <c r="W584" s="153"/>
    </row>
    <row r="585" spans="2:23" s="14" customFormat="1" x14ac:dyDescent="0.25">
      <c r="B585" s="76"/>
      <c r="C585" s="153"/>
      <c r="D585" s="153"/>
      <c r="E585" s="153"/>
      <c r="F585" s="153"/>
      <c r="G585" s="153"/>
      <c r="H585" s="153"/>
      <c r="I585" s="157"/>
      <c r="J585" s="157"/>
      <c r="K585" s="157"/>
      <c r="L585" s="157"/>
      <c r="M585" s="157"/>
      <c r="N585" s="221"/>
      <c r="O585" s="157"/>
      <c r="P585" s="157"/>
      <c r="Q585" s="157"/>
      <c r="R585" s="157"/>
      <c r="S585" s="157"/>
      <c r="T585" s="157"/>
      <c r="U585" s="157"/>
      <c r="V585" s="157"/>
      <c r="W585" s="153"/>
    </row>
    <row r="586" spans="2:23" s="14" customFormat="1" x14ac:dyDescent="0.25">
      <c r="B586" s="76"/>
      <c r="C586" s="153"/>
      <c r="D586" s="153"/>
      <c r="E586" s="153"/>
      <c r="F586" s="153"/>
      <c r="G586" s="153"/>
      <c r="H586" s="153"/>
      <c r="I586" s="157"/>
      <c r="J586" s="157"/>
      <c r="K586" s="157"/>
      <c r="L586" s="157"/>
      <c r="M586" s="157"/>
      <c r="N586" s="221"/>
      <c r="O586" s="157"/>
      <c r="P586" s="157"/>
      <c r="Q586" s="157"/>
      <c r="R586" s="157"/>
      <c r="S586" s="157"/>
      <c r="T586" s="157"/>
      <c r="U586" s="157"/>
      <c r="V586" s="157"/>
      <c r="W586" s="153"/>
    </row>
    <row r="587" spans="2:23" s="14" customFormat="1" x14ac:dyDescent="0.25">
      <c r="B587" s="76"/>
      <c r="C587" s="153"/>
      <c r="D587" s="153"/>
      <c r="E587" s="153"/>
      <c r="F587" s="153"/>
      <c r="G587" s="153"/>
      <c r="H587" s="153"/>
      <c r="I587" s="157"/>
      <c r="J587" s="157"/>
      <c r="K587" s="157"/>
      <c r="L587" s="157"/>
      <c r="M587" s="157"/>
      <c r="N587" s="221"/>
      <c r="O587" s="157"/>
      <c r="P587" s="157"/>
      <c r="Q587" s="157"/>
      <c r="R587" s="157"/>
      <c r="S587" s="157"/>
      <c r="T587" s="157"/>
      <c r="U587" s="157"/>
      <c r="V587" s="157"/>
      <c r="W587" s="153"/>
    </row>
    <row r="588" spans="2:23" s="14" customFormat="1" x14ac:dyDescent="0.25">
      <c r="B588" s="76"/>
      <c r="C588" s="153"/>
      <c r="D588" s="153"/>
      <c r="E588" s="153"/>
      <c r="F588" s="153"/>
      <c r="G588" s="153"/>
      <c r="H588" s="153"/>
      <c r="I588" s="157"/>
      <c r="J588" s="157"/>
      <c r="K588" s="157"/>
      <c r="L588" s="157"/>
      <c r="M588" s="157"/>
      <c r="N588" s="221"/>
      <c r="O588" s="157"/>
      <c r="P588" s="157"/>
      <c r="Q588" s="157"/>
      <c r="R588" s="157"/>
      <c r="S588" s="157"/>
      <c r="T588" s="157"/>
      <c r="U588" s="157"/>
      <c r="V588" s="157"/>
      <c r="W588" s="153"/>
    </row>
    <row r="589" spans="2:23" s="14" customFormat="1" x14ac:dyDescent="0.25">
      <c r="B589" s="76"/>
      <c r="C589" s="153"/>
      <c r="D589" s="153"/>
      <c r="E589" s="153"/>
      <c r="F589" s="153"/>
      <c r="G589" s="153"/>
      <c r="H589" s="153"/>
      <c r="I589" s="157"/>
      <c r="J589" s="157"/>
      <c r="K589" s="157"/>
      <c r="L589" s="157"/>
      <c r="M589" s="157"/>
      <c r="N589" s="221"/>
      <c r="O589" s="157"/>
      <c r="P589" s="157"/>
      <c r="Q589" s="157"/>
      <c r="R589" s="157"/>
      <c r="S589" s="157"/>
      <c r="T589" s="157"/>
      <c r="U589" s="157"/>
      <c r="V589" s="157"/>
      <c r="W589" s="153"/>
    </row>
    <row r="590" spans="2:23" s="14" customFormat="1" x14ac:dyDescent="0.25">
      <c r="B590" s="76"/>
      <c r="C590" s="153"/>
      <c r="D590" s="153"/>
      <c r="E590" s="153"/>
      <c r="F590" s="153"/>
      <c r="G590" s="153"/>
      <c r="H590" s="153"/>
      <c r="I590" s="157"/>
      <c r="J590" s="157"/>
      <c r="K590" s="157"/>
      <c r="L590" s="157"/>
      <c r="M590" s="157"/>
      <c r="N590" s="221"/>
      <c r="O590" s="157"/>
      <c r="P590" s="157"/>
      <c r="Q590" s="157"/>
      <c r="R590" s="157"/>
      <c r="S590" s="157"/>
      <c r="T590" s="157"/>
      <c r="U590" s="157"/>
      <c r="V590" s="157"/>
      <c r="W590" s="153"/>
    </row>
    <row r="591" spans="2:23" s="14" customFormat="1" x14ac:dyDescent="0.25">
      <c r="B591" s="76"/>
      <c r="C591" s="153"/>
      <c r="D591" s="153"/>
      <c r="E591" s="153"/>
      <c r="F591" s="153"/>
      <c r="G591" s="153"/>
      <c r="H591" s="153"/>
      <c r="I591" s="157"/>
      <c r="J591" s="157"/>
      <c r="K591" s="157"/>
      <c r="L591" s="157"/>
      <c r="M591" s="157"/>
      <c r="N591" s="221"/>
      <c r="O591" s="157"/>
      <c r="P591" s="157"/>
      <c r="Q591" s="157"/>
      <c r="R591" s="157"/>
      <c r="S591" s="157"/>
      <c r="T591" s="157"/>
      <c r="U591" s="157"/>
      <c r="V591" s="157"/>
      <c r="W591" s="153"/>
    </row>
    <row r="592" spans="2:23" s="14" customFormat="1" x14ac:dyDescent="0.25">
      <c r="B592" s="76"/>
      <c r="C592" s="153"/>
      <c r="D592" s="153"/>
      <c r="E592" s="153"/>
      <c r="F592" s="153"/>
      <c r="G592" s="153"/>
      <c r="H592" s="153"/>
      <c r="I592" s="157"/>
      <c r="J592" s="157"/>
      <c r="K592" s="157"/>
      <c r="L592" s="157"/>
      <c r="M592" s="157"/>
      <c r="N592" s="221"/>
      <c r="O592" s="157"/>
      <c r="P592" s="157"/>
      <c r="Q592" s="157"/>
      <c r="R592" s="157"/>
      <c r="S592" s="157"/>
      <c r="T592" s="157"/>
      <c r="U592" s="157"/>
      <c r="V592" s="157"/>
      <c r="W592" s="153"/>
    </row>
    <row r="593" spans="2:23" s="14" customFormat="1" x14ac:dyDescent="0.25">
      <c r="B593" s="76"/>
      <c r="C593" s="153"/>
      <c r="D593" s="153"/>
      <c r="E593" s="153"/>
      <c r="F593" s="153"/>
      <c r="G593" s="153"/>
      <c r="H593" s="153"/>
      <c r="I593" s="157"/>
      <c r="J593" s="157"/>
      <c r="K593" s="157"/>
      <c r="L593" s="157"/>
      <c r="M593" s="157"/>
      <c r="N593" s="221"/>
      <c r="O593" s="157"/>
      <c r="P593" s="157"/>
      <c r="Q593" s="157"/>
      <c r="R593" s="157"/>
      <c r="S593" s="157"/>
      <c r="T593" s="157"/>
      <c r="U593" s="157"/>
      <c r="V593" s="157"/>
      <c r="W593" s="153"/>
    </row>
    <row r="594" spans="2:23" s="14" customFormat="1" x14ac:dyDescent="0.25">
      <c r="B594" s="76"/>
      <c r="C594" s="153"/>
      <c r="D594" s="153"/>
      <c r="E594" s="153"/>
      <c r="F594" s="153"/>
      <c r="G594" s="153"/>
      <c r="H594" s="153"/>
      <c r="I594" s="157"/>
      <c r="J594" s="157"/>
      <c r="K594" s="157"/>
      <c r="L594" s="157"/>
      <c r="M594" s="157"/>
      <c r="N594" s="221"/>
      <c r="O594" s="157"/>
      <c r="P594" s="157"/>
      <c r="Q594" s="157"/>
      <c r="R594" s="157"/>
      <c r="S594" s="157"/>
      <c r="T594" s="157"/>
      <c r="U594" s="157"/>
      <c r="V594" s="157"/>
      <c r="W594" s="153"/>
    </row>
    <row r="595" spans="2:23" s="14" customFormat="1" x14ac:dyDescent="0.25">
      <c r="B595" s="76"/>
      <c r="C595" s="153"/>
      <c r="D595" s="153"/>
      <c r="E595" s="153"/>
      <c r="F595" s="153"/>
      <c r="G595" s="153"/>
      <c r="H595" s="153"/>
      <c r="I595" s="157"/>
      <c r="J595" s="157"/>
      <c r="K595" s="157"/>
      <c r="L595" s="157"/>
      <c r="M595" s="157"/>
      <c r="N595" s="221"/>
      <c r="O595" s="157"/>
      <c r="P595" s="157"/>
      <c r="Q595" s="157"/>
      <c r="R595" s="157"/>
      <c r="S595" s="157"/>
      <c r="T595" s="157"/>
      <c r="U595" s="157"/>
      <c r="V595" s="157"/>
      <c r="W595" s="153"/>
    </row>
    <row r="596" spans="2:23" s="14" customFormat="1" x14ac:dyDescent="0.25">
      <c r="B596" s="76"/>
      <c r="C596" s="153"/>
      <c r="D596" s="153"/>
      <c r="E596" s="153"/>
      <c r="F596" s="153"/>
      <c r="G596" s="153"/>
      <c r="H596" s="153"/>
      <c r="I596" s="157"/>
      <c r="J596" s="157"/>
      <c r="K596" s="157"/>
      <c r="L596" s="157"/>
      <c r="M596" s="157"/>
      <c r="N596" s="221"/>
      <c r="O596" s="157"/>
      <c r="P596" s="157"/>
      <c r="Q596" s="157"/>
      <c r="R596" s="157"/>
      <c r="S596" s="157"/>
      <c r="T596" s="157"/>
      <c r="U596" s="157"/>
      <c r="V596" s="157"/>
      <c r="W596" s="153"/>
    </row>
    <row r="597" spans="2:23" s="14" customFormat="1" x14ac:dyDescent="0.25">
      <c r="B597" s="76"/>
      <c r="C597" s="153"/>
      <c r="D597" s="153"/>
      <c r="E597" s="153"/>
      <c r="F597" s="153"/>
      <c r="G597" s="153"/>
      <c r="H597" s="153"/>
      <c r="I597" s="157"/>
      <c r="J597" s="157"/>
      <c r="K597" s="157"/>
      <c r="L597" s="157"/>
      <c r="M597" s="157"/>
      <c r="N597" s="221"/>
      <c r="O597" s="157"/>
      <c r="P597" s="157"/>
      <c r="Q597" s="157"/>
      <c r="R597" s="157"/>
      <c r="S597" s="157"/>
      <c r="T597" s="157"/>
      <c r="U597" s="157"/>
      <c r="V597" s="157"/>
      <c r="W597" s="153"/>
    </row>
    <row r="598" spans="2:23" s="14" customFormat="1" x14ac:dyDescent="0.25">
      <c r="B598" s="76"/>
      <c r="C598" s="153"/>
      <c r="D598" s="153"/>
      <c r="E598" s="153"/>
      <c r="F598" s="153"/>
      <c r="G598" s="153"/>
      <c r="H598" s="153"/>
      <c r="I598" s="157"/>
      <c r="J598" s="157"/>
      <c r="K598" s="157"/>
      <c r="L598" s="157"/>
      <c r="M598" s="157"/>
      <c r="N598" s="221"/>
      <c r="O598" s="157"/>
      <c r="P598" s="157"/>
      <c r="Q598" s="157"/>
      <c r="R598" s="157"/>
      <c r="S598" s="157"/>
      <c r="T598" s="157"/>
      <c r="U598" s="157"/>
      <c r="V598" s="157"/>
      <c r="W598" s="153"/>
    </row>
    <row r="599" spans="2:23" s="14" customFormat="1" x14ac:dyDescent="0.25">
      <c r="B599" s="76"/>
      <c r="C599" s="153"/>
      <c r="D599" s="153"/>
      <c r="E599" s="153"/>
      <c r="F599" s="153"/>
      <c r="G599" s="153"/>
      <c r="H599" s="153"/>
      <c r="I599" s="157"/>
      <c r="J599" s="157"/>
      <c r="K599" s="157"/>
      <c r="L599" s="157"/>
      <c r="M599" s="157"/>
      <c r="N599" s="221"/>
      <c r="O599" s="157"/>
      <c r="P599" s="157"/>
      <c r="Q599" s="157"/>
      <c r="R599" s="157"/>
      <c r="S599" s="157"/>
      <c r="T599" s="157"/>
      <c r="U599" s="157"/>
      <c r="V599" s="157"/>
      <c r="W599" s="153"/>
    </row>
    <row r="600" spans="2:23" s="14" customFormat="1" x14ac:dyDescent="0.25">
      <c r="B600" s="76"/>
      <c r="C600" s="153"/>
      <c r="D600" s="153"/>
      <c r="E600" s="153"/>
      <c r="F600" s="153"/>
      <c r="G600" s="153"/>
      <c r="H600" s="153"/>
      <c r="I600" s="157"/>
      <c r="J600" s="157"/>
      <c r="K600" s="157"/>
      <c r="L600" s="157"/>
      <c r="M600" s="157"/>
      <c r="N600" s="221"/>
      <c r="O600" s="157"/>
      <c r="P600" s="157"/>
      <c r="Q600" s="157"/>
      <c r="R600" s="157"/>
      <c r="S600" s="157"/>
      <c r="T600" s="157"/>
      <c r="U600" s="157"/>
      <c r="V600" s="157"/>
      <c r="W600" s="153"/>
    </row>
    <row r="601" spans="2:23" s="14" customFormat="1" x14ac:dyDescent="0.25">
      <c r="B601" s="76"/>
      <c r="C601" s="153"/>
      <c r="D601" s="153"/>
      <c r="E601" s="153"/>
      <c r="F601" s="153"/>
      <c r="G601" s="153"/>
      <c r="H601" s="153"/>
      <c r="I601" s="157"/>
      <c r="J601" s="157"/>
      <c r="K601" s="157"/>
      <c r="L601" s="157"/>
      <c r="M601" s="157"/>
      <c r="N601" s="221"/>
      <c r="O601" s="157"/>
      <c r="P601" s="157"/>
      <c r="Q601" s="157"/>
      <c r="R601" s="157"/>
      <c r="S601" s="157"/>
      <c r="T601" s="157"/>
      <c r="U601" s="157"/>
      <c r="V601" s="157"/>
      <c r="W601" s="153"/>
    </row>
    <row r="602" spans="2:23" s="14" customFormat="1" x14ac:dyDescent="0.25">
      <c r="B602" s="76"/>
      <c r="C602" s="153"/>
      <c r="D602" s="153"/>
      <c r="E602" s="153"/>
      <c r="F602" s="153"/>
      <c r="G602" s="153"/>
      <c r="H602" s="153"/>
      <c r="I602" s="157"/>
      <c r="J602" s="157"/>
      <c r="K602" s="157"/>
      <c r="L602" s="157"/>
      <c r="M602" s="157"/>
      <c r="N602" s="221"/>
      <c r="O602" s="157"/>
      <c r="P602" s="157"/>
      <c r="Q602" s="157"/>
      <c r="R602" s="157"/>
      <c r="S602" s="157"/>
      <c r="T602" s="157"/>
      <c r="U602" s="157"/>
      <c r="V602" s="157"/>
      <c r="W602" s="153"/>
    </row>
    <row r="603" spans="2:23" s="14" customFormat="1" x14ac:dyDescent="0.25">
      <c r="B603" s="76"/>
      <c r="C603" s="153"/>
      <c r="D603" s="153"/>
      <c r="E603" s="153"/>
      <c r="F603" s="153"/>
      <c r="G603" s="153"/>
      <c r="H603" s="153"/>
      <c r="I603" s="157"/>
      <c r="J603" s="157"/>
      <c r="K603" s="157"/>
      <c r="L603" s="157"/>
      <c r="M603" s="157"/>
      <c r="N603" s="221"/>
      <c r="O603" s="157"/>
      <c r="P603" s="157"/>
      <c r="Q603" s="157"/>
      <c r="R603" s="157"/>
      <c r="S603" s="157"/>
      <c r="T603" s="157"/>
      <c r="U603" s="157"/>
      <c r="V603" s="157"/>
      <c r="W603" s="153"/>
    </row>
    <row r="604" spans="2:23" s="14" customFormat="1" x14ac:dyDescent="0.25">
      <c r="B604" s="76"/>
      <c r="C604" s="153"/>
      <c r="D604" s="153"/>
      <c r="E604" s="153"/>
      <c r="F604" s="153"/>
      <c r="G604" s="153"/>
      <c r="H604" s="153"/>
      <c r="I604" s="157"/>
      <c r="J604" s="157"/>
      <c r="K604" s="157"/>
      <c r="L604" s="157"/>
      <c r="M604" s="157"/>
      <c r="N604" s="221"/>
      <c r="O604" s="157"/>
      <c r="P604" s="157"/>
      <c r="Q604" s="157"/>
      <c r="R604" s="157"/>
      <c r="S604" s="157"/>
      <c r="T604" s="157"/>
      <c r="U604" s="157"/>
      <c r="V604" s="157"/>
      <c r="W604" s="153"/>
    </row>
    <row r="605" spans="2:23" s="14" customFormat="1" x14ac:dyDescent="0.25">
      <c r="B605" s="76"/>
      <c r="C605" s="153"/>
      <c r="D605" s="153"/>
      <c r="E605" s="153"/>
      <c r="F605" s="153"/>
      <c r="G605" s="153"/>
      <c r="H605" s="153"/>
      <c r="I605" s="157"/>
      <c r="J605" s="157"/>
      <c r="K605" s="157"/>
      <c r="L605" s="157"/>
      <c r="M605" s="157"/>
      <c r="N605" s="221"/>
      <c r="O605" s="157"/>
      <c r="P605" s="157"/>
      <c r="Q605" s="157"/>
      <c r="R605" s="157"/>
      <c r="S605" s="157"/>
      <c r="T605" s="157"/>
      <c r="U605" s="157"/>
      <c r="V605" s="157"/>
      <c r="W605" s="153"/>
    </row>
    <row r="606" spans="2:23" s="14" customFormat="1" x14ac:dyDescent="0.25">
      <c r="B606" s="76"/>
      <c r="C606" s="153"/>
      <c r="D606" s="153"/>
      <c r="E606" s="153"/>
      <c r="F606" s="153"/>
      <c r="G606" s="153"/>
      <c r="H606" s="153"/>
      <c r="I606" s="157"/>
      <c r="J606" s="157"/>
      <c r="K606" s="157"/>
      <c r="L606" s="157"/>
      <c r="M606" s="157"/>
      <c r="N606" s="221"/>
      <c r="O606" s="157"/>
      <c r="P606" s="157"/>
      <c r="Q606" s="157"/>
      <c r="R606" s="157"/>
      <c r="S606" s="157"/>
      <c r="T606" s="157"/>
      <c r="U606" s="157"/>
      <c r="V606" s="157"/>
      <c r="W606" s="153"/>
    </row>
    <row r="607" spans="2:23" s="14" customFormat="1" x14ac:dyDescent="0.25">
      <c r="B607" s="76"/>
      <c r="C607" s="153"/>
      <c r="D607" s="153"/>
      <c r="E607" s="153"/>
      <c r="F607" s="153"/>
      <c r="G607" s="153"/>
      <c r="H607" s="153"/>
      <c r="I607" s="157"/>
      <c r="J607" s="157"/>
      <c r="K607" s="157"/>
      <c r="L607" s="157"/>
      <c r="M607" s="157"/>
      <c r="N607" s="221"/>
      <c r="O607" s="157"/>
      <c r="P607" s="157"/>
      <c r="Q607" s="157"/>
      <c r="R607" s="157"/>
      <c r="S607" s="157"/>
      <c r="T607" s="157"/>
      <c r="U607" s="157"/>
      <c r="V607" s="157"/>
      <c r="W607" s="153"/>
    </row>
    <row r="608" spans="2:23" s="14" customFormat="1" x14ac:dyDescent="0.25">
      <c r="B608" s="76"/>
      <c r="C608" s="153"/>
      <c r="D608" s="153"/>
      <c r="E608" s="153"/>
      <c r="F608" s="153"/>
      <c r="G608" s="153"/>
      <c r="H608" s="153"/>
      <c r="I608" s="157"/>
      <c r="J608" s="157"/>
      <c r="K608" s="157"/>
      <c r="L608" s="157"/>
      <c r="M608" s="157"/>
      <c r="N608" s="221"/>
      <c r="O608" s="157"/>
      <c r="P608" s="157"/>
      <c r="Q608" s="157"/>
      <c r="R608" s="157"/>
      <c r="S608" s="157"/>
      <c r="T608" s="157"/>
      <c r="U608" s="157"/>
      <c r="V608" s="157"/>
      <c r="W608" s="153"/>
    </row>
    <row r="609" spans="2:23" s="14" customFormat="1" x14ac:dyDescent="0.25">
      <c r="B609" s="76"/>
      <c r="C609" s="153"/>
      <c r="D609" s="153"/>
      <c r="E609" s="153"/>
      <c r="F609" s="153"/>
      <c r="G609" s="153"/>
      <c r="H609" s="153"/>
      <c r="I609" s="157"/>
      <c r="J609" s="157"/>
      <c r="K609" s="157"/>
      <c r="L609" s="157"/>
      <c r="M609" s="157"/>
      <c r="N609" s="221"/>
      <c r="O609" s="157"/>
      <c r="P609" s="157"/>
      <c r="Q609" s="157"/>
      <c r="R609" s="157"/>
      <c r="S609" s="157"/>
      <c r="T609" s="157"/>
      <c r="U609" s="157"/>
      <c r="V609" s="157"/>
      <c r="W609" s="153"/>
    </row>
    <row r="610" spans="2:23" s="14" customFormat="1" x14ac:dyDescent="0.25">
      <c r="B610" s="76"/>
      <c r="C610" s="153"/>
      <c r="D610" s="153"/>
      <c r="E610" s="153"/>
      <c r="F610" s="153"/>
      <c r="G610" s="153"/>
      <c r="H610" s="153"/>
      <c r="I610" s="157"/>
      <c r="J610" s="157"/>
      <c r="K610" s="157"/>
      <c r="L610" s="157"/>
      <c r="M610" s="157"/>
      <c r="N610" s="221"/>
      <c r="O610" s="157"/>
      <c r="P610" s="157"/>
      <c r="Q610" s="157"/>
      <c r="R610" s="157"/>
      <c r="S610" s="157"/>
      <c r="T610" s="157"/>
      <c r="U610" s="157"/>
      <c r="V610" s="157"/>
      <c r="W610" s="153"/>
    </row>
    <row r="611" spans="2:23" s="14" customFormat="1" x14ac:dyDescent="0.25">
      <c r="B611" s="76"/>
      <c r="C611" s="153"/>
      <c r="D611" s="153"/>
      <c r="E611" s="153"/>
      <c r="F611" s="153"/>
      <c r="G611" s="153"/>
      <c r="H611" s="153"/>
      <c r="I611" s="157"/>
      <c r="J611" s="157"/>
      <c r="K611" s="157"/>
      <c r="L611" s="157"/>
      <c r="M611" s="157"/>
      <c r="N611" s="221"/>
      <c r="O611" s="157"/>
      <c r="P611" s="157"/>
      <c r="Q611" s="157"/>
      <c r="R611" s="157"/>
      <c r="S611" s="157"/>
      <c r="T611" s="157"/>
      <c r="U611" s="157"/>
      <c r="V611" s="157"/>
      <c r="W611" s="153"/>
    </row>
    <row r="612" spans="2:23" s="14" customFormat="1" x14ac:dyDescent="0.25">
      <c r="B612" s="76"/>
      <c r="C612" s="153"/>
      <c r="D612" s="153"/>
      <c r="E612" s="153"/>
      <c r="F612" s="153"/>
      <c r="G612" s="153"/>
      <c r="H612" s="153"/>
      <c r="I612" s="157"/>
      <c r="J612" s="157"/>
      <c r="K612" s="157"/>
      <c r="L612" s="157"/>
      <c r="M612" s="157"/>
      <c r="N612" s="221"/>
      <c r="O612" s="157"/>
      <c r="P612" s="157"/>
      <c r="Q612" s="157"/>
      <c r="R612" s="157"/>
      <c r="S612" s="157"/>
      <c r="T612" s="157"/>
      <c r="U612" s="157"/>
      <c r="V612" s="157"/>
      <c r="W612" s="153"/>
    </row>
    <row r="613" spans="2:23" s="14" customFormat="1" x14ac:dyDescent="0.25">
      <c r="B613" s="76"/>
      <c r="C613" s="153"/>
      <c r="D613" s="153"/>
      <c r="E613" s="153"/>
      <c r="F613" s="153"/>
      <c r="G613" s="153"/>
      <c r="H613" s="153"/>
      <c r="I613" s="157"/>
      <c r="J613" s="157"/>
      <c r="K613" s="157"/>
      <c r="L613" s="157"/>
      <c r="M613" s="157"/>
      <c r="N613" s="221"/>
      <c r="O613" s="157"/>
      <c r="P613" s="157"/>
      <c r="Q613" s="157"/>
      <c r="R613" s="157"/>
      <c r="S613" s="157"/>
      <c r="T613" s="157"/>
      <c r="U613" s="157"/>
      <c r="V613" s="157"/>
      <c r="W613" s="153"/>
    </row>
    <row r="614" spans="2:23" s="14" customFormat="1" x14ac:dyDescent="0.25">
      <c r="B614" s="76"/>
      <c r="C614" s="153"/>
      <c r="D614" s="153"/>
      <c r="E614" s="153"/>
      <c r="F614" s="153"/>
      <c r="G614" s="153"/>
      <c r="H614" s="153"/>
      <c r="I614" s="157"/>
      <c r="J614" s="157"/>
      <c r="K614" s="157"/>
      <c r="L614" s="157"/>
      <c r="M614" s="157"/>
      <c r="N614" s="221"/>
      <c r="O614" s="157"/>
      <c r="P614" s="157"/>
      <c r="Q614" s="157"/>
      <c r="R614" s="157"/>
      <c r="S614" s="157"/>
      <c r="T614" s="157"/>
      <c r="U614" s="157"/>
      <c r="V614" s="157"/>
      <c r="W614" s="153"/>
    </row>
    <row r="615" spans="2:23" s="14" customFormat="1" x14ac:dyDescent="0.25">
      <c r="B615" s="76"/>
      <c r="C615" s="153"/>
      <c r="D615" s="153"/>
      <c r="E615" s="153"/>
      <c r="F615" s="153"/>
      <c r="G615" s="153"/>
      <c r="H615" s="153"/>
      <c r="I615" s="157"/>
      <c r="J615" s="157"/>
      <c r="K615" s="157"/>
      <c r="L615" s="157"/>
      <c r="M615" s="157"/>
      <c r="N615" s="221"/>
      <c r="O615" s="157"/>
      <c r="P615" s="157"/>
      <c r="Q615" s="157"/>
      <c r="R615" s="157"/>
      <c r="S615" s="157"/>
      <c r="T615" s="157"/>
      <c r="U615" s="157"/>
      <c r="V615" s="157"/>
      <c r="W615" s="153"/>
    </row>
    <row r="616" spans="2:23" s="14" customFormat="1" x14ac:dyDescent="0.25">
      <c r="B616" s="76"/>
      <c r="C616" s="153"/>
      <c r="D616" s="153"/>
      <c r="E616" s="153"/>
      <c r="F616" s="153"/>
      <c r="G616" s="153"/>
      <c r="H616" s="153"/>
      <c r="I616" s="157"/>
      <c r="J616" s="157"/>
      <c r="K616" s="157"/>
      <c r="L616" s="157"/>
      <c r="M616" s="157"/>
      <c r="N616" s="221"/>
      <c r="O616" s="157"/>
      <c r="P616" s="157"/>
      <c r="Q616" s="157"/>
      <c r="R616" s="157"/>
      <c r="S616" s="157"/>
      <c r="T616" s="157"/>
      <c r="U616" s="157"/>
      <c r="V616" s="157"/>
      <c r="W616" s="153"/>
    </row>
    <row r="617" spans="2:23" s="14" customFormat="1" x14ac:dyDescent="0.25">
      <c r="B617" s="76"/>
      <c r="C617" s="153"/>
      <c r="D617" s="153"/>
      <c r="E617" s="153"/>
      <c r="F617" s="153"/>
      <c r="G617" s="153"/>
      <c r="H617" s="153"/>
      <c r="I617" s="157"/>
      <c r="J617" s="157"/>
      <c r="K617" s="157"/>
      <c r="L617" s="157"/>
      <c r="M617" s="157"/>
      <c r="N617" s="221"/>
      <c r="O617" s="157"/>
      <c r="P617" s="157"/>
      <c r="Q617" s="157"/>
      <c r="R617" s="157"/>
      <c r="S617" s="157"/>
      <c r="T617" s="157"/>
      <c r="U617" s="157"/>
      <c r="V617" s="157"/>
      <c r="W617" s="153"/>
    </row>
    <row r="618" spans="2:23" s="14" customFormat="1" x14ac:dyDescent="0.25">
      <c r="B618" s="76"/>
      <c r="C618" s="153"/>
      <c r="D618" s="153"/>
      <c r="E618" s="153"/>
      <c r="F618" s="153"/>
      <c r="G618" s="153"/>
      <c r="H618" s="153"/>
      <c r="I618" s="157"/>
      <c r="J618" s="157"/>
      <c r="K618" s="157"/>
      <c r="L618" s="157"/>
      <c r="M618" s="157"/>
      <c r="N618" s="221"/>
      <c r="O618" s="157"/>
      <c r="P618" s="157"/>
      <c r="Q618" s="157"/>
      <c r="R618" s="157"/>
      <c r="S618" s="157"/>
      <c r="T618" s="157"/>
      <c r="U618" s="157"/>
      <c r="V618" s="157"/>
      <c r="W618" s="153"/>
    </row>
    <row r="619" spans="2:23" s="14" customFormat="1" x14ac:dyDescent="0.25">
      <c r="B619" s="76"/>
      <c r="C619" s="153"/>
      <c r="D619" s="153"/>
      <c r="E619" s="153"/>
      <c r="F619" s="153"/>
      <c r="G619" s="153"/>
      <c r="H619" s="153"/>
      <c r="I619" s="157"/>
      <c r="J619" s="157"/>
      <c r="K619" s="157"/>
      <c r="L619" s="157"/>
      <c r="M619" s="157"/>
      <c r="N619" s="221"/>
      <c r="O619" s="157"/>
      <c r="P619" s="157"/>
      <c r="Q619" s="157"/>
      <c r="R619" s="157"/>
      <c r="S619" s="157"/>
      <c r="T619" s="157"/>
      <c r="U619" s="157"/>
      <c r="V619" s="157"/>
      <c r="W619" s="153"/>
    </row>
    <row r="620" spans="2:23" s="14" customFormat="1" x14ac:dyDescent="0.25">
      <c r="B620" s="76"/>
      <c r="C620" s="153"/>
      <c r="D620" s="153"/>
      <c r="E620" s="153"/>
      <c r="F620" s="153"/>
      <c r="G620" s="153"/>
      <c r="H620" s="153"/>
      <c r="I620" s="157"/>
      <c r="J620" s="157"/>
      <c r="K620" s="157"/>
      <c r="L620" s="157"/>
      <c r="M620" s="157"/>
      <c r="N620" s="221"/>
      <c r="O620" s="157"/>
      <c r="P620" s="157"/>
      <c r="Q620" s="157"/>
      <c r="R620" s="157"/>
      <c r="S620" s="157"/>
      <c r="T620" s="157"/>
      <c r="U620" s="157"/>
      <c r="V620" s="157"/>
      <c r="W620" s="153"/>
    </row>
    <row r="621" spans="2:23" s="14" customFormat="1" x14ac:dyDescent="0.25">
      <c r="B621" s="76"/>
      <c r="C621" s="153"/>
      <c r="D621" s="153"/>
      <c r="E621" s="153"/>
      <c r="F621" s="153"/>
      <c r="G621" s="153"/>
      <c r="H621" s="153"/>
      <c r="I621" s="157"/>
      <c r="J621" s="157"/>
      <c r="K621" s="157"/>
      <c r="L621" s="157"/>
      <c r="M621" s="157"/>
      <c r="N621" s="221"/>
      <c r="O621" s="157"/>
      <c r="P621" s="157"/>
      <c r="Q621" s="157"/>
      <c r="R621" s="157"/>
      <c r="S621" s="157"/>
      <c r="T621" s="157"/>
      <c r="U621" s="157"/>
      <c r="V621" s="157"/>
      <c r="W621" s="153"/>
    </row>
    <row r="622" spans="2:23" s="14" customFormat="1" x14ac:dyDescent="0.25">
      <c r="B622" s="76"/>
      <c r="C622" s="153"/>
      <c r="D622" s="153"/>
      <c r="E622" s="153"/>
      <c r="F622" s="153"/>
      <c r="G622" s="153"/>
      <c r="H622" s="153"/>
      <c r="I622" s="157"/>
      <c r="J622" s="157"/>
      <c r="K622" s="157"/>
      <c r="L622" s="157"/>
      <c r="M622" s="157"/>
      <c r="N622" s="221"/>
      <c r="O622" s="157"/>
      <c r="P622" s="157"/>
      <c r="Q622" s="157"/>
      <c r="R622" s="157"/>
      <c r="S622" s="157"/>
      <c r="T622" s="157"/>
      <c r="U622" s="157"/>
      <c r="V622" s="157"/>
      <c r="W622" s="153"/>
    </row>
    <row r="623" spans="2:23" s="14" customFormat="1" x14ac:dyDescent="0.25">
      <c r="B623" s="76"/>
      <c r="C623" s="153"/>
      <c r="D623" s="153"/>
      <c r="E623" s="153"/>
      <c r="F623" s="153"/>
      <c r="G623" s="153"/>
      <c r="H623" s="153"/>
      <c r="I623" s="157"/>
      <c r="J623" s="157"/>
      <c r="K623" s="157"/>
      <c r="L623" s="157"/>
      <c r="M623" s="157"/>
      <c r="N623" s="221"/>
      <c r="O623" s="157"/>
      <c r="P623" s="157"/>
      <c r="Q623" s="157"/>
      <c r="R623" s="157"/>
      <c r="S623" s="157"/>
      <c r="T623" s="157"/>
      <c r="U623" s="157"/>
      <c r="V623" s="157"/>
      <c r="W623" s="153"/>
    </row>
    <row r="624" spans="2:23" s="14" customFormat="1" x14ac:dyDescent="0.25">
      <c r="B624" s="76"/>
      <c r="C624" s="153"/>
      <c r="D624" s="153"/>
      <c r="E624" s="153"/>
      <c r="F624" s="153"/>
      <c r="G624" s="153"/>
      <c r="H624" s="153"/>
      <c r="I624" s="157"/>
      <c r="J624" s="157"/>
      <c r="K624" s="157"/>
      <c r="L624" s="157"/>
      <c r="M624" s="157"/>
      <c r="N624" s="221"/>
      <c r="O624" s="157"/>
      <c r="P624" s="157"/>
      <c r="Q624" s="157"/>
      <c r="R624" s="157"/>
      <c r="S624" s="157"/>
      <c r="T624" s="157"/>
      <c r="U624" s="157"/>
      <c r="V624" s="157"/>
      <c r="W624" s="153"/>
    </row>
    <row r="625" spans="2:23" s="14" customFormat="1" x14ac:dyDescent="0.25">
      <c r="B625" s="76"/>
      <c r="C625" s="153"/>
      <c r="D625" s="153"/>
      <c r="E625" s="153"/>
      <c r="F625" s="153"/>
      <c r="G625" s="153"/>
      <c r="H625" s="153"/>
      <c r="I625" s="157"/>
      <c r="J625" s="157"/>
      <c r="K625" s="157"/>
      <c r="L625" s="157"/>
      <c r="M625" s="157"/>
      <c r="N625" s="221"/>
      <c r="O625" s="157"/>
      <c r="P625" s="157"/>
      <c r="Q625" s="157"/>
      <c r="R625" s="157"/>
      <c r="S625" s="157"/>
      <c r="T625" s="157"/>
      <c r="U625" s="157"/>
      <c r="V625" s="157"/>
      <c r="W625" s="153"/>
    </row>
    <row r="626" spans="2:23" s="14" customFormat="1" x14ac:dyDescent="0.25">
      <c r="B626" s="76"/>
      <c r="C626" s="153"/>
      <c r="D626" s="153"/>
      <c r="E626" s="153"/>
      <c r="F626" s="153"/>
      <c r="G626" s="153"/>
      <c r="H626" s="153"/>
      <c r="I626" s="157"/>
      <c r="J626" s="157"/>
      <c r="K626" s="157"/>
      <c r="L626" s="157"/>
      <c r="M626" s="157"/>
      <c r="N626" s="221"/>
      <c r="O626" s="157"/>
      <c r="P626" s="157"/>
      <c r="Q626" s="157"/>
      <c r="R626" s="157"/>
      <c r="S626" s="157"/>
      <c r="T626" s="157"/>
      <c r="U626" s="157"/>
      <c r="V626" s="157"/>
      <c r="W626" s="153"/>
    </row>
    <row r="627" spans="2:23" s="14" customFormat="1" x14ac:dyDescent="0.25">
      <c r="B627" s="76"/>
      <c r="C627" s="153"/>
      <c r="D627" s="153"/>
      <c r="E627" s="153"/>
      <c r="F627" s="153"/>
      <c r="G627" s="153"/>
      <c r="H627" s="153"/>
      <c r="I627" s="157"/>
      <c r="J627" s="157"/>
      <c r="K627" s="157"/>
      <c r="L627" s="157"/>
      <c r="M627" s="157"/>
      <c r="N627" s="221"/>
      <c r="O627" s="157"/>
      <c r="P627" s="157"/>
      <c r="Q627" s="157"/>
      <c r="R627" s="157"/>
      <c r="S627" s="157"/>
      <c r="T627" s="157"/>
      <c r="U627" s="157"/>
      <c r="V627" s="157"/>
      <c r="W627" s="153"/>
    </row>
    <row r="628" spans="2:23" s="14" customFormat="1" x14ac:dyDescent="0.25">
      <c r="B628" s="76"/>
      <c r="C628" s="153"/>
      <c r="D628" s="153"/>
      <c r="E628" s="153"/>
      <c r="F628" s="153"/>
      <c r="G628" s="153"/>
      <c r="H628" s="153"/>
      <c r="I628" s="157"/>
      <c r="J628" s="157"/>
      <c r="K628" s="157"/>
      <c r="L628" s="157"/>
      <c r="M628" s="157"/>
      <c r="N628" s="221"/>
      <c r="O628" s="157"/>
      <c r="P628" s="157"/>
      <c r="Q628" s="157"/>
      <c r="R628" s="157"/>
      <c r="S628" s="157"/>
      <c r="T628" s="157"/>
      <c r="U628" s="157"/>
      <c r="V628" s="157"/>
      <c r="W628" s="153"/>
    </row>
    <row r="629" spans="2:23" s="14" customFormat="1" x14ac:dyDescent="0.25">
      <c r="B629" s="76"/>
      <c r="C629" s="153"/>
      <c r="D629" s="153"/>
      <c r="E629" s="153"/>
      <c r="F629" s="153"/>
      <c r="G629" s="153"/>
      <c r="H629" s="153"/>
      <c r="I629" s="157"/>
      <c r="J629" s="157"/>
      <c r="K629" s="157"/>
      <c r="L629" s="157"/>
      <c r="M629" s="157"/>
      <c r="N629" s="221"/>
      <c r="O629" s="157"/>
      <c r="P629" s="157"/>
      <c r="Q629" s="157"/>
      <c r="R629" s="157"/>
      <c r="S629" s="157"/>
      <c r="T629" s="157"/>
      <c r="U629" s="157"/>
      <c r="V629" s="157"/>
      <c r="W629" s="153"/>
    </row>
    <row r="630" spans="2:23" s="14" customFormat="1" x14ac:dyDescent="0.25">
      <c r="B630" s="76"/>
      <c r="C630" s="153"/>
      <c r="D630" s="153"/>
      <c r="E630" s="153"/>
      <c r="F630" s="153"/>
      <c r="G630" s="153"/>
      <c r="H630" s="153"/>
      <c r="I630" s="157"/>
      <c r="J630" s="157"/>
      <c r="K630" s="157"/>
      <c r="L630" s="157"/>
      <c r="M630" s="157"/>
      <c r="N630" s="221"/>
      <c r="O630" s="157"/>
      <c r="P630" s="157"/>
      <c r="Q630" s="157"/>
      <c r="R630" s="157"/>
      <c r="S630" s="157"/>
      <c r="T630" s="157"/>
      <c r="U630" s="157"/>
      <c r="V630" s="157"/>
      <c r="W630" s="153"/>
    </row>
    <row r="631" spans="2:23" s="14" customFormat="1" x14ac:dyDescent="0.25">
      <c r="B631" s="76"/>
      <c r="C631" s="153"/>
      <c r="D631" s="153"/>
      <c r="E631" s="153"/>
      <c r="F631" s="153"/>
      <c r="G631" s="153"/>
      <c r="H631" s="153"/>
      <c r="I631" s="157"/>
      <c r="J631" s="157"/>
      <c r="K631" s="157"/>
      <c r="L631" s="157"/>
      <c r="M631" s="157"/>
      <c r="N631" s="221"/>
      <c r="O631" s="157"/>
      <c r="P631" s="157"/>
      <c r="Q631" s="157"/>
      <c r="R631" s="157"/>
      <c r="S631" s="157"/>
      <c r="T631" s="157"/>
      <c r="U631" s="157"/>
      <c r="V631" s="157"/>
      <c r="W631" s="153"/>
    </row>
    <row r="632" spans="2:23" s="14" customFormat="1" x14ac:dyDescent="0.25">
      <c r="B632" s="76"/>
      <c r="C632" s="153"/>
      <c r="D632" s="153"/>
      <c r="E632" s="153"/>
      <c r="F632" s="153"/>
      <c r="G632" s="153"/>
      <c r="H632" s="153"/>
      <c r="I632" s="157"/>
      <c r="J632" s="157"/>
      <c r="K632" s="157"/>
      <c r="L632" s="157"/>
      <c r="M632" s="157"/>
      <c r="N632" s="221"/>
      <c r="O632" s="157"/>
      <c r="P632" s="157"/>
      <c r="Q632" s="157"/>
      <c r="R632" s="157"/>
      <c r="S632" s="157"/>
      <c r="T632" s="157"/>
      <c r="U632" s="157"/>
      <c r="V632" s="157"/>
      <c r="W632" s="153"/>
    </row>
    <row r="633" spans="2:23" s="14" customFormat="1" x14ac:dyDescent="0.25">
      <c r="B633" s="76"/>
      <c r="C633" s="153"/>
      <c r="D633" s="153"/>
      <c r="E633" s="153"/>
      <c r="F633" s="153"/>
      <c r="G633" s="153"/>
      <c r="H633" s="153"/>
      <c r="I633" s="157"/>
      <c r="J633" s="157"/>
      <c r="K633" s="157"/>
      <c r="L633" s="157"/>
      <c r="M633" s="157"/>
      <c r="N633" s="221"/>
      <c r="O633" s="157"/>
      <c r="P633" s="157"/>
      <c r="Q633" s="157"/>
      <c r="R633" s="157"/>
      <c r="S633" s="157"/>
      <c r="T633" s="157"/>
      <c r="U633" s="157"/>
      <c r="V633" s="157"/>
      <c r="W633" s="153"/>
    </row>
    <row r="634" spans="2:23" s="14" customFormat="1" x14ac:dyDescent="0.25">
      <c r="B634" s="76"/>
      <c r="C634" s="153"/>
      <c r="D634" s="153"/>
      <c r="E634" s="153"/>
      <c r="F634" s="153"/>
      <c r="G634" s="153"/>
      <c r="H634" s="153"/>
      <c r="I634" s="157"/>
      <c r="J634" s="157"/>
      <c r="K634" s="157"/>
      <c r="L634" s="157"/>
      <c r="M634" s="157"/>
      <c r="N634" s="221"/>
      <c r="O634" s="157"/>
      <c r="P634" s="157"/>
      <c r="Q634" s="157"/>
      <c r="R634" s="157"/>
      <c r="S634" s="157"/>
      <c r="T634" s="157"/>
      <c r="U634" s="157"/>
      <c r="V634" s="157"/>
      <c r="W634" s="153"/>
    </row>
    <row r="635" spans="2:23" s="14" customFormat="1" x14ac:dyDescent="0.25">
      <c r="B635" s="76"/>
      <c r="C635" s="153"/>
      <c r="D635" s="153"/>
      <c r="E635" s="153"/>
      <c r="F635" s="153"/>
      <c r="G635" s="153"/>
      <c r="H635" s="153"/>
      <c r="I635" s="157"/>
      <c r="J635" s="157"/>
      <c r="K635" s="157"/>
      <c r="L635" s="157"/>
      <c r="M635" s="157"/>
      <c r="N635" s="221"/>
      <c r="O635" s="157"/>
      <c r="P635" s="157"/>
      <c r="Q635" s="157"/>
      <c r="R635" s="157"/>
      <c r="S635" s="157"/>
      <c r="T635" s="157"/>
      <c r="U635" s="157"/>
      <c r="V635" s="157"/>
      <c r="W635" s="153"/>
    </row>
    <row r="636" spans="2:23" s="14" customFormat="1" x14ac:dyDescent="0.25">
      <c r="B636" s="76"/>
      <c r="C636" s="153"/>
      <c r="D636" s="153"/>
      <c r="E636" s="153"/>
      <c r="F636" s="153"/>
      <c r="G636" s="153"/>
      <c r="H636" s="153"/>
      <c r="I636" s="157"/>
      <c r="J636" s="157"/>
      <c r="K636" s="157"/>
      <c r="L636" s="157"/>
      <c r="M636" s="157"/>
      <c r="N636" s="221"/>
      <c r="O636" s="157"/>
      <c r="P636" s="157"/>
      <c r="Q636" s="157"/>
      <c r="R636" s="157"/>
      <c r="S636" s="157"/>
      <c r="T636" s="157"/>
      <c r="U636" s="157"/>
      <c r="V636" s="157"/>
      <c r="W636" s="153"/>
    </row>
    <row r="637" spans="2:23" s="14" customFormat="1" x14ac:dyDescent="0.25">
      <c r="B637" s="76"/>
      <c r="C637" s="153"/>
      <c r="D637" s="153"/>
      <c r="E637" s="153"/>
      <c r="F637" s="153"/>
      <c r="G637" s="153"/>
      <c r="H637" s="153"/>
      <c r="I637" s="157"/>
      <c r="J637" s="157"/>
      <c r="K637" s="157"/>
      <c r="L637" s="157"/>
      <c r="M637" s="157"/>
      <c r="N637" s="221"/>
      <c r="O637" s="157"/>
      <c r="P637" s="157"/>
      <c r="Q637" s="157"/>
      <c r="R637" s="157"/>
      <c r="S637" s="157"/>
      <c r="T637" s="157"/>
      <c r="U637" s="157"/>
      <c r="V637" s="157"/>
      <c r="W637" s="153"/>
    </row>
    <row r="638" spans="2:23" s="14" customFormat="1" x14ac:dyDescent="0.25">
      <c r="B638" s="76"/>
      <c r="C638" s="153"/>
      <c r="D638" s="153"/>
      <c r="E638" s="153"/>
      <c r="F638" s="153"/>
      <c r="G638" s="153"/>
      <c r="H638" s="153"/>
      <c r="I638" s="157"/>
      <c r="J638" s="157"/>
      <c r="K638" s="157"/>
      <c r="L638" s="157"/>
      <c r="M638" s="157"/>
      <c r="N638" s="221"/>
      <c r="O638" s="157"/>
      <c r="P638" s="157"/>
      <c r="Q638" s="157"/>
      <c r="R638" s="157"/>
      <c r="S638" s="157"/>
      <c r="T638" s="157"/>
      <c r="U638" s="157"/>
      <c r="V638" s="157"/>
      <c r="W638" s="153"/>
    </row>
    <row r="639" spans="2:23" s="14" customFormat="1" x14ac:dyDescent="0.25">
      <c r="B639" s="76"/>
      <c r="C639" s="153"/>
      <c r="D639" s="153"/>
      <c r="E639" s="153"/>
      <c r="F639" s="153"/>
      <c r="G639" s="153"/>
      <c r="H639" s="153"/>
      <c r="I639" s="157"/>
      <c r="J639" s="157"/>
      <c r="K639" s="157"/>
      <c r="L639" s="157"/>
      <c r="M639" s="157"/>
      <c r="N639" s="221"/>
      <c r="O639" s="157"/>
      <c r="P639" s="157"/>
      <c r="Q639" s="157"/>
      <c r="R639" s="157"/>
      <c r="S639" s="157"/>
      <c r="T639" s="157"/>
      <c r="U639" s="157"/>
      <c r="V639" s="157"/>
      <c r="W639" s="153"/>
    </row>
    <row r="640" spans="2:23" s="14" customFormat="1" x14ac:dyDescent="0.25">
      <c r="B640" s="76"/>
      <c r="C640" s="153"/>
      <c r="D640" s="153"/>
      <c r="E640" s="153"/>
      <c r="F640" s="153"/>
      <c r="G640" s="153"/>
      <c r="H640" s="153"/>
      <c r="I640" s="157"/>
      <c r="J640" s="157"/>
      <c r="K640" s="157"/>
      <c r="L640" s="157"/>
      <c r="M640" s="157"/>
      <c r="N640" s="221"/>
      <c r="O640" s="157"/>
      <c r="P640" s="157"/>
      <c r="Q640" s="157"/>
      <c r="R640" s="157"/>
      <c r="S640" s="157"/>
      <c r="T640" s="157"/>
      <c r="U640" s="157"/>
      <c r="V640" s="157"/>
      <c r="W640" s="153"/>
    </row>
    <row r="641" spans="2:23" s="14" customFormat="1" x14ac:dyDescent="0.25">
      <c r="B641" s="76"/>
      <c r="C641" s="153"/>
      <c r="D641" s="153"/>
      <c r="E641" s="153"/>
      <c r="F641" s="153"/>
      <c r="G641" s="153"/>
      <c r="H641" s="153"/>
      <c r="I641" s="157"/>
      <c r="J641" s="157"/>
      <c r="K641" s="157"/>
      <c r="L641" s="157"/>
      <c r="M641" s="157"/>
      <c r="N641" s="221"/>
      <c r="O641" s="157"/>
      <c r="P641" s="157"/>
      <c r="Q641" s="157"/>
      <c r="R641" s="157"/>
      <c r="S641" s="157"/>
      <c r="T641" s="157"/>
      <c r="U641" s="157"/>
      <c r="V641" s="157"/>
      <c r="W641" s="153"/>
    </row>
    <row r="642" spans="2:23" s="14" customFormat="1" x14ac:dyDescent="0.25">
      <c r="B642" s="76"/>
      <c r="C642" s="153"/>
      <c r="D642" s="153"/>
      <c r="E642" s="153"/>
      <c r="F642" s="153"/>
      <c r="G642" s="153"/>
      <c r="H642" s="153"/>
      <c r="I642" s="157"/>
      <c r="J642" s="157"/>
      <c r="K642" s="157"/>
      <c r="L642" s="157"/>
      <c r="M642" s="157"/>
      <c r="N642" s="221"/>
      <c r="O642" s="157"/>
      <c r="P642" s="157"/>
      <c r="Q642" s="157"/>
      <c r="R642" s="157"/>
      <c r="S642" s="157"/>
      <c r="T642" s="157"/>
      <c r="U642" s="157"/>
      <c r="V642" s="157"/>
      <c r="W642" s="153"/>
    </row>
    <row r="643" spans="2:23" s="14" customFormat="1" x14ac:dyDescent="0.25">
      <c r="B643" s="76"/>
      <c r="C643" s="153"/>
      <c r="D643" s="153"/>
      <c r="E643" s="153"/>
      <c r="F643" s="153"/>
      <c r="G643" s="153"/>
      <c r="H643" s="153"/>
      <c r="I643" s="157"/>
      <c r="J643" s="157"/>
      <c r="K643" s="157"/>
      <c r="L643" s="157"/>
      <c r="M643" s="157"/>
      <c r="N643" s="221"/>
      <c r="O643" s="157"/>
      <c r="P643" s="157"/>
      <c r="Q643" s="157"/>
      <c r="R643" s="157"/>
      <c r="S643" s="157"/>
      <c r="T643" s="157"/>
      <c r="U643" s="157"/>
      <c r="V643" s="157"/>
      <c r="W643" s="153"/>
    </row>
    <row r="644" spans="2:23" s="14" customFormat="1" x14ac:dyDescent="0.25">
      <c r="B644" s="76"/>
      <c r="C644" s="153"/>
      <c r="D644" s="153"/>
      <c r="E644" s="153"/>
      <c r="F644" s="153"/>
      <c r="G644" s="153"/>
      <c r="H644" s="153"/>
      <c r="I644" s="157"/>
      <c r="J644" s="157"/>
      <c r="K644" s="157"/>
      <c r="L644" s="157"/>
      <c r="M644" s="157"/>
      <c r="N644" s="221"/>
      <c r="O644" s="157"/>
      <c r="P644" s="157"/>
      <c r="Q644" s="157"/>
      <c r="R644" s="157"/>
      <c r="S644" s="157"/>
      <c r="T644" s="157"/>
      <c r="U644" s="157"/>
      <c r="V644" s="157"/>
      <c r="W644" s="153"/>
    </row>
    <row r="645" spans="2:23" s="14" customFormat="1" x14ac:dyDescent="0.25">
      <c r="B645" s="76"/>
      <c r="C645" s="153"/>
      <c r="D645" s="153"/>
      <c r="E645" s="153"/>
      <c r="F645" s="153"/>
      <c r="G645" s="153"/>
      <c r="H645" s="153"/>
      <c r="I645" s="157"/>
      <c r="J645" s="157"/>
      <c r="K645" s="157"/>
      <c r="L645" s="157"/>
      <c r="M645" s="157"/>
      <c r="N645" s="221"/>
      <c r="O645" s="157"/>
      <c r="P645" s="157"/>
      <c r="Q645" s="157"/>
      <c r="R645" s="157"/>
      <c r="S645" s="157"/>
      <c r="T645" s="157"/>
      <c r="U645" s="157"/>
      <c r="V645" s="157"/>
      <c r="W645" s="153"/>
    </row>
    <row r="646" spans="2:23" s="14" customFormat="1" x14ac:dyDescent="0.25">
      <c r="B646" s="76"/>
      <c r="C646" s="153"/>
      <c r="D646" s="153"/>
      <c r="E646" s="153"/>
      <c r="F646" s="153"/>
      <c r="G646" s="153"/>
      <c r="H646" s="153"/>
      <c r="I646" s="157"/>
      <c r="J646" s="157"/>
      <c r="K646" s="157"/>
      <c r="L646" s="157"/>
      <c r="M646" s="157"/>
      <c r="N646" s="221"/>
      <c r="O646" s="157"/>
      <c r="P646" s="157"/>
      <c r="Q646" s="157"/>
      <c r="R646" s="157"/>
      <c r="S646" s="157"/>
      <c r="T646" s="157"/>
      <c r="U646" s="157"/>
      <c r="V646" s="157"/>
      <c r="W646" s="153"/>
    </row>
    <row r="647" spans="2:23" s="14" customFormat="1" x14ac:dyDescent="0.25">
      <c r="B647" s="76"/>
      <c r="C647" s="153"/>
      <c r="D647" s="153"/>
      <c r="E647" s="153"/>
      <c r="F647" s="153"/>
      <c r="G647" s="153"/>
      <c r="H647" s="153"/>
      <c r="I647" s="157"/>
      <c r="J647" s="157"/>
      <c r="K647" s="157"/>
      <c r="L647" s="157"/>
      <c r="M647" s="157"/>
      <c r="N647" s="221"/>
      <c r="O647" s="157"/>
      <c r="P647" s="157"/>
      <c r="Q647" s="157"/>
      <c r="R647" s="157"/>
      <c r="S647" s="157"/>
      <c r="T647" s="157"/>
      <c r="U647" s="157"/>
      <c r="V647" s="157"/>
      <c r="W647" s="153"/>
    </row>
    <row r="648" spans="2:23" s="14" customFormat="1" x14ac:dyDescent="0.25">
      <c r="B648" s="76"/>
      <c r="C648" s="153"/>
      <c r="D648" s="153"/>
      <c r="E648" s="153"/>
      <c r="F648" s="153"/>
      <c r="G648" s="153"/>
      <c r="H648" s="153"/>
      <c r="I648" s="157"/>
      <c r="J648" s="157"/>
      <c r="K648" s="157"/>
      <c r="L648" s="157"/>
      <c r="M648" s="157"/>
      <c r="N648" s="221"/>
      <c r="O648" s="157"/>
      <c r="P648" s="157"/>
      <c r="Q648" s="157"/>
      <c r="R648" s="157"/>
      <c r="S648" s="157"/>
      <c r="T648" s="157"/>
      <c r="U648" s="157"/>
      <c r="V648" s="157"/>
      <c r="W648" s="153"/>
    </row>
    <row r="649" spans="2:23" s="14" customFormat="1" x14ac:dyDescent="0.25">
      <c r="B649" s="76"/>
      <c r="C649" s="153"/>
      <c r="D649" s="153"/>
      <c r="E649" s="153"/>
      <c r="F649" s="153"/>
      <c r="G649" s="153"/>
      <c r="H649" s="153"/>
      <c r="I649" s="157"/>
      <c r="J649" s="157"/>
      <c r="K649" s="157"/>
      <c r="L649" s="157"/>
      <c r="M649" s="157"/>
      <c r="N649" s="221"/>
      <c r="O649" s="157"/>
      <c r="P649" s="157"/>
      <c r="Q649" s="157"/>
      <c r="R649" s="157"/>
      <c r="S649" s="157"/>
      <c r="T649" s="157"/>
      <c r="U649" s="157"/>
      <c r="V649" s="157"/>
      <c r="W649" s="153"/>
    </row>
    <row r="650" spans="2:23" s="14" customFormat="1" x14ac:dyDescent="0.25">
      <c r="B650" s="76"/>
      <c r="C650" s="153"/>
      <c r="D650" s="153"/>
      <c r="E650" s="153"/>
      <c r="F650" s="153"/>
      <c r="G650" s="153"/>
      <c r="H650" s="153"/>
      <c r="I650" s="157"/>
      <c r="J650" s="157"/>
      <c r="K650" s="157"/>
      <c r="L650" s="157"/>
      <c r="M650" s="157"/>
      <c r="N650" s="221"/>
      <c r="O650" s="157"/>
      <c r="P650" s="157"/>
      <c r="Q650" s="157"/>
      <c r="R650" s="157"/>
      <c r="S650" s="157"/>
      <c r="T650" s="157"/>
      <c r="U650" s="157"/>
      <c r="V650" s="157"/>
      <c r="W650" s="153"/>
    </row>
    <row r="651" spans="2:23" s="14" customFormat="1" x14ac:dyDescent="0.25">
      <c r="B651" s="76"/>
      <c r="C651" s="153"/>
      <c r="D651" s="153"/>
      <c r="E651" s="153"/>
      <c r="F651" s="153"/>
      <c r="G651" s="153"/>
      <c r="H651" s="153"/>
      <c r="I651" s="157"/>
      <c r="J651" s="157"/>
      <c r="K651" s="157"/>
      <c r="L651" s="157"/>
      <c r="M651" s="157"/>
      <c r="N651" s="221"/>
      <c r="O651" s="157"/>
      <c r="P651" s="157"/>
      <c r="Q651" s="157"/>
      <c r="R651" s="157"/>
      <c r="S651" s="157"/>
      <c r="T651" s="157"/>
      <c r="U651" s="157"/>
      <c r="V651" s="157"/>
      <c r="W651" s="153"/>
    </row>
    <row r="652" spans="2:23" s="14" customFormat="1" x14ac:dyDescent="0.25">
      <c r="B652" s="76"/>
      <c r="C652" s="153"/>
      <c r="D652" s="153"/>
      <c r="E652" s="153"/>
      <c r="F652" s="153"/>
      <c r="G652" s="153"/>
      <c r="H652" s="153"/>
      <c r="I652" s="157"/>
      <c r="J652" s="157"/>
      <c r="K652" s="157"/>
      <c r="L652" s="157"/>
      <c r="M652" s="157"/>
      <c r="N652" s="221"/>
      <c r="O652" s="157"/>
      <c r="P652" s="157"/>
      <c r="Q652" s="157"/>
      <c r="R652" s="157"/>
      <c r="S652" s="157"/>
      <c r="T652" s="157"/>
      <c r="U652" s="157"/>
      <c r="V652" s="157"/>
      <c r="W652" s="153"/>
    </row>
    <row r="653" spans="2:23" s="14" customFormat="1" x14ac:dyDescent="0.25">
      <c r="B653" s="76"/>
      <c r="C653" s="153"/>
      <c r="D653" s="153"/>
      <c r="E653" s="153"/>
      <c r="F653" s="153"/>
      <c r="G653" s="153"/>
      <c r="H653" s="153"/>
      <c r="I653" s="157"/>
      <c r="J653" s="157"/>
      <c r="K653" s="157"/>
      <c r="L653" s="157"/>
      <c r="M653" s="157"/>
      <c r="N653" s="221"/>
      <c r="O653" s="157"/>
      <c r="P653" s="157"/>
      <c r="Q653" s="157"/>
      <c r="R653" s="157"/>
      <c r="S653" s="157"/>
      <c r="T653" s="157"/>
      <c r="U653" s="157"/>
      <c r="V653" s="157"/>
      <c r="W653" s="153"/>
    </row>
    <row r="654" spans="2:23" s="14" customFormat="1" x14ac:dyDescent="0.25">
      <c r="B654" s="76"/>
      <c r="C654" s="153"/>
      <c r="D654" s="153"/>
      <c r="E654" s="153"/>
      <c r="F654" s="153"/>
      <c r="G654" s="153"/>
      <c r="H654" s="153"/>
      <c r="I654" s="157"/>
      <c r="J654" s="157"/>
      <c r="K654" s="157"/>
      <c r="L654" s="157"/>
      <c r="M654" s="157"/>
      <c r="N654" s="221"/>
      <c r="O654" s="157"/>
      <c r="P654" s="157"/>
      <c r="Q654" s="157"/>
      <c r="R654" s="157"/>
      <c r="S654" s="157"/>
      <c r="T654" s="157"/>
      <c r="U654" s="157"/>
      <c r="V654" s="157"/>
      <c r="W654" s="153"/>
    </row>
    <row r="655" spans="2:23" s="14" customFormat="1" x14ac:dyDescent="0.25">
      <c r="B655" s="76"/>
      <c r="C655" s="153"/>
      <c r="D655" s="153"/>
      <c r="E655" s="153"/>
      <c r="F655" s="153"/>
      <c r="G655" s="153"/>
      <c r="H655" s="153"/>
      <c r="I655" s="157"/>
      <c r="J655" s="157"/>
      <c r="K655" s="157"/>
      <c r="L655" s="157"/>
      <c r="M655" s="157"/>
      <c r="N655" s="221"/>
      <c r="O655" s="157"/>
      <c r="P655" s="157"/>
      <c r="Q655" s="157"/>
      <c r="R655" s="157"/>
      <c r="S655" s="157"/>
      <c r="T655" s="157"/>
      <c r="U655" s="157"/>
      <c r="V655" s="157"/>
      <c r="W655" s="153"/>
    </row>
    <row r="656" spans="2:23" s="14" customFormat="1" x14ac:dyDescent="0.25">
      <c r="B656" s="76"/>
      <c r="C656" s="153"/>
      <c r="D656" s="153"/>
      <c r="E656" s="153"/>
      <c r="F656" s="153"/>
      <c r="G656" s="153"/>
      <c r="H656" s="153"/>
      <c r="I656" s="157"/>
      <c r="J656" s="157"/>
      <c r="K656" s="157"/>
      <c r="L656" s="157"/>
      <c r="M656" s="157"/>
      <c r="N656" s="221"/>
      <c r="O656" s="157"/>
      <c r="P656" s="157"/>
      <c r="Q656" s="157"/>
      <c r="R656" s="157"/>
      <c r="S656" s="157"/>
      <c r="T656" s="157"/>
      <c r="U656" s="157"/>
      <c r="V656" s="157"/>
      <c r="W656" s="153"/>
    </row>
    <row r="657" spans="2:23" s="14" customFormat="1" x14ac:dyDescent="0.25">
      <c r="B657" s="76"/>
      <c r="C657" s="153"/>
      <c r="D657" s="153"/>
      <c r="E657" s="153"/>
      <c r="F657" s="153"/>
      <c r="G657" s="153"/>
      <c r="H657" s="153"/>
      <c r="I657" s="157"/>
      <c r="J657" s="157"/>
      <c r="K657" s="157"/>
      <c r="L657" s="157"/>
      <c r="M657" s="157"/>
      <c r="N657" s="221"/>
      <c r="O657" s="157"/>
      <c r="P657" s="157"/>
      <c r="Q657" s="157"/>
      <c r="R657" s="157"/>
      <c r="S657" s="157"/>
      <c r="T657" s="157"/>
      <c r="U657" s="157"/>
      <c r="V657" s="157"/>
      <c r="W657" s="153"/>
    </row>
    <row r="658" spans="2:23" s="14" customFormat="1" x14ac:dyDescent="0.25">
      <c r="B658" s="76"/>
      <c r="C658" s="153"/>
      <c r="D658" s="153"/>
      <c r="E658" s="153"/>
      <c r="F658" s="153"/>
      <c r="G658" s="153"/>
      <c r="H658" s="153"/>
      <c r="I658" s="157"/>
      <c r="J658" s="157"/>
      <c r="K658" s="157"/>
      <c r="L658" s="157"/>
      <c r="M658" s="157"/>
      <c r="N658" s="221"/>
      <c r="O658" s="157"/>
      <c r="P658" s="157"/>
      <c r="Q658" s="157"/>
      <c r="R658" s="157"/>
      <c r="S658" s="157"/>
      <c r="T658" s="157"/>
      <c r="U658" s="157"/>
      <c r="V658" s="157"/>
      <c r="W658" s="153"/>
    </row>
    <row r="659" spans="2:23" s="14" customFormat="1" x14ac:dyDescent="0.25">
      <c r="B659" s="76"/>
      <c r="C659" s="153"/>
      <c r="D659" s="153"/>
      <c r="E659" s="153"/>
      <c r="F659" s="153"/>
      <c r="G659" s="153"/>
      <c r="H659" s="153"/>
      <c r="I659" s="157"/>
      <c r="J659" s="157"/>
      <c r="K659" s="157"/>
      <c r="L659" s="157"/>
      <c r="M659" s="157"/>
      <c r="N659" s="221"/>
      <c r="O659" s="157"/>
      <c r="P659" s="157"/>
      <c r="Q659" s="157"/>
      <c r="R659" s="157"/>
      <c r="S659" s="157"/>
      <c r="T659" s="157"/>
      <c r="U659" s="157"/>
      <c r="V659" s="157"/>
      <c r="W659" s="153"/>
    </row>
    <row r="660" spans="2:23" s="14" customFormat="1" x14ac:dyDescent="0.25">
      <c r="B660" s="76"/>
      <c r="C660" s="153"/>
      <c r="D660" s="153"/>
      <c r="E660" s="153"/>
      <c r="F660" s="153"/>
      <c r="G660" s="153"/>
      <c r="H660" s="153"/>
      <c r="I660" s="157"/>
      <c r="J660" s="157"/>
      <c r="K660" s="157"/>
      <c r="L660" s="157"/>
      <c r="M660" s="157"/>
      <c r="N660" s="221"/>
      <c r="O660" s="157"/>
      <c r="P660" s="157"/>
      <c r="Q660" s="157"/>
      <c r="R660" s="157"/>
      <c r="S660" s="157"/>
      <c r="T660" s="157"/>
      <c r="U660" s="157"/>
      <c r="V660" s="157"/>
      <c r="W660" s="153"/>
    </row>
    <row r="661" spans="2:23" s="14" customFormat="1" x14ac:dyDescent="0.25">
      <c r="B661" s="76"/>
      <c r="C661" s="153"/>
      <c r="D661" s="153"/>
      <c r="E661" s="153"/>
      <c r="F661" s="153"/>
      <c r="G661" s="153"/>
      <c r="H661" s="153"/>
      <c r="I661" s="157"/>
      <c r="J661" s="157"/>
      <c r="K661" s="157"/>
      <c r="L661" s="157"/>
      <c r="M661" s="157"/>
      <c r="N661" s="221"/>
      <c r="O661" s="157"/>
      <c r="P661" s="157"/>
      <c r="Q661" s="157"/>
      <c r="R661" s="157"/>
      <c r="S661" s="157"/>
      <c r="T661" s="157"/>
      <c r="U661" s="157"/>
      <c r="V661" s="157"/>
      <c r="W661" s="153"/>
    </row>
    <row r="662" spans="2:23" s="14" customFormat="1" x14ac:dyDescent="0.25">
      <c r="B662" s="76"/>
      <c r="C662" s="153"/>
      <c r="D662" s="153"/>
      <c r="E662" s="153"/>
      <c r="F662" s="153"/>
      <c r="G662" s="153"/>
      <c r="H662" s="153"/>
      <c r="I662" s="157"/>
      <c r="J662" s="157"/>
      <c r="K662" s="157"/>
      <c r="L662" s="157"/>
      <c r="M662" s="157"/>
      <c r="N662" s="221"/>
      <c r="O662" s="157"/>
      <c r="P662" s="157"/>
      <c r="Q662" s="157"/>
      <c r="R662" s="157"/>
      <c r="S662" s="157"/>
      <c r="T662" s="157"/>
      <c r="U662" s="157"/>
      <c r="V662" s="157"/>
      <c r="W662" s="153"/>
    </row>
    <row r="663" spans="2:23" s="14" customFormat="1" x14ac:dyDescent="0.25">
      <c r="B663" s="76"/>
      <c r="C663" s="153"/>
      <c r="D663" s="153"/>
      <c r="E663" s="153"/>
      <c r="F663" s="153"/>
      <c r="G663" s="153"/>
      <c r="H663" s="153"/>
      <c r="I663" s="157"/>
      <c r="J663" s="157"/>
      <c r="K663" s="157"/>
      <c r="L663" s="157"/>
      <c r="M663" s="157"/>
      <c r="N663" s="221"/>
      <c r="O663" s="157"/>
      <c r="P663" s="157"/>
      <c r="Q663" s="157"/>
      <c r="R663" s="157"/>
      <c r="S663" s="157"/>
      <c r="T663" s="157"/>
      <c r="U663" s="157"/>
      <c r="V663" s="157"/>
      <c r="W663" s="153"/>
    </row>
    <row r="664" spans="2:23" s="14" customFormat="1" x14ac:dyDescent="0.25">
      <c r="B664" s="76"/>
      <c r="C664" s="153"/>
      <c r="D664" s="153"/>
      <c r="E664" s="153"/>
      <c r="F664" s="153"/>
      <c r="G664" s="153"/>
      <c r="H664" s="153"/>
      <c r="I664" s="157"/>
      <c r="J664" s="157"/>
      <c r="K664" s="157"/>
      <c r="L664" s="157"/>
      <c r="M664" s="157"/>
      <c r="N664" s="221"/>
      <c r="O664" s="157"/>
      <c r="P664" s="157"/>
      <c r="Q664" s="157"/>
      <c r="R664" s="157"/>
      <c r="S664" s="157"/>
      <c r="T664" s="157"/>
      <c r="U664" s="157"/>
      <c r="V664" s="157"/>
      <c r="W664" s="153"/>
    </row>
    <row r="665" spans="2:23" s="14" customFormat="1" x14ac:dyDescent="0.25">
      <c r="B665" s="76"/>
      <c r="C665" s="153"/>
      <c r="D665" s="153"/>
      <c r="E665" s="153"/>
      <c r="F665" s="153"/>
      <c r="G665" s="153"/>
      <c r="H665" s="153"/>
      <c r="I665" s="157"/>
      <c r="J665" s="157"/>
      <c r="K665" s="157"/>
      <c r="L665" s="157"/>
      <c r="M665" s="157"/>
      <c r="N665" s="221"/>
      <c r="O665" s="157"/>
      <c r="P665" s="157"/>
      <c r="Q665" s="157"/>
      <c r="R665" s="157"/>
      <c r="S665" s="157"/>
      <c r="T665" s="157"/>
      <c r="U665" s="157"/>
      <c r="V665" s="157"/>
      <c r="W665" s="153"/>
    </row>
    <row r="666" spans="2:23" s="14" customFormat="1" x14ac:dyDescent="0.25">
      <c r="B666" s="76"/>
      <c r="C666" s="153"/>
      <c r="D666" s="153"/>
      <c r="E666" s="153"/>
      <c r="F666" s="153"/>
      <c r="G666" s="153"/>
      <c r="H666" s="153"/>
      <c r="I666" s="157"/>
      <c r="J666" s="157"/>
      <c r="K666" s="157"/>
      <c r="L666" s="157"/>
      <c r="M666" s="157"/>
      <c r="N666" s="221"/>
      <c r="O666" s="157"/>
      <c r="P666" s="157"/>
      <c r="Q666" s="157"/>
      <c r="R666" s="157"/>
      <c r="S666" s="157"/>
      <c r="T666" s="157"/>
      <c r="U666" s="157"/>
      <c r="V666" s="157"/>
      <c r="W666" s="153"/>
    </row>
    <row r="667" spans="2:23" s="14" customFormat="1" x14ac:dyDescent="0.25">
      <c r="B667" s="76"/>
      <c r="C667" s="153"/>
      <c r="D667" s="153"/>
      <c r="E667" s="153"/>
      <c r="F667" s="153"/>
      <c r="G667" s="153"/>
      <c r="H667" s="153"/>
      <c r="I667" s="157"/>
      <c r="J667" s="157"/>
      <c r="K667" s="157"/>
      <c r="L667" s="157"/>
      <c r="M667" s="157"/>
      <c r="N667" s="221"/>
      <c r="O667" s="157"/>
      <c r="P667" s="157"/>
      <c r="Q667" s="157"/>
      <c r="R667" s="157"/>
      <c r="S667" s="157"/>
      <c r="T667" s="157"/>
      <c r="U667" s="157"/>
      <c r="V667" s="157"/>
      <c r="W667" s="153"/>
    </row>
    <row r="668" spans="2:23" s="14" customFormat="1" x14ac:dyDescent="0.25">
      <c r="B668" s="76"/>
      <c r="C668" s="153"/>
      <c r="D668" s="153"/>
      <c r="E668" s="153"/>
      <c r="F668" s="153"/>
      <c r="G668" s="153"/>
      <c r="H668" s="153"/>
      <c r="I668" s="157"/>
      <c r="J668" s="157"/>
      <c r="K668" s="157"/>
      <c r="L668" s="157"/>
      <c r="M668" s="157"/>
      <c r="N668" s="221"/>
      <c r="O668" s="157"/>
      <c r="P668" s="157"/>
      <c r="Q668" s="157"/>
      <c r="R668" s="157"/>
      <c r="S668" s="157"/>
      <c r="T668" s="157"/>
      <c r="U668" s="157"/>
      <c r="V668" s="157"/>
      <c r="W668" s="153"/>
    </row>
    <row r="669" spans="2:23" s="14" customFormat="1" x14ac:dyDescent="0.25">
      <c r="B669" s="76"/>
      <c r="C669" s="153"/>
      <c r="D669" s="153"/>
      <c r="E669" s="153"/>
      <c r="F669" s="153"/>
      <c r="G669" s="153"/>
      <c r="H669" s="153"/>
      <c r="I669" s="157"/>
      <c r="J669" s="157"/>
      <c r="K669" s="157"/>
      <c r="L669" s="157"/>
      <c r="M669" s="157"/>
      <c r="N669" s="221"/>
      <c r="O669" s="157"/>
      <c r="P669" s="157"/>
      <c r="Q669" s="157"/>
      <c r="R669" s="157"/>
      <c r="S669" s="157"/>
      <c r="T669" s="157"/>
      <c r="U669" s="157"/>
      <c r="V669" s="157"/>
      <c r="W669" s="153"/>
    </row>
    <row r="670" spans="2:23" s="14" customFormat="1" x14ac:dyDescent="0.25">
      <c r="B670" s="76"/>
      <c r="C670" s="153"/>
      <c r="D670" s="153"/>
      <c r="E670" s="153"/>
      <c r="F670" s="153"/>
      <c r="G670" s="153"/>
      <c r="H670" s="153"/>
      <c r="I670" s="157"/>
      <c r="J670" s="157"/>
      <c r="K670" s="157"/>
      <c r="L670" s="157"/>
      <c r="M670" s="157"/>
      <c r="N670" s="221"/>
      <c r="O670" s="157"/>
      <c r="P670" s="157"/>
      <c r="Q670" s="157"/>
      <c r="R670" s="157"/>
      <c r="S670" s="157"/>
      <c r="T670" s="157"/>
      <c r="U670" s="157"/>
      <c r="V670" s="157"/>
      <c r="W670" s="153"/>
    </row>
    <row r="671" spans="2:23" s="14" customFormat="1" x14ac:dyDescent="0.25">
      <c r="B671" s="76"/>
      <c r="C671" s="153"/>
      <c r="D671" s="153"/>
      <c r="E671" s="153"/>
      <c r="F671" s="153"/>
      <c r="G671" s="153"/>
      <c r="H671" s="153"/>
      <c r="I671" s="157"/>
      <c r="J671" s="157"/>
      <c r="K671" s="157"/>
      <c r="L671" s="157"/>
      <c r="M671" s="157"/>
      <c r="N671" s="221"/>
      <c r="O671" s="157"/>
      <c r="P671" s="157"/>
      <c r="Q671" s="157"/>
      <c r="R671" s="157"/>
      <c r="S671" s="157"/>
      <c r="T671" s="157"/>
      <c r="U671" s="157"/>
      <c r="V671" s="157"/>
      <c r="W671" s="153"/>
    </row>
    <row r="672" spans="2:23" s="14" customFormat="1" x14ac:dyDescent="0.25">
      <c r="B672" s="76"/>
      <c r="C672" s="153"/>
      <c r="D672" s="153"/>
      <c r="E672" s="153"/>
      <c r="F672" s="153"/>
      <c r="G672" s="153"/>
      <c r="H672" s="153"/>
      <c r="I672" s="157"/>
      <c r="J672" s="157"/>
      <c r="K672" s="157"/>
      <c r="L672" s="157"/>
      <c r="M672" s="157"/>
      <c r="N672" s="221"/>
      <c r="O672" s="157"/>
      <c r="P672" s="157"/>
      <c r="Q672" s="157"/>
      <c r="R672" s="157"/>
      <c r="S672" s="157"/>
      <c r="T672" s="157"/>
      <c r="U672" s="157"/>
      <c r="V672" s="157"/>
      <c r="W672" s="153"/>
    </row>
    <row r="673" spans="2:23" s="14" customFormat="1" x14ac:dyDescent="0.25">
      <c r="B673" s="76"/>
      <c r="C673" s="153"/>
      <c r="D673" s="153"/>
      <c r="E673" s="153"/>
      <c r="F673" s="153"/>
      <c r="G673" s="153"/>
      <c r="H673" s="153"/>
      <c r="I673" s="157"/>
      <c r="J673" s="157"/>
      <c r="K673" s="157"/>
      <c r="L673" s="157"/>
      <c r="M673" s="157"/>
      <c r="N673" s="221"/>
      <c r="O673" s="157"/>
      <c r="P673" s="157"/>
      <c r="Q673" s="157"/>
      <c r="R673" s="157"/>
      <c r="S673" s="157"/>
      <c r="T673" s="157"/>
      <c r="U673" s="157"/>
      <c r="V673" s="157"/>
      <c r="W673" s="153"/>
    </row>
    <row r="674" spans="2:23" s="14" customFormat="1" x14ac:dyDescent="0.25">
      <c r="B674" s="76"/>
      <c r="C674" s="153"/>
      <c r="D674" s="153"/>
      <c r="E674" s="153"/>
      <c r="F674" s="153"/>
      <c r="G674" s="153"/>
      <c r="H674" s="153"/>
      <c r="I674" s="157"/>
      <c r="J674" s="157"/>
      <c r="K674" s="157"/>
      <c r="L674" s="157"/>
      <c r="M674" s="157"/>
      <c r="N674" s="221"/>
      <c r="O674" s="157"/>
      <c r="P674" s="157"/>
      <c r="Q674" s="157"/>
      <c r="R674" s="157"/>
      <c r="S674" s="157"/>
      <c r="T674" s="157"/>
      <c r="U674" s="157"/>
      <c r="V674" s="157"/>
      <c r="W674" s="153"/>
    </row>
    <row r="675" spans="2:23" s="14" customFormat="1" x14ac:dyDescent="0.25">
      <c r="B675" s="76"/>
      <c r="C675" s="153"/>
      <c r="D675" s="153"/>
      <c r="E675" s="153"/>
      <c r="F675" s="153"/>
      <c r="G675" s="153"/>
      <c r="H675" s="153"/>
      <c r="I675" s="157"/>
      <c r="J675" s="157"/>
      <c r="K675" s="157"/>
      <c r="L675" s="157"/>
      <c r="M675" s="157"/>
      <c r="N675" s="221"/>
      <c r="O675" s="157"/>
      <c r="P675" s="157"/>
      <c r="Q675" s="157"/>
      <c r="R675" s="157"/>
      <c r="S675" s="157"/>
      <c r="T675" s="157"/>
      <c r="U675" s="157"/>
      <c r="V675" s="157"/>
      <c r="W675" s="153"/>
    </row>
    <row r="676" spans="2:23" s="14" customFormat="1" x14ac:dyDescent="0.25">
      <c r="B676" s="76"/>
      <c r="C676" s="153"/>
      <c r="D676" s="153"/>
      <c r="E676" s="153"/>
      <c r="F676" s="153"/>
      <c r="G676" s="153"/>
      <c r="H676" s="153"/>
      <c r="I676" s="157"/>
      <c r="J676" s="157"/>
      <c r="K676" s="157"/>
      <c r="L676" s="157"/>
      <c r="M676" s="157"/>
      <c r="N676" s="221"/>
      <c r="O676" s="157"/>
      <c r="P676" s="157"/>
      <c r="Q676" s="157"/>
      <c r="R676" s="157"/>
      <c r="S676" s="157"/>
      <c r="T676" s="157"/>
      <c r="U676" s="157"/>
      <c r="V676" s="157"/>
      <c r="W676" s="153"/>
    </row>
    <row r="677" spans="2:23" s="14" customFormat="1" x14ac:dyDescent="0.25">
      <c r="B677" s="76"/>
      <c r="C677" s="153"/>
      <c r="D677" s="153"/>
      <c r="E677" s="153"/>
      <c r="F677" s="153"/>
      <c r="G677" s="153"/>
      <c r="H677" s="153"/>
      <c r="I677" s="157"/>
      <c r="J677" s="157"/>
      <c r="K677" s="157"/>
      <c r="L677" s="157"/>
      <c r="M677" s="157"/>
      <c r="N677" s="221"/>
      <c r="O677" s="157"/>
      <c r="P677" s="157"/>
      <c r="Q677" s="157"/>
      <c r="R677" s="157"/>
      <c r="S677" s="157"/>
      <c r="T677" s="157"/>
      <c r="U677" s="157"/>
      <c r="V677" s="157"/>
      <c r="W677" s="153"/>
    </row>
    <row r="678" spans="2:23" s="14" customFormat="1" x14ac:dyDescent="0.25">
      <c r="B678" s="76"/>
      <c r="C678" s="153"/>
      <c r="D678" s="153"/>
      <c r="E678" s="153"/>
      <c r="F678" s="153"/>
      <c r="G678" s="153"/>
      <c r="H678" s="153"/>
      <c r="I678" s="157"/>
      <c r="J678" s="157"/>
      <c r="K678" s="157"/>
      <c r="L678" s="157"/>
      <c r="M678" s="157"/>
      <c r="N678" s="221"/>
      <c r="O678" s="157"/>
      <c r="P678" s="157"/>
      <c r="Q678" s="157"/>
      <c r="R678" s="157"/>
      <c r="S678" s="157"/>
      <c r="T678" s="157"/>
      <c r="U678" s="157"/>
      <c r="V678" s="157"/>
      <c r="W678" s="153"/>
    </row>
    <row r="679" spans="2:23" s="14" customFormat="1" x14ac:dyDescent="0.25">
      <c r="B679" s="76"/>
      <c r="C679" s="153"/>
      <c r="D679" s="153"/>
      <c r="E679" s="153"/>
      <c r="F679" s="153"/>
      <c r="G679" s="153"/>
      <c r="H679" s="153"/>
      <c r="I679" s="157"/>
      <c r="J679" s="157"/>
      <c r="K679" s="157"/>
      <c r="L679" s="157"/>
      <c r="M679" s="157"/>
      <c r="N679" s="221"/>
      <c r="O679" s="157"/>
      <c r="P679" s="157"/>
      <c r="Q679" s="157"/>
      <c r="R679" s="157"/>
      <c r="S679" s="157"/>
      <c r="T679" s="157"/>
      <c r="U679" s="157"/>
      <c r="V679" s="157"/>
      <c r="W679" s="153"/>
    </row>
    <row r="680" spans="2:23" s="14" customFormat="1" x14ac:dyDescent="0.25">
      <c r="B680" s="76"/>
      <c r="C680" s="153"/>
      <c r="D680" s="153"/>
      <c r="E680" s="153"/>
      <c r="F680" s="153"/>
      <c r="G680" s="153"/>
      <c r="H680" s="153"/>
      <c r="I680" s="157"/>
      <c r="J680" s="157"/>
      <c r="K680" s="157"/>
      <c r="L680" s="157"/>
      <c r="M680" s="157"/>
      <c r="N680" s="221"/>
      <c r="O680" s="157"/>
      <c r="P680" s="157"/>
      <c r="Q680" s="157"/>
      <c r="R680" s="157"/>
      <c r="S680" s="157"/>
      <c r="T680" s="157"/>
      <c r="U680" s="157"/>
      <c r="V680" s="157"/>
      <c r="W680" s="153"/>
    </row>
    <row r="681" spans="2:23" s="14" customFormat="1" x14ac:dyDescent="0.25">
      <c r="B681" s="76"/>
      <c r="C681" s="153"/>
      <c r="D681" s="153"/>
      <c r="E681" s="153"/>
      <c r="F681" s="153"/>
      <c r="G681" s="153"/>
      <c r="H681" s="153"/>
      <c r="I681" s="157"/>
      <c r="J681" s="157"/>
      <c r="K681" s="157"/>
      <c r="L681" s="157"/>
      <c r="M681" s="157"/>
      <c r="N681" s="221"/>
      <c r="O681" s="157"/>
      <c r="P681" s="157"/>
      <c r="Q681" s="157"/>
      <c r="R681" s="157"/>
      <c r="S681" s="157"/>
      <c r="T681" s="157"/>
      <c r="U681" s="157"/>
      <c r="V681" s="157"/>
      <c r="W681" s="153"/>
    </row>
    <row r="682" spans="2:23" s="14" customFormat="1" x14ac:dyDescent="0.25">
      <c r="B682" s="76"/>
      <c r="C682" s="153"/>
      <c r="D682" s="153"/>
      <c r="E682" s="153"/>
      <c r="F682" s="153"/>
      <c r="G682" s="153"/>
      <c r="H682" s="153"/>
      <c r="I682" s="157"/>
      <c r="J682" s="157"/>
      <c r="K682" s="157"/>
      <c r="L682" s="157"/>
      <c r="M682" s="157"/>
      <c r="N682" s="221"/>
      <c r="O682" s="157"/>
      <c r="P682" s="157"/>
      <c r="Q682" s="157"/>
      <c r="R682" s="157"/>
      <c r="S682" s="157"/>
      <c r="T682" s="157"/>
      <c r="U682" s="157"/>
      <c r="V682" s="157"/>
      <c r="W682" s="153"/>
    </row>
    <row r="683" spans="2:23" s="14" customFormat="1" x14ac:dyDescent="0.25">
      <c r="B683" s="76"/>
      <c r="C683" s="153"/>
      <c r="D683" s="153"/>
      <c r="E683" s="153"/>
      <c r="F683" s="153"/>
      <c r="G683" s="153"/>
      <c r="H683" s="153"/>
      <c r="I683" s="157"/>
      <c r="J683" s="157"/>
      <c r="K683" s="157"/>
      <c r="L683" s="157"/>
      <c r="M683" s="157"/>
      <c r="N683" s="221"/>
      <c r="O683" s="157"/>
      <c r="P683" s="157"/>
      <c r="Q683" s="157"/>
      <c r="R683" s="157"/>
      <c r="S683" s="157"/>
      <c r="T683" s="157"/>
      <c r="U683" s="157"/>
      <c r="V683" s="157"/>
      <c r="W683" s="153"/>
    </row>
    <row r="684" spans="2:23" s="14" customFormat="1" x14ac:dyDescent="0.25">
      <c r="B684" s="76"/>
      <c r="C684" s="153"/>
      <c r="D684" s="153"/>
      <c r="E684" s="153"/>
      <c r="F684" s="153"/>
      <c r="G684" s="153"/>
      <c r="H684" s="153"/>
      <c r="I684" s="157"/>
      <c r="J684" s="157"/>
      <c r="K684" s="157"/>
      <c r="L684" s="157"/>
      <c r="M684" s="157"/>
      <c r="N684" s="221"/>
      <c r="O684" s="157"/>
      <c r="P684" s="157"/>
      <c r="Q684" s="157"/>
      <c r="R684" s="157"/>
      <c r="S684" s="157"/>
      <c r="T684" s="157"/>
      <c r="U684" s="157"/>
      <c r="V684" s="157"/>
      <c r="W684" s="153"/>
    </row>
    <row r="685" spans="2:23" s="14" customFormat="1" x14ac:dyDescent="0.25">
      <c r="B685" s="76"/>
      <c r="C685" s="153"/>
      <c r="D685" s="153"/>
      <c r="E685" s="153"/>
      <c r="F685" s="153"/>
      <c r="G685" s="153"/>
      <c r="H685" s="153"/>
      <c r="I685" s="157"/>
      <c r="J685" s="157"/>
      <c r="K685" s="157"/>
      <c r="L685" s="157"/>
      <c r="M685" s="157"/>
      <c r="N685" s="221"/>
      <c r="O685" s="157"/>
      <c r="P685" s="157"/>
      <c r="Q685" s="157"/>
      <c r="R685" s="157"/>
      <c r="S685" s="157"/>
      <c r="T685" s="157"/>
      <c r="U685" s="157"/>
      <c r="V685" s="157"/>
      <c r="W685" s="153"/>
    </row>
    <row r="686" spans="2:23" s="14" customFormat="1" x14ac:dyDescent="0.25">
      <c r="B686" s="76"/>
      <c r="C686" s="153"/>
      <c r="D686" s="153"/>
      <c r="E686" s="153"/>
      <c r="F686" s="153"/>
      <c r="G686" s="153"/>
      <c r="H686" s="153"/>
      <c r="I686" s="157"/>
      <c r="J686" s="157"/>
      <c r="K686" s="157"/>
      <c r="L686" s="157"/>
      <c r="M686" s="157"/>
      <c r="N686" s="221"/>
      <c r="O686" s="157"/>
      <c r="P686" s="157"/>
      <c r="Q686" s="157"/>
      <c r="R686" s="157"/>
      <c r="S686" s="157"/>
      <c r="T686" s="157"/>
      <c r="U686" s="157"/>
      <c r="V686" s="157"/>
      <c r="W686" s="153"/>
    </row>
    <row r="687" spans="2:23" s="14" customFormat="1" x14ac:dyDescent="0.25">
      <c r="B687" s="76"/>
      <c r="C687" s="153"/>
      <c r="D687" s="153"/>
      <c r="E687" s="153"/>
      <c r="F687" s="153"/>
      <c r="G687" s="153"/>
      <c r="H687" s="153"/>
      <c r="I687" s="157"/>
      <c r="J687" s="157"/>
      <c r="K687" s="157"/>
      <c r="L687" s="157"/>
      <c r="M687" s="157"/>
      <c r="N687" s="221"/>
      <c r="O687" s="157"/>
      <c r="P687" s="157"/>
      <c r="Q687" s="157"/>
      <c r="R687" s="157"/>
      <c r="S687" s="157"/>
      <c r="T687" s="157"/>
      <c r="U687" s="157"/>
      <c r="V687" s="157"/>
      <c r="W687" s="153"/>
    </row>
    <row r="688" spans="2:23" s="14" customFormat="1" x14ac:dyDescent="0.25">
      <c r="B688" s="76"/>
      <c r="C688" s="153"/>
      <c r="D688" s="153"/>
      <c r="E688" s="153"/>
      <c r="F688" s="153"/>
      <c r="G688" s="153"/>
      <c r="H688" s="153"/>
      <c r="I688" s="157"/>
      <c r="J688" s="157"/>
      <c r="K688" s="157"/>
      <c r="L688" s="157"/>
      <c r="M688" s="157"/>
      <c r="N688" s="221"/>
      <c r="O688" s="157"/>
      <c r="P688" s="157"/>
      <c r="Q688" s="157"/>
      <c r="R688" s="157"/>
      <c r="S688" s="157"/>
      <c r="T688" s="157"/>
      <c r="U688" s="157"/>
      <c r="V688" s="157"/>
      <c r="W688" s="153"/>
    </row>
    <row r="689" spans="2:23" s="14" customFormat="1" x14ac:dyDescent="0.25">
      <c r="B689" s="76"/>
      <c r="C689" s="153"/>
      <c r="D689" s="153"/>
      <c r="E689" s="153"/>
      <c r="F689" s="153"/>
      <c r="G689" s="153"/>
      <c r="H689" s="153"/>
      <c r="I689" s="157"/>
      <c r="J689" s="157"/>
      <c r="K689" s="157"/>
      <c r="L689" s="157"/>
      <c r="M689" s="157"/>
      <c r="N689" s="221"/>
      <c r="O689" s="157"/>
      <c r="P689" s="157"/>
      <c r="Q689" s="157"/>
      <c r="R689" s="157"/>
      <c r="S689" s="157"/>
      <c r="T689" s="157"/>
      <c r="U689" s="157"/>
      <c r="V689" s="157"/>
      <c r="W689" s="153"/>
    </row>
    <row r="690" spans="2:23" s="14" customFormat="1" x14ac:dyDescent="0.25">
      <c r="B690" s="76"/>
      <c r="C690" s="153"/>
      <c r="D690" s="153"/>
      <c r="E690" s="153"/>
      <c r="F690" s="153"/>
      <c r="G690" s="153"/>
      <c r="H690" s="153"/>
      <c r="I690" s="157"/>
      <c r="J690" s="157"/>
      <c r="K690" s="157"/>
      <c r="L690" s="157"/>
      <c r="M690" s="157"/>
      <c r="N690" s="221"/>
      <c r="O690" s="157"/>
      <c r="P690" s="157"/>
      <c r="Q690" s="157"/>
      <c r="R690" s="157"/>
      <c r="S690" s="157"/>
      <c r="T690" s="157"/>
      <c r="U690" s="157"/>
      <c r="V690" s="157"/>
      <c r="W690" s="153"/>
    </row>
    <row r="691" spans="2:23" s="14" customFormat="1" x14ac:dyDescent="0.25">
      <c r="B691" s="76"/>
      <c r="C691" s="153"/>
      <c r="D691" s="153"/>
      <c r="E691" s="153"/>
      <c r="F691" s="153"/>
      <c r="G691" s="153"/>
      <c r="H691" s="153"/>
      <c r="I691" s="157"/>
      <c r="J691" s="157"/>
      <c r="K691" s="157"/>
      <c r="L691" s="157"/>
      <c r="M691" s="157"/>
      <c r="N691" s="221"/>
      <c r="O691" s="157"/>
      <c r="P691" s="157"/>
      <c r="Q691" s="157"/>
      <c r="R691" s="157"/>
      <c r="S691" s="157"/>
      <c r="T691" s="157"/>
      <c r="U691" s="157"/>
      <c r="V691" s="157"/>
      <c r="W691" s="153"/>
    </row>
    <row r="692" spans="2:23" s="14" customFormat="1" x14ac:dyDescent="0.25">
      <c r="B692" s="76"/>
      <c r="C692" s="153"/>
      <c r="D692" s="153"/>
      <c r="E692" s="153"/>
      <c r="F692" s="153"/>
      <c r="G692" s="153"/>
      <c r="H692" s="153"/>
      <c r="I692" s="157"/>
      <c r="J692" s="157"/>
      <c r="K692" s="157"/>
      <c r="L692" s="157"/>
      <c r="M692" s="157"/>
      <c r="N692" s="221"/>
      <c r="O692" s="157"/>
      <c r="P692" s="157"/>
      <c r="Q692" s="157"/>
      <c r="R692" s="157"/>
      <c r="S692" s="157"/>
      <c r="T692" s="157"/>
      <c r="U692" s="157"/>
      <c r="V692" s="157"/>
      <c r="W692" s="153"/>
    </row>
    <row r="693" spans="2:23" s="14" customFormat="1" x14ac:dyDescent="0.25">
      <c r="B693" s="76"/>
      <c r="C693" s="153"/>
      <c r="D693" s="153"/>
      <c r="E693" s="153"/>
      <c r="F693" s="153"/>
      <c r="G693" s="153"/>
      <c r="H693" s="153"/>
      <c r="I693" s="157"/>
      <c r="J693" s="157"/>
      <c r="K693" s="157"/>
      <c r="L693" s="157"/>
      <c r="M693" s="157"/>
      <c r="N693" s="221"/>
      <c r="O693" s="157"/>
      <c r="P693" s="157"/>
      <c r="Q693" s="157"/>
      <c r="R693" s="157"/>
      <c r="S693" s="157"/>
      <c r="T693" s="157"/>
      <c r="U693" s="157"/>
      <c r="V693" s="157"/>
      <c r="W693" s="153"/>
    </row>
    <row r="694" spans="2:23" s="14" customFormat="1" x14ac:dyDescent="0.25">
      <c r="B694" s="76"/>
      <c r="C694" s="153"/>
      <c r="D694" s="153"/>
      <c r="E694" s="153"/>
      <c r="F694" s="153"/>
      <c r="G694" s="153"/>
      <c r="H694" s="153"/>
      <c r="I694" s="157"/>
      <c r="J694" s="157"/>
      <c r="K694" s="157"/>
      <c r="L694" s="157"/>
      <c r="M694" s="157"/>
      <c r="N694" s="221"/>
      <c r="O694" s="157"/>
      <c r="P694" s="157"/>
      <c r="Q694" s="157"/>
      <c r="R694" s="157"/>
      <c r="S694" s="157"/>
      <c r="T694" s="157"/>
      <c r="U694" s="157"/>
      <c r="V694" s="157"/>
      <c r="W694" s="153"/>
    </row>
    <row r="695" spans="2:23" s="14" customFormat="1" x14ac:dyDescent="0.25">
      <c r="B695" s="76"/>
      <c r="C695" s="153"/>
      <c r="D695" s="153"/>
      <c r="E695" s="153"/>
      <c r="F695" s="153"/>
      <c r="G695" s="153"/>
      <c r="H695" s="153"/>
      <c r="I695" s="157"/>
      <c r="J695" s="157"/>
      <c r="K695" s="157"/>
      <c r="L695" s="157"/>
      <c r="M695" s="157"/>
      <c r="N695" s="221"/>
      <c r="O695" s="157"/>
      <c r="P695" s="157"/>
      <c r="Q695" s="157"/>
      <c r="R695" s="157"/>
      <c r="S695" s="157"/>
      <c r="T695" s="157"/>
      <c r="U695" s="157"/>
      <c r="V695" s="157"/>
      <c r="W695" s="153"/>
    </row>
    <row r="696" spans="2:23" s="14" customFormat="1" x14ac:dyDescent="0.25">
      <c r="B696" s="76"/>
      <c r="C696" s="153"/>
      <c r="D696" s="153"/>
      <c r="E696" s="153"/>
      <c r="F696" s="153"/>
      <c r="G696" s="153"/>
      <c r="H696" s="153"/>
      <c r="I696" s="157"/>
      <c r="J696" s="157"/>
      <c r="K696" s="157"/>
      <c r="L696" s="157"/>
      <c r="M696" s="157"/>
      <c r="N696" s="221"/>
      <c r="O696" s="157"/>
      <c r="P696" s="157"/>
      <c r="Q696" s="157"/>
      <c r="R696" s="157"/>
      <c r="S696" s="157"/>
      <c r="T696" s="157"/>
      <c r="U696" s="157"/>
      <c r="V696" s="157"/>
      <c r="W696" s="153"/>
    </row>
    <row r="697" spans="2:23" s="14" customFormat="1" x14ac:dyDescent="0.25">
      <c r="B697" s="76"/>
      <c r="C697" s="153"/>
      <c r="D697" s="153"/>
      <c r="E697" s="153"/>
      <c r="F697" s="153"/>
      <c r="G697" s="153"/>
      <c r="H697" s="153"/>
      <c r="I697" s="157"/>
      <c r="J697" s="157"/>
      <c r="K697" s="157"/>
      <c r="L697" s="157"/>
      <c r="M697" s="157"/>
      <c r="N697" s="221"/>
      <c r="O697" s="157"/>
      <c r="P697" s="157"/>
      <c r="Q697" s="157"/>
      <c r="R697" s="157"/>
      <c r="S697" s="157"/>
      <c r="T697" s="157"/>
      <c r="U697" s="157"/>
      <c r="V697" s="157"/>
      <c r="W697" s="153"/>
    </row>
    <row r="698" spans="2:23" s="14" customFormat="1" x14ac:dyDescent="0.25">
      <c r="B698" s="76"/>
      <c r="C698" s="153"/>
      <c r="D698" s="153"/>
      <c r="E698" s="153"/>
      <c r="F698" s="153"/>
      <c r="G698" s="153"/>
      <c r="H698" s="153"/>
      <c r="I698" s="157"/>
      <c r="J698" s="157"/>
      <c r="K698" s="157"/>
      <c r="L698" s="157"/>
      <c r="M698" s="157"/>
      <c r="N698" s="221"/>
      <c r="O698" s="157"/>
      <c r="P698" s="157"/>
      <c r="Q698" s="157"/>
      <c r="R698" s="157"/>
      <c r="S698" s="157"/>
      <c r="T698" s="157"/>
      <c r="U698" s="157"/>
      <c r="V698" s="157"/>
      <c r="W698" s="153"/>
    </row>
    <row r="699" spans="2:23" s="14" customFormat="1" x14ac:dyDescent="0.25">
      <c r="B699" s="76"/>
      <c r="C699" s="153"/>
      <c r="D699" s="153"/>
      <c r="E699" s="153"/>
      <c r="F699" s="153"/>
      <c r="G699" s="153"/>
      <c r="H699" s="153"/>
      <c r="I699" s="157"/>
      <c r="J699" s="157"/>
      <c r="K699" s="157"/>
      <c r="L699" s="157"/>
      <c r="M699" s="157"/>
      <c r="N699" s="221"/>
      <c r="O699" s="157"/>
      <c r="P699" s="157"/>
      <c r="Q699" s="157"/>
      <c r="R699" s="157"/>
      <c r="S699" s="157"/>
      <c r="T699" s="157"/>
      <c r="U699" s="157"/>
      <c r="V699" s="157"/>
      <c r="W699" s="153"/>
    </row>
    <row r="700" spans="2:23" s="14" customFormat="1" x14ac:dyDescent="0.25">
      <c r="B700" s="76"/>
      <c r="C700" s="153"/>
      <c r="D700" s="153"/>
      <c r="E700" s="153"/>
      <c r="F700" s="153"/>
      <c r="G700" s="153"/>
      <c r="H700" s="153"/>
      <c r="I700" s="157"/>
      <c r="J700" s="157"/>
      <c r="K700" s="157"/>
      <c r="L700" s="157"/>
      <c r="M700" s="157"/>
      <c r="N700" s="221"/>
      <c r="O700" s="157"/>
      <c r="P700" s="157"/>
      <c r="Q700" s="157"/>
      <c r="R700" s="157"/>
      <c r="S700" s="157"/>
      <c r="T700" s="157"/>
      <c r="U700" s="157"/>
      <c r="V700" s="157"/>
      <c r="W700" s="153"/>
    </row>
    <row r="701" spans="2:23" s="14" customFormat="1" x14ac:dyDescent="0.25">
      <c r="B701" s="76"/>
      <c r="C701" s="153"/>
      <c r="D701" s="153"/>
      <c r="E701" s="153"/>
      <c r="F701" s="153"/>
      <c r="G701" s="153"/>
      <c r="H701" s="153"/>
      <c r="I701" s="157"/>
      <c r="J701" s="157"/>
      <c r="K701" s="157"/>
      <c r="L701" s="157"/>
      <c r="M701" s="157"/>
      <c r="N701" s="221"/>
      <c r="O701" s="157"/>
      <c r="P701" s="157"/>
      <c r="Q701" s="157"/>
      <c r="R701" s="157"/>
      <c r="S701" s="157"/>
      <c r="T701" s="157"/>
      <c r="U701" s="157"/>
      <c r="V701" s="157"/>
      <c r="W701" s="153"/>
    </row>
    <row r="702" spans="2:23" s="14" customFormat="1" x14ac:dyDescent="0.25">
      <c r="B702" s="76"/>
      <c r="C702" s="153"/>
      <c r="D702" s="153"/>
      <c r="E702" s="153"/>
      <c r="F702" s="153"/>
      <c r="G702" s="153"/>
      <c r="H702" s="153"/>
      <c r="I702" s="157"/>
      <c r="J702" s="157"/>
      <c r="K702" s="157"/>
      <c r="L702" s="157"/>
      <c r="M702" s="157"/>
      <c r="N702" s="221"/>
      <c r="O702" s="157"/>
      <c r="P702" s="157"/>
      <c r="Q702" s="157"/>
      <c r="R702" s="157"/>
      <c r="S702" s="157"/>
      <c r="T702" s="157"/>
      <c r="U702" s="157"/>
      <c r="V702" s="157"/>
      <c r="W702" s="153"/>
    </row>
    <row r="703" spans="2:23" s="14" customFormat="1" x14ac:dyDescent="0.25">
      <c r="B703" s="76"/>
      <c r="C703" s="153"/>
      <c r="D703" s="153"/>
      <c r="E703" s="153"/>
      <c r="F703" s="153"/>
      <c r="G703" s="153"/>
      <c r="H703" s="153"/>
      <c r="I703" s="157"/>
      <c r="J703" s="157"/>
      <c r="K703" s="157"/>
      <c r="L703" s="157"/>
      <c r="M703" s="157"/>
      <c r="N703" s="221"/>
      <c r="O703" s="157"/>
      <c r="P703" s="157"/>
      <c r="Q703" s="157"/>
      <c r="R703" s="157"/>
      <c r="S703" s="157"/>
      <c r="T703" s="157"/>
      <c r="U703" s="157"/>
      <c r="V703" s="157"/>
      <c r="W703" s="153"/>
    </row>
    <row r="704" spans="2:23" s="14" customFormat="1" x14ac:dyDescent="0.25">
      <c r="B704" s="76"/>
      <c r="C704" s="153"/>
      <c r="D704" s="153"/>
      <c r="E704" s="153"/>
      <c r="F704" s="153"/>
      <c r="G704" s="153"/>
      <c r="H704" s="153"/>
      <c r="I704" s="157"/>
      <c r="J704" s="157"/>
      <c r="K704" s="157"/>
      <c r="L704" s="157"/>
      <c r="M704" s="157"/>
      <c r="N704" s="221"/>
      <c r="O704" s="157"/>
      <c r="P704" s="157"/>
      <c r="Q704" s="157"/>
      <c r="R704" s="157"/>
      <c r="S704" s="157"/>
      <c r="T704" s="157"/>
      <c r="U704" s="157"/>
      <c r="V704" s="157"/>
      <c r="W704" s="153"/>
    </row>
    <row r="705" spans="2:23" s="14" customFormat="1" x14ac:dyDescent="0.25">
      <c r="B705" s="76"/>
      <c r="C705" s="153"/>
      <c r="D705" s="153"/>
      <c r="E705" s="153"/>
      <c r="F705" s="153"/>
      <c r="G705" s="153"/>
      <c r="H705" s="153"/>
      <c r="I705" s="157"/>
      <c r="J705" s="157"/>
      <c r="K705" s="157"/>
      <c r="L705" s="157"/>
      <c r="M705" s="157"/>
      <c r="N705" s="221"/>
      <c r="O705" s="157"/>
      <c r="P705" s="157"/>
      <c r="Q705" s="157"/>
      <c r="R705" s="157"/>
      <c r="S705" s="157"/>
      <c r="T705" s="157"/>
      <c r="U705" s="157"/>
      <c r="V705" s="157"/>
      <c r="W705" s="153"/>
    </row>
    <row r="706" spans="2:23" s="14" customFormat="1" x14ac:dyDescent="0.25">
      <c r="B706" s="76"/>
      <c r="C706" s="153"/>
      <c r="D706" s="153"/>
      <c r="E706" s="153"/>
      <c r="F706" s="153"/>
      <c r="G706" s="153"/>
      <c r="H706" s="153"/>
      <c r="I706" s="157"/>
      <c r="J706" s="157"/>
      <c r="K706" s="157"/>
      <c r="L706" s="157"/>
      <c r="M706" s="157"/>
      <c r="N706" s="221"/>
      <c r="O706" s="157"/>
      <c r="P706" s="157"/>
      <c r="Q706" s="157"/>
      <c r="R706" s="157"/>
      <c r="S706" s="157"/>
      <c r="T706" s="157"/>
      <c r="U706" s="157"/>
      <c r="V706" s="157"/>
      <c r="W706" s="153"/>
    </row>
    <row r="707" spans="2:23" s="14" customFormat="1" x14ac:dyDescent="0.25">
      <c r="B707" s="76"/>
      <c r="C707" s="153"/>
      <c r="D707" s="153"/>
      <c r="E707" s="153"/>
      <c r="F707" s="153"/>
      <c r="G707" s="153"/>
      <c r="H707" s="153"/>
      <c r="I707" s="157"/>
      <c r="J707" s="157"/>
      <c r="K707" s="157"/>
      <c r="L707" s="157"/>
      <c r="M707" s="157"/>
      <c r="N707" s="221"/>
      <c r="O707" s="157"/>
      <c r="P707" s="157"/>
      <c r="Q707" s="157"/>
      <c r="R707" s="157"/>
      <c r="S707" s="157"/>
      <c r="T707" s="157"/>
      <c r="U707" s="157"/>
      <c r="V707" s="157"/>
      <c r="W707" s="153"/>
    </row>
    <row r="708" spans="2:23" s="14" customFormat="1" x14ac:dyDescent="0.25">
      <c r="B708" s="76"/>
      <c r="C708" s="153"/>
      <c r="D708" s="153"/>
      <c r="E708" s="153"/>
      <c r="F708" s="153"/>
      <c r="G708" s="153"/>
      <c r="H708" s="153"/>
      <c r="I708" s="157"/>
      <c r="J708" s="157"/>
      <c r="K708" s="157"/>
      <c r="L708" s="157"/>
      <c r="M708" s="157"/>
      <c r="N708" s="221"/>
      <c r="O708" s="157"/>
      <c r="P708" s="157"/>
      <c r="Q708" s="157"/>
      <c r="R708" s="157"/>
      <c r="S708" s="157"/>
      <c r="T708" s="157"/>
      <c r="U708" s="157"/>
      <c r="V708" s="157"/>
      <c r="W708" s="153"/>
    </row>
    <row r="709" spans="2:23" s="14" customFormat="1" x14ac:dyDescent="0.25">
      <c r="B709" s="76"/>
      <c r="C709" s="153"/>
      <c r="D709" s="153"/>
      <c r="E709" s="153"/>
      <c r="F709" s="153"/>
      <c r="G709" s="153"/>
      <c r="H709" s="153"/>
      <c r="I709" s="157"/>
      <c r="J709" s="157"/>
      <c r="K709" s="157"/>
      <c r="L709" s="157"/>
      <c r="M709" s="157"/>
      <c r="N709" s="221"/>
      <c r="O709" s="157"/>
      <c r="P709" s="157"/>
      <c r="Q709" s="157"/>
      <c r="R709" s="157"/>
      <c r="S709" s="157"/>
      <c r="T709" s="157"/>
      <c r="U709" s="157"/>
      <c r="V709" s="157"/>
      <c r="W709" s="153"/>
    </row>
    <row r="710" spans="2:23" s="14" customFormat="1" x14ac:dyDescent="0.25">
      <c r="B710" s="76"/>
      <c r="C710" s="153"/>
      <c r="D710" s="153"/>
      <c r="E710" s="153"/>
      <c r="F710" s="153"/>
      <c r="G710" s="153"/>
      <c r="H710" s="153"/>
      <c r="I710" s="157"/>
      <c r="J710" s="157"/>
      <c r="K710" s="157"/>
      <c r="L710" s="157"/>
      <c r="M710" s="157"/>
      <c r="N710" s="221"/>
      <c r="O710" s="157"/>
      <c r="P710" s="157"/>
      <c r="Q710" s="157"/>
      <c r="R710" s="157"/>
      <c r="S710" s="157"/>
      <c r="T710" s="157"/>
      <c r="U710" s="157"/>
      <c r="V710" s="157"/>
      <c r="W710" s="153"/>
    </row>
    <row r="711" spans="2:23" s="14" customFormat="1" x14ac:dyDescent="0.25">
      <c r="B711" s="76"/>
      <c r="C711" s="153"/>
      <c r="D711" s="153"/>
      <c r="E711" s="153"/>
      <c r="F711" s="153"/>
      <c r="G711" s="153"/>
      <c r="H711" s="153"/>
      <c r="I711" s="157"/>
      <c r="J711" s="157"/>
      <c r="K711" s="157"/>
      <c r="L711" s="157"/>
      <c r="M711" s="157"/>
      <c r="N711" s="221"/>
      <c r="O711" s="157"/>
      <c r="P711" s="157"/>
      <c r="Q711" s="157"/>
      <c r="R711" s="157"/>
      <c r="S711" s="157"/>
      <c r="T711" s="157"/>
      <c r="U711" s="157"/>
      <c r="V711" s="157"/>
      <c r="W711" s="153"/>
    </row>
    <row r="712" spans="2:23" s="14" customFormat="1" x14ac:dyDescent="0.25">
      <c r="B712" s="76"/>
      <c r="C712" s="153"/>
      <c r="D712" s="153"/>
      <c r="E712" s="153"/>
      <c r="F712" s="153"/>
      <c r="G712" s="153"/>
      <c r="H712" s="153"/>
      <c r="I712" s="157"/>
      <c r="J712" s="157"/>
      <c r="K712" s="157"/>
      <c r="L712" s="157"/>
      <c r="M712" s="157"/>
      <c r="N712" s="221"/>
      <c r="O712" s="157"/>
      <c r="P712" s="157"/>
      <c r="Q712" s="157"/>
      <c r="R712" s="157"/>
      <c r="S712" s="157"/>
      <c r="T712" s="157"/>
      <c r="U712" s="157"/>
      <c r="V712" s="157"/>
      <c r="W712" s="153"/>
    </row>
    <row r="713" spans="2:23" s="14" customFormat="1" x14ac:dyDescent="0.25">
      <c r="B713" s="76"/>
      <c r="C713" s="153"/>
      <c r="D713" s="153"/>
      <c r="E713" s="153"/>
      <c r="F713" s="153"/>
      <c r="G713" s="153"/>
      <c r="H713" s="153"/>
      <c r="I713" s="157"/>
      <c r="J713" s="157"/>
      <c r="K713" s="157"/>
      <c r="L713" s="157"/>
      <c r="M713" s="157"/>
      <c r="N713" s="221"/>
      <c r="O713" s="157"/>
      <c r="P713" s="157"/>
      <c r="Q713" s="157"/>
      <c r="R713" s="157"/>
      <c r="S713" s="157"/>
      <c r="T713" s="157"/>
      <c r="U713" s="157"/>
      <c r="V713" s="157"/>
      <c r="W713" s="153"/>
    </row>
    <row r="714" spans="2:23" s="14" customFormat="1" x14ac:dyDescent="0.25">
      <c r="B714" s="76"/>
      <c r="C714" s="153"/>
      <c r="D714" s="153"/>
      <c r="E714" s="153"/>
      <c r="F714" s="153"/>
      <c r="G714" s="153"/>
      <c r="H714" s="153"/>
      <c r="I714" s="157"/>
      <c r="J714" s="157"/>
      <c r="K714" s="157"/>
      <c r="L714" s="157"/>
      <c r="M714" s="157"/>
      <c r="N714" s="221"/>
      <c r="O714" s="157"/>
      <c r="P714" s="157"/>
      <c r="Q714" s="157"/>
      <c r="R714" s="157"/>
      <c r="S714" s="157"/>
      <c r="T714" s="157"/>
      <c r="U714" s="157"/>
      <c r="V714" s="157"/>
      <c r="W714" s="153"/>
    </row>
    <row r="715" spans="2:23" s="14" customFormat="1" x14ac:dyDescent="0.25">
      <c r="B715" s="76"/>
      <c r="C715" s="153"/>
      <c r="D715" s="153"/>
      <c r="E715" s="153"/>
      <c r="F715" s="153"/>
      <c r="G715" s="153"/>
      <c r="H715" s="153"/>
      <c r="I715" s="157"/>
      <c r="J715" s="157"/>
      <c r="K715" s="157"/>
      <c r="L715" s="157"/>
      <c r="M715" s="157"/>
      <c r="N715" s="221"/>
      <c r="O715" s="157"/>
      <c r="P715" s="157"/>
      <c r="Q715" s="157"/>
      <c r="R715" s="157"/>
      <c r="S715" s="157"/>
      <c r="T715" s="157"/>
      <c r="U715" s="157"/>
      <c r="V715" s="157"/>
      <c r="W715" s="153"/>
    </row>
    <row r="716" spans="2:23" s="14" customFormat="1" x14ac:dyDescent="0.25">
      <c r="B716" s="76"/>
      <c r="C716" s="153"/>
      <c r="D716" s="153"/>
      <c r="E716" s="153"/>
      <c r="F716" s="153"/>
      <c r="G716" s="153"/>
      <c r="H716" s="153"/>
      <c r="I716" s="157"/>
      <c r="J716" s="157"/>
      <c r="K716" s="157"/>
      <c r="L716" s="157"/>
      <c r="M716" s="157"/>
      <c r="N716" s="221"/>
      <c r="O716" s="157"/>
      <c r="P716" s="157"/>
      <c r="Q716" s="157"/>
      <c r="R716" s="157"/>
      <c r="S716" s="157"/>
      <c r="T716" s="157"/>
      <c r="U716" s="157"/>
      <c r="V716" s="157"/>
      <c r="W716" s="153"/>
    </row>
    <row r="717" spans="2:23" s="14" customFormat="1" x14ac:dyDescent="0.25">
      <c r="B717" s="76"/>
      <c r="C717" s="153"/>
      <c r="D717" s="153"/>
      <c r="E717" s="153"/>
      <c r="F717" s="153"/>
      <c r="G717" s="153"/>
      <c r="H717" s="153"/>
      <c r="I717" s="157"/>
      <c r="J717" s="157"/>
      <c r="K717" s="157"/>
      <c r="L717" s="157"/>
      <c r="M717" s="157"/>
      <c r="N717" s="221"/>
      <c r="O717" s="157"/>
      <c r="P717" s="157"/>
      <c r="Q717" s="157"/>
      <c r="R717" s="157"/>
      <c r="S717" s="157"/>
      <c r="T717" s="157"/>
      <c r="U717" s="157"/>
      <c r="V717" s="157"/>
      <c r="W717" s="153"/>
    </row>
    <row r="718" spans="2:23" s="14" customFormat="1" x14ac:dyDescent="0.25">
      <c r="B718" s="76"/>
      <c r="C718" s="153"/>
      <c r="D718" s="153"/>
      <c r="E718" s="153"/>
      <c r="F718" s="153"/>
      <c r="G718" s="153"/>
      <c r="H718" s="153"/>
      <c r="I718" s="157"/>
      <c r="J718" s="157"/>
      <c r="K718" s="157"/>
      <c r="L718" s="157"/>
      <c r="M718" s="157"/>
      <c r="N718" s="221"/>
      <c r="O718" s="157"/>
      <c r="P718" s="157"/>
      <c r="Q718" s="157"/>
      <c r="R718" s="157"/>
      <c r="S718" s="157"/>
      <c r="T718" s="157"/>
      <c r="U718" s="157"/>
      <c r="V718" s="157"/>
      <c r="W718" s="153"/>
    </row>
    <row r="719" spans="2:23" s="14" customFormat="1" x14ac:dyDescent="0.25">
      <c r="B719" s="76"/>
      <c r="C719" s="153"/>
      <c r="D719" s="153"/>
      <c r="E719" s="153"/>
      <c r="F719" s="153"/>
      <c r="G719" s="153"/>
      <c r="H719" s="153"/>
      <c r="I719" s="157"/>
      <c r="J719" s="157"/>
      <c r="K719" s="157"/>
      <c r="L719" s="157"/>
      <c r="M719" s="157"/>
      <c r="N719" s="221"/>
      <c r="O719" s="157"/>
      <c r="P719" s="157"/>
      <c r="Q719" s="157"/>
      <c r="R719" s="157"/>
      <c r="S719" s="157"/>
      <c r="T719" s="157"/>
      <c r="U719" s="157"/>
      <c r="V719" s="157"/>
      <c r="W719" s="153"/>
    </row>
    <row r="720" spans="2:23" s="14" customFormat="1" x14ac:dyDescent="0.25">
      <c r="B720" s="76"/>
      <c r="C720" s="153"/>
      <c r="D720" s="153"/>
      <c r="E720" s="153"/>
      <c r="F720" s="153"/>
      <c r="G720" s="153"/>
      <c r="H720" s="153"/>
      <c r="I720" s="157"/>
      <c r="J720" s="157"/>
      <c r="K720" s="157"/>
      <c r="L720" s="157"/>
      <c r="M720" s="157"/>
      <c r="N720" s="221"/>
      <c r="O720" s="157"/>
      <c r="P720" s="157"/>
      <c r="Q720" s="157"/>
      <c r="R720" s="157"/>
      <c r="S720" s="157"/>
      <c r="T720" s="157"/>
      <c r="U720" s="157"/>
      <c r="V720" s="157"/>
      <c r="W720" s="153"/>
    </row>
    <row r="721" spans="2:23" s="14" customFormat="1" x14ac:dyDescent="0.25">
      <c r="B721" s="76"/>
      <c r="C721" s="153"/>
      <c r="D721" s="153"/>
      <c r="E721" s="153"/>
      <c r="F721" s="153"/>
      <c r="G721" s="153"/>
      <c r="H721" s="153"/>
      <c r="I721" s="157"/>
      <c r="J721" s="157"/>
      <c r="K721" s="157"/>
      <c r="L721" s="157"/>
      <c r="M721" s="157"/>
      <c r="N721" s="221"/>
      <c r="O721" s="157"/>
      <c r="P721" s="157"/>
      <c r="Q721" s="157"/>
      <c r="R721" s="157"/>
      <c r="S721" s="157"/>
      <c r="T721" s="157"/>
      <c r="U721" s="157"/>
      <c r="V721" s="157"/>
      <c r="W721" s="153"/>
    </row>
    <row r="722" spans="2:23" s="14" customFormat="1" x14ac:dyDescent="0.25">
      <c r="B722" s="76"/>
      <c r="C722" s="153"/>
      <c r="D722" s="153"/>
      <c r="E722" s="153"/>
      <c r="F722" s="153"/>
      <c r="G722" s="153"/>
      <c r="H722" s="153"/>
      <c r="I722" s="157"/>
      <c r="J722" s="157"/>
      <c r="K722" s="157"/>
      <c r="L722" s="157"/>
      <c r="M722" s="157"/>
      <c r="N722" s="221"/>
      <c r="O722" s="157"/>
      <c r="P722" s="157"/>
      <c r="Q722" s="157"/>
      <c r="R722" s="157"/>
      <c r="S722" s="157"/>
      <c r="T722" s="157"/>
      <c r="U722" s="157"/>
      <c r="V722" s="157"/>
      <c r="W722" s="153"/>
    </row>
    <row r="723" spans="2:23" s="14" customFormat="1" x14ac:dyDescent="0.25">
      <c r="B723" s="76"/>
      <c r="C723" s="153"/>
      <c r="D723" s="153"/>
      <c r="E723" s="153"/>
      <c r="F723" s="153"/>
      <c r="G723" s="153"/>
      <c r="H723" s="153"/>
      <c r="I723" s="157"/>
      <c r="J723" s="157"/>
      <c r="K723" s="157"/>
      <c r="L723" s="157"/>
      <c r="M723" s="157"/>
      <c r="N723" s="221"/>
      <c r="O723" s="157"/>
      <c r="P723" s="157"/>
      <c r="Q723" s="157"/>
      <c r="R723" s="157"/>
      <c r="S723" s="157"/>
      <c r="T723" s="157"/>
      <c r="U723" s="157"/>
      <c r="V723" s="157"/>
      <c r="W723" s="153"/>
    </row>
    <row r="724" spans="2:23" s="14" customFormat="1" x14ac:dyDescent="0.25">
      <c r="B724" s="76"/>
      <c r="C724" s="153"/>
      <c r="D724" s="153"/>
      <c r="E724" s="153"/>
      <c r="F724" s="153"/>
      <c r="G724" s="153"/>
      <c r="H724" s="153"/>
      <c r="I724" s="157"/>
      <c r="J724" s="157"/>
      <c r="K724" s="157"/>
      <c r="L724" s="157"/>
      <c r="M724" s="157"/>
      <c r="N724" s="221"/>
      <c r="O724" s="157"/>
      <c r="P724" s="157"/>
      <c r="Q724" s="157"/>
      <c r="R724" s="157"/>
      <c r="S724" s="157"/>
      <c r="T724" s="157"/>
      <c r="U724" s="157"/>
      <c r="V724" s="157"/>
      <c r="W724" s="153"/>
    </row>
    <row r="725" spans="2:23" s="14" customFormat="1" x14ac:dyDescent="0.25">
      <c r="B725" s="76"/>
      <c r="C725" s="153"/>
      <c r="D725" s="153"/>
      <c r="E725" s="153"/>
      <c r="F725" s="153"/>
      <c r="G725" s="153"/>
      <c r="H725" s="153"/>
      <c r="I725" s="157"/>
      <c r="J725" s="157"/>
      <c r="K725" s="157"/>
      <c r="L725" s="157"/>
      <c r="M725" s="157"/>
      <c r="N725" s="221"/>
      <c r="O725" s="157"/>
      <c r="P725" s="157"/>
      <c r="Q725" s="157"/>
      <c r="R725" s="157"/>
      <c r="S725" s="157"/>
      <c r="T725" s="157"/>
      <c r="U725" s="157"/>
      <c r="V725" s="157"/>
      <c r="W725" s="153"/>
    </row>
    <row r="726" spans="2:23" s="14" customFormat="1" x14ac:dyDescent="0.25">
      <c r="B726" s="76"/>
      <c r="C726" s="153"/>
      <c r="D726" s="153"/>
      <c r="E726" s="153"/>
      <c r="F726" s="153"/>
      <c r="G726" s="153"/>
      <c r="H726" s="153"/>
      <c r="I726" s="157"/>
      <c r="J726" s="157"/>
      <c r="K726" s="157"/>
      <c r="L726" s="157"/>
      <c r="M726" s="157"/>
      <c r="N726" s="221"/>
      <c r="O726" s="157"/>
      <c r="P726" s="157"/>
      <c r="Q726" s="157"/>
      <c r="R726" s="157"/>
      <c r="S726" s="157"/>
      <c r="T726" s="157"/>
      <c r="U726" s="157"/>
      <c r="V726" s="157"/>
      <c r="W726" s="153"/>
    </row>
    <row r="727" spans="2:23" s="14" customFormat="1" x14ac:dyDescent="0.25">
      <c r="B727" s="76"/>
      <c r="C727" s="153"/>
      <c r="D727" s="153"/>
      <c r="E727" s="153"/>
      <c r="F727" s="153"/>
      <c r="G727" s="153"/>
      <c r="H727" s="153"/>
      <c r="I727" s="157"/>
      <c r="J727" s="157"/>
      <c r="K727" s="157"/>
      <c r="L727" s="157"/>
      <c r="M727" s="157"/>
      <c r="N727" s="221"/>
      <c r="O727" s="157"/>
      <c r="P727" s="157"/>
      <c r="Q727" s="157"/>
      <c r="R727" s="157"/>
      <c r="S727" s="157"/>
      <c r="T727" s="157"/>
      <c r="U727" s="157"/>
      <c r="V727" s="157"/>
      <c r="W727" s="153"/>
    </row>
    <row r="728" spans="2:23" s="14" customFormat="1" x14ac:dyDescent="0.25">
      <c r="B728" s="76"/>
      <c r="C728" s="153"/>
      <c r="D728" s="153"/>
      <c r="E728" s="153"/>
      <c r="F728" s="153"/>
      <c r="G728" s="153"/>
      <c r="H728" s="153"/>
      <c r="I728" s="157"/>
      <c r="J728" s="157"/>
      <c r="K728" s="157"/>
      <c r="L728" s="157"/>
      <c r="M728" s="157"/>
      <c r="N728" s="221"/>
      <c r="O728" s="157"/>
      <c r="P728" s="157"/>
      <c r="Q728" s="157"/>
      <c r="R728" s="157"/>
      <c r="S728" s="157"/>
      <c r="T728" s="157"/>
      <c r="U728" s="157"/>
      <c r="V728" s="157"/>
      <c r="W728" s="153"/>
    </row>
    <row r="729" spans="2:23" s="14" customFormat="1" x14ac:dyDescent="0.25">
      <c r="B729" s="76"/>
      <c r="C729" s="153"/>
      <c r="D729" s="153"/>
      <c r="E729" s="153"/>
      <c r="F729" s="153"/>
      <c r="G729" s="153"/>
      <c r="H729" s="153"/>
      <c r="I729" s="157"/>
      <c r="J729" s="157"/>
      <c r="K729" s="157"/>
      <c r="L729" s="157"/>
      <c r="M729" s="157"/>
      <c r="N729" s="221"/>
      <c r="O729" s="157"/>
      <c r="P729" s="157"/>
      <c r="Q729" s="157"/>
      <c r="R729" s="157"/>
      <c r="S729" s="157"/>
      <c r="T729" s="157"/>
      <c r="U729" s="157"/>
      <c r="V729" s="157"/>
      <c r="W729" s="153"/>
    </row>
    <row r="730" spans="2:23" s="14" customFormat="1" x14ac:dyDescent="0.25">
      <c r="B730" s="76"/>
      <c r="C730" s="153"/>
      <c r="D730" s="153"/>
      <c r="E730" s="153"/>
      <c r="F730" s="153"/>
      <c r="G730" s="153"/>
      <c r="H730" s="153"/>
      <c r="I730" s="157"/>
      <c r="J730" s="157"/>
      <c r="K730" s="157"/>
      <c r="L730" s="157"/>
      <c r="M730" s="157"/>
      <c r="N730" s="221"/>
      <c r="O730" s="157"/>
      <c r="P730" s="157"/>
      <c r="Q730" s="157"/>
      <c r="R730" s="157"/>
      <c r="S730" s="157"/>
      <c r="T730" s="157"/>
      <c r="U730" s="157"/>
      <c r="V730" s="157"/>
      <c r="W730" s="153"/>
    </row>
    <row r="731" spans="2:23" s="14" customFormat="1" x14ac:dyDescent="0.25">
      <c r="B731" s="76"/>
      <c r="C731" s="153"/>
      <c r="D731" s="153"/>
      <c r="E731" s="153"/>
      <c r="F731" s="153"/>
      <c r="G731" s="153"/>
      <c r="H731" s="153"/>
      <c r="I731" s="157"/>
      <c r="J731" s="157"/>
      <c r="K731" s="157"/>
      <c r="L731" s="157"/>
      <c r="M731" s="157"/>
      <c r="N731" s="221"/>
      <c r="O731" s="157"/>
      <c r="P731" s="157"/>
      <c r="Q731" s="157"/>
      <c r="R731" s="157"/>
      <c r="S731" s="157"/>
      <c r="T731" s="157"/>
      <c r="U731" s="157"/>
      <c r="V731" s="157"/>
      <c r="W731" s="153"/>
    </row>
    <row r="732" spans="2:23" s="14" customFormat="1" x14ac:dyDescent="0.25">
      <c r="B732" s="76"/>
      <c r="C732" s="153"/>
      <c r="D732" s="153"/>
      <c r="E732" s="153"/>
      <c r="F732" s="153"/>
      <c r="G732" s="153"/>
      <c r="H732" s="153"/>
      <c r="I732" s="157"/>
      <c r="J732" s="157"/>
      <c r="K732" s="157"/>
      <c r="L732" s="157"/>
      <c r="M732" s="157"/>
      <c r="N732" s="221"/>
      <c r="O732" s="157"/>
      <c r="P732" s="157"/>
      <c r="Q732" s="157"/>
      <c r="R732" s="157"/>
      <c r="S732" s="157"/>
      <c r="T732" s="157"/>
      <c r="U732" s="157"/>
      <c r="V732" s="157"/>
      <c r="W732" s="153"/>
    </row>
    <row r="733" spans="2:23" s="14" customFormat="1" x14ac:dyDescent="0.25">
      <c r="B733" s="76"/>
      <c r="C733" s="153"/>
      <c r="D733" s="153"/>
      <c r="E733" s="153"/>
      <c r="F733" s="153"/>
      <c r="G733" s="153"/>
      <c r="H733" s="153"/>
      <c r="I733" s="157"/>
      <c r="J733" s="157"/>
      <c r="K733" s="157"/>
      <c r="L733" s="157"/>
      <c r="M733" s="157"/>
      <c r="N733" s="221"/>
      <c r="O733" s="157"/>
      <c r="P733" s="157"/>
      <c r="Q733" s="157"/>
      <c r="R733" s="157"/>
      <c r="S733" s="157"/>
      <c r="T733" s="157"/>
      <c r="U733" s="157"/>
      <c r="V733" s="157"/>
      <c r="W733" s="153"/>
    </row>
    <row r="734" spans="2:23" s="14" customFormat="1" x14ac:dyDescent="0.25">
      <c r="B734" s="76"/>
      <c r="C734" s="153"/>
      <c r="D734" s="153"/>
      <c r="E734" s="153"/>
      <c r="F734" s="153"/>
      <c r="G734" s="153"/>
      <c r="H734" s="153"/>
      <c r="I734" s="157"/>
      <c r="J734" s="157"/>
      <c r="K734" s="157"/>
      <c r="L734" s="157"/>
      <c r="M734" s="157"/>
      <c r="N734" s="221"/>
      <c r="O734" s="157"/>
      <c r="P734" s="157"/>
      <c r="Q734" s="157"/>
      <c r="R734" s="157"/>
      <c r="S734" s="157"/>
      <c r="T734" s="157"/>
      <c r="U734" s="157"/>
      <c r="V734" s="157"/>
      <c r="W734" s="153"/>
    </row>
    <row r="735" spans="2:23" s="14" customFormat="1" x14ac:dyDescent="0.25">
      <c r="B735" s="76"/>
      <c r="C735" s="153"/>
      <c r="D735" s="153"/>
      <c r="E735" s="153"/>
      <c r="F735" s="153"/>
      <c r="G735" s="153"/>
      <c r="H735" s="153"/>
      <c r="I735" s="157"/>
      <c r="J735" s="157"/>
      <c r="K735" s="157"/>
      <c r="L735" s="157"/>
      <c r="M735" s="157"/>
      <c r="N735" s="221"/>
      <c r="O735" s="157"/>
      <c r="P735" s="157"/>
      <c r="Q735" s="157"/>
      <c r="R735" s="157"/>
      <c r="S735" s="157"/>
      <c r="T735" s="157"/>
      <c r="U735" s="157"/>
      <c r="V735" s="157"/>
      <c r="W735" s="153"/>
    </row>
    <row r="736" spans="2:23" s="14" customFormat="1" x14ac:dyDescent="0.25">
      <c r="B736" s="76"/>
      <c r="C736" s="153"/>
      <c r="D736" s="153"/>
      <c r="E736" s="153"/>
      <c r="F736" s="153"/>
      <c r="G736" s="153"/>
      <c r="H736" s="153"/>
      <c r="I736" s="157"/>
      <c r="J736" s="157"/>
      <c r="K736" s="157"/>
      <c r="L736" s="157"/>
      <c r="M736" s="157"/>
      <c r="N736" s="221"/>
      <c r="O736" s="157"/>
      <c r="P736" s="157"/>
      <c r="Q736" s="157"/>
      <c r="R736" s="157"/>
      <c r="S736" s="157"/>
      <c r="T736" s="157"/>
      <c r="U736" s="157"/>
      <c r="V736" s="157"/>
      <c r="W736" s="153"/>
    </row>
    <row r="737" spans="2:23" s="14" customFormat="1" x14ac:dyDescent="0.25">
      <c r="B737" s="76"/>
      <c r="C737" s="153"/>
      <c r="D737" s="153"/>
      <c r="E737" s="153"/>
      <c r="F737" s="153"/>
      <c r="G737" s="153"/>
      <c r="H737" s="153"/>
      <c r="I737" s="157"/>
      <c r="J737" s="157"/>
      <c r="K737" s="157"/>
      <c r="L737" s="157"/>
      <c r="M737" s="157"/>
      <c r="N737" s="221"/>
      <c r="O737" s="157"/>
      <c r="P737" s="157"/>
      <c r="Q737" s="157"/>
      <c r="R737" s="157"/>
      <c r="S737" s="157"/>
      <c r="T737" s="157"/>
      <c r="U737" s="157"/>
      <c r="V737" s="157"/>
      <c r="W737" s="153"/>
    </row>
    <row r="738" spans="2:23" s="14" customFormat="1" x14ac:dyDescent="0.25">
      <c r="B738" s="76"/>
      <c r="C738" s="153"/>
      <c r="D738" s="153"/>
      <c r="E738" s="153"/>
      <c r="F738" s="153"/>
      <c r="G738" s="153"/>
      <c r="H738" s="153"/>
      <c r="I738" s="157"/>
      <c r="J738" s="157"/>
      <c r="K738" s="157"/>
      <c r="L738" s="157"/>
      <c r="M738" s="157"/>
      <c r="N738" s="221"/>
      <c r="O738" s="157"/>
      <c r="P738" s="157"/>
      <c r="Q738" s="157"/>
      <c r="R738" s="157"/>
      <c r="S738" s="157"/>
      <c r="T738" s="157"/>
      <c r="U738" s="157"/>
      <c r="V738" s="157"/>
      <c r="W738" s="153"/>
    </row>
    <row r="739" spans="2:23" s="14" customFormat="1" x14ac:dyDescent="0.25">
      <c r="B739" s="76"/>
      <c r="C739" s="153"/>
      <c r="D739" s="153"/>
      <c r="E739" s="153"/>
      <c r="F739" s="153"/>
      <c r="G739" s="153"/>
      <c r="H739" s="153"/>
      <c r="I739" s="157"/>
      <c r="J739" s="157"/>
      <c r="K739" s="157"/>
      <c r="L739" s="157"/>
      <c r="M739" s="157"/>
      <c r="N739" s="221"/>
      <c r="O739" s="157"/>
      <c r="P739" s="157"/>
      <c r="Q739" s="157"/>
      <c r="R739" s="157"/>
      <c r="S739" s="157"/>
      <c r="T739" s="157"/>
      <c r="U739" s="157"/>
      <c r="V739" s="157"/>
      <c r="W739" s="153"/>
    </row>
    <row r="740" spans="2:23" s="14" customFormat="1" x14ac:dyDescent="0.25">
      <c r="B740" s="76"/>
      <c r="C740" s="153"/>
      <c r="D740" s="153"/>
      <c r="E740" s="153"/>
      <c r="F740" s="153"/>
      <c r="G740" s="153"/>
      <c r="H740" s="153"/>
      <c r="I740" s="157"/>
      <c r="J740" s="157"/>
      <c r="K740" s="157"/>
      <c r="L740" s="157"/>
      <c r="M740" s="157"/>
      <c r="N740" s="221"/>
      <c r="O740" s="157"/>
      <c r="P740" s="157"/>
      <c r="Q740" s="157"/>
      <c r="R740" s="157"/>
      <c r="S740" s="157"/>
      <c r="T740" s="157"/>
      <c r="U740" s="157"/>
      <c r="V740" s="157"/>
      <c r="W740" s="153"/>
    </row>
    <row r="741" spans="2:23" s="14" customFormat="1" x14ac:dyDescent="0.25">
      <c r="B741" s="76"/>
      <c r="C741" s="153"/>
      <c r="D741" s="153"/>
      <c r="E741" s="153"/>
      <c r="F741" s="153"/>
      <c r="G741" s="153"/>
      <c r="H741" s="153"/>
      <c r="I741" s="157"/>
      <c r="J741" s="157"/>
      <c r="K741" s="157"/>
      <c r="L741" s="157"/>
      <c r="M741" s="157"/>
      <c r="N741" s="221"/>
      <c r="O741" s="157"/>
      <c r="P741" s="157"/>
      <c r="Q741" s="157"/>
      <c r="R741" s="157"/>
      <c r="S741" s="157"/>
      <c r="T741" s="157"/>
      <c r="U741" s="157"/>
      <c r="V741" s="157"/>
      <c r="W741" s="153"/>
    </row>
    <row r="742" spans="2:23" s="14" customFormat="1" x14ac:dyDescent="0.25">
      <c r="B742" s="76"/>
      <c r="C742" s="153"/>
      <c r="D742" s="153"/>
      <c r="E742" s="153"/>
      <c r="F742" s="153"/>
      <c r="G742" s="153"/>
      <c r="H742" s="153"/>
      <c r="I742" s="157"/>
      <c r="J742" s="157"/>
      <c r="K742" s="157"/>
      <c r="L742" s="157"/>
      <c r="M742" s="157"/>
      <c r="N742" s="221"/>
      <c r="O742" s="157"/>
      <c r="P742" s="157"/>
      <c r="Q742" s="157"/>
      <c r="R742" s="157"/>
      <c r="S742" s="157"/>
      <c r="T742" s="157"/>
      <c r="U742" s="157"/>
      <c r="V742" s="157"/>
      <c r="W742" s="153"/>
    </row>
    <row r="743" spans="2:23" s="14" customFormat="1" x14ac:dyDescent="0.25">
      <c r="B743" s="76"/>
      <c r="C743" s="153"/>
      <c r="D743" s="153"/>
      <c r="E743" s="153"/>
      <c r="F743" s="153"/>
      <c r="G743" s="153"/>
      <c r="H743" s="153"/>
      <c r="I743" s="157"/>
      <c r="J743" s="157"/>
      <c r="K743" s="157"/>
      <c r="L743" s="157"/>
      <c r="M743" s="157"/>
      <c r="N743" s="221"/>
      <c r="O743" s="157"/>
      <c r="P743" s="157"/>
      <c r="Q743" s="157"/>
      <c r="R743" s="157"/>
      <c r="S743" s="157"/>
      <c r="T743" s="157"/>
      <c r="U743" s="157"/>
      <c r="V743" s="157"/>
      <c r="W743" s="153"/>
    </row>
    <row r="744" spans="2:23" s="14" customFormat="1" x14ac:dyDescent="0.25">
      <c r="B744" s="76"/>
      <c r="C744" s="153"/>
      <c r="D744" s="153"/>
      <c r="E744" s="153"/>
      <c r="F744" s="153"/>
      <c r="G744" s="153"/>
      <c r="H744" s="153"/>
      <c r="I744" s="157"/>
      <c r="J744" s="157"/>
      <c r="K744" s="157"/>
      <c r="L744" s="157"/>
      <c r="M744" s="157"/>
      <c r="N744" s="221"/>
      <c r="O744" s="157"/>
      <c r="P744" s="157"/>
      <c r="Q744" s="157"/>
      <c r="R744" s="157"/>
      <c r="S744" s="157"/>
      <c r="T744" s="157"/>
      <c r="U744" s="157"/>
      <c r="V744" s="157"/>
      <c r="W744" s="153"/>
    </row>
    <row r="745" spans="2:23" s="14" customFormat="1" x14ac:dyDescent="0.25">
      <c r="B745" s="76"/>
      <c r="C745" s="153"/>
      <c r="D745" s="153"/>
      <c r="E745" s="153"/>
      <c r="F745" s="153"/>
      <c r="G745" s="153"/>
      <c r="H745" s="153"/>
      <c r="I745" s="157"/>
      <c r="J745" s="157"/>
      <c r="K745" s="157"/>
      <c r="L745" s="157"/>
      <c r="M745" s="157"/>
      <c r="N745" s="221"/>
      <c r="O745" s="157"/>
      <c r="P745" s="157"/>
      <c r="Q745" s="157"/>
      <c r="R745" s="157"/>
      <c r="S745" s="157"/>
      <c r="T745" s="157"/>
      <c r="U745" s="157"/>
      <c r="V745" s="157"/>
      <c r="W745" s="153"/>
    </row>
    <row r="746" spans="2:23" s="14" customFormat="1" x14ac:dyDescent="0.25">
      <c r="B746" s="76"/>
      <c r="C746" s="153"/>
      <c r="D746" s="153"/>
      <c r="E746" s="153"/>
      <c r="F746" s="153"/>
      <c r="G746" s="153"/>
      <c r="H746" s="153"/>
      <c r="I746" s="157"/>
      <c r="J746" s="157"/>
      <c r="K746" s="157"/>
      <c r="L746" s="157"/>
      <c r="M746" s="157"/>
      <c r="N746" s="221"/>
      <c r="O746" s="157"/>
      <c r="P746" s="157"/>
      <c r="Q746" s="157"/>
      <c r="R746" s="157"/>
      <c r="S746" s="157"/>
      <c r="T746" s="157"/>
      <c r="U746" s="157"/>
      <c r="V746" s="157"/>
      <c r="W746" s="153"/>
    </row>
    <row r="747" spans="2:23" s="14" customFormat="1" x14ac:dyDescent="0.25">
      <c r="B747" s="76"/>
      <c r="C747" s="153"/>
      <c r="D747" s="153"/>
      <c r="E747" s="153"/>
      <c r="F747" s="153"/>
      <c r="G747" s="153"/>
      <c r="H747" s="153"/>
      <c r="I747" s="157"/>
      <c r="J747" s="157"/>
      <c r="K747" s="157"/>
      <c r="L747" s="157"/>
      <c r="M747" s="157"/>
      <c r="N747" s="221"/>
      <c r="O747" s="157"/>
      <c r="P747" s="157"/>
      <c r="Q747" s="157"/>
      <c r="R747" s="157"/>
      <c r="S747" s="157"/>
      <c r="T747" s="157"/>
      <c r="U747" s="157"/>
      <c r="V747" s="157"/>
      <c r="W747" s="153"/>
    </row>
    <row r="748" spans="2:23" s="14" customFormat="1" x14ac:dyDescent="0.25">
      <c r="B748" s="76"/>
      <c r="C748" s="153"/>
      <c r="D748" s="153"/>
      <c r="E748" s="153"/>
      <c r="F748" s="153"/>
      <c r="G748" s="153"/>
      <c r="H748" s="153"/>
      <c r="I748" s="157"/>
      <c r="J748" s="157"/>
      <c r="K748" s="157"/>
      <c r="L748" s="157"/>
      <c r="M748" s="157"/>
      <c r="N748" s="221"/>
      <c r="O748" s="157"/>
      <c r="P748" s="157"/>
      <c r="Q748" s="157"/>
      <c r="R748" s="157"/>
      <c r="S748" s="157"/>
      <c r="T748" s="157"/>
      <c r="U748" s="157"/>
      <c r="V748" s="157"/>
      <c r="W748" s="153"/>
    </row>
    <row r="749" spans="2:23" s="14" customFormat="1" x14ac:dyDescent="0.25">
      <c r="B749" s="76"/>
      <c r="C749" s="153"/>
      <c r="D749" s="153"/>
      <c r="E749" s="153"/>
      <c r="F749" s="153"/>
      <c r="G749" s="153"/>
      <c r="H749" s="153"/>
      <c r="I749" s="157"/>
      <c r="J749" s="157"/>
      <c r="K749" s="157"/>
      <c r="L749" s="157"/>
      <c r="M749" s="157"/>
      <c r="N749" s="221"/>
      <c r="O749" s="157"/>
      <c r="P749" s="157"/>
      <c r="Q749" s="157"/>
      <c r="R749" s="157"/>
      <c r="S749" s="157"/>
      <c r="T749" s="157"/>
      <c r="U749" s="157"/>
      <c r="V749" s="157"/>
      <c r="W749" s="153"/>
    </row>
    <row r="750" spans="2:23" s="14" customFormat="1" x14ac:dyDescent="0.25">
      <c r="B750" s="76"/>
      <c r="C750" s="153"/>
      <c r="D750" s="153"/>
      <c r="E750" s="153"/>
      <c r="F750" s="153"/>
      <c r="G750" s="153"/>
      <c r="H750" s="153"/>
      <c r="I750" s="157"/>
      <c r="J750" s="157"/>
      <c r="K750" s="157"/>
      <c r="L750" s="157"/>
      <c r="M750" s="157"/>
      <c r="N750" s="221"/>
      <c r="O750" s="157"/>
      <c r="P750" s="157"/>
      <c r="Q750" s="157"/>
      <c r="R750" s="157"/>
      <c r="S750" s="157"/>
      <c r="T750" s="157"/>
      <c r="U750" s="157"/>
      <c r="V750" s="157"/>
      <c r="W750" s="153"/>
    </row>
    <row r="751" spans="2:23" s="14" customFormat="1" x14ac:dyDescent="0.25">
      <c r="B751" s="76"/>
      <c r="C751" s="153"/>
      <c r="D751" s="153"/>
      <c r="E751" s="153"/>
      <c r="F751" s="153"/>
      <c r="G751" s="153"/>
      <c r="H751" s="153"/>
      <c r="I751" s="157"/>
      <c r="J751" s="157"/>
      <c r="K751" s="157"/>
      <c r="L751" s="157"/>
      <c r="M751" s="157"/>
      <c r="N751" s="221"/>
      <c r="O751" s="157"/>
      <c r="P751" s="157"/>
      <c r="Q751" s="157"/>
      <c r="R751" s="157"/>
      <c r="S751" s="157"/>
      <c r="T751" s="157"/>
      <c r="U751" s="157"/>
      <c r="V751" s="157"/>
      <c r="W751" s="153"/>
    </row>
    <row r="752" spans="2:23" s="14" customFormat="1" x14ac:dyDescent="0.25">
      <c r="B752" s="76"/>
      <c r="C752" s="153"/>
      <c r="D752" s="153"/>
      <c r="E752" s="153"/>
      <c r="F752" s="153"/>
      <c r="G752" s="153"/>
      <c r="H752" s="153"/>
      <c r="I752" s="157"/>
      <c r="J752" s="157"/>
      <c r="K752" s="157"/>
      <c r="L752" s="157"/>
      <c r="M752" s="157"/>
      <c r="N752" s="221"/>
      <c r="O752" s="157"/>
      <c r="P752" s="157"/>
      <c r="Q752" s="157"/>
      <c r="R752" s="157"/>
      <c r="S752" s="157"/>
      <c r="T752" s="157"/>
      <c r="U752" s="157"/>
      <c r="V752" s="157"/>
      <c r="W752" s="153"/>
    </row>
    <row r="753" spans="2:23" s="14" customFormat="1" x14ac:dyDescent="0.25">
      <c r="B753" s="76"/>
      <c r="C753" s="153"/>
      <c r="D753" s="153"/>
      <c r="E753" s="153"/>
      <c r="F753" s="153"/>
      <c r="G753" s="153"/>
      <c r="H753" s="153"/>
      <c r="I753" s="157"/>
      <c r="J753" s="157"/>
      <c r="K753" s="157"/>
      <c r="L753" s="157"/>
      <c r="M753" s="157"/>
      <c r="N753" s="221"/>
      <c r="O753" s="157"/>
      <c r="P753" s="157"/>
      <c r="Q753" s="157"/>
      <c r="R753" s="157"/>
      <c r="S753" s="157"/>
      <c r="T753" s="157"/>
      <c r="U753" s="157"/>
      <c r="V753" s="157"/>
      <c r="W753" s="153"/>
    </row>
    <row r="754" spans="2:23" s="14" customFormat="1" x14ac:dyDescent="0.25">
      <c r="B754" s="76"/>
      <c r="C754" s="153"/>
      <c r="D754" s="153"/>
      <c r="E754" s="153"/>
      <c r="F754" s="153"/>
      <c r="G754" s="153"/>
      <c r="H754" s="153"/>
      <c r="I754" s="157"/>
      <c r="J754" s="157"/>
      <c r="K754" s="157"/>
      <c r="L754" s="157"/>
      <c r="M754" s="157"/>
      <c r="N754" s="221"/>
      <c r="O754" s="157"/>
      <c r="P754" s="157"/>
      <c r="Q754" s="157"/>
      <c r="R754" s="157"/>
      <c r="S754" s="157"/>
      <c r="T754" s="157"/>
      <c r="U754" s="157"/>
      <c r="V754" s="157"/>
      <c r="W754" s="153"/>
    </row>
    <row r="755" spans="2:23" s="14" customFormat="1" x14ac:dyDescent="0.25">
      <c r="B755" s="76"/>
      <c r="C755" s="153"/>
      <c r="D755" s="153"/>
      <c r="E755" s="153"/>
      <c r="F755" s="153"/>
      <c r="G755" s="153"/>
      <c r="H755" s="153"/>
      <c r="I755" s="157"/>
      <c r="J755" s="157"/>
      <c r="K755" s="157"/>
      <c r="L755" s="157"/>
      <c r="M755" s="157"/>
      <c r="N755" s="221"/>
      <c r="O755" s="157"/>
      <c r="P755" s="157"/>
      <c r="Q755" s="157"/>
      <c r="R755" s="157"/>
      <c r="S755" s="157"/>
      <c r="T755" s="157"/>
      <c r="U755" s="157"/>
      <c r="V755" s="157"/>
      <c r="W755" s="153"/>
    </row>
    <row r="756" spans="2:23" s="14" customFormat="1" x14ac:dyDescent="0.25">
      <c r="B756" s="76"/>
      <c r="C756" s="153"/>
      <c r="D756" s="153"/>
      <c r="E756" s="153"/>
      <c r="F756" s="153"/>
      <c r="G756" s="153"/>
      <c r="H756" s="153"/>
      <c r="I756" s="157"/>
      <c r="J756" s="157"/>
      <c r="K756" s="157"/>
      <c r="L756" s="157"/>
      <c r="M756" s="157"/>
      <c r="N756" s="221"/>
      <c r="O756" s="157"/>
      <c r="P756" s="157"/>
      <c r="Q756" s="157"/>
      <c r="R756" s="157"/>
      <c r="S756" s="157"/>
      <c r="T756" s="157"/>
      <c r="U756" s="157"/>
      <c r="V756" s="157"/>
      <c r="W756" s="153"/>
    </row>
    <row r="757" spans="2:23" s="14" customFormat="1" x14ac:dyDescent="0.25">
      <c r="B757" s="76"/>
      <c r="C757" s="153"/>
      <c r="D757" s="153"/>
      <c r="E757" s="153"/>
      <c r="F757" s="153"/>
      <c r="G757" s="153"/>
      <c r="H757" s="153"/>
      <c r="I757" s="157"/>
      <c r="J757" s="157"/>
      <c r="K757" s="157"/>
      <c r="L757" s="157"/>
      <c r="M757" s="157"/>
      <c r="N757" s="221"/>
      <c r="O757" s="157"/>
      <c r="P757" s="157"/>
      <c r="Q757" s="157"/>
      <c r="R757" s="157"/>
      <c r="S757" s="157"/>
      <c r="T757" s="157"/>
      <c r="U757" s="157"/>
      <c r="V757" s="157"/>
      <c r="W757" s="153"/>
    </row>
    <row r="758" spans="2:23" s="14" customFormat="1" x14ac:dyDescent="0.25">
      <c r="B758" s="76"/>
      <c r="C758" s="153"/>
      <c r="D758" s="153"/>
      <c r="E758" s="153"/>
      <c r="F758" s="153"/>
      <c r="G758" s="153"/>
      <c r="H758" s="153"/>
      <c r="I758" s="157"/>
      <c r="J758" s="157"/>
      <c r="K758" s="157"/>
      <c r="L758" s="157"/>
      <c r="M758" s="157"/>
      <c r="N758" s="221"/>
      <c r="O758" s="157"/>
      <c r="P758" s="157"/>
      <c r="Q758" s="157"/>
      <c r="R758" s="157"/>
      <c r="S758" s="157"/>
      <c r="T758" s="157"/>
      <c r="U758" s="157"/>
      <c r="V758" s="157"/>
      <c r="W758" s="153"/>
    </row>
    <row r="759" spans="2:23" s="14" customFormat="1" x14ac:dyDescent="0.25">
      <c r="B759" s="76"/>
      <c r="C759" s="153"/>
      <c r="D759" s="153"/>
      <c r="E759" s="153"/>
      <c r="F759" s="153"/>
      <c r="G759" s="153"/>
      <c r="H759" s="153"/>
      <c r="I759" s="157"/>
      <c r="J759" s="157"/>
      <c r="K759" s="157"/>
      <c r="L759" s="157"/>
      <c r="M759" s="157"/>
      <c r="N759" s="221"/>
      <c r="O759" s="157"/>
      <c r="P759" s="157"/>
      <c r="Q759" s="157"/>
      <c r="R759" s="157"/>
      <c r="S759" s="157"/>
      <c r="T759" s="157"/>
      <c r="U759" s="157"/>
      <c r="V759" s="157"/>
      <c r="W759" s="153"/>
    </row>
    <row r="760" spans="2:23" s="14" customFormat="1" x14ac:dyDescent="0.25">
      <c r="B760" s="76"/>
      <c r="C760" s="153"/>
      <c r="D760" s="153"/>
      <c r="E760" s="153"/>
      <c r="F760" s="153"/>
      <c r="G760" s="153"/>
      <c r="H760" s="153"/>
      <c r="I760" s="157"/>
      <c r="J760" s="157"/>
      <c r="K760" s="157"/>
      <c r="L760" s="157"/>
      <c r="M760" s="157"/>
      <c r="N760" s="221"/>
      <c r="O760" s="157"/>
      <c r="P760" s="157"/>
      <c r="Q760" s="157"/>
      <c r="R760" s="157"/>
      <c r="S760" s="157"/>
      <c r="T760" s="157"/>
      <c r="U760" s="157"/>
      <c r="V760" s="157"/>
      <c r="W760" s="153"/>
    </row>
    <row r="761" spans="2:23" s="14" customFormat="1" x14ac:dyDescent="0.25">
      <c r="B761" s="76"/>
      <c r="C761" s="153"/>
      <c r="D761" s="153"/>
      <c r="E761" s="153"/>
      <c r="F761" s="153"/>
      <c r="G761" s="153"/>
      <c r="H761" s="153"/>
      <c r="I761" s="157"/>
      <c r="J761" s="157"/>
      <c r="K761" s="157"/>
      <c r="L761" s="157"/>
      <c r="M761" s="157"/>
      <c r="N761" s="221"/>
      <c r="O761" s="157"/>
      <c r="P761" s="157"/>
      <c r="Q761" s="157"/>
      <c r="R761" s="157"/>
      <c r="S761" s="157"/>
      <c r="T761" s="157"/>
      <c r="U761" s="157"/>
      <c r="V761" s="157"/>
      <c r="W761" s="153"/>
    </row>
    <row r="762" spans="2:23" s="14" customFormat="1" x14ac:dyDescent="0.25">
      <c r="B762" s="76"/>
      <c r="C762" s="153"/>
      <c r="D762" s="153"/>
      <c r="E762" s="153"/>
      <c r="F762" s="153"/>
      <c r="G762" s="153"/>
      <c r="H762" s="153"/>
      <c r="I762" s="157"/>
      <c r="J762" s="157"/>
      <c r="K762" s="157"/>
      <c r="L762" s="157"/>
      <c r="M762" s="157"/>
      <c r="N762" s="221"/>
      <c r="O762" s="157"/>
      <c r="P762" s="157"/>
      <c r="Q762" s="157"/>
      <c r="R762" s="157"/>
      <c r="S762" s="157"/>
      <c r="T762" s="157"/>
      <c r="U762" s="157"/>
      <c r="V762" s="157"/>
      <c r="W762" s="153"/>
    </row>
    <row r="763" spans="2:23" s="14" customFormat="1" x14ac:dyDescent="0.25">
      <c r="B763" s="76"/>
      <c r="C763" s="153"/>
      <c r="D763" s="153"/>
      <c r="E763" s="153"/>
      <c r="F763" s="153"/>
      <c r="G763" s="153"/>
      <c r="H763" s="153"/>
      <c r="I763" s="157"/>
      <c r="J763" s="157"/>
      <c r="K763" s="157"/>
      <c r="L763" s="157"/>
      <c r="M763" s="157"/>
      <c r="N763" s="221"/>
      <c r="O763" s="157"/>
      <c r="P763" s="157"/>
      <c r="Q763" s="157"/>
      <c r="R763" s="157"/>
      <c r="S763" s="157"/>
      <c r="T763" s="157"/>
      <c r="U763" s="157"/>
      <c r="V763" s="157"/>
      <c r="W763" s="153"/>
    </row>
    <row r="764" spans="2:23" s="14" customFormat="1" x14ac:dyDescent="0.25">
      <c r="B764" s="76"/>
      <c r="C764" s="153"/>
      <c r="D764" s="153"/>
      <c r="E764" s="153"/>
      <c r="F764" s="153"/>
      <c r="G764" s="153"/>
      <c r="H764" s="153"/>
      <c r="I764" s="157"/>
      <c r="J764" s="157"/>
      <c r="K764" s="157"/>
      <c r="L764" s="157"/>
      <c r="M764" s="157"/>
      <c r="N764" s="221"/>
      <c r="O764" s="157"/>
      <c r="P764" s="157"/>
      <c r="Q764" s="157"/>
      <c r="R764" s="157"/>
      <c r="S764" s="157"/>
      <c r="T764" s="157"/>
      <c r="U764" s="157"/>
      <c r="V764" s="157"/>
      <c r="W764" s="153"/>
    </row>
    <row r="765" spans="2:23" s="14" customFormat="1" x14ac:dyDescent="0.25">
      <c r="B765" s="76"/>
      <c r="C765" s="153"/>
      <c r="D765" s="153"/>
      <c r="E765" s="153"/>
      <c r="F765" s="153"/>
      <c r="G765" s="153"/>
      <c r="H765" s="153"/>
      <c r="I765" s="157"/>
      <c r="J765" s="157"/>
      <c r="K765" s="157"/>
      <c r="L765" s="157"/>
      <c r="M765" s="157"/>
      <c r="N765" s="221"/>
      <c r="O765" s="157"/>
      <c r="P765" s="157"/>
      <c r="Q765" s="157"/>
      <c r="R765" s="157"/>
      <c r="S765" s="157"/>
      <c r="T765" s="157"/>
      <c r="U765" s="157"/>
      <c r="V765" s="157"/>
      <c r="W765" s="153"/>
    </row>
    <row r="766" spans="2:23" s="14" customFormat="1" x14ac:dyDescent="0.25">
      <c r="B766" s="76"/>
      <c r="C766" s="153"/>
      <c r="D766" s="153"/>
      <c r="E766" s="153"/>
      <c r="F766" s="153"/>
      <c r="G766" s="153"/>
      <c r="H766" s="153"/>
      <c r="I766" s="157"/>
      <c r="J766" s="157"/>
      <c r="K766" s="157"/>
      <c r="L766" s="157"/>
      <c r="M766" s="157"/>
      <c r="N766" s="221"/>
      <c r="O766" s="157"/>
      <c r="P766" s="157"/>
      <c r="Q766" s="157"/>
      <c r="R766" s="157"/>
      <c r="S766" s="157"/>
      <c r="T766" s="157"/>
      <c r="U766" s="157"/>
      <c r="V766" s="157"/>
      <c r="W766" s="153"/>
    </row>
    <row r="767" spans="2:23" s="14" customFormat="1" x14ac:dyDescent="0.25">
      <c r="B767" s="76"/>
      <c r="C767" s="153"/>
      <c r="D767" s="153"/>
      <c r="E767" s="153"/>
      <c r="F767" s="153"/>
      <c r="G767" s="153"/>
      <c r="H767" s="153"/>
      <c r="I767" s="157"/>
      <c r="J767" s="157"/>
      <c r="K767" s="157"/>
      <c r="L767" s="157"/>
      <c r="M767" s="157"/>
      <c r="N767" s="221"/>
      <c r="O767" s="157"/>
      <c r="P767" s="157"/>
      <c r="Q767" s="157"/>
      <c r="R767" s="157"/>
      <c r="S767" s="157"/>
      <c r="T767" s="157"/>
      <c r="U767" s="157"/>
      <c r="V767" s="157"/>
      <c r="W767" s="153"/>
    </row>
    <row r="768" spans="2:23" s="14" customFormat="1" x14ac:dyDescent="0.25">
      <c r="B768" s="76"/>
      <c r="C768" s="153"/>
      <c r="D768" s="153"/>
      <c r="E768" s="153"/>
      <c r="F768" s="153"/>
      <c r="G768" s="153"/>
      <c r="H768" s="153"/>
      <c r="I768" s="157"/>
      <c r="J768" s="157"/>
      <c r="K768" s="157"/>
      <c r="L768" s="157"/>
      <c r="M768" s="157"/>
      <c r="N768" s="221"/>
      <c r="O768" s="157"/>
      <c r="P768" s="157"/>
      <c r="Q768" s="157"/>
      <c r="R768" s="157"/>
      <c r="S768" s="157"/>
      <c r="T768" s="157"/>
      <c r="U768" s="157"/>
      <c r="V768" s="157"/>
      <c r="W768" s="153"/>
    </row>
    <row r="769" spans="2:23" s="14" customFormat="1" x14ac:dyDescent="0.25">
      <c r="B769" s="76"/>
      <c r="C769" s="153"/>
      <c r="D769" s="153"/>
      <c r="E769" s="153"/>
      <c r="F769" s="153"/>
      <c r="G769" s="153"/>
      <c r="H769" s="153"/>
      <c r="I769" s="157"/>
      <c r="J769" s="157"/>
      <c r="K769" s="157"/>
      <c r="L769" s="157"/>
      <c r="M769" s="157"/>
      <c r="N769" s="221"/>
      <c r="O769" s="157"/>
      <c r="P769" s="157"/>
      <c r="Q769" s="157"/>
      <c r="R769" s="157"/>
      <c r="S769" s="157"/>
      <c r="T769" s="157"/>
      <c r="U769" s="157"/>
      <c r="V769" s="157"/>
      <c r="W769" s="153"/>
    </row>
    <row r="770" spans="2:23" s="14" customFormat="1" x14ac:dyDescent="0.25">
      <c r="B770" s="76"/>
      <c r="C770" s="153"/>
      <c r="D770" s="153"/>
      <c r="E770" s="153"/>
      <c r="F770" s="153"/>
      <c r="G770" s="153"/>
      <c r="H770" s="153"/>
      <c r="I770" s="157"/>
      <c r="J770" s="157"/>
      <c r="K770" s="157"/>
      <c r="L770" s="157"/>
      <c r="M770" s="157"/>
      <c r="N770" s="221"/>
      <c r="O770" s="157"/>
      <c r="P770" s="157"/>
      <c r="Q770" s="157"/>
      <c r="R770" s="157"/>
      <c r="S770" s="157"/>
      <c r="T770" s="157"/>
      <c r="U770" s="157"/>
      <c r="V770" s="157"/>
      <c r="W770" s="153"/>
    </row>
    <row r="771" spans="2:23" s="14" customFormat="1" x14ac:dyDescent="0.25">
      <c r="B771" s="76"/>
      <c r="C771" s="153"/>
      <c r="D771" s="153"/>
      <c r="E771" s="153"/>
      <c r="F771" s="153"/>
      <c r="G771" s="153"/>
      <c r="H771" s="153"/>
      <c r="I771" s="157"/>
      <c r="J771" s="157"/>
      <c r="K771" s="157"/>
      <c r="L771" s="157"/>
      <c r="M771" s="157"/>
      <c r="N771" s="221"/>
      <c r="O771" s="157"/>
      <c r="P771" s="157"/>
      <c r="Q771" s="157"/>
      <c r="R771" s="157"/>
      <c r="S771" s="157"/>
      <c r="T771" s="157"/>
      <c r="U771" s="157"/>
      <c r="V771" s="157"/>
      <c r="W771" s="153"/>
    </row>
    <row r="772" spans="2:23" s="14" customFormat="1" x14ac:dyDescent="0.25">
      <c r="B772" s="76"/>
      <c r="C772" s="153"/>
      <c r="D772" s="153"/>
      <c r="E772" s="153"/>
      <c r="F772" s="153"/>
      <c r="G772" s="153"/>
      <c r="H772" s="153"/>
      <c r="I772" s="157"/>
      <c r="J772" s="157"/>
      <c r="K772" s="157"/>
      <c r="L772" s="157"/>
      <c r="M772" s="157"/>
      <c r="N772" s="221"/>
      <c r="O772" s="157"/>
      <c r="P772" s="157"/>
      <c r="Q772" s="157"/>
      <c r="R772" s="157"/>
      <c r="S772" s="157"/>
      <c r="T772" s="157"/>
      <c r="U772" s="157"/>
      <c r="V772" s="157"/>
      <c r="W772" s="153"/>
    </row>
    <row r="773" spans="2:23" s="14" customFormat="1" x14ac:dyDescent="0.25">
      <c r="B773" s="76"/>
      <c r="C773" s="153"/>
      <c r="D773" s="153"/>
      <c r="E773" s="153"/>
      <c r="F773" s="153"/>
      <c r="G773" s="153"/>
      <c r="H773" s="153"/>
      <c r="I773" s="157"/>
      <c r="J773" s="157"/>
      <c r="K773" s="157"/>
      <c r="L773" s="157"/>
      <c r="M773" s="157"/>
      <c r="N773" s="221"/>
      <c r="O773" s="157"/>
      <c r="P773" s="157"/>
      <c r="Q773" s="157"/>
      <c r="R773" s="157"/>
      <c r="S773" s="157"/>
      <c r="T773" s="157"/>
      <c r="U773" s="157"/>
      <c r="V773" s="157"/>
      <c r="W773" s="153"/>
    </row>
    <row r="774" spans="2:23" s="14" customFormat="1" x14ac:dyDescent="0.25">
      <c r="B774" s="76"/>
      <c r="C774" s="153"/>
      <c r="D774" s="153"/>
      <c r="E774" s="153"/>
      <c r="F774" s="153"/>
      <c r="G774" s="153"/>
      <c r="H774" s="153"/>
      <c r="I774" s="157"/>
      <c r="J774" s="157"/>
      <c r="K774" s="157"/>
      <c r="L774" s="157"/>
      <c r="M774" s="157"/>
      <c r="N774" s="221"/>
      <c r="O774" s="157"/>
      <c r="P774" s="157"/>
      <c r="Q774" s="157"/>
      <c r="R774" s="157"/>
      <c r="S774" s="157"/>
      <c r="T774" s="157"/>
      <c r="U774" s="157"/>
      <c r="V774" s="157"/>
      <c r="W774" s="153"/>
    </row>
    <row r="775" spans="2:23" s="14" customFormat="1" x14ac:dyDescent="0.25">
      <c r="B775" s="76"/>
      <c r="C775" s="153"/>
      <c r="D775" s="153"/>
      <c r="E775" s="153"/>
      <c r="F775" s="153"/>
      <c r="G775" s="153"/>
      <c r="H775" s="153"/>
      <c r="I775" s="157"/>
      <c r="J775" s="157"/>
      <c r="K775" s="157"/>
      <c r="L775" s="157"/>
      <c r="M775" s="157"/>
      <c r="N775" s="221"/>
      <c r="O775" s="157"/>
      <c r="P775" s="157"/>
      <c r="Q775" s="157"/>
      <c r="R775" s="157"/>
      <c r="S775" s="157"/>
      <c r="T775" s="157"/>
      <c r="U775" s="157"/>
      <c r="V775" s="157"/>
      <c r="W775" s="153"/>
    </row>
    <row r="776" spans="2:23" s="14" customFormat="1" x14ac:dyDescent="0.25">
      <c r="B776" s="76"/>
      <c r="C776" s="153"/>
      <c r="D776" s="153"/>
      <c r="E776" s="153"/>
      <c r="F776" s="153"/>
      <c r="G776" s="153"/>
      <c r="H776" s="153"/>
      <c r="I776" s="157"/>
      <c r="J776" s="157"/>
      <c r="K776" s="157"/>
      <c r="L776" s="157"/>
      <c r="M776" s="157"/>
      <c r="N776" s="221"/>
      <c r="O776" s="157"/>
      <c r="P776" s="157"/>
      <c r="Q776" s="157"/>
      <c r="R776" s="157"/>
      <c r="S776" s="157"/>
      <c r="T776" s="157"/>
      <c r="U776" s="157"/>
      <c r="V776" s="157"/>
      <c r="W776" s="153"/>
    </row>
    <row r="777" spans="2:23" s="14" customFormat="1" x14ac:dyDescent="0.25">
      <c r="B777" s="76"/>
      <c r="C777" s="153"/>
      <c r="D777" s="153"/>
      <c r="E777" s="153"/>
      <c r="F777" s="153"/>
      <c r="G777" s="153"/>
      <c r="H777" s="153"/>
      <c r="I777" s="157"/>
      <c r="J777" s="157"/>
      <c r="K777" s="157"/>
      <c r="L777" s="157"/>
      <c r="M777" s="157"/>
      <c r="N777" s="221"/>
      <c r="O777" s="157"/>
      <c r="P777" s="157"/>
      <c r="Q777" s="157"/>
      <c r="R777" s="157"/>
      <c r="S777" s="157"/>
      <c r="T777" s="157"/>
      <c r="U777" s="157"/>
      <c r="V777" s="157"/>
      <c r="W777" s="153"/>
    </row>
    <row r="778" spans="2:23" s="14" customFormat="1" x14ac:dyDescent="0.25">
      <c r="B778" s="76"/>
      <c r="C778" s="153"/>
      <c r="D778" s="153"/>
      <c r="E778" s="153"/>
      <c r="F778" s="153"/>
      <c r="G778" s="153"/>
      <c r="H778" s="153"/>
      <c r="I778" s="157"/>
      <c r="J778" s="157"/>
      <c r="K778" s="157"/>
      <c r="L778" s="157"/>
      <c r="M778" s="157"/>
      <c r="N778" s="221"/>
      <c r="O778" s="157"/>
      <c r="P778" s="157"/>
      <c r="Q778" s="157"/>
      <c r="R778" s="157"/>
      <c r="S778" s="157"/>
      <c r="T778" s="157"/>
      <c r="U778" s="157"/>
      <c r="V778" s="157"/>
      <c r="W778" s="153"/>
    </row>
    <row r="779" spans="2:23" s="14" customFormat="1" x14ac:dyDescent="0.25">
      <c r="B779" s="76"/>
      <c r="C779" s="153"/>
      <c r="D779" s="153"/>
      <c r="E779" s="153"/>
      <c r="F779" s="153"/>
      <c r="G779" s="153"/>
      <c r="H779" s="153"/>
      <c r="I779" s="157"/>
      <c r="J779" s="157"/>
      <c r="K779" s="157"/>
      <c r="L779" s="157"/>
      <c r="M779" s="157"/>
      <c r="N779" s="221"/>
      <c r="O779" s="157"/>
      <c r="P779" s="157"/>
      <c r="Q779" s="157"/>
      <c r="R779" s="157"/>
      <c r="S779" s="157"/>
      <c r="T779" s="157"/>
      <c r="U779" s="157"/>
      <c r="V779" s="157"/>
      <c r="W779" s="153"/>
    </row>
    <row r="780" spans="2:23" s="14" customFormat="1" x14ac:dyDescent="0.25">
      <c r="B780" s="76"/>
      <c r="C780" s="153"/>
      <c r="D780" s="153"/>
      <c r="E780" s="153"/>
      <c r="F780" s="153"/>
      <c r="G780" s="153"/>
      <c r="H780" s="153"/>
      <c r="I780" s="157"/>
      <c r="J780" s="157"/>
      <c r="K780" s="157"/>
      <c r="L780" s="157"/>
      <c r="M780" s="157"/>
      <c r="N780" s="221"/>
      <c r="O780" s="157"/>
      <c r="P780" s="157"/>
      <c r="Q780" s="157"/>
      <c r="R780" s="157"/>
      <c r="S780" s="157"/>
      <c r="T780" s="157"/>
      <c r="U780" s="157"/>
      <c r="V780" s="157"/>
      <c r="W780" s="153"/>
    </row>
    <row r="781" spans="2:23" s="14" customFormat="1" x14ac:dyDescent="0.25">
      <c r="B781" s="76"/>
      <c r="C781" s="153"/>
      <c r="D781" s="153"/>
      <c r="E781" s="153"/>
      <c r="F781" s="153"/>
      <c r="G781" s="153"/>
      <c r="H781" s="153"/>
      <c r="I781" s="157"/>
      <c r="J781" s="157"/>
      <c r="K781" s="157"/>
      <c r="L781" s="157"/>
      <c r="M781" s="157"/>
      <c r="N781" s="221"/>
      <c r="O781" s="157"/>
      <c r="P781" s="157"/>
      <c r="Q781" s="157"/>
      <c r="R781" s="157"/>
      <c r="S781" s="157"/>
      <c r="T781" s="157"/>
      <c r="U781" s="157"/>
      <c r="V781" s="157"/>
      <c r="W781" s="153"/>
    </row>
    <row r="782" spans="2:23" s="14" customFormat="1" x14ac:dyDescent="0.25">
      <c r="B782" s="76"/>
      <c r="C782" s="153"/>
      <c r="D782" s="153"/>
      <c r="E782" s="153"/>
      <c r="F782" s="153"/>
      <c r="G782" s="153"/>
      <c r="H782" s="153"/>
      <c r="I782" s="157"/>
      <c r="J782" s="157"/>
      <c r="K782" s="157"/>
      <c r="L782" s="157"/>
      <c r="M782" s="157"/>
      <c r="N782" s="221"/>
      <c r="O782" s="157"/>
      <c r="P782" s="157"/>
      <c r="Q782" s="157"/>
      <c r="R782" s="157"/>
      <c r="S782" s="157"/>
      <c r="T782" s="157"/>
      <c r="U782" s="157"/>
      <c r="V782" s="157"/>
      <c r="W782" s="153"/>
    </row>
    <row r="783" spans="2:23" s="14" customFormat="1" x14ac:dyDescent="0.25">
      <c r="B783" s="76"/>
      <c r="C783" s="153"/>
      <c r="D783" s="153"/>
      <c r="E783" s="153"/>
      <c r="F783" s="153"/>
      <c r="G783" s="153"/>
      <c r="H783" s="153"/>
      <c r="I783" s="157"/>
      <c r="J783" s="157"/>
      <c r="K783" s="157"/>
      <c r="L783" s="157"/>
      <c r="M783" s="157"/>
      <c r="N783" s="221"/>
      <c r="O783" s="157"/>
      <c r="P783" s="157"/>
      <c r="Q783" s="157"/>
      <c r="R783" s="157"/>
      <c r="S783" s="157"/>
      <c r="T783" s="157"/>
      <c r="U783" s="157"/>
      <c r="V783" s="157"/>
      <c r="W783" s="153"/>
    </row>
    <row r="784" spans="2:23" s="14" customFormat="1" x14ac:dyDescent="0.25">
      <c r="B784" s="76"/>
      <c r="C784" s="153"/>
      <c r="D784" s="153"/>
      <c r="E784" s="153"/>
      <c r="F784" s="153"/>
      <c r="G784" s="153"/>
      <c r="H784" s="153"/>
      <c r="I784" s="157"/>
      <c r="J784" s="157"/>
      <c r="K784" s="157"/>
      <c r="L784" s="157"/>
      <c r="M784" s="157"/>
      <c r="N784" s="221"/>
      <c r="O784" s="157"/>
      <c r="P784" s="157"/>
      <c r="Q784" s="157"/>
      <c r="R784" s="157"/>
      <c r="S784" s="157"/>
      <c r="T784" s="157"/>
      <c r="U784" s="157"/>
      <c r="V784" s="157"/>
      <c r="W784" s="153"/>
    </row>
    <row r="785" spans="2:23" s="14" customFormat="1" x14ac:dyDescent="0.25">
      <c r="B785" s="76"/>
      <c r="C785" s="153"/>
      <c r="D785" s="153"/>
      <c r="E785" s="153"/>
      <c r="F785" s="153"/>
      <c r="G785" s="153"/>
      <c r="H785" s="153"/>
      <c r="I785" s="157"/>
      <c r="J785" s="157"/>
      <c r="K785" s="157"/>
      <c r="L785" s="157"/>
      <c r="M785" s="157"/>
      <c r="N785" s="221"/>
      <c r="O785" s="157"/>
      <c r="P785" s="157"/>
      <c r="Q785" s="157"/>
      <c r="R785" s="157"/>
      <c r="S785" s="157"/>
      <c r="T785" s="157"/>
      <c r="U785" s="157"/>
      <c r="V785" s="157"/>
      <c r="W785" s="153"/>
    </row>
    <row r="786" spans="2:23" s="14" customFormat="1" x14ac:dyDescent="0.25">
      <c r="B786" s="76"/>
      <c r="C786" s="153"/>
      <c r="D786" s="153"/>
      <c r="E786" s="153"/>
      <c r="F786" s="153"/>
      <c r="G786" s="153"/>
      <c r="H786" s="153"/>
      <c r="I786" s="157"/>
      <c r="J786" s="157"/>
      <c r="K786" s="157"/>
      <c r="L786" s="157"/>
      <c r="M786" s="157"/>
      <c r="N786" s="221"/>
      <c r="O786" s="157"/>
      <c r="P786" s="157"/>
      <c r="Q786" s="157"/>
      <c r="R786" s="157"/>
      <c r="S786" s="157"/>
      <c r="T786" s="157"/>
      <c r="U786" s="157"/>
      <c r="V786" s="157"/>
      <c r="W786" s="153"/>
    </row>
    <row r="787" spans="2:23" s="14" customFormat="1" x14ac:dyDescent="0.25">
      <c r="B787" s="76"/>
      <c r="C787" s="153"/>
      <c r="D787" s="153"/>
      <c r="E787" s="153"/>
      <c r="F787" s="153"/>
      <c r="G787" s="153"/>
      <c r="H787" s="153"/>
      <c r="I787" s="157"/>
      <c r="J787" s="157"/>
      <c r="K787" s="157"/>
      <c r="L787" s="157"/>
      <c r="M787" s="157"/>
      <c r="N787" s="221"/>
      <c r="O787" s="157"/>
      <c r="P787" s="157"/>
      <c r="Q787" s="157"/>
      <c r="R787" s="157"/>
      <c r="S787" s="157"/>
      <c r="T787" s="157"/>
      <c r="U787" s="157"/>
      <c r="V787" s="157"/>
      <c r="W787" s="153"/>
    </row>
    <row r="788" spans="2:23" s="14" customFormat="1" x14ac:dyDescent="0.25">
      <c r="B788" s="76"/>
      <c r="C788" s="153"/>
      <c r="D788" s="153"/>
      <c r="E788" s="153"/>
      <c r="F788" s="153"/>
      <c r="G788" s="153"/>
      <c r="H788" s="153"/>
      <c r="I788" s="157"/>
      <c r="J788" s="157"/>
      <c r="K788" s="157"/>
      <c r="L788" s="157"/>
      <c r="M788" s="157"/>
      <c r="N788" s="221"/>
      <c r="O788" s="157"/>
      <c r="P788" s="157"/>
      <c r="Q788" s="157"/>
      <c r="R788" s="157"/>
      <c r="S788" s="157"/>
      <c r="T788" s="157"/>
      <c r="U788" s="157"/>
      <c r="V788" s="157"/>
      <c r="W788" s="153"/>
    </row>
    <row r="789" spans="2:23" s="14" customFormat="1" x14ac:dyDescent="0.25">
      <c r="B789" s="76"/>
      <c r="C789" s="153"/>
      <c r="D789" s="153"/>
      <c r="E789" s="153"/>
      <c r="F789" s="153"/>
      <c r="G789" s="153"/>
      <c r="H789" s="153"/>
      <c r="I789" s="157"/>
      <c r="J789" s="157"/>
      <c r="K789" s="157"/>
      <c r="L789" s="157"/>
      <c r="M789" s="157"/>
      <c r="N789" s="221"/>
      <c r="O789" s="157"/>
      <c r="P789" s="157"/>
      <c r="Q789" s="157"/>
      <c r="R789" s="157"/>
      <c r="S789" s="157"/>
      <c r="T789" s="157"/>
      <c r="U789" s="157"/>
      <c r="V789" s="157"/>
      <c r="W789" s="153"/>
    </row>
    <row r="790" spans="2:23" s="14" customFormat="1" x14ac:dyDescent="0.25">
      <c r="B790" s="76"/>
      <c r="C790" s="153"/>
      <c r="D790" s="153"/>
      <c r="E790" s="153"/>
      <c r="F790" s="153"/>
      <c r="G790" s="153"/>
      <c r="H790" s="153"/>
      <c r="I790" s="157"/>
      <c r="J790" s="157"/>
      <c r="K790" s="157"/>
      <c r="L790" s="157"/>
      <c r="M790" s="157"/>
      <c r="N790" s="221"/>
      <c r="O790" s="157"/>
      <c r="P790" s="157"/>
      <c r="Q790" s="157"/>
      <c r="R790" s="157"/>
      <c r="S790" s="157"/>
      <c r="T790" s="157"/>
      <c r="U790" s="157"/>
      <c r="V790" s="157"/>
      <c r="W790" s="153"/>
    </row>
    <row r="791" spans="2:23" s="14" customFormat="1" x14ac:dyDescent="0.25">
      <c r="B791" s="76"/>
      <c r="C791" s="153"/>
      <c r="D791" s="153"/>
      <c r="E791" s="153"/>
      <c r="F791" s="153"/>
      <c r="G791" s="153"/>
      <c r="H791" s="153"/>
      <c r="I791" s="157"/>
      <c r="J791" s="157"/>
      <c r="K791" s="157"/>
      <c r="L791" s="157"/>
      <c r="M791" s="157"/>
      <c r="N791" s="221"/>
      <c r="O791" s="157"/>
      <c r="P791" s="157"/>
      <c r="Q791" s="157"/>
      <c r="R791" s="157"/>
      <c r="S791" s="157"/>
      <c r="T791" s="157"/>
      <c r="U791" s="157"/>
      <c r="V791" s="157"/>
      <c r="W791" s="153"/>
    </row>
    <row r="792" spans="2:23" s="14" customFormat="1" x14ac:dyDescent="0.25">
      <c r="B792" s="76"/>
      <c r="C792" s="153"/>
      <c r="D792" s="153"/>
      <c r="E792" s="153"/>
      <c r="F792" s="153"/>
      <c r="G792" s="153"/>
      <c r="H792" s="153"/>
      <c r="I792" s="157"/>
      <c r="J792" s="157"/>
      <c r="K792" s="157"/>
      <c r="L792" s="157"/>
      <c r="M792" s="157"/>
      <c r="N792" s="221"/>
      <c r="O792" s="157"/>
      <c r="P792" s="157"/>
      <c r="Q792" s="157"/>
      <c r="R792" s="157"/>
      <c r="S792" s="157"/>
      <c r="T792" s="157"/>
      <c r="U792" s="157"/>
      <c r="V792" s="157"/>
      <c r="W792" s="153"/>
    </row>
    <row r="793" spans="2:23" s="14" customFormat="1" x14ac:dyDescent="0.25">
      <c r="B793" s="76"/>
      <c r="C793" s="153"/>
      <c r="D793" s="153"/>
      <c r="E793" s="153"/>
      <c r="F793" s="153"/>
      <c r="G793" s="153"/>
      <c r="H793" s="153"/>
      <c r="I793" s="157"/>
      <c r="J793" s="157"/>
      <c r="K793" s="157"/>
      <c r="L793" s="157"/>
      <c r="M793" s="157"/>
      <c r="N793" s="221"/>
      <c r="O793" s="157"/>
      <c r="P793" s="157"/>
      <c r="Q793" s="157"/>
      <c r="R793" s="157"/>
      <c r="S793" s="157"/>
      <c r="T793" s="157"/>
      <c r="U793" s="157"/>
      <c r="V793" s="157"/>
      <c r="W793" s="153"/>
    </row>
    <row r="794" spans="2:23" s="14" customFormat="1" x14ac:dyDescent="0.25">
      <c r="B794" s="76"/>
      <c r="C794" s="153"/>
      <c r="D794" s="153"/>
      <c r="E794" s="153"/>
      <c r="F794" s="153"/>
      <c r="G794" s="153"/>
      <c r="H794" s="153"/>
      <c r="I794" s="157"/>
      <c r="J794" s="157"/>
      <c r="K794" s="157"/>
      <c r="L794" s="157"/>
      <c r="M794" s="157"/>
      <c r="N794" s="221"/>
      <c r="O794" s="157"/>
      <c r="P794" s="157"/>
      <c r="Q794" s="157"/>
      <c r="R794" s="157"/>
      <c r="S794" s="157"/>
      <c r="T794" s="157"/>
      <c r="U794" s="157"/>
      <c r="V794" s="157"/>
      <c r="W794" s="153"/>
    </row>
    <row r="795" spans="2:23" s="14" customFormat="1" x14ac:dyDescent="0.25">
      <c r="B795" s="76"/>
      <c r="C795" s="153"/>
      <c r="D795" s="153"/>
      <c r="E795" s="153"/>
      <c r="F795" s="153"/>
      <c r="G795" s="153"/>
      <c r="H795" s="153"/>
      <c r="I795" s="157"/>
      <c r="J795" s="157"/>
      <c r="K795" s="157"/>
      <c r="L795" s="157"/>
      <c r="M795" s="157"/>
      <c r="N795" s="221"/>
      <c r="O795" s="157"/>
      <c r="P795" s="157"/>
      <c r="Q795" s="157"/>
      <c r="R795" s="157"/>
      <c r="S795" s="157"/>
      <c r="T795" s="157"/>
      <c r="U795" s="157"/>
      <c r="V795" s="157"/>
      <c r="W795" s="153"/>
    </row>
    <row r="796" spans="2:23" s="14" customFormat="1" x14ac:dyDescent="0.25">
      <c r="B796" s="76"/>
      <c r="C796" s="153"/>
      <c r="D796" s="153"/>
      <c r="E796" s="153"/>
      <c r="F796" s="153"/>
      <c r="G796" s="153"/>
      <c r="H796" s="153"/>
      <c r="I796" s="157"/>
      <c r="J796" s="157"/>
      <c r="K796" s="157"/>
      <c r="L796" s="157"/>
      <c r="M796" s="157"/>
      <c r="N796" s="221"/>
      <c r="O796" s="157"/>
      <c r="P796" s="157"/>
      <c r="Q796" s="157"/>
      <c r="R796" s="157"/>
      <c r="S796" s="157"/>
      <c r="T796" s="157"/>
      <c r="U796" s="157"/>
      <c r="V796" s="157"/>
      <c r="W796" s="153"/>
    </row>
    <row r="797" spans="2:23" s="14" customFormat="1" x14ac:dyDescent="0.25">
      <c r="B797" s="76"/>
      <c r="C797" s="153"/>
      <c r="D797" s="153"/>
      <c r="E797" s="153"/>
      <c r="F797" s="153"/>
      <c r="G797" s="153"/>
      <c r="H797" s="153"/>
      <c r="I797" s="157"/>
      <c r="J797" s="157"/>
      <c r="K797" s="157"/>
      <c r="L797" s="157"/>
      <c r="M797" s="157"/>
      <c r="N797" s="221"/>
      <c r="O797" s="157"/>
      <c r="P797" s="157"/>
      <c r="Q797" s="157"/>
      <c r="R797" s="157"/>
      <c r="S797" s="157"/>
      <c r="T797" s="157"/>
      <c r="U797" s="157"/>
      <c r="V797" s="157"/>
      <c r="W797" s="153"/>
    </row>
    <row r="798" spans="2:23" s="14" customFormat="1" x14ac:dyDescent="0.25">
      <c r="B798" s="76"/>
      <c r="C798" s="153"/>
      <c r="D798" s="153"/>
      <c r="E798" s="153"/>
      <c r="F798" s="153"/>
      <c r="G798" s="153"/>
      <c r="H798" s="153"/>
      <c r="I798" s="157"/>
      <c r="J798" s="157"/>
      <c r="K798" s="157"/>
      <c r="L798" s="157"/>
      <c r="M798" s="157"/>
      <c r="N798" s="221"/>
      <c r="O798" s="157"/>
      <c r="P798" s="157"/>
      <c r="Q798" s="157"/>
      <c r="R798" s="157"/>
      <c r="S798" s="157"/>
      <c r="T798" s="157"/>
      <c r="U798" s="157"/>
      <c r="V798" s="157"/>
      <c r="W798" s="153"/>
    </row>
    <row r="799" spans="2:23" s="14" customFormat="1" x14ac:dyDescent="0.25">
      <c r="B799" s="76"/>
      <c r="C799" s="153"/>
      <c r="D799" s="153"/>
      <c r="E799" s="153"/>
      <c r="F799" s="153"/>
      <c r="G799" s="153"/>
      <c r="H799" s="153"/>
      <c r="I799" s="157"/>
      <c r="J799" s="157"/>
      <c r="K799" s="157"/>
      <c r="L799" s="157"/>
      <c r="M799" s="157"/>
      <c r="N799" s="221"/>
      <c r="O799" s="157"/>
      <c r="P799" s="157"/>
      <c r="Q799" s="157"/>
      <c r="R799" s="157"/>
      <c r="S799" s="157"/>
      <c r="T799" s="157"/>
      <c r="U799" s="157"/>
      <c r="V799" s="157"/>
      <c r="W799" s="153"/>
    </row>
    <row r="800" spans="2:23" s="14" customFormat="1" x14ac:dyDescent="0.25">
      <c r="B800" s="76"/>
      <c r="C800" s="153"/>
      <c r="D800" s="153"/>
      <c r="E800" s="153"/>
      <c r="F800" s="153"/>
      <c r="G800" s="153"/>
      <c r="H800" s="153"/>
      <c r="I800" s="157"/>
      <c r="J800" s="157"/>
      <c r="K800" s="157"/>
      <c r="L800" s="157"/>
      <c r="M800" s="157"/>
      <c r="N800" s="221"/>
      <c r="O800" s="157"/>
      <c r="P800" s="157"/>
      <c r="Q800" s="157"/>
      <c r="R800" s="157"/>
      <c r="S800" s="157"/>
      <c r="T800" s="157"/>
      <c r="U800" s="157"/>
      <c r="V800" s="157"/>
      <c r="W800" s="153"/>
    </row>
    <row r="801" spans="2:23" s="14" customFormat="1" x14ac:dyDescent="0.25">
      <c r="B801" s="76"/>
      <c r="C801" s="153"/>
      <c r="D801" s="153"/>
      <c r="E801" s="153"/>
      <c r="F801" s="153"/>
      <c r="G801" s="153"/>
      <c r="H801" s="153"/>
      <c r="I801" s="157"/>
      <c r="J801" s="157"/>
      <c r="K801" s="157"/>
      <c r="L801" s="157"/>
      <c r="M801" s="157"/>
      <c r="N801" s="221"/>
      <c r="O801" s="157"/>
      <c r="P801" s="157"/>
      <c r="Q801" s="157"/>
      <c r="R801" s="157"/>
      <c r="S801" s="157"/>
      <c r="T801" s="157"/>
      <c r="U801" s="157"/>
      <c r="V801" s="157"/>
      <c r="W801" s="153"/>
    </row>
    <row r="802" spans="2:23" s="14" customFormat="1" x14ac:dyDescent="0.25">
      <c r="B802" s="76"/>
      <c r="C802" s="153"/>
      <c r="D802" s="153"/>
      <c r="E802" s="153"/>
      <c r="F802" s="153"/>
      <c r="G802" s="153"/>
      <c r="H802" s="153"/>
      <c r="I802" s="157"/>
      <c r="J802" s="157"/>
      <c r="K802" s="157"/>
      <c r="L802" s="157"/>
      <c r="M802" s="157"/>
      <c r="N802" s="221"/>
      <c r="O802" s="157"/>
      <c r="P802" s="157"/>
      <c r="Q802" s="157"/>
      <c r="R802" s="157"/>
      <c r="S802" s="157"/>
      <c r="T802" s="157"/>
      <c r="U802" s="157"/>
      <c r="V802" s="157"/>
      <c r="W802" s="153"/>
    </row>
    <row r="803" spans="2:23" s="14" customFormat="1" x14ac:dyDescent="0.25">
      <c r="B803" s="76"/>
      <c r="C803" s="153"/>
      <c r="D803" s="153"/>
      <c r="E803" s="153"/>
      <c r="F803" s="153"/>
      <c r="G803" s="153"/>
      <c r="H803" s="153"/>
      <c r="I803" s="157"/>
      <c r="J803" s="157"/>
      <c r="K803" s="157"/>
      <c r="L803" s="157"/>
      <c r="M803" s="157"/>
      <c r="N803" s="221"/>
      <c r="O803" s="157"/>
      <c r="P803" s="157"/>
      <c r="Q803" s="157"/>
      <c r="R803" s="157"/>
      <c r="S803" s="157"/>
      <c r="T803" s="157"/>
      <c r="U803" s="157"/>
      <c r="V803" s="157"/>
      <c r="W803" s="153"/>
    </row>
    <row r="804" spans="2:23" s="14" customFormat="1" x14ac:dyDescent="0.25">
      <c r="B804" s="76"/>
      <c r="C804" s="153"/>
      <c r="D804" s="153"/>
      <c r="E804" s="153"/>
      <c r="F804" s="153"/>
      <c r="G804" s="153"/>
      <c r="H804" s="153"/>
      <c r="I804" s="157"/>
      <c r="J804" s="157"/>
      <c r="K804" s="157"/>
      <c r="L804" s="157"/>
      <c r="M804" s="157"/>
      <c r="N804" s="221"/>
      <c r="O804" s="157"/>
      <c r="P804" s="157"/>
      <c r="Q804" s="157"/>
      <c r="R804" s="157"/>
      <c r="S804" s="157"/>
      <c r="T804" s="157"/>
      <c r="U804" s="157"/>
      <c r="V804" s="157"/>
      <c r="W804" s="153"/>
    </row>
    <row r="805" spans="2:23" s="14" customFormat="1" x14ac:dyDescent="0.25">
      <c r="B805" s="76"/>
      <c r="C805" s="153"/>
      <c r="D805" s="153"/>
      <c r="E805" s="153"/>
      <c r="F805" s="153"/>
      <c r="G805" s="153"/>
      <c r="H805" s="153"/>
      <c r="I805" s="157"/>
      <c r="J805" s="157"/>
      <c r="K805" s="157"/>
      <c r="L805" s="157"/>
      <c r="M805" s="157"/>
      <c r="N805" s="221"/>
      <c r="O805" s="157"/>
      <c r="P805" s="157"/>
      <c r="Q805" s="157"/>
      <c r="R805" s="157"/>
      <c r="S805" s="157"/>
      <c r="T805" s="157"/>
      <c r="U805" s="157"/>
      <c r="V805" s="157"/>
      <c r="W805" s="153"/>
    </row>
    <row r="806" spans="2:23" s="14" customFormat="1" x14ac:dyDescent="0.25">
      <c r="B806" s="76"/>
      <c r="C806" s="153"/>
      <c r="D806" s="153"/>
      <c r="E806" s="153"/>
      <c r="F806" s="153"/>
      <c r="G806" s="153"/>
      <c r="H806" s="153"/>
      <c r="I806" s="157"/>
      <c r="J806" s="157"/>
      <c r="K806" s="157"/>
      <c r="L806" s="157"/>
      <c r="M806" s="157"/>
      <c r="N806" s="221"/>
      <c r="O806" s="157"/>
      <c r="P806" s="157"/>
      <c r="Q806" s="157"/>
      <c r="R806" s="157"/>
      <c r="S806" s="157"/>
      <c r="T806" s="157"/>
      <c r="U806" s="157"/>
      <c r="V806" s="157"/>
      <c r="W806" s="153"/>
    </row>
    <row r="807" spans="2:23" s="14" customFormat="1" x14ac:dyDescent="0.25">
      <c r="B807" s="76"/>
      <c r="C807" s="153"/>
      <c r="D807" s="153"/>
      <c r="E807" s="153"/>
      <c r="F807" s="153"/>
      <c r="G807" s="153"/>
      <c r="H807" s="153"/>
      <c r="I807" s="157"/>
      <c r="J807" s="157"/>
      <c r="K807" s="157"/>
      <c r="L807" s="157"/>
      <c r="M807" s="157"/>
      <c r="N807" s="221"/>
      <c r="O807" s="157"/>
      <c r="P807" s="157"/>
      <c r="Q807" s="157"/>
      <c r="R807" s="157"/>
      <c r="S807" s="157"/>
      <c r="T807" s="157"/>
      <c r="U807" s="157"/>
      <c r="V807" s="157"/>
      <c r="W807" s="153"/>
    </row>
    <row r="808" spans="2:23" s="14" customFormat="1" x14ac:dyDescent="0.25">
      <c r="B808" s="76"/>
      <c r="C808" s="153"/>
      <c r="D808" s="153"/>
      <c r="E808" s="153"/>
      <c r="F808" s="153"/>
      <c r="G808" s="153"/>
      <c r="H808" s="153"/>
      <c r="I808" s="157"/>
      <c r="J808" s="157"/>
      <c r="K808" s="157"/>
      <c r="L808" s="157"/>
      <c r="M808" s="157"/>
      <c r="N808" s="221"/>
      <c r="O808" s="157"/>
      <c r="P808" s="157"/>
      <c r="Q808" s="157"/>
      <c r="R808" s="157"/>
      <c r="S808" s="157"/>
      <c r="T808" s="157"/>
      <c r="U808" s="157"/>
      <c r="V808" s="157"/>
      <c r="W808" s="153"/>
    </row>
    <row r="809" spans="2:23" s="14" customFormat="1" x14ac:dyDescent="0.25">
      <c r="B809" s="76"/>
      <c r="C809" s="153"/>
      <c r="D809" s="153"/>
      <c r="E809" s="153"/>
      <c r="F809" s="153"/>
      <c r="G809" s="153"/>
      <c r="H809" s="153"/>
      <c r="I809" s="157"/>
      <c r="J809" s="157"/>
      <c r="K809" s="157"/>
      <c r="L809" s="157"/>
      <c r="M809" s="157"/>
      <c r="N809" s="221"/>
      <c r="O809" s="157"/>
      <c r="P809" s="157"/>
      <c r="Q809" s="157"/>
      <c r="R809" s="157"/>
      <c r="S809" s="157"/>
      <c r="T809" s="157"/>
      <c r="U809" s="157"/>
      <c r="V809" s="157"/>
      <c r="W809" s="153"/>
    </row>
    <row r="810" spans="2:23" s="14" customFormat="1" x14ac:dyDescent="0.25">
      <c r="B810" s="76"/>
      <c r="C810" s="153"/>
      <c r="D810" s="153"/>
      <c r="E810" s="153"/>
      <c r="F810" s="153"/>
      <c r="G810" s="153"/>
      <c r="H810" s="153"/>
      <c r="I810" s="157"/>
      <c r="J810" s="157"/>
      <c r="K810" s="157"/>
      <c r="L810" s="157"/>
      <c r="M810" s="157"/>
      <c r="N810" s="221"/>
      <c r="O810" s="157"/>
      <c r="P810" s="157"/>
      <c r="Q810" s="157"/>
      <c r="R810" s="157"/>
      <c r="S810" s="157"/>
      <c r="T810" s="157"/>
      <c r="U810" s="157"/>
      <c r="V810" s="157"/>
      <c r="W810" s="153"/>
    </row>
    <row r="811" spans="2:23" s="14" customFormat="1" x14ac:dyDescent="0.25">
      <c r="B811" s="76"/>
      <c r="C811" s="153"/>
      <c r="D811" s="153"/>
      <c r="E811" s="153"/>
      <c r="F811" s="153"/>
      <c r="G811" s="153"/>
      <c r="H811" s="153"/>
      <c r="I811" s="157"/>
      <c r="J811" s="157"/>
      <c r="K811" s="157"/>
      <c r="L811" s="157"/>
      <c r="M811" s="157"/>
      <c r="N811" s="221"/>
      <c r="O811" s="157"/>
      <c r="P811" s="157"/>
      <c r="Q811" s="157"/>
      <c r="R811" s="157"/>
      <c r="S811" s="157"/>
      <c r="T811" s="157"/>
      <c r="U811" s="157"/>
      <c r="V811" s="157"/>
      <c r="W811" s="153"/>
    </row>
    <row r="812" spans="2:23" s="14" customFormat="1" x14ac:dyDescent="0.25">
      <c r="B812" s="76"/>
      <c r="C812" s="153"/>
      <c r="D812" s="153"/>
      <c r="E812" s="153"/>
      <c r="F812" s="153"/>
      <c r="G812" s="153"/>
      <c r="H812" s="153"/>
      <c r="I812" s="157"/>
      <c r="J812" s="157"/>
      <c r="K812" s="157"/>
      <c r="L812" s="157"/>
      <c r="M812" s="157"/>
      <c r="N812" s="221"/>
      <c r="O812" s="157"/>
      <c r="P812" s="157"/>
      <c r="Q812" s="157"/>
      <c r="R812" s="157"/>
      <c r="S812" s="157"/>
      <c r="T812" s="157"/>
      <c r="U812" s="157"/>
      <c r="V812" s="157"/>
      <c r="W812" s="153"/>
    </row>
    <row r="813" spans="2:23" s="14" customFormat="1" x14ac:dyDescent="0.25">
      <c r="B813" s="76"/>
      <c r="C813" s="153"/>
      <c r="D813" s="153"/>
      <c r="E813" s="153"/>
      <c r="F813" s="153"/>
      <c r="G813" s="153"/>
      <c r="H813" s="153"/>
      <c r="I813" s="157"/>
      <c r="J813" s="157"/>
      <c r="K813" s="157"/>
      <c r="L813" s="157"/>
      <c r="M813" s="157"/>
      <c r="N813" s="221"/>
      <c r="O813" s="157"/>
      <c r="P813" s="157"/>
      <c r="Q813" s="157"/>
      <c r="R813" s="157"/>
      <c r="S813" s="157"/>
      <c r="T813" s="157"/>
      <c r="U813" s="157"/>
      <c r="V813" s="157"/>
      <c r="W813" s="153"/>
    </row>
    <row r="814" spans="2:23" s="14" customFormat="1" x14ac:dyDescent="0.25">
      <c r="B814" s="76"/>
      <c r="C814" s="153"/>
      <c r="D814" s="153"/>
      <c r="E814" s="153"/>
      <c r="F814" s="153"/>
      <c r="G814" s="153"/>
      <c r="H814" s="153"/>
      <c r="I814" s="157"/>
      <c r="J814" s="157"/>
      <c r="K814" s="157"/>
      <c r="L814" s="157"/>
      <c r="M814" s="157"/>
      <c r="N814" s="221"/>
      <c r="O814" s="157"/>
      <c r="P814" s="157"/>
      <c r="Q814" s="157"/>
      <c r="R814" s="157"/>
      <c r="S814" s="157"/>
      <c r="T814" s="157"/>
      <c r="U814" s="157"/>
      <c r="V814" s="157"/>
      <c r="W814" s="153"/>
    </row>
    <row r="815" spans="2:23" s="14" customFormat="1" x14ac:dyDescent="0.25">
      <c r="B815" s="76"/>
      <c r="C815" s="153"/>
      <c r="D815" s="153"/>
      <c r="E815" s="153"/>
      <c r="F815" s="153"/>
      <c r="G815" s="153"/>
      <c r="H815" s="153"/>
      <c r="I815" s="157"/>
      <c r="J815" s="157"/>
      <c r="K815" s="157"/>
      <c r="L815" s="157"/>
      <c r="M815" s="157"/>
      <c r="N815" s="221"/>
      <c r="O815" s="157"/>
      <c r="P815" s="157"/>
      <c r="Q815" s="157"/>
      <c r="R815" s="157"/>
      <c r="S815" s="157"/>
      <c r="T815" s="157"/>
      <c r="U815" s="157"/>
      <c r="V815" s="157"/>
      <c r="W815" s="153"/>
    </row>
    <row r="816" spans="2:23" s="14" customFormat="1" x14ac:dyDescent="0.25">
      <c r="B816" s="76"/>
      <c r="C816" s="153"/>
      <c r="D816" s="153"/>
      <c r="E816" s="153"/>
      <c r="F816" s="153"/>
      <c r="G816" s="153"/>
      <c r="H816" s="153"/>
      <c r="I816" s="157"/>
      <c r="J816" s="157"/>
      <c r="K816" s="157"/>
      <c r="L816" s="157"/>
      <c r="M816" s="157"/>
      <c r="N816" s="221"/>
      <c r="O816" s="157"/>
      <c r="P816" s="157"/>
      <c r="Q816" s="157"/>
      <c r="R816" s="157"/>
      <c r="S816" s="157"/>
      <c r="T816" s="157"/>
      <c r="U816" s="157"/>
      <c r="V816" s="157"/>
      <c r="W816" s="153"/>
    </row>
    <row r="817" spans="2:23" s="14" customFormat="1" x14ac:dyDescent="0.25">
      <c r="B817" s="76"/>
      <c r="C817" s="153"/>
      <c r="D817" s="153"/>
      <c r="E817" s="153"/>
      <c r="F817" s="153"/>
      <c r="G817" s="153"/>
      <c r="H817" s="153"/>
      <c r="I817" s="157"/>
      <c r="J817" s="157"/>
      <c r="K817" s="157"/>
      <c r="L817" s="157"/>
      <c r="M817" s="157"/>
      <c r="N817" s="221"/>
      <c r="O817" s="157"/>
      <c r="P817" s="157"/>
      <c r="Q817" s="157"/>
      <c r="R817" s="157"/>
      <c r="S817" s="157"/>
      <c r="T817" s="157"/>
      <c r="U817" s="157"/>
      <c r="V817" s="157"/>
      <c r="W817" s="153"/>
    </row>
    <row r="818" spans="2:23" s="14" customFormat="1" x14ac:dyDescent="0.25">
      <c r="B818" s="76"/>
      <c r="C818" s="153"/>
      <c r="D818" s="153"/>
      <c r="E818" s="153"/>
      <c r="F818" s="153"/>
      <c r="G818" s="153"/>
      <c r="H818" s="153"/>
      <c r="I818" s="157"/>
      <c r="J818" s="157"/>
      <c r="K818" s="157"/>
      <c r="L818" s="157"/>
      <c r="M818" s="157"/>
      <c r="N818" s="221"/>
      <c r="O818" s="157"/>
      <c r="P818" s="157"/>
      <c r="Q818" s="157"/>
      <c r="R818" s="157"/>
      <c r="S818" s="157"/>
      <c r="T818" s="157"/>
      <c r="U818" s="157"/>
      <c r="V818" s="157"/>
      <c r="W818" s="153"/>
    </row>
    <row r="819" spans="2:23" s="14" customFormat="1" x14ac:dyDescent="0.25">
      <c r="B819" s="76"/>
      <c r="C819" s="153"/>
      <c r="D819" s="153"/>
      <c r="E819" s="153"/>
      <c r="F819" s="153"/>
      <c r="G819" s="153"/>
      <c r="H819" s="153"/>
      <c r="I819" s="157"/>
      <c r="J819" s="157"/>
      <c r="K819" s="157"/>
      <c r="L819" s="157"/>
      <c r="M819" s="157"/>
      <c r="N819" s="221"/>
      <c r="O819" s="157"/>
      <c r="P819" s="157"/>
      <c r="Q819" s="157"/>
      <c r="R819" s="157"/>
      <c r="S819" s="157"/>
      <c r="T819" s="157"/>
      <c r="U819" s="157"/>
      <c r="V819" s="157"/>
      <c r="W819" s="153"/>
    </row>
    <row r="820" spans="2:23" s="14" customFormat="1" x14ac:dyDescent="0.25">
      <c r="B820" s="76"/>
      <c r="C820" s="153"/>
      <c r="D820" s="153"/>
      <c r="E820" s="153"/>
      <c r="F820" s="153"/>
      <c r="G820" s="153"/>
      <c r="H820" s="153"/>
      <c r="I820" s="157"/>
      <c r="J820" s="157"/>
      <c r="K820" s="157"/>
      <c r="L820" s="157"/>
      <c r="M820" s="157"/>
      <c r="N820" s="221"/>
      <c r="O820" s="157"/>
      <c r="P820" s="157"/>
      <c r="Q820" s="157"/>
      <c r="R820" s="157"/>
      <c r="S820" s="157"/>
      <c r="T820" s="157"/>
      <c r="U820" s="157"/>
      <c r="V820" s="157"/>
      <c r="W820" s="153"/>
    </row>
    <row r="821" spans="2:23" s="14" customFormat="1" x14ac:dyDescent="0.25">
      <c r="B821" s="76"/>
      <c r="C821" s="153"/>
      <c r="D821" s="153"/>
      <c r="E821" s="153"/>
      <c r="F821" s="153"/>
      <c r="G821" s="153"/>
      <c r="H821" s="153"/>
      <c r="I821" s="157"/>
      <c r="J821" s="157"/>
      <c r="K821" s="157"/>
      <c r="L821" s="157"/>
      <c r="M821" s="157"/>
      <c r="N821" s="221"/>
      <c r="O821" s="157"/>
      <c r="P821" s="157"/>
      <c r="Q821" s="157"/>
      <c r="R821" s="157"/>
      <c r="S821" s="157"/>
      <c r="T821" s="157"/>
      <c r="U821" s="157"/>
      <c r="V821" s="157"/>
      <c r="W821" s="153"/>
    </row>
    <row r="822" spans="2:23" s="14" customFormat="1" x14ac:dyDescent="0.25">
      <c r="B822" s="76"/>
      <c r="C822" s="153"/>
      <c r="D822" s="153"/>
      <c r="E822" s="153"/>
      <c r="F822" s="153"/>
      <c r="G822" s="153"/>
      <c r="H822" s="153"/>
      <c r="I822" s="157"/>
      <c r="J822" s="157"/>
      <c r="K822" s="157"/>
      <c r="L822" s="157"/>
      <c r="M822" s="157"/>
      <c r="N822" s="221"/>
      <c r="O822" s="157"/>
      <c r="P822" s="157"/>
      <c r="Q822" s="157"/>
      <c r="R822" s="157"/>
      <c r="S822" s="157"/>
      <c r="T822" s="157"/>
      <c r="U822" s="157"/>
      <c r="V822" s="157"/>
      <c r="W822" s="153"/>
    </row>
    <row r="823" spans="2:23" s="14" customFormat="1" x14ac:dyDescent="0.25">
      <c r="B823" s="76"/>
      <c r="C823" s="153"/>
      <c r="D823" s="153"/>
      <c r="E823" s="153"/>
      <c r="F823" s="153"/>
      <c r="G823" s="153"/>
      <c r="H823" s="153"/>
      <c r="I823" s="157"/>
      <c r="J823" s="157"/>
      <c r="K823" s="157"/>
      <c r="L823" s="157"/>
      <c r="M823" s="157"/>
      <c r="N823" s="221"/>
      <c r="O823" s="157"/>
      <c r="P823" s="157"/>
      <c r="Q823" s="157"/>
      <c r="R823" s="157"/>
      <c r="S823" s="157"/>
      <c r="T823" s="157"/>
      <c r="U823" s="157"/>
      <c r="V823" s="157"/>
      <c r="W823" s="153"/>
    </row>
    <row r="824" spans="2:23" s="14" customFormat="1" x14ac:dyDescent="0.25">
      <c r="B824" s="76"/>
      <c r="C824" s="153"/>
      <c r="D824" s="153"/>
      <c r="E824" s="153"/>
      <c r="F824" s="153"/>
      <c r="G824" s="153"/>
      <c r="H824" s="153"/>
      <c r="I824" s="157"/>
      <c r="J824" s="157"/>
      <c r="K824" s="157"/>
      <c r="L824" s="157"/>
      <c r="M824" s="157"/>
      <c r="N824" s="221"/>
      <c r="O824" s="157"/>
      <c r="P824" s="157"/>
      <c r="Q824" s="157"/>
      <c r="R824" s="157"/>
      <c r="S824" s="157"/>
      <c r="T824" s="157"/>
      <c r="U824" s="157"/>
      <c r="V824" s="157"/>
      <c r="W824" s="153"/>
    </row>
    <row r="825" spans="2:23" s="14" customFormat="1" x14ac:dyDescent="0.25">
      <c r="B825" s="76"/>
      <c r="C825" s="153"/>
      <c r="D825" s="153"/>
      <c r="E825" s="153"/>
      <c r="F825" s="153"/>
      <c r="G825" s="153"/>
      <c r="H825" s="153"/>
      <c r="I825" s="157"/>
      <c r="J825" s="157"/>
      <c r="K825" s="157"/>
      <c r="L825" s="157"/>
      <c r="M825" s="157"/>
      <c r="N825" s="221"/>
      <c r="O825" s="157"/>
      <c r="P825" s="157"/>
      <c r="Q825" s="157"/>
      <c r="R825" s="157"/>
      <c r="S825" s="157"/>
      <c r="T825" s="157"/>
      <c r="U825" s="157"/>
      <c r="V825" s="157"/>
      <c r="W825" s="153"/>
    </row>
    <row r="826" spans="2:23" s="14" customFormat="1" x14ac:dyDescent="0.25">
      <c r="B826" s="76"/>
      <c r="C826" s="153"/>
      <c r="D826" s="153"/>
      <c r="E826" s="153"/>
      <c r="F826" s="153"/>
      <c r="G826" s="153"/>
      <c r="H826" s="153"/>
      <c r="I826" s="157"/>
      <c r="J826" s="157"/>
      <c r="K826" s="157"/>
      <c r="L826" s="157"/>
      <c r="M826" s="157"/>
      <c r="N826" s="221"/>
      <c r="O826" s="157"/>
      <c r="P826" s="157"/>
      <c r="Q826" s="157"/>
      <c r="R826" s="157"/>
      <c r="S826" s="157"/>
      <c r="T826" s="157"/>
      <c r="U826" s="157"/>
      <c r="V826" s="157"/>
      <c r="W826" s="153"/>
    </row>
    <row r="827" spans="2:23" s="14" customFormat="1" x14ac:dyDescent="0.25">
      <c r="B827" s="76"/>
      <c r="C827" s="153"/>
      <c r="D827" s="153"/>
      <c r="E827" s="153"/>
      <c r="F827" s="153"/>
      <c r="G827" s="153"/>
      <c r="H827" s="153"/>
      <c r="I827" s="157"/>
      <c r="J827" s="157"/>
      <c r="K827" s="157"/>
      <c r="L827" s="157"/>
      <c r="M827" s="157"/>
      <c r="N827" s="221"/>
      <c r="O827" s="157"/>
      <c r="P827" s="157"/>
      <c r="Q827" s="157"/>
      <c r="R827" s="157"/>
      <c r="S827" s="157"/>
      <c r="T827" s="157"/>
      <c r="U827" s="157"/>
      <c r="V827" s="157"/>
      <c r="W827" s="153"/>
    </row>
    <row r="828" spans="2:23" s="14" customFormat="1" x14ac:dyDescent="0.25">
      <c r="B828" s="76"/>
      <c r="C828" s="153"/>
      <c r="D828" s="153"/>
      <c r="E828" s="153"/>
      <c r="F828" s="153"/>
      <c r="G828" s="153"/>
      <c r="H828" s="153"/>
      <c r="I828" s="157"/>
      <c r="J828" s="157"/>
      <c r="K828" s="157"/>
      <c r="L828" s="157"/>
      <c r="M828" s="157"/>
      <c r="N828" s="221"/>
      <c r="O828" s="157"/>
      <c r="P828" s="157"/>
      <c r="Q828" s="157"/>
      <c r="R828" s="157"/>
      <c r="S828" s="157"/>
      <c r="T828" s="157"/>
      <c r="U828" s="157"/>
      <c r="V828" s="157"/>
      <c r="W828" s="153"/>
    </row>
    <row r="829" spans="2:23" s="14" customFormat="1" x14ac:dyDescent="0.25">
      <c r="B829" s="76"/>
      <c r="C829" s="153"/>
      <c r="D829" s="153"/>
      <c r="E829" s="153"/>
      <c r="F829" s="153"/>
      <c r="G829" s="153"/>
      <c r="H829" s="153"/>
      <c r="I829" s="157"/>
      <c r="J829" s="157"/>
      <c r="K829" s="157"/>
      <c r="L829" s="157"/>
      <c r="M829" s="157"/>
      <c r="N829" s="221"/>
      <c r="O829" s="157"/>
      <c r="P829" s="157"/>
      <c r="Q829" s="157"/>
      <c r="R829" s="157"/>
      <c r="S829" s="157"/>
      <c r="T829" s="157"/>
      <c r="U829" s="157"/>
      <c r="V829" s="157"/>
      <c r="W829" s="153"/>
    </row>
    <row r="830" spans="2:23" s="14" customFormat="1" x14ac:dyDescent="0.25">
      <c r="B830" s="76"/>
      <c r="C830" s="153"/>
      <c r="D830" s="153"/>
      <c r="E830" s="153"/>
      <c r="F830" s="153"/>
      <c r="G830" s="153"/>
      <c r="H830" s="153"/>
      <c r="I830" s="157"/>
      <c r="J830" s="157"/>
      <c r="K830" s="157"/>
      <c r="L830" s="157"/>
      <c r="M830" s="157"/>
      <c r="N830" s="221"/>
      <c r="O830" s="157"/>
      <c r="P830" s="157"/>
      <c r="Q830" s="157"/>
      <c r="R830" s="157"/>
      <c r="S830" s="157"/>
      <c r="T830" s="157"/>
      <c r="U830" s="157"/>
      <c r="V830" s="157"/>
      <c r="W830" s="153"/>
    </row>
    <row r="831" spans="2:23" s="14" customFormat="1" x14ac:dyDescent="0.25">
      <c r="B831" s="76"/>
      <c r="C831" s="153"/>
      <c r="D831" s="153"/>
      <c r="E831" s="153"/>
      <c r="F831" s="153"/>
      <c r="G831" s="153"/>
      <c r="H831" s="153"/>
      <c r="I831" s="157"/>
      <c r="J831" s="157"/>
      <c r="K831" s="157"/>
      <c r="L831" s="157"/>
      <c r="M831" s="157"/>
      <c r="N831" s="221"/>
      <c r="O831" s="157"/>
      <c r="P831" s="157"/>
      <c r="Q831" s="157"/>
      <c r="R831" s="157"/>
      <c r="S831" s="157"/>
      <c r="T831" s="157"/>
      <c r="U831" s="157"/>
      <c r="V831" s="157"/>
      <c r="W831" s="153"/>
    </row>
    <row r="832" spans="2:23" s="14" customFormat="1" x14ac:dyDescent="0.25">
      <c r="B832" s="76"/>
      <c r="C832" s="153"/>
      <c r="D832" s="153"/>
      <c r="E832" s="153"/>
      <c r="F832" s="153"/>
      <c r="G832" s="153"/>
      <c r="H832" s="153"/>
      <c r="I832" s="157"/>
      <c r="J832" s="157"/>
      <c r="K832" s="157"/>
      <c r="L832" s="157"/>
      <c r="M832" s="157"/>
      <c r="N832" s="221"/>
      <c r="O832" s="157"/>
      <c r="P832" s="157"/>
      <c r="Q832" s="157"/>
      <c r="R832" s="157"/>
      <c r="S832" s="157"/>
      <c r="T832" s="157"/>
      <c r="U832" s="157"/>
      <c r="V832" s="157"/>
      <c r="W832" s="153"/>
    </row>
    <row r="833" spans="2:23" s="14" customFormat="1" x14ac:dyDescent="0.25">
      <c r="B833" s="76"/>
      <c r="C833" s="153"/>
      <c r="D833" s="153"/>
      <c r="E833" s="153"/>
      <c r="F833" s="153"/>
      <c r="G833" s="153"/>
      <c r="H833" s="153"/>
      <c r="I833" s="157"/>
      <c r="J833" s="157"/>
      <c r="K833" s="157"/>
      <c r="L833" s="157"/>
      <c r="M833" s="157"/>
      <c r="N833" s="221"/>
      <c r="O833" s="157"/>
      <c r="P833" s="157"/>
      <c r="Q833" s="157"/>
      <c r="R833" s="157"/>
      <c r="S833" s="157"/>
      <c r="T833" s="157"/>
      <c r="U833" s="157"/>
      <c r="V833" s="157"/>
      <c r="W833" s="153"/>
    </row>
    <row r="834" spans="2:23" s="14" customFormat="1" x14ac:dyDescent="0.25">
      <c r="B834" s="76"/>
      <c r="C834" s="153"/>
      <c r="D834" s="153"/>
      <c r="E834" s="153"/>
      <c r="F834" s="153"/>
      <c r="G834" s="153"/>
      <c r="H834" s="153"/>
      <c r="I834" s="157"/>
      <c r="J834" s="157"/>
      <c r="K834" s="157"/>
      <c r="L834" s="157"/>
      <c r="M834" s="157"/>
      <c r="N834" s="221"/>
      <c r="O834" s="157"/>
      <c r="P834" s="157"/>
      <c r="Q834" s="157"/>
      <c r="R834" s="157"/>
      <c r="S834" s="157"/>
      <c r="T834" s="157"/>
      <c r="U834" s="157"/>
      <c r="V834" s="157"/>
      <c r="W834" s="153"/>
    </row>
    <row r="835" spans="2:23" s="14" customFormat="1" x14ac:dyDescent="0.25">
      <c r="B835" s="76"/>
      <c r="C835" s="153"/>
      <c r="D835" s="153"/>
      <c r="E835" s="153"/>
      <c r="F835" s="153"/>
      <c r="G835" s="153"/>
      <c r="H835" s="153"/>
      <c r="I835" s="157"/>
      <c r="J835" s="157"/>
      <c r="K835" s="157"/>
      <c r="L835" s="157"/>
      <c r="M835" s="157"/>
      <c r="N835" s="221"/>
      <c r="O835" s="157"/>
      <c r="P835" s="157"/>
      <c r="Q835" s="157"/>
      <c r="R835" s="157"/>
      <c r="S835" s="157"/>
      <c r="T835" s="157"/>
      <c r="U835" s="157"/>
      <c r="V835" s="157"/>
      <c r="W835" s="153"/>
    </row>
    <row r="836" spans="2:23" s="14" customFormat="1" x14ac:dyDescent="0.25">
      <c r="B836" s="76"/>
      <c r="C836" s="153"/>
      <c r="D836" s="153"/>
      <c r="E836" s="153"/>
      <c r="F836" s="153"/>
      <c r="G836" s="153"/>
      <c r="H836" s="153"/>
      <c r="I836" s="157"/>
      <c r="J836" s="157"/>
      <c r="K836" s="157"/>
      <c r="L836" s="157"/>
      <c r="M836" s="157"/>
      <c r="N836" s="221"/>
      <c r="O836" s="157"/>
      <c r="P836" s="157"/>
      <c r="Q836" s="157"/>
      <c r="R836" s="157"/>
      <c r="S836" s="157"/>
      <c r="T836" s="157"/>
      <c r="U836" s="157"/>
      <c r="V836" s="157"/>
      <c r="W836" s="153"/>
    </row>
    <row r="837" spans="2:23" s="14" customFormat="1" x14ac:dyDescent="0.25">
      <c r="B837" s="76"/>
      <c r="C837" s="153"/>
      <c r="D837" s="153"/>
      <c r="E837" s="153"/>
      <c r="F837" s="153"/>
      <c r="G837" s="153"/>
      <c r="H837" s="153"/>
      <c r="I837" s="157"/>
      <c r="J837" s="157"/>
      <c r="K837" s="157"/>
      <c r="L837" s="157"/>
      <c r="M837" s="157"/>
      <c r="N837" s="221"/>
      <c r="O837" s="157"/>
      <c r="P837" s="157"/>
      <c r="Q837" s="157"/>
      <c r="R837" s="157"/>
      <c r="S837" s="157"/>
      <c r="T837" s="157"/>
      <c r="U837" s="157"/>
      <c r="V837" s="157"/>
      <c r="W837" s="153"/>
    </row>
    <row r="838" spans="2:23" s="14" customFormat="1" x14ac:dyDescent="0.25">
      <c r="B838" s="76"/>
      <c r="C838" s="153"/>
      <c r="D838" s="153"/>
      <c r="E838" s="153"/>
      <c r="F838" s="153"/>
      <c r="G838" s="153"/>
      <c r="H838" s="153"/>
      <c r="I838" s="157"/>
      <c r="J838" s="157"/>
      <c r="K838" s="157"/>
      <c r="L838" s="157"/>
      <c r="M838" s="157"/>
      <c r="N838" s="221"/>
      <c r="O838" s="157"/>
      <c r="P838" s="157"/>
      <c r="Q838" s="157"/>
      <c r="R838" s="157"/>
      <c r="S838" s="157"/>
      <c r="T838" s="157"/>
      <c r="U838" s="157"/>
      <c r="V838" s="157"/>
      <c r="W838" s="153"/>
    </row>
    <row r="839" spans="2:23" s="14" customFormat="1" x14ac:dyDescent="0.25">
      <c r="B839" s="76"/>
      <c r="C839" s="153"/>
      <c r="D839" s="153"/>
      <c r="E839" s="153"/>
      <c r="F839" s="153"/>
      <c r="G839" s="153"/>
      <c r="H839" s="153"/>
      <c r="I839" s="157"/>
      <c r="J839" s="157"/>
      <c r="K839" s="157"/>
      <c r="L839" s="157"/>
      <c r="M839" s="157"/>
      <c r="N839" s="221"/>
      <c r="O839" s="157"/>
      <c r="P839" s="157"/>
      <c r="Q839" s="157"/>
      <c r="R839" s="157"/>
      <c r="S839" s="157"/>
      <c r="T839" s="157"/>
      <c r="U839" s="157"/>
      <c r="V839" s="157"/>
      <c r="W839" s="153"/>
    </row>
    <row r="840" spans="2:23" s="14" customFormat="1" x14ac:dyDescent="0.25">
      <c r="B840" s="76"/>
      <c r="C840" s="153"/>
      <c r="D840" s="153"/>
      <c r="E840" s="153"/>
      <c r="F840" s="153"/>
      <c r="G840" s="153"/>
      <c r="H840" s="153"/>
      <c r="I840" s="157"/>
      <c r="J840" s="157"/>
      <c r="K840" s="157"/>
      <c r="L840" s="157"/>
      <c r="M840" s="157"/>
      <c r="N840" s="221"/>
      <c r="O840" s="157"/>
      <c r="P840" s="157"/>
      <c r="Q840" s="157"/>
      <c r="R840" s="157"/>
      <c r="S840" s="157"/>
      <c r="T840" s="157"/>
      <c r="U840" s="157"/>
      <c r="V840" s="157"/>
      <c r="W840" s="153"/>
    </row>
    <row r="841" spans="2:23" s="14" customFormat="1" x14ac:dyDescent="0.25">
      <c r="B841" s="76"/>
      <c r="C841" s="153"/>
      <c r="D841" s="153"/>
      <c r="E841" s="153"/>
      <c r="F841" s="153"/>
      <c r="G841" s="153"/>
      <c r="H841" s="153"/>
      <c r="I841" s="157"/>
      <c r="J841" s="157"/>
      <c r="K841" s="157"/>
      <c r="L841" s="157"/>
      <c r="M841" s="157"/>
      <c r="N841" s="221"/>
      <c r="O841" s="157"/>
      <c r="P841" s="157"/>
      <c r="Q841" s="157"/>
      <c r="R841" s="157"/>
      <c r="S841" s="157"/>
      <c r="T841" s="157"/>
      <c r="U841" s="157"/>
      <c r="V841" s="157"/>
      <c r="W841" s="153"/>
    </row>
    <row r="842" spans="2:23" s="14" customFormat="1" x14ac:dyDescent="0.25">
      <c r="B842" s="76"/>
      <c r="C842" s="153"/>
      <c r="D842" s="153"/>
      <c r="E842" s="153"/>
      <c r="F842" s="153"/>
      <c r="G842" s="153"/>
      <c r="H842" s="153"/>
      <c r="I842" s="157"/>
      <c r="J842" s="157"/>
      <c r="K842" s="157"/>
      <c r="L842" s="157"/>
      <c r="M842" s="157"/>
      <c r="N842" s="221"/>
      <c r="O842" s="157"/>
      <c r="P842" s="157"/>
      <c r="Q842" s="157"/>
      <c r="R842" s="157"/>
      <c r="S842" s="157"/>
      <c r="T842" s="157"/>
      <c r="U842" s="157"/>
      <c r="V842" s="157"/>
      <c r="W842" s="153"/>
    </row>
    <row r="843" spans="2:23" s="14" customFormat="1" x14ac:dyDescent="0.25">
      <c r="B843" s="76"/>
      <c r="C843" s="153"/>
      <c r="D843" s="153"/>
      <c r="E843" s="153"/>
      <c r="F843" s="153"/>
      <c r="G843" s="153"/>
      <c r="H843" s="153"/>
      <c r="I843" s="157"/>
      <c r="J843" s="157"/>
      <c r="K843" s="157"/>
      <c r="L843" s="157"/>
      <c r="M843" s="157"/>
      <c r="N843" s="221"/>
      <c r="O843" s="157"/>
      <c r="P843" s="157"/>
      <c r="Q843" s="157"/>
      <c r="R843" s="157"/>
      <c r="S843" s="157"/>
      <c r="T843" s="157"/>
      <c r="U843" s="157"/>
      <c r="V843" s="157"/>
      <c r="W843" s="153"/>
    </row>
    <row r="844" spans="2:23" s="14" customFormat="1" x14ac:dyDescent="0.25">
      <c r="B844" s="76"/>
      <c r="C844" s="153"/>
      <c r="D844" s="153"/>
      <c r="E844" s="153"/>
      <c r="F844" s="153"/>
      <c r="G844" s="153"/>
      <c r="H844" s="153"/>
      <c r="I844" s="157"/>
      <c r="J844" s="157"/>
      <c r="K844" s="157"/>
      <c r="L844" s="157"/>
      <c r="M844" s="157"/>
      <c r="N844" s="221"/>
      <c r="O844" s="157"/>
      <c r="P844" s="157"/>
      <c r="Q844" s="157"/>
      <c r="R844" s="157"/>
      <c r="S844" s="157"/>
      <c r="T844" s="157"/>
      <c r="U844" s="157"/>
      <c r="V844" s="157"/>
      <c r="W844" s="153"/>
    </row>
    <row r="845" spans="2:23" s="14" customFormat="1" x14ac:dyDescent="0.25">
      <c r="B845" s="76"/>
      <c r="C845" s="153"/>
      <c r="D845" s="153"/>
      <c r="E845" s="153"/>
      <c r="F845" s="153"/>
      <c r="G845" s="153"/>
      <c r="H845" s="153"/>
      <c r="I845" s="157"/>
      <c r="J845" s="157"/>
      <c r="K845" s="157"/>
      <c r="L845" s="157"/>
      <c r="M845" s="157"/>
      <c r="N845" s="221"/>
      <c r="O845" s="157"/>
      <c r="P845" s="157"/>
      <c r="Q845" s="157"/>
      <c r="R845" s="157"/>
      <c r="S845" s="157"/>
      <c r="T845" s="157"/>
      <c r="U845" s="157"/>
      <c r="V845" s="157"/>
      <c r="W845" s="153"/>
    </row>
    <row r="846" spans="2:23" s="14" customFormat="1" x14ac:dyDescent="0.25">
      <c r="B846" s="76"/>
      <c r="C846" s="153"/>
      <c r="D846" s="153"/>
      <c r="E846" s="153"/>
      <c r="F846" s="153"/>
      <c r="G846" s="153"/>
      <c r="H846" s="153"/>
      <c r="I846" s="157"/>
      <c r="J846" s="157"/>
      <c r="K846" s="157"/>
      <c r="L846" s="157"/>
      <c r="M846" s="157"/>
      <c r="N846" s="221"/>
      <c r="O846" s="157"/>
      <c r="P846" s="157"/>
      <c r="Q846" s="157"/>
      <c r="R846" s="157"/>
      <c r="S846" s="157"/>
      <c r="T846" s="157"/>
      <c r="U846" s="157"/>
      <c r="V846" s="157"/>
      <c r="W846" s="153"/>
    </row>
    <row r="847" spans="2:23" s="14" customFormat="1" x14ac:dyDescent="0.25">
      <c r="B847" s="76"/>
      <c r="C847" s="153"/>
      <c r="D847" s="153"/>
      <c r="E847" s="153"/>
      <c r="F847" s="153"/>
      <c r="G847" s="153"/>
      <c r="H847" s="153"/>
      <c r="I847" s="157"/>
      <c r="J847" s="157"/>
      <c r="K847" s="157"/>
      <c r="L847" s="157"/>
      <c r="M847" s="157"/>
      <c r="N847" s="221"/>
      <c r="O847" s="157"/>
      <c r="P847" s="157"/>
      <c r="Q847" s="157"/>
      <c r="R847" s="157"/>
      <c r="S847" s="157"/>
      <c r="T847" s="157"/>
      <c r="U847" s="157"/>
      <c r="V847" s="157"/>
      <c r="W847" s="153"/>
    </row>
    <row r="848" spans="2:23" s="14" customFormat="1" x14ac:dyDescent="0.25">
      <c r="B848" s="76"/>
      <c r="C848" s="153"/>
      <c r="D848" s="153"/>
      <c r="E848" s="153"/>
      <c r="F848" s="153"/>
      <c r="G848" s="153"/>
      <c r="H848" s="153"/>
      <c r="I848" s="157"/>
      <c r="J848" s="157"/>
      <c r="K848" s="157"/>
      <c r="L848" s="157"/>
      <c r="M848" s="157"/>
      <c r="N848" s="221"/>
      <c r="O848" s="157"/>
      <c r="P848" s="157"/>
      <c r="Q848" s="157"/>
      <c r="R848" s="157"/>
      <c r="S848" s="157"/>
      <c r="T848" s="157"/>
      <c r="U848" s="157"/>
      <c r="V848" s="157"/>
      <c r="W848" s="153"/>
    </row>
    <row r="849" spans="2:23" s="14" customFormat="1" x14ac:dyDescent="0.25">
      <c r="B849" s="76"/>
      <c r="C849" s="153"/>
      <c r="D849" s="153"/>
      <c r="E849" s="153"/>
      <c r="F849" s="153"/>
      <c r="G849" s="153"/>
      <c r="H849" s="153"/>
      <c r="I849" s="157"/>
      <c r="J849" s="157"/>
      <c r="K849" s="157"/>
      <c r="L849" s="157"/>
      <c r="M849" s="157"/>
      <c r="N849" s="221"/>
      <c r="O849" s="157"/>
      <c r="P849" s="157"/>
      <c r="Q849" s="157"/>
      <c r="R849" s="157"/>
      <c r="S849" s="157"/>
      <c r="T849" s="157"/>
      <c r="U849" s="157"/>
      <c r="V849" s="157"/>
      <c r="W849" s="153"/>
    </row>
    <row r="850" spans="2:23" s="14" customFormat="1" x14ac:dyDescent="0.25">
      <c r="B850" s="76"/>
      <c r="C850" s="153"/>
      <c r="D850" s="153"/>
      <c r="E850" s="153"/>
      <c r="F850" s="153"/>
      <c r="G850" s="153"/>
      <c r="H850" s="153"/>
      <c r="I850" s="157"/>
      <c r="J850" s="157"/>
      <c r="K850" s="157"/>
      <c r="L850" s="157"/>
      <c r="M850" s="157"/>
      <c r="N850" s="221"/>
      <c r="O850" s="157"/>
      <c r="P850" s="157"/>
      <c r="Q850" s="157"/>
      <c r="R850" s="157"/>
      <c r="S850" s="157"/>
      <c r="T850" s="157"/>
      <c r="U850" s="157"/>
      <c r="V850" s="157"/>
      <c r="W850" s="153"/>
    </row>
    <row r="851" spans="2:23" s="14" customFormat="1" x14ac:dyDescent="0.25">
      <c r="B851" s="76"/>
      <c r="C851" s="153"/>
      <c r="D851" s="153"/>
      <c r="E851" s="153"/>
      <c r="F851" s="153"/>
      <c r="G851" s="153"/>
      <c r="H851" s="153"/>
      <c r="I851" s="157"/>
      <c r="J851" s="157"/>
      <c r="K851" s="157"/>
      <c r="L851" s="157"/>
      <c r="M851" s="157"/>
      <c r="N851" s="221"/>
      <c r="O851" s="157"/>
      <c r="P851" s="157"/>
      <c r="Q851" s="157"/>
      <c r="R851" s="157"/>
      <c r="S851" s="157"/>
      <c r="T851" s="157"/>
      <c r="U851" s="157"/>
      <c r="V851" s="157"/>
      <c r="W851" s="153"/>
    </row>
    <row r="852" spans="2:23" s="14" customFormat="1" x14ac:dyDescent="0.25">
      <c r="B852" s="76"/>
      <c r="C852" s="153"/>
      <c r="D852" s="153"/>
      <c r="E852" s="153"/>
      <c r="F852" s="153"/>
      <c r="G852" s="153"/>
      <c r="H852" s="153"/>
      <c r="I852" s="157"/>
      <c r="J852" s="157"/>
      <c r="K852" s="157"/>
      <c r="L852" s="157"/>
      <c r="M852" s="157"/>
      <c r="N852" s="221"/>
      <c r="O852" s="157"/>
      <c r="P852" s="157"/>
      <c r="Q852" s="157"/>
      <c r="R852" s="157"/>
      <c r="S852" s="157"/>
      <c r="T852" s="157"/>
      <c r="U852" s="157"/>
      <c r="V852" s="157"/>
      <c r="W852" s="153"/>
    </row>
    <row r="853" spans="2:23" s="14" customFormat="1" x14ac:dyDescent="0.25">
      <c r="B853" s="76"/>
      <c r="C853" s="153"/>
      <c r="D853" s="153"/>
      <c r="E853" s="153"/>
      <c r="F853" s="153"/>
      <c r="G853" s="153"/>
      <c r="H853" s="153"/>
      <c r="I853" s="157"/>
      <c r="J853" s="157"/>
      <c r="K853" s="157"/>
      <c r="L853" s="157"/>
      <c r="M853" s="157"/>
      <c r="N853" s="221"/>
      <c r="O853" s="157"/>
      <c r="P853" s="157"/>
      <c r="Q853" s="157"/>
      <c r="R853" s="157"/>
      <c r="S853" s="157"/>
      <c r="T853" s="157"/>
      <c r="U853" s="157"/>
      <c r="V853" s="157"/>
      <c r="W853" s="153"/>
    </row>
    <row r="854" spans="2:23" s="14" customFormat="1" x14ac:dyDescent="0.25">
      <c r="B854" s="76"/>
      <c r="C854" s="153"/>
      <c r="D854" s="153"/>
      <c r="E854" s="153"/>
      <c r="F854" s="153"/>
      <c r="G854" s="153"/>
      <c r="H854" s="153"/>
      <c r="I854" s="157"/>
      <c r="J854" s="157"/>
      <c r="K854" s="157"/>
      <c r="L854" s="157"/>
      <c r="M854" s="157"/>
      <c r="N854" s="221"/>
      <c r="O854" s="157"/>
      <c r="P854" s="157"/>
      <c r="Q854" s="157"/>
      <c r="R854" s="157"/>
      <c r="S854" s="157"/>
      <c r="T854" s="157"/>
      <c r="U854" s="157"/>
      <c r="V854" s="157"/>
      <c r="W854" s="153"/>
    </row>
    <row r="855" spans="2:23" s="14" customFormat="1" x14ac:dyDescent="0.25">
      <c r="B855" s="76"/>
      <c r="C855" s="153"/>
      <c r="D855" s="153"/>
      <c r="E855" s="153"/>
      <c r="F855" s="153"/>
      <c r="G855" s="153"/>
      <c r="H855" s="153"/>
      <c r="I855" s="157"/>
      <c r="J855" s="157"/>
      <c r="K855" s="157"/>
      <c r="L855" s="157"/>
      <c r="M855" s="157"/>
      <c r="N855" s="221"/>
      <c r="O855" s="157"/>
      <c r="P855" s="157"/>
      <c r="Q855" s="157"/>
      <c r="R855" s="157"/>
      <c r="S855" s="157"/>
      <c r="T855" s="157"/>
      <c r="U855" s="157"/>
      <c r="V855" s="157"/>
      <c r="W855" s="153"/>
    </row>
    <row r="856" spans="2:23" s="14" customFormat="1" x14ac:dyDescent="0.25">
      <c r="B856" s="76"/>
      <c r="C856" s="153"/>
      <c r="D856" s="153"/>
      <c r="E856" s="153"/>
      <c r="F856" s="153"/>
      <c r="G856" s="153"/>
      <c r="H856" s="153"/>
      <c r="I856" s="157"/>
      <c r="J856" s="157"/>
      <c r="K856" s="157"/>
      <c r="L856" s="157"/>
      <c r="M856" s="157"/>
      <c r="N856" s="221"/>
      <c r="O856" s="157"/>
      <c r="P856" s="157"/>
      <c r="Q856" s="157"/>
      <c r="R856" s="157"/>
      <c r="S856" s="157"/>
      <c r="T856" s="157"/>
      <c r="U856" s="157"/>
      <c r="V856" s="157"/>
      <c r="W856" s="153"/>
    </row>
    <row r="857" spans="2:23" s="14" customFormat="1" x14ac:dyDescent="0.25">
      <c r="B857" s="76"/>
      <c r="C857" s="153"/>
      <c r="D857" s="153"/>
      <c r="E857" s="153"/>
      <c r="F857" s="153"/>
      <c r="G857" s="153"/>
      <c r="H857" s="153"/>
      <c r="I857" s="157"/>
      <c r="J857" s="157"/>
      <c r="K857" s="157"/>
      <c r="L857" s="157"/>
      <c r="M857" s="157"/>
      <c r="N857" s="221"/>
      <c r="O857" s="157"/>
      <c r="P857" s="157"/>
      <c r="Q857" s="157"/>
      <c r="R857" s="157"/>
      <c r="S857" s="157"/>
      <c r="T857" s="157"/>
      <c r="U857" s="157"/>
      <c r="V857" s="157"/>
      <c r="W857" s="153"/>
    </row>
    <row r="858" spans="2:23" s="14" customFormat="1" x14ac:dyDescent="0.25">
      <c r="B858" s="76"/>
      <c r="C858" s="153"/>
      <c r="D858" s="153"/>
      <c r="E858" s="153"/>
      <c r="F858" s="153"/>
      <c r="G858" s="153"/>
      <c r="H858" s="153"/>
      <c r="I858" s="157"/>
      <c r="J858" s="157"/>
      <c r="K858" s="157"/>
      <c r="L858" s="157"/>
      <c r="M858" s="157"/>
      <c r="N858" s="221"/>
      <c r="O858" s="157"/>
      <c r="P858" s="157"/>
      <c r="Q858" s="157"/>
      <c r="R858" s="157"/>
      <c r="S858" s="157"/>
      <c r="T858" s="157"/>
      <c r="U858" s="157"/>
      <c r="V858" s="157"/>
      <c r="W858" s="153"/>
    </row>
    <row r="859" spans="2:23" s="14" customFormat="1" x14ac:dyDescent="0.25">
      <c r="B859" s="76"/>
      <c r="C859" s="153"/>
      <c r="D859" s="153"/>
      <c r="E859" s="153"/>
      <c r="F859" s="153"/>
      <c r="G859" s="153"/>
      <c r="H859" s="153"/>
      <c r="I859" s="157"/>
      <c r="J859" s="157"/>
      <c r="K859" s="157"/>
      <c r="L859" s="157"/>
      <c r="M859" s="157"/>
      <c r="N859" s="221"/>
      <c r="O859" s="157"/>
      <c r="P859" s="157"/>
      <c r="Q859" s="157"/>
      <c r="R859" s="157"/>
      <c r="S859" s="157"/>
      <c r="T859" s="157"/>
      <c r="U859" s="157"/>
      <c r="V859" s="157"/>
      <c r="W859" s="153"/>
    </row>
    <row r="860" spans="2:23" s="14" customFormat="1" x14ac:dyDescent="0.25">
      <c r="B860" s="76"/>
      <c r="C860" s="153"/>
      <c r="D860" s="153"/>
      <c r="E860" s="153"/>
      <c r="F860" s="153"/>
      <c r="G860" s="153"/>
      <c r="H860" s="153"/>
      <c r="I860" s="157"/>
      <c r="J860" s="157"/>
      <c r="K860" s="157"/>
      <c r="L860" s="157"/>
      <c r="M860" s="157"/>
      <c r="N860" s="221"/>
      <c r="O860" s="157"/>
      <c r="P860" s="157"/>
      <c r="Q860" s="157"/>
      <c r="R860" s="157"/>
      <c r="S860" s="157"/>
      <c r="T860" s="157"/>
      <c r="U860" s="157"/>
      <c r="V860" s="157"/>
      <c r="W860" s="153"/>
    </row>
    <row r="861" spans="2:23" s="14" customFormat="1" x14ac:dyDescent="0.25">
      <c r="B861" s="76"/>
      <c r="C861" s="153"/>
      <c r="D861" s="153"/>
      <c r="E861" s="153"/>
      <c r="F861" s="153"/>
      <c r="G861" s="153"/>
      <c r="H861" s="153"/>
      <c r="I861" s="157"/>
      <c r="J861" s="157"/>
      <c r="K861" s="157"/>
      <c r="L861" s="157"/>
      <c r="M861" s="157"/>
      <c r="N861" s="221"/>
      <c r="O861" s="157"/>
      <c r="P861" s="157"/>
      <c r="Q861" s="157"/>
      <c r="R861" s="157"/>
      <c r="S861" s="157"/>
      <c r="T861" s="157"/>
      <c r="U861" s="157"/>
      <c r="V861" s="157"/>
      <c r="W861" s="153"/>
    </row>
    <row r="862" spans="2:23" s="14" customFormat="1" x14ac:dyDescent="0.25">
      <c r="B862" s="76"/>
      <c r="C862" s="153"/>
      <c r="D862" s="153"/>
      <c r="E862" s="153"/>
      <c r="F862" s="153"/>
      <c r="G862" s="153"/>
      <c r="H862" s="153"/>
      <c r="I862" s="157"/>
      <c r="J862" s="157"/>
      <c r="K862" s="157"/>
      <c r="L862" s="157"/>
      <c r="M862" s="157"/>
      <c r="N862" s="221"/>
      <c r="O862" s="157"/>
      <c r="P862" s="157"/>
      <c r="Q862" s="157"/>
      <c r="R862" s="157"/>
      <c r="S862" s="157"/>
      <c r="T862" s="157"/>
      <c r="U862" s="157"/>
      <c r="V862" s="157"/>
      <c r="W862" s="153"/>
    </row>
    <row r="863" spans="2:23" s="14" customFormat="1" x14ac:dyDescent="0.25">
      <c r="B863" s="76"/>
      <c r="C863" s="153"/>
      <c r="D863" s="153"/>
      <c r="E863" s="153"/>
      <c r="F863" s="153"/>
      <c r="G863" s="153"/>
      <c r="H863" s="153"/>
      <c r="I863" s="157"/>
      <c r="J863" s="157"/>
      <c r="K863" s="157"/>
      <c r="L863" s="157"/>
      <c r="M863" s="157"/>
      <c r="N863" s="221"/>
      <c r="O863" s="157"/>
      <c r="P863" s="157"/>
      <c r="Q863" s="157"/>
      <c r="R863" s="157"/>
      <c r="S863" s="157"/>
      <c r="T863" s="157"/>
      <c r="U863" s="157"/>
      <c r="V863" s="157"/>
      <c r="W863" s="153"/>
    </row>
    <row r="864" spans="2:23" s="14" customFormat="1" x14ac:dyDescent="0.25">
      <c r="B864" s="76"/>
      <c r="C864" s="153"/>
      <c r="D864" s="153"/>
      <c r="E864" s="153"/>
      <c r="F864" s="153"/>
      <c r="G864" s="153"/>
      <c r="H864" s="153"/>
      <c r="I864" s="157"/>
      <c r="J864" s="157"/>
      <c r="K864" s="157"/>
      <c r="L864" s="157"/>
      <c r="M864" s="157"/>
      <c r="N864" s="221"/>
      <c r="O864" s="157"/>
      <c r="P864" s="157"/>
      <c r="Q864" s="157"/>
      <c r="R864" s="157"/>
      <c r="S864" s="157"/>
      <c r="T864" s="157"/>
      <c r="U864" s="157"/>
      <c r="V864" s="157"/>
      <c r="W864" s="153"/>
    </row>
    <row r="865" spans="2:23" s="14" customFormat="1" x14ac:dyDescent="0.25">
      <c r="B865" s="76"/>
      <c r="C865" s="153"/>
      <c r="D865" s="153"/>
      <c r="E865" s="153"/>
      <c r="F865" s="153"/>
      <c r="G865" s="153"/>
      <c r="H865" s="153"/>
      <c r="I865" s="157"/>
      <c r="J865" s="157"/>
      <c r="K865" s="157"/>
      <c r="L865" s="157"/>
      <c r="M865" s="157"/>
      <c r="N865" s="221"/>
      <c r="O865" s="157"/>
      <c r="P865" s="157"/>
      <c r="Q865" s="157"/>
      <c r="R865" s="157"/>
      <c r="S865" s="157"/>
      <c r="T865" s="157"/>
      <c r="U865" s="157"/>
      <c r="V865" s="157"/>
      <c r="W865" s="153"/>
    </row>
    <row r="866" spans="2:23" s="14" customFormat="1" x14ac:dyDescent="0.25">
      <c r="B866" s="76"/>
      <c r="C866" s="153"/>
      <c r="D866" s="153"/>
      <c r="E866" s="153"/>
      <c r="F866" s="153"/>
      <c r="G866" s="153"/>
      <c r="H866" s="153"/>
      <c r="I866" s="157"/>
      <c r="J866" s="157"/>
      <c r="K866" s="157"/>
      <c r="L866" s="157"/>
      <c r="M866" s="157"/>
      <c r="N866" s="221"/>
      <c r="O866" s="157"/>
      <c r="P866" s="157"/>
      <c r="Q866" s="157"/>
      <c r="R866" s="157"/>
      <c r="S866" s="157"/>
      <c r="T866" s="157"/>
      <c r="U866" s="157"/>
      <c r="V866" s="157"/>
      <c r="W866" s="153"/>
    </row>
    <row r="867" spans="2:23" s="14" customFormat="1" x14ac:dyDescent="0.25">
      <c r="B867" s="76"/>
      <c r="C867" s="153"/>
      <c r="D867" s="153"/>
      <c r="E867" s="153"/>
      <c r="F867" s="153"/>
      <c r="G867" s="153"/>
      <c r="H867" s="153"/>
      <c r="I867" s="157"/>
      <c r="J867" s="157"/>
      <c r="K867" s="157"/>
      <c r="L867" s="157"/>
      <c r="M867" s="157"/>
      <c r="N867" s="221"/>
      <c r="O867" s="157"/>
      <c r="P867" s="157"/>
      <c r="Q867" s="157"/>
      <c r="R867" s="157"/>
      <c r="S867" s="157"/>
      <c r="T867" s="157"/>
      <c r="U867" s="157"/>
      <c r="V867" s="157"/>
      <c r="W867" s="153"/>
    </row>
    <row r="868" spans="2:23" s="14" customFormat="1" x14ac:dyDescent="0.25">
      <c r="B868" s="76"/>
      <c r="C868" s="153"/>
      <c r="D868" s="153"/>
      <c r="E868" s="153"/>
      <c r="F868" s="153"/>
      <c r="G868" s="153"/>
      <c r="H868" s="153"/>
      <c r="I868" s="157"/>
      <c r="J868" s="157"/>
      <c r="K868" s="157"/>
      <c r="L868" s="157"/>
      <c r="M868" s="157"/>
      <c r="N868" s="221"/>
      <c r="O868" s="157"/>
      <c r="P868" s="157"/>
      <c r="Q868" s="157"/>
      <c r="R868" s="157"/>
      <c r="S868" s="157"/>
      <c r="T868" s="157"/>
      <c r="U868" s="157"/>
      <c r="V868" s="157"/>
      <c r="W868" s="153"/>
    </row>
    <row r="869" spans="2:23" s="14" customFormat="1" x14ac:dyDescent="0.25">
      <c r="B869" s="76"/>
      <c r="C869" s="153"/>
      <c r="D869" s="153"/>
      <c r="E869" s="153"/>
      <c r="F869" s="153"/>
      <c r="G869" s="153"/>
      <c r="H869" s="153"/>
      <c r="I869" s="157"/>
      <c r="J869" s="157"/>
      <c r="K869" s="157"/>
      <c r="L869" s="157"/>
      <c r="M869" s="157"/>
      <c r="N869" s="221"/>
      <c r="O869" s="157"/>
      <c r="P869" s="157"/>
      <c r="Q869" s="157"/>
      <c r="R869" s="157"/>
      <c r="S869" s="157"/>
      <c r="T869" s="157"/>
      <c r="U869" s="157"/>
      <c r="V869" s="157"/>
      <c r="W869" s="153"/>
    </row>
    <row r="870" spans="2:23" s="14" customFormat="1" x14ac:dyDescent="0.25">
      <c r="B870" s="76"/>
      <c r="C870" s="153"/>
      <c r="D870" s="153"/>
      <c r="E870" s="153"/>
      <c r="F870" s="153"/>
      <c r="G870" s="153"/>
      <c r="H870" s="153"/>
      <c r="I870" s="157"/>
      <c r="J870" s="157"/>
      <c r="K870" s="157"/>
      <c r="L870" s="157"/>
      <c r="M870" s="157"/>
      <c r="N870" s="221"/>
      <c r="O870" s="157"/>
      <c r="P870" s="157"/>
      <c r="Q870" s="157"/>
      <c r="R870" s="157"/>
      <c r="S870" s="157"/>
      <c r="T870" s="157"/>
      <c r="U870" s="157"/>
      <c r="V870" s="157"/>
      <c r="W870" s="153"/>
    </row>
    <row r="871" spans="2:23" s="14" customFormat="1" x14ac:dyDescent="0.25">
      <c r="B871" s="76"/>
      <c r="C871" s="153"/>
      <c r="D871" s="153"/>
      <c r="E871" s="153"/>
      <c r="F871" s="153"/>
      <c r="G871" s="153"/>
      <c r="H871" s="153"/>
      <c r="I871" s="157"/>
      <c r="J871" s="157"/>
      <c r="K871" s="157"/>
      <c r="L871" s="157"/>
      <c r="M871" s="157"/>
      <c r="N871" s="221"/>
      <c r="O871" s="157"/>
      <c r="P871" s="157"/>
      <c r="Q871" s="157"/>
      <c r="R871" s="157"/>
      <c r="S871" s="157"/>
      <c r="T871" s="157"/>
      <c r="U871" s="157"/>
      <c r="V871" s="157"/>
      <c r="W871" s="153"/>
    </row>
    <row r="872" spans="2:23" s="14" customFormat="1" x14ac:dyDescent="0.25">
      <c r="B872" s="76"/>
      <c r="C872" s="153"/>
      <c r="D872" s="153"/>
      <c r="E872" s="153"/>
      <c r="F872" s="153"/>
      <c r="G872" s="153"/>
      <c r="H872" s="153"/>
      <c r="I872" s="157"/>
      <c r="J872" s="157"/>
      <c r="K872" s="157"/>
      <c r="L872" s="157"/>
      <c r="M872" s="157"/>
      <c r="N872" s="221"/>
      <c r="O872" s="157"/>
      <c r="P872" s="157"/>
      <c r="Q872" s="157"/>
      <c r="R872" s="157"/>
      <c r="S872" s="157"/>
      <c r="T872" s="157"/>
      <c r="U872" s="157"/>
      <c r="V872" s="157"/>
      <c r="W872" s="153"/>
    </row>
    <row r="873" spans="2:23" s="14" customFormat="1" x14ac:dyDescent="0.25">
      <c r="B873" s="76"/>
      <c r="C873" s="153"/>
      <c r="D873" s="153"/>
      <c r="E873" s="153"/>
      <c r="F873" s="153"/>
      <c r="G873" s="153"/>
      <c r="H873" s="153"/>
      <c r="I873" s="157"/>
      <c r="J873" s="157"/>
      <c r="K873" s="157"/>
      <c r="L873" s="157"/>
      <c r="M873" s="157"/>
      <c r="N873" s="221"/>
      <c r="O873" s="157"/>
      <c r="P873" s="157"/>
      <c r="Q873" s="157"/>
      <c r="R873" s="157"/>
      <c r="S873" s="157"/>
      <c r="T873" s="157"/>
      <c r="U873" s="157"/>
      <c r="V873" s="157"/>
      <c r="W873" s="153"/>
    </row>
    <row r="874" spans="2:23" s="14" customFormat="1" x14ac:dyDescent="0.25">
      <c r="B874" s="76"/>
      <c r="C874" s="153"/>
      <c r="D874" s="153"/>
      <c r="E874" s="153"/>
      <c r="F874" s="153"/>
      <c r="G874" s="153"/>
      <c r="H874" s="153"/>
      <c r="I874" s="157"/>
      <c r="J874" s="157"/>
      <c r="K874" s="157"/>
      <c r="L874" s="157"/>
      <c r="M874" s="157"/>
      <c r="N874" s="221"/>
      <c r="O874" s="157"/>
      <c r="P874" s="157"/>
      <c r="Q874" s="157"/>
      <c r="R874" s="157"/>
      <c r="S874" s="157"/>
      <c r="T874" s="157"/>
      <c r="U874" s="157"/>
      <c r="V874" s="157"/>
      <c r="W874" s="153"/>
    </row>
    <row r="875" spans="2:23" s="14" customFormat="1" x14ac:dyDescent="0.25">
      <c r="B875" s="76"/>
      <c r="C875" s="153"/>
      <c r="D875" s="153"/>
      <c r="E875" s="153"/>
      <c r="F875" s="153"/>
      <c r="G875" s="153"/>
      <c r="H875" s="153"/>
      <c r="I875" s="157"/>
      <c r="J875" s="157"/>
      <c r="K875" s="157"/>
      <c r="L875" s="157"/>
      <c r="M875" s="157"/>
      <c r="N875" s="221"/>
      <c r="O875" s="157"/>
      <c r="P875" s="157"/>
      <c r="Q875" s="157"/>
      <c r="R875" s="157"/>
      <c r="S875" s="157"/>
      <c r="T875" s="157"/>
      <c r="U875" s="157"/>
      <c r="V875" s="157"/>
      <c r="W875" s="153"/>
    </row>
    <row r="876" spans="2:23" s="14" customFormat="1" x14ac:dyDescent="0.25">
      <c r="B876" s="76"/>
      <c r="C876" s="153"/>
      <c r="D876" s="153"/>
      <c r="E876" s="153"/>
      <c r="F876" s="153"/>
      <c r="G876" s="153"/>
      <c r="H876" s="153"/>
      <c r="I876" s="157"/>
      <c r="J876" s="157"/>
      <c r="K876" s="157"/>
      <c r="L876" s="157"/>
      <c r="M876" s="157"/>
      <c r="N876" s="221"/>
      <c r="O876" s="157"/>
      <c r="P876" s="157"/>
      <c r="Q876" s="157"/>
      <c r="R876" s="157"/>
      <c r="S876" s="157"/>
      <c r="T876" s="157"/>
      <c r="U876" s="157"/>
      <c r="V876" s="157"/>
      <c r="W876" s="153"/>
    </row>
    <row r="877" spans="2:23" s="14" customFormat="1" x14ac:dyDescent="0.25">
      <c r="B877" s="76"/>
      <c r="C877" s="153"/>
      <c r="D877" s="153"/>
      <c r="E877" s="153"/>
      <c r="F877" s="153"/>
      <c r="G877" s="153"/>
      <c r="H877" s="153"/>
      <c r="I877" s="157"/>
      <c r="J877" s="157"/>
      <c r="K877" s="157"/>
      <c r="L877" s="157"/>
      <c r="M877" s="157"/>
      <c r="N877" s="221"/>
      <c r="O877" s="157"/>
      <c r="P877" s="157"/>
      <c r="Q877" s="157"/>
      <c r="R877" s="157"/>
      <c r="S877" s="157"/>
      <c r="T877" s="157"/>
      <c r="U877" s="157"/>
      <c r="V877" s="157"/>
      <c r="W877" s="153"/>
    </row>
    <row r="878" spans="2:23" s="14" customFormat="1" x14ac:dyDescent="0.25">
      <c r="B878" s="76"/>
      <c r="C878" s="153"/>
      <c r="D878" s="153"/>
      <c r="E878" s="153"/>
      <c r="F878" s="153"/>
      <c r="G878" s="153"/>
      <c r="H878" s="153"/>
      <c r="I878" s="157"/>
      <c r="J878" s="157"/>
      <c r="K878" s="157"/>
      <c r="L878" s="157"/>
      <c r="M878" s="157"/>
      <c r="N878" s="221"/>
      <c r="O878" s="157"/>
      <c r="P878" s="157"/>
      <c r="Q878" s="157"/>
      <c r="R878" s="157"/>
      <c r="S878" s="157"/>
      <c r="T878" s="157"/>
      <c r="U878" s="157"/>
      <c r="V878" s="157"/>
      <c r="W878" s="153"/>
    </row>
    <row r="879" spans="2:23" s="14" customFormat="1" x14ac:dyDescent="0.25">
      <c r="B879" s="76"/>
      <c r="C879" s="153"/>
      <c r="D879" s="153"/>
      <c r="E879" s="153"/>
      <c r="F879" s="153"/>
      <c r="G879" s="153"/>
      <c r="H879" s="153"/>
      <c r="I879" s="157"/>
      <c r="J879" s="157"/>
      <c r="K879" s="157"/>
      <c r="L879" s="157"/>
      <c r="M879" s="157"/>
      <c r="N879" s="221"/>
      <c r="O879" s="157"/>
      <c r="P879" s="157"/>
      <c r="Q879" s="157"/>
      <c r="R879" s="157"/>
      <c r="S879" s="157"/>
      <c r="T879" s="157"/>
      <c r="U879" s="157"/>
      <c r="V879" s="157"/>
      <c r="W879" s="153"/>
    </row>
    <row r="880" spans="2:23" s="14" customFormat="1" x14ac:dyDescent="0.25">
      <c r="B880" s="76"/>
      <c r="C880" s="153"/>
      <c r="D880" s="153"/>
      <c r="E880" s="153"/>
      <c r="F880" s="153"/>
      <c r="G880" s="153"/>
      <c r="H880" s="153"/>
      <c r="I880" s="157"/>
      <c r="J880" s="157"/>
      <c r="K880" s="157"/>
      <c r="L880" s="157"/>
      <c r="M880" s="157"/>
      <c r="N880" s="221"/>
      <c r="O880" s="157"/>
      <c r="P880" s="157"/>
      <c r="Q880" s="157"/>
      <c r="R880" s="157"/>
      <c r="S880" s="157"/>
      <c r="T880" s="157"/>
      <c r="U880" s="157"/>
      <c r="V880" s="157"/>
      <c r="W880" s="153"/>
    </row>
    <row r="881" spans="2:23" s="14" customFormat="1" x14ac:dyDescent="0.25">
      <c r="B881" s="76"/>
      <c r="C881" s="153"/>
      <c r="D881" s="153"/>
      <c r="E881" s="153"/>
      <c r="F881" s="153"/>
      <c r="G881" s="153"/>
      <c r="H881" s="153"/>
      <c r="I881" s="157"/>
      <c r="J881" s="157"/>
      <c r="K881" s="157"/>
      <c r="L881" s="157"/>
      <c r="M881" s="157"/>
      <c r="N881" s="221"/>
      <c r="O881" s="157"/>
      <c r="P881" s="157"/>
      <c r="Q881" s="157"/>
      <c r="R881" s="157"/>
      <c r="S881" s="157"/>
      <c r="T881" s="157"/>
      <c r="U881" s="157"/>
      <c r="V881" s="157"/>
      <c r="W881" s="153"/>
    </row>
    <row r="882" spans="2:23" s="14" customFormat="1" x14ac:dyDescent="0.25">
      <c r="B882" s="76"/>
      <c r="C882" s="153"/>
      <c r="D882" s="153"/>
      <c r="E882" s="153"/>
      <c r="F882" s="153"/>
      <c r="G882" s="153"/>
      <c r="H882" s="153"/>
      <c r="I882" s="157"/>
      <c r="J882" s="157"/>
      <c r="K882" s="157"/>
      <c r="L882" s="157"/>
      <c r="M882" s="157"/>
      <c r="N882" s="221"/>
      <c r="O882" s="157"/>
      <c r="P882" s="157"/>
      <c r="Q882" s="157"/>
      <c r="R882" s="157"/>
      <c r="S882" s="157"/>
      <c r="T882" s="157"/>
      <c r="U882" s="157"/>
      <c r="V882" s="157"/>
      <c r="W882" s="153"/>
    </row>
    <row r="883" spans="2:23" s="14" customFormat="1" x14ac:dyDescent="0.25">
      <c r="B883" s="76"/>
      <c r="C883" s="153"/>
      <c r="D883" s="153"/>
      <c r="E883" s="153"/>
      <c r="F883" s="153"/>
      <c r="G883" s="153"/>
      <c r="H883" s="153"/>
      <c r="I883" s="157"/>
      <c r="J883" s="157"/>
      <c r="K883" s="157"/>
      <c r="L883" s="157"/>
      <c r="M883" s="157"/>
      <c r="N883" s="221"/>
      <c r="O883" s="157"/>
      <c r="P883" s="157"/>
      <c r="Q883" s="157"/>
      <c r="R883" s="157"/>
      <c r="S883" s="157"/>
      <c r="T883" s="157"/>
      <c r="U883" s="157"/>
      <c r="V883" s="157"/>
      <c r="W883" s="153"/>
    </row>
    <row r="884" spans="2:23" s="14" customFormat="1" x14ac:dyDescent="0.25">
      <c r="B884" s="76"/>
      <c r="C884" s="153"/>
      <c r="D884" s="153"/>
      <c r="E884" s="153"/>
      <c r="F884" s="153"/>
      <c r="G884" s="153"/>
      <c r="H884" s="153"/>
      <c r="I884" s="157"/>
      <c r="J884" s="157"/>
      <c r="K884" s="157"/>
      <c r="L884" s="157"/>
      <c r="M884" s="157"/>
      <c r="N884" s="221"/>
      <c r="O884" s="157"/>
      <c r="P884" s="157"/>
      <c r="Q884" s="157"/>
      <c r="R884" s="157"/>
      <c r="S884" s="157"/>
      <c r="T884" s="157"/>
      <c r="U884" s="157"/>
      <c r="V884" s="157"/>
      <c r="W884" s="153"/>
    </row>
    <row r="885" spans="2:23" s="14" customFormat="1" x14ac:dyDescent="0.25">
      <c r="B885" s="76"/>
      <c r="C885" s="153"/>
      <c r="D885" s="153"/>
      <c r="E885" s="153"/>
      <c r="F885" s="153"/>
      <c r="G885" s="153"/>
      <c r="H885" s="153"/>
      <c r="I885" s="157"/>
      <c r="J885" s="157"/>
      <c r="K885" s="157"/>
      <c r="L885" s="157"/>
      <c r="M885" s="157"/>
      <c r="N885" s="221"/>
      <c r="O885" s="157"/>
      <c r="P885" s="157"/>
      <c r="Q885" s="157"/>
      <c r="R885" s="157"/>
      <c r="S885" s="157"/>
      <c r="T885" s="157"/>
      <c r="U885" s="157"/>
      <c r="V885" s="157"/>
      <c r="W885" s="153"/>
    </row>
    <row r="886" spans="2:23" s="14" customFormat="1" x14ac:dyDescent="0.25">
      <c r="B886" s="76"/>
      <c r="C886" s="153"/>
      <c r="D886" s="153"/>
      <c r="E886" s="153"/>
      <c r="F886" s="153"/>
      <c r="G886" s="153"/>
      <c r="H886" s="153"/>
      <c r="I886" s="157"/>
      <c r="J886" s="157"/>
      <c r="K886" s="157"/>
      <c r="L886" s="157"/>
      <c r="M886" s="157"/>
      <c r="N886" s="221"/>
      <c r="O886" s="157"/>
      <c r="P886" s="157"/>
      <c r="Q886" s="157"/>
      <c r="R886" s="157"/>
      <c r="S886" s="157"/>
      <c r="T886" s="157"/>
      <c r="U886" s="157"/>
      <c r="V886" s="157"/>
      <c r="W886" s="153"/>
    </row>
    <row r="887" spans="2:23" s="14" customFormat="1" x14ac:dyDescent="0.25">
      <c r="B887" s="76"/>
      <c r="C887" s="153"/>
      <c r="D887" s="153"/>
      <c r="E887" s="153"/>
      <c r="F887" s="153"/>
      <c r="G887" s="153"/>
      <c r="H887" s="153"/>
      <c r="I887" s="157"/>
      <c r="J887" s="157"/>
      <c r="K887" s="157"/>
      <c r="L887" s="157"/>
      <c r="M887" s="157"/>
      <c r="N887" s="221"/>
      <c r="O887" s="157"/>
      <c r="P887" s="157"/>
      <c r="Q887" s="157"/>
      <c r="R887" s="157"/>
      <c r="S887" s="157"/>
      <c r="T887" s="157"/>
      <c r="U887" s="157"/>
      <c r="V887" s="157"/>
      <c r="W887" s="153"/>
    </row>
    <row r="888" spans="2:23" s="14" customFormat="1" x14ac:dyDescent="0.25">
      <c r="B888" s="76"/>
      <c r="C888" s="153"/>
      <c r="D888" s="153"/>
      <c r="E888" s="153"/>
      <c r="F888" s="153"/>
      <c r="G888" s="153"/>
      <c r="H888" s="153"/>
      <c r="I888" s="157"/>
      <c r="J888" s="157"/>
      <c r="K888" s="157"/>
      <c r="L888" s="157"/>
      <c r="M888" s="157"/>
      <c r="N888" s="221"/>
      <c r="O888" s="157"/>
      <c r="P888" s="157"/>
      <c r="Q888" s="157"/>
      <c r="R888" s="157"/>
      <c r="S888" s="157"/>
      <c r="T888" s="157"/>
      <c r="U888" s="157"/>
      <c r="V888" s="157"/>
      <c r="W888" s="153"/>
    </row>
    <row r="889" spans="2:23" s="14" customFormat="1" x14ac:dyDescent="0.25">
      <c r="B889" s="76"/>
      <c r="C889" s="153"/>
      <c r="D889" s="153"/>
      <c r="E889" s="153"/>
      <c r="F889" s="153"/>
      <c r="G889" s="153"/>
      <c r="H889" s="153"/>
      <c r="I889" s="157"/>
      <c r="J889" s="157"/>
      <c r="K889" s="157"/>
      <c r="L889" s="157"/>
      <c r="M889" s="157"/>
      <c r="N889" s="221"/>
      <c r="O889" s="157"/>
      <c r="P889" s="157"/>
      <c r="Q889" s="157"/>
      <c r="R889" s="157"/>
      <c r="S889" s="157"/>
      <c r="T889" s="157"/>
      <c r="U889" s="157"/>
      <c r="V889" s="157"/>
      <c r="W889" s="153"/>
    </row>
    <row r="890" spans="2:23" s="14" customFormat="1" x14ac:dyDescent="0.25">
      <c r="B890" s="76"/>
      <c r="C890" s="153"/>
      <c r="D890" s="153"/>
      <c r="E890" s="153"/>
      <c r="F890" s="153"/>
      <c r="G890" s="153"/>
      <c r="H890" s="153"/>
      <c r="I890" s="157"/>
      <c r="J890" s="157"/>
      <c r="K890" s="157"/>
      <c r="L890" s="157"/>
      <c r="M890" s="157"/>
      <c r="N890" s="221"/>
      <c r="O890" s="157"/>
      <c r="P890" s="157"/>
      <c r="Q890" s="157"/>
      <c r="R890" s="157"/>
      <c r="S890" s="157"/>
      <c r="T890" s="157"/>
      <c r="U890" s="157"/>
      <c r="V890" s="157"/>
      <c r="W890" s="153"/>
    </row>
    <row r="891" spans="2:23" s="14" customFormat="1" x14ac:dyDescent="0.25">
      <c r="B891" s="76"/>
      <c r="C891" s="153"/>
      <c r="D891" s="153"/>
      <c r="E891" s="153"/>
      <c r="F891" s="153"/>
      <c r="G891" s="153"/>
      <c r="H891" s="153"/>
      <c r="I891" s="157"/>
      <c r="J891" s="157"/>
      <c r="K891" s="157"/>
      <c r="L891" s="157"/>
      <c r="M891" s="157"/>
      <c r="N891" s="221"/>
      <c r="O891" s="157"/>
      <c r="P891" s="157"/>
      <c r="Q891" s="157"/>
      <c r="R891" s="157"/>
      <c r="S891" s="157"/>
      <c r="T891" s="157"/>
      <c r="U891" s="157"/>
      <c r="V891" s="157"/>
      <c r="W891" s="153"/>
    </row>
    <row r="892" spans="2:23" s="14" customFormat="1" x14ac:dyDescent="0.25">
      <c r="B892" s="76"/>
      <c r="C892" s="153"/>
      <c r="D892" s="153"/>
      <c r="E892" s="153"/>
      <c r="F892" s="153"/>
      <c r="G892" s="153"/>
      <c r="H892" s="153"/>
      <c r="I892" s="157"/>
      <c r="J892" s="157"/>
      <c r="K892" s="157"/>
      <c r="L892" s="157"/>
      <c r="M892" s="157"/>
      <c r="N892" s="221"/>
      <c r="O892" s="157"/>
      <c r="P892" s="157"/>
      <c r="Q892" s="157"/>
      <c r="R892" s="157"/>
      <c r="S892" s="157"/>
      <c r="T892" s="157"/>
      <c r="U892" s="157"/>
      <c r="V892" s="157"/>
      <c r="W892" s="153"/>
    </row>
    <row r="893" spans="2:23" s="14" customFormat="1" x14ac:dyDescent="0.25">
      <c r="B893" s="76"/>
      <c r="C893" s="153"/>
      <c r="D893" s="153"/>
      <c r="E893" s="153"/>
      <c r="F893" s="153"/>
      <c r="G893" s="153"/>
      <c r="H893" s="153"/>
      <c r="I893" s="157"/>
      <c r="J893" s="157"/>
      <c r="K893" s="157"/>
      <c r="L893" s="157"/>
      <c r="M893" s="157"/>
      <c r="N893" s="221"/>
      <c r="O893" s="157"/>
      <c r="P893" s="157"/>
      <c r="Q893" s="157"/>
      <c r="R893" s="157"/>
      <c r="S893" s="157"/>
      <c r="T893" s="157"/>
      <c r="U893" s="157"/>
      <c r="V893" s="157"/>
      <c r="W893" s="153"/>
    </row>
    <row r="894" spans="2:23" s="14" customFormat="1" x14ac:dyDescent="0.25">
      <c r="B894" s="76"/>
      <c r="C894" s="153"/>
      <c r="D894" s="153"/>
      <c r="E894" s="153"/>
      <c r="F894" s="153"/>
      <c r="G894" s="153"/>
      <c r="H894" s="153"/>
      <c r="I894" s="157"/>
      <c r="J894" s="157"/>
      <c r="K894" s="157"/>
      <c r="L894" s="157"/>
      <c r="M894" s="157"/>
      <c r="N894" s="221"/>
      <c r="O894" s="157"/>
      <c r="P894" s="157"/>
      <c r="Q894" s="157"/>
      <c r="R894" s="157"/>
      <c r="S894" s="157"/>
      <c r="T894" s="157"/>
      <c r="U894" s="157"/>
      <c r="V894" s="157"/>
      <c r="W894" s="153"/>
    </row>
    <row r="895" spans="2:23" s="14" customFormat="1" x14ac:dyDescent="0.25">
      <c r="B895" s="76"/>
      <c r="C895" s="153"/>
      <c r="D895" s="153"/>
      <c r="E895" s="153"/>
      <c r="F895" s="153"/>
      <c r="G895" s="153"/>
      <c r="H895" s="153"/>
      <c r="I895" s="157"/>
      <c r="J895" s="157"/>
      <c r="K895" s="157"/>
      <c r="L895" s="157"/>
      <c r="M895" s="157"/>
      <c r="N895" s="221"/>
      <c r="O895" s="157"/>
      <c r="P895" s="157"/>
      <c r="Q895" s="157"/>
      <c r="R895" s="157"/>
      <c r="S895" s="157"/>
      <c r="T895" s="157"/>
      <c r="U895" s="157"/>
      <c r="V895" s="157"/>
      <c r="W895" s="153"/>
    </row>
    <row r="896" spans="2:23" s="14" customFormat="1" x14ac:dyDescent="0.25">
      <c r="B896" s="76"/>
      <c r="C896" s="153"/>
      <c r="D896" s="153"/>
      <c r="E896" s="153"/>
      <c r="F896" s="153"/>
      <c r="G896" s="153"/>
      <c r="H896" s="153"/>
      <c r="I896" s="157"/>
      <c r="J896" s="157"/>
      <c r="K896" s="157"/>
      <c r="L896" s="157"/>
      <c r="M896" s="157"/>
      <c r="N896" s="221"/>
      <c r="O896" s="157"/>
      <c r="P896" s="157"/>
      <c r="Q896" s="157"/>
      <c r="R896" s="157"/>
      <c r="S896" s="157"/>
      <c r="T896" s="157"/>
      <c r="U896" s="157"/>
      <c r="V896" s="157"/>
      <c r="W896" s="153"/>
    </row>
    <row r="897" spans="2:23" s="14" customFormat="1" x14ac:dyDescent="0.25">
      <c r="B897" s="76"/>
      <c r="C897" s="153"/>
      <c r="D897" s="153"/>
      <c r="E897" s="153"/>
      <c r="F897" s="153"/>
      <c r="G897" s="153"/>
      <c r="H897" s="153"/>
      <c r="I897" s="157"/>
      <c r="J897" s="157"/>
      <c r="K897" s="157"/>
      <c r="L897" s="157"/>
      <c r="M897" s="157"/>
      <c r="N897" s="221"/>
      <c r="O897" s="157"/>
      <c r="P897" s="157"/>
      <c r="Q897" s="157"/>
      <c r="R897" s="157"/>
      <c r="S897" s="157"/>
      <c r="T897" s="157"/>
      <c r="U897" s="157"/>
      <c r="V897" s="157"/>
      <c r="W897" s="153"/>
    </row>
    <row r="898" spans="2:23" s="14" customFormat="1" x14ac:dyDescent="0.25">
      <c r="B898" s="76"/>
      <c r="C898" s="153"/>
      <c r="D898" s="153"/>
      <c r="E898" s="153"/>
      <c r="F898" s="153"/>
      <c r="G898" s="153"/>
      <c r="H898" s="153"/>
      <c r="I898" s="157"/>
      <c r="J898" s="157"/>
      <c r="K898" s="157"/>
      <c r="L898" s="157"/>
      <c r="M898" s="157"/>
      <c r="N898" s="221"/>
      <c r="O898" s="157"/>
      <c r="P898" s="157"/>
      <c r="Q898" s="157"/>
      <c r="R898" s="157"/>
      <c r="S898" s="157"/>
      <c r="T898" s="157"/>
      <c r="U898" s="157"/>
      <c r="V898" s="157"/>
      <c r="W898" s="153"/>
    </row>
    <row r="899" spans="2:23" s="14" customFormat="1" x14ac:dyDescent="0.25">
      <c r="B899" s="76"/>
      <c r="C899" s="153"/>
      <c r="D899" s="153"/>
      <c r="E899" s="153"/>
      <c r="F899" s="153"/>
      <c r="G899" s="153"/>
      <c r="H899" s="153"/>
      <c r="I899" s="157"/>
      <c r="J899" s="157"/>
      <c r="K899" s="157"/>
      <c r="L899" s="157"/>
      <c r="M899" s="157"/>
      <c r="N899" s="221"/>
      <c r="O899" s="157"/>
      <c r="P899" s="157"/>
      <c r="Q899" s="157"/>
      <c r="R899" s="157"/>
      <c r="S899" s="157"/>
      <c r="T899" s="157"/>
      <c r="U899" s="157"/>
      <c r="V899" s="157"/>
      <c r="W899" s="153"/>
    </row>
    <row r="900" spans="2:23" s="14" customFormat="1" x14ac:dyDescent="0.25">
      <c r="B900" s="76"/>
      <c r="C900" s="153"/>
      <c r="D900" s="153"/>
      <c r="E900" s="153"/>
      <c r="F900" s="153"/>
      <c r="G900" s="153"/>
      <c r="H900" s="153"/>
      <c r="I900" s="157"/>
      <c r="J900" s="157"/>
      <c r="K900" s="157"/>
      <c r="L900" s="157"/>
      <c r="M900" s="157"/>
      <c r="N900" s="221"/>
      <c r="O900" s="157"/>
      <c r="P900" s="157"/>
      <c r="Q900" s="157"/>
      <c r="R900" s="157"/>
      <c r="S900" s="157"/>
      <c r="T900" s="157"/>
      <c r="U900" s="157"/>
      <c r="V900" s="157"/>
      <c r="W900" s="153"/>
    </row>
    <row r="901" spans="2:23" s="14" customFormat="1" x14ac:dyDescent="0.25">
      <c r="B901" s="76"/>
      <c r="C901" s="153"/>
      <c r="D901" s="153"/>
      <c r="E901" s="153"/>
      <c r="F901" s="153"/>
      <c r="G901" s="153"/>
      <c r="H901" s="153"/>
      <c r="I901" s="157"/>
      <c r="J901" s="157"/>
      <c r="K901" s="157"/>
      <c r="L901" s="157"/>
      <c r="M901" s="157"/>
      <c r="N901" s="221"/>
      <c r="O901" s="157"/>
      <c r="P901" s="157"/>
      <c r="Q901" s="157"/>
      <c r="R901" s="157"/>
      <c r="S901" s="157"/>
      <c r="T901" s="157"/>
      <c r="U901" s="157"/>
      <c r="V901" s="157"/>
      <c r="W901" s="153"/>
    </row>
    <row r="902" spans="2:23" s="14" customFormat="1" x14ac:dyDescent="0.25">
      <c r="B902" s="76"/>
      <c r="C902" s="153"/>
      <c r="D902" s="153"/>
      <c r="E902" s="153"/>
      <c r="F902" s="153"/>
      <c r="G902" s="153"/>
      <c r="H902" s="153"/>
      <c r="I902" s="157"/>
      <c r="J902" s="157"/>
      <c r="K902" s="157"/>
      <c r="L902" s="157"/>
      <c r="M902" s="157"/>
      <c r="N902" s="221"/>
      <c r="O902" s="157"/>
      <c r="P902" s="157"/>
      <c r="Q902" s="157"/>
      <c r="R902" s="157"/>
      <c r="S902" s="157"/>
      <c r="T902" s="157"/>
      <c r="U902" s="157"/>
      <c r="V902" s="157"/>
      <c r="W902" s="153"/>
    </row>
    <row r="903" spans="2:23" s="14" customFormat="1" x14ac:dyDescent="0.25">
      <c r="B903" s="76"/>
      <c r="C903" s="153"/>
      <c r="D903" s="153"/>
      <c r="E903" s="153"/>
      <c r="F903" s="153"/>
      <c r="G903" s="153"/>
      <c r="H903" s="153"/>
      <c r="I903" s="157"/>
      <c r="J903" s="157"/>
      <c r="K903" s="157"/>
      <c r="L903" s="157"/>
      <c r="M903" s="157"/>
      <c r="N903" s="221"/>
      <c r="O903" s="157"/>
      <c r="P903" s="157"/>
      <c r="Q903" s="157"/>
      <c r="R903" s="157"/>
      <c r="S903" s="157"/>
      <c r="T903" s="157"/>
      <c r="U903" s="157"/>
      <c r="V903" s="157"/>
      <c r="W903" s="153"/>
    </row>
    <row r="904" spans="2:23" s="14" customFormat="1" x14ac:dyDescent="0.25">
      <c r="B904" s="76"/>
      <c r="C904" s="153"/>
      <c r="D904" s="153"/>
      <c r="E904" s="153"/>
      <c r="F904" s="153"/>
      <c r="G904" s="153"/>
      <c r="H904" s="153"/>
      <c r="I904" s="157"/>
      <c r="J904" s="157"/>
      <c r="K904" s="157"/>
      <c r="L904" s="157"/>
      <c r="M904" s="157"/>
      <c r="N904" s="221"/>
      <c r="O904" s="157"/>
      <c r="P904" s="157"/>
      <c r="Q904" s="157"/>
      <c r="R904" s="157"/>
      <c r="S904" s="157"/>
      <c r="T904" s="157"/>
      <c r="U904" s="157"/>
      <c r="V904" s="157"/>
      <c r="W904" s="153"/>
    </row>
    <row r="905" spans="2:23" s="14" customFormat="1" x14ac:dyDescent="0.25">
      <c r="B905" s="76"/>
      <c r="C905" s="153"/>
      <c r="D905" s="153"/>
      <c r="E905" s="153"/>
      <c r="F905" s="153"/>
      <c r="G905" s="153"/>
      <c r="H905" s="153"/>
      <c r="I905" s="157"/>
      <c r="J905" s="157"/>
      <c r="K905" s="157"/>
      <c r="L905" s="157"/>
      <c r="M905" s="157"/>
      <c r="N905" s="221"/>
      <c r="O905" s="157"/>
      <c r="P905" s="157"/>
      <c r="Q905" s="157"/>
      <c r="R905" s="157"/>
      <c r="S905" s="157"/>
      <c r="T905" s="157"/>
      <c r="U905" s="157"/>
      <c r="V905" s="157"/>
      <c r="W905" s="153"/>
    </row>
    <row r="906" spans="2:23" s="14" customFormat="1" x14ac:dyDescent="0.25">
      <c r="B906" s="76"/>
      <c r="C906" s="153"/>
      <c r="D906" s="153"/>
      <c r="E906" s="153"/>
      <c r="F906" s="153"/>
      <c r="G906" s="153"/>
      <c r="H906" s="153"/>
      <c r="I906" s="157"/>
      <c r="J906" s="157"/>
      <c r="K906" s="157"/>
      <c r="L906" s="157"/>
      <c r="M906" s="157"/>
      <c r="N906" s="221"/>
      <c r="O906" s="157"/>
      <c r="P906" s="157"/>
      <c r="Q906" s="157"/>
      <c r="R906" s="157"/>
      <c r="S906" s="157"/>
      <c r="T906" s="157"/>
      <c r="U906" s="157"/>
      <c r="V906" s="157"/>
      <c r="W906" s="153"/>
    </row>
    <row r="907" spans="2:23" s="14" customFormat="1" x14ac:dyDescent="0.25">
      <c r="B907" s="76"/>
      <c r="C907" s="153"/>
      <c r="D907" s="153"/>
      <c r="E907" s="153"/>
      <c r="F907" s="153"/>
      <c r="G907" s="153"/>
      <c r="H907" s="153"/>
      <c r="I907" s="157"/>
      <c r="J907" s="157"/>
      <c r="K907" s="157"/>
      <c r="L907" s="157"/>
      <c r="M907" s="157"/>
      <c r="N907" s="221"/>
      <c r="O907" s="157"/>
      <c r="P907" s="157"/>
      <c r="Q907" s="157"/>
      <c r="R907" s="157"/>
      <c r="S907" s="157"/>
      <c r="T907" s="157"/>
      <c r="U907" s="157"/>
      <c r="V907" s="157"/>
      <c r="W907" s="153"/>
    </row>
    <row r="908" spans="2:23" s="14" customFormat="1" x14ac:dyDescent="0.25">
      <c r="B908" s="76"/>
      <c r="C908" s="153"/>
      <c r="D908" s="153"/>
      <c r="E908" s="153"/>
      <c r="F908" s="153"/>
      <c r="G908" s="153"/>
      <c r="H908" s="153"/>
      <c r="I908" s="157"/>
      <c r="J908" s="157"/>
      <c r="K908" s="157"/>
      <c r="L908" s="157"/>
      <c r="M908" s="157"/>
      <c r="N908" s="221"/>
      <c r="O908" s="157"/>
      <c r="P908" s="157"/>
      <c r="Q908" s="157"/>
      <c r="R908" s="157"/>
      <c r="S908" s="157"/>
      <c r="T908" s="157"/>
      <c r="U908" s="157"/>
      <c r="V908" s="157"/>
      <c r="W908" s="153"/>
    </row>
    <row r="909" spans="2:23" s="14" customFormat="1" x14ac:dyDescent="0.25">
      <c r="B909" s="76"/>
      <c r="C909" s="153"/>
      <c r="D909" s="153"/>
      <c r="E909" s="153"/>
      <c r="F909" s="153"/>
      <c r="G909" s="153"/>
      <c r="H909" s="153"/>
      <c r="I909" s="157"/>
      <c r="J909" s="157"/>
      <c r="K909" s="157"/>
      <c r="L909" s="157"/>
      <c r="M909" s="157"/>
      <c r="N909" s="221"/>
      <c r="O909" s="157"/>
      <c r="P909" s="157"/>
      <c r="Q909" s="157"/>
      <c r="R909" s="157"/>
      <c r="S909" s="157"/>
      <c r="T909" s="157"/>
      <c r="U909" s="157"/>
      <c r="V909" s="157"/>
      <c r="W909" s="153"/>
    </row>
    <row r="910" spans="2:23" s="14" customFormat="1" x14ac:dyDescent="0.25">
      <c r="B910" s="76"/>
      <c r="C910" s="153"/>
      <c r="D910" s="153"/>
      <c r="E910" s="153"/>
      <c r="F910" s="153"/>
      <c r="G910" s="153"/>
      <c r="H910" s="153"/>
      <c r="I910" s="157"/>
      <c r="J910" s="157"/>
      <c r="K910" s="157"/>
      <c r="L910" s="157"/>
      <c r="M910" s="157"/>
      <c r="N910" s="221"/>
      <c r="O910" s="157"/>
      <c r="P910" s="157"/>
      <c r="Q910" s="157"/>
      <c r="R910" s="157"/>
      <c r="S910" s="157"/>
      <c r="T910" s="157"/>
      <c r="U910" s="157"/>
      <c r="V910" s="157"/>
      <c r="W910" s="153"/>
    </row>
    <row r="911" spans="2:23" s="14" customFormat="1" x14ac:dyDescent="0.25">
      <c r="B911" s="76"/>
      <c r="C911" s="153"/>
      <c r="D911" s="153"/>
      <c r="E911" s="153"/>
      <c r="F911" s="153"/>
      <c r="G911" s="153"/>
      <c r="H911" s="153"/>
      <c r="I911" s="157"/>
      <c r="J911" s="157"/>
      <c r="K911" s="157"/>
      <c r="L911" s="157"/>
      <c r="M911" s="157"/>
      <c r="N911" s="221"/>
      <c r="O911" s="157"/>
      <c r="P911" s="157"/>
      <c r="Q911" s="157"/>
      <c r="R911" s="157"/>
      <c r="S911" s="157"/>
      <c r="T911" s="157"/>
      <c r="U911" s="157"/>
      <c r="V911" s="157"/>
      <c r="W911" s="153"/>
    </row>
    <row r="912" spans="2:23" s="14" customFormat="1" x14ac:dyDescent="0.25">
      <c r="B912" s="76"/>
      <c r="C912" s="153"/>
      <c r="D912" s="153"/>
      <c r="E912" s="153"/>
      <c r="F912" s="153"/>
      <c r="G912" s="153"/>
      <c r="H912" s="153"/>
      <c r="I912" s="157"/>
      <c r="J912" s="157"/>
      <c r="K912" s="157"/>
      <c r="L912" s="157"/>
      <c r="M912" s="157"/>
      <c r="N912" s="221"/>
      <c r="O912" s="157"/>
      <c r="P912" s="157"/>
      <c r="Q912" s="157"/>
      <c r="R912" s="157"/>
      <c r="S912" s="157"/>
      <c r="T912" s="157"/>
      <c r="U912" s="157"/>
      <c r="V912" s="157"/>
      <c r="W912" s="153"/>
    </row>
    <row r="913" spans="2:23" s="14" customFormat="1" x14ac:dyDescent="0.25">
      <c r="B913" s="76"/>
      <c r="C913" s="153"/>
      <c r="D913" s="153"/>
      <c r="E913" s="153"/>
      <c r="F913" s="153"/>
      <c r="G913" s="153"/>
      <c r="H913" s="153"/>
      <c r="I913" s="157"/>
      <c r="J913" s="157"/>
      <c r="K913" s="157"/>
      <c r="L913" s="157"/>
      <c r="M913" s="157"/>
      <c r="N913" s="221"/>
      <c r="O913" s="157"/>
      <c r="P913" s="157"/>
      <c r="Q913" s="157"/>
      <c r="R913" s="157"/>
      <c r="S913" s="157"/>
      <c r="T913" s="157"/>
      <c r="U913" s="157"/>
      <c r="V913" s="157"/>
      <c r="W913" s="153"/>
    </row>
    <row r="914" spans="2:23" s="14" customFormat="1" x14ac:dyDescent="0.25">
      <c r="B914" s="76"/>
      <c r="C914" s="153"/>
      <c r="D914" s="153"/>
      <c r="E914" s="153"/>
      <c r="F914" s="153"/>
      <c r="G914" s="153"/>
      <c r="H914" s="153"/>
      <c r="I914" s="157"/>
      <c r="J914" s="157"/>
      <c r="K914" s="157"/>
      <c r="L914" s="157"/>
      <c r="M914" s="157"/>
      <c r="N914" s="221"/>
      <c r="O914" s="157"/>
      <c r="P914" s="157"/>
      <c r="Q914" s="157"/>
      <c r="R914" s="157"/>
      <c r="S914" s="157"/>
      <c r="T914" s="157"/>
      <c r="U914" s="157"/>
      <c r="V914" s="157"/>
      <c r="W914" s="153"/>
    </row>
    <row r="915" spans="2:23" s="14" customFormat="1" x14ac:dyDescent="0.25">
      <c r="B915" s="76"/>
      <c r="C915" s="153"/>
      <c r="D915" s="153"/>
      <c r="E915" s="153"/>
      <c r="F915" s="153"/>
      <c r="G915" s="153"/>
      <c r="H915" s="153"/>
      <c r="I915" s="157"/>
      <c r="J915" s="157"/>
      <c r="K915" s="157"/>
      <c r="L915" s="157"/>
      <c r="M915" s="157"/>
      <c r="N915" s="221"/>
      <c r="O915" s="157"/>
      <c r="P915" s="157"/>
      <c r="Q915" s="157"/>
      <c r="R915" s="157"/>
      <c r="S915" s="157"/>
      <c r="T915" s="157"/>
      <c r="U915" s="157"/>
      <c r="V915" s="157"/>
      <c r="W915" s="153"/>
    </row>
    <row r="916" spans="2:23" s="14" customFormat="1" x14ac:dyDescent="0.25">
      <c r="B916" s="76"/>
      <c r="C916" s="153"/>
      <c r="D916" s="153"/>
      <c r="E916" s="153"/>
      <c r="F916" s="153"/>
      <c r="G916" s="153"/>
      <c r="H916" s="153"/>
      <c r="I916" s="157"/>
      <c r="J916" s="157"/>
      <c r="K916" s="157"/>
      <c r="L916" s="157"/>
      <c r="M916" s="157"/>
      <c r="N916" s="221"/>
      <c r="O916" s="157"/>
      <c r="P916" s="157"/>
      <c r="Q916" s="157"/>
      <c r="R916" s="157"/>
      <c r="S916" s="157"/>
      <c r="T916" s="157"/>
      <c r="U916" s="157"/>
      <c r="V916" s="157"/>
      <c r="W916" s="153"/>
    </row>
    <row r="917" spans="2:23" s="14" customFormat="1" x14ac:dyDescent="0.25">
      <c r="B917" s="76"/>
      <c r="C917" s="153"/>
      <c r="D917" s="153"/>
      <c r="E917" s="153"/>
      <c r="F917" s="153"/>
      <c r="G917" s="153"/>
      <c r="H917" s="153"/>
      <c r="I917" s="157"/>
      <c r="J917" s="157"/>
      <c r="K917" s="157"/>
      <c r="L917" s="157"/>
      <c r="M917" s="157"/>
      <c r="N917" s="221"/>
      <c r="O917" s="157"/>
      <c r="P917" s="157"/>
      <c r="Q917" s="157"/>
      <c r="R917" s="157"/>
      <c r="S917" s="157"/>
      <c r="T917" s="157"/>
      <c r="U917" s="157"/>
      <c r="V917" s="157"/>
      <c r="W917" s="153"/>
    </row>
    <row r="918" spans="2:23" s="14" customFormat="1" x14ac:dyDescent="0.25">
      <c r="B918" s="76"/>
      <c r="C918" s="153"/>
      <c r="D918" s="153"/>
      <c r="E918" s="153"/>
      <c r="F918" s="153"/>
      <c r="G918" s="153"/>
      <c r="H918" s="153"/>
      <c r="I918" s="157"/>
      <c r="J918" s="157"/>
      <c r="K918" s="157"/>
      <c r="L918" s="157"/>
      <c r="M918" s="157"/>
      <c r="N918" s="221"/>
      <c r="O918" s="157"/>
      <c r="P918" s="157"/>
      <c r="Q918" s="157"/>
      <c r="R918" s="157"/>
      <c r="S918" s="157"/>
      <c r="T918" s="157"/>
      <c r="U918" s="157"/>
      <c r="V918" s="157"/>
      <c r="W918" s="153"/>
    </row>
    <row r="919" spans="2:23" s="14" customFormat="1" x14ac:dyDescent="0.25">
      <c r="B919" s="76"/>
      <c r="C919" s="153"/>
      <c r="D919" s="153"/>
      <c r="E919" s="153"/>
      <c r="F919" s="153"/>
      <c r="G919" s="153"/>
      <c r="H919" s="153"/>
      <c r="I919" s="157"/>
      <c r="J919" s="157"/>
      <c r="K919" s="157"/>
      <c r="L919" s="157"/>
      <c r="M919" s="157"/>
      <c r="N919" s="221"/>
      <c r="O919" s="157"/>
      <c r="P919" s="157"/>
      <c r="Q919" s="157"/>
      <c r="R919" s="157"/>
      <c r="S919" s="157"/>
      <c r="T919" s="157"/>
      <c r="U919" s="157"/>
      <c r="V919" s="157"/>
      <c r="W919" s="153"/>
    </row>
    <row r="920" spans="2:23" s="14" customFormat="1" x14ac:dyDescent="0.25">
      <c r="B920" s="76"/>
      <c r="C920" s="153"/>
      <c r="D920" s="153"/>
      <c r="E920" s="153"/>
      <c r="F920" s="153"/>
      <c r="G920" s="153"/>
      <c r="H920" s="153"/>
      <c r="I920" s="157"/>
      <c r="J920" s="157"/>
      <c r="K920" s="157"/>
      <c r="L920" s="157"/>
      <c r="M920" s="157"/>
      <c r="N920" s="221"/>
      <c r="O920" s="157"/>
      <c r="P920" s="157"/>
      <c r="Q920" s="157"/>
      <c r="R920" s="157"/>
      <c r="S920" s="157"/>
      <c r="T920" s="157"/>
      <c r="U920" s="157"/>
      <c r="V920" s="157"/>
      <c r="W920" s="153"/>
    </row>
    <row r="921" spans="2:23" s="14" customFormat="1" x14ac:dyDescent="0.25">
      <c r="B921" s="76"/>
      <c r="C921" s="153"/>
      <c r="D921" s="153"/>
      <c r="E921" s="153"/>
      <c r="F921" s="153"/>
      <c r="G921" s="153"/>
      <c r="H921" s="153"/>
      <c r="I921" s="157"/>
      <c r="J921" s="157"/>
      <c r="K921" s="157"/>
      <c r="L921" s="157"/>
      <c r="M921" s="157"/>
      <c r="N921" s="221"/>
      <c r="O921" s="157"/>
      <c r="P921" s="157"/>
      <c r="Q921" s="157"/>
      <c r="R921" s="157"/>
      <c r="S921" s="157"/>
      <c r="T921" s="157"/>
      <c r="U921" s="157"/>
      <c r="V921" s="157"/>
      <c r="W921" s="153"/>
    </row>
    <row r="922" spans="2:23" s="14" customFormat="1" x14ac:dyDescent="0.25">
      <c r="B922" s="76"/>
      <c r="C922" s="153"/>
      <c r="D922" s="153"/>
      <c r="E922" s="153"/>
      <c r="F922" s="153"/>
      <c r="G922" s="153"/>
      <c r="H922" s="153"/>
      <c r="I922" s="157"/>
      <c r="J922" s="157"/>
      <c r="K922" s="157"/>
      <c r="L922" s="157"/>
      <c r="M922" s="157"/>
      <c r="N922" s="221"/>
      <c r="O922" s="157"/>
      <c r="P922" s="157"/>
      <c r="Q922" s="157"/>
      <c r="R922" s="157"/>
      <c r="S922" s="157"/>
      <c r="T922" s="157"/>
      <c r="U922" s="157"/>
      <c r="V922" s="157"/>
      <c r="W922" s="153"/>
    </row>
    <row r="923" spans="2:23" s="14" customFormat="1" x14ac:dyDescent="0.25">
      <c r="B923" s="76"/>
      <c r="C923" s="153"/>
      <c r="D923" s="153"/>
      <c r="E923" s="153"/>
      <c r="F923" s="153"/>
      <c r="G923" s="153"/>
      <c r="H923" s="153"/>
      <c r="I923" s="157"/>
      <c r="J923" s="157"/>
      <c r="K923" s="157"/>
      <c r="L923" s="157"/>
      <c r="M923" s="157"/>
      <c r="N923" s="221"/>
      <c r="O923" s="157"/>
      <c r="P923" s="157"/>
      <c r="Q923" s="157"/>
      <c r="R923" s="157"/>
      <c r="S923" s="157"/>
      <c r="T923" s="157"/>
      <c r="U923" s="157"/>
      <c r="V923" s="157"/>
      <c r="W923" s="153"/>
    </row>
    <row r="924" spans="2:23" s="14" customFormat="1" x14ac:dyDescent="0.25">
      <c r="B924" s="76"/>
      <c r="C924" s="153"/>
      <c r="D924" s="153"/>
      <c r="E924" s="153"/>
      <c r="F924" s="153"/>
      <c r="G924" s="153"/>
      <c r="H924" s="153"/>
      <c r="I924" s="157"/>
      <c r="J924" s="157"/>
      <c r="K924" s="157"/>
      <c r="L924" s="157"/>
      <c r="M924" s="157"/>
      <c r="N924" s="221"/>
      <c r="O924" s="157"/>
      <c r="P924" s="157"/>
      <c r="Q924" s="157"/>
      <c r="R924" s="157"/>
      <c r="S924" s="157"/>
      <c r="T924" s="157"/>
      <c r="U924" s="157"/>
      <c r="V924" s="157"/>
      <c r="W924" s="153"/>
    </row>
    <row r="925" spans="2:23" s="14" customFormat="1" x14ac:dyDescent="0.25">
      <c r="B925" s="76"/>
      <c r="C925" s="153"/>
      <c r="D925" s="153"/>
      <c r="E925" s="153"/>
      <c r="F925" s="153"/>
      <c r="G925" s="153"/>
      <c r="H925" s="153"/>
      <c r="I925" s="157"/>
      <c r="J925" s="157"/>
      <c r="K925" s="157"/>
      <c r="L925" s="157"/>
      <c r="M925" s="157"/>
      <c r="N925" s="221"/>
      <c r="O925" s="157"/>
      <c r="P925" s="157"/>
      <c r="Q925" s="157"/>
      <c r="R925" s="157"/>
      <c r="S925" s="157"/>
      <c r="T925" s="157"/>
      <c r="U925" s="157"/>
      <c r="V925" s="157"/>
      <c r="W925" s="153"/>
    </row>
    <row r="926" spans="2:23" s="14" customFormat="1" x14ac:dyDescent="0.25">
      <c r="B926" s="76"/>
      <c r="C926" s="153"/>
      <c r="D926" s="153"/>
      <c r="E926" s="153"/>
      <c r="F926" s="153"/>
      <c r="G926" s="153"/>
      <c r="H926" s="153"/>
      <c r="I926" s="157"/>
      <c r="J926" s="157"/>
      <c r="K926" s="157"/>
      <c r="L926" s="157"/>
      <c r="M926" s="157"/>
      <c r="N926" s="221"/>
      <c r="O926" s="157"/>
      <c r="P926" s="157"/>
      <c r="Q926" s="157"/>
      <c r="R926" s="157"/>
      <c r="S926" s="157"/>
      <c r="T926" s="157"/>
      <c r="U926" s="157"/>
      <c r="V926" s="157"/>
      <c r="W926" s="153"/>
    </row>
    <row r="927" spans="2:23" s="14" customFormat="1" x14ac:dyDescent="0.25">
      <c r="B927" s="76"/>
      <c r="C927" s="153"/>
      <c r="D927" s="153"/>
      <c r="E927" s="153"/>
      <c r="F927" s="153"/>
      <c r="G927" s="153"/>
      <c r="H927" s="153"/>
      <c r="I927" s="157"/>
      <c r="J927" s="157"/>
      <c r="K927" s="157"/>
      <c r="L927" s="157"/>
      <c r="M927" s="157"/>
      <c r="N927" s="221"/>
      <c r="O927" s="157"/>
      <c r="P927" s="157"/>
      <c r="Q927" s="157"/>
      <c r="R927" s="157"/>
      <c r="S927" s="157"/>
      <c r="T927" s="157"/>
      <c r="U927" s="157"/>
      <c r="V927" s="157"/>
      <c r="W927" s="153"/>
    </row>
    <row r="928" spans="2:23" s="14" customFormat="1" x14ac:dyDescent="0.25">
      <c r="B928" s="76"/>
      <c r="C928" s="153"/>
      <c r="D928" s="153"/>
      <c r="E928" s="153"/>
      <c r="F928" s="153"/>
      <c r="G928" s="153"/>
      <c r="H928" s="153"/>
      <c r="I928" s="157"/>
      <c r="J928" s="157"/>
      <c r="K928" s="157"/>
      <c r="L928" s="157"/>
      <c r="M928" s="157"/>
      <c r="N928" s="221"/>
      <c r="O928" s="157"/>
      <c r="P928" s="157"/>
      <c r="Q928" s="157"/>
      <c r="R928" s="157"/>
      <c r="S928" s="157"/>
      <c r="T928" s="157"/>
      <c r="U928" s="157"/>
      <c r="V928" s="157"/>
      <c r="W928" s="153"/>
    </row>
    <row r="929" spans="2:23" s="14" customFormat="1" x14ac:dyDescent="0.25">
      <c r="B929" s="76"/>
      <c r="C929" s="153"/>
      <c r="D929" s="153"/>
      <c r="E929" s="153"/>
      <c r="F929" s="153"/>
      <c r="G929" s="153"/>
      <c r="H929" s="153"/>
      <c r="I929" s="157"/>
      <c r="J929" s="157"/>
      <c r="K929" s="157"/>
      <c r="L929" s="157"/>
      <c r="M929" s="157"/>
      <c r="N929" s="221"/>
      <c r="O929" s="157"/>
      <c r="P929" s="157"/>
      <c r="Q929" s="157"/>
      <c r="R929" s="157"/>
      <c r="S929" s="157"/>
      <c r="T929" s="157"/>
      <c r="U929" s="157"/>
      <c r="V929" s="157"/>
      <c r="W929" s="153"/>
    </row>
    <row r="930" spans="2:23" s="14" customFormat="1" x14ac:dyDescent="0.25">
      <c r="B930" s="76"/>
      <c r="C930" s="153"/>
      <c r="D930" s="153"/>
      <c r="E930" s="153"/>
      <c r="F930" s="153"/>
      <c r="G930" s="153"/>
      <c r="H930" s="153"/>
      <c r="I930" s="157"/>
      <c r="J930" s="157"/>
      <c r="K930" s="157"/>
      <c r="L930" s="157"/>
      <c r="M930" s="157"/>
      <c r="N930" s="221"/>
      <c r="O930" s="157"/>
      <c r="P930" s="157"/>
      <c r="Q930" s="157"/>
      <c r="R930" s="157"/>
      <c r="S930" s="157"/>
      <c r="T930" s="157"/>
      <c r="U930" s="157"/>
      <c r="V930" s="157"/>
      <c r="W930" s="153"/>
    </row>
    <row r="931" spans="2:23" s="14" customFormat="1" x14ac:dyDescent="0.25">
      <c r="B931" s="76"/>
      <c r="C931" s="153"/>
      <c r="D931" s="153"/>
      <c r="E931" s="153"/>
      <c r="F931" s="153"/>
      <c r="G931" s="153"/>
      <c r="H931" s="153"/>
      <c r="I931" s="157"/>
      <c r="J931" s="157"/>
      <c r="K931" s="157"/>
      <c r="L931" s="157"/>
      <c r="M931" s="157"/>
      <c r="N931" s="221"/>
      <c r="O931" s="157"/>
      <c r="P931" s="157"/>
      <c r="Q931" s="157"/>
      <c r="R931" s="157"/>
      <c r="S931" s="157"/>
      <c r="T931" s="157"/>
      <c r="U931" s="157"/>
      <c r="V931" s="157"/>
      <c r="W931" s="153"/>
    </row>
    <row r="932" spans="2:23" s="14" customFormat="1" x14ac:dyDescent="0.25">
      <c r="B932" s="76"/>
      <c r="C932" s="153"/>
      <c r="D932" s="153"/>
      <c r="E932" s="153"/>
      <c r="F932" s="153"/>
      <c r="G932" s="153"/>
      <c r="H932" s="153"/>
      <c r="I932" s="157"/>
      <c r="J932" s="157"/>
      <c r="K932" s="157"/>
      <c r="L932" s="157"/>
      <c r="M932" s="157"/>
      <c r="N932" s="221"/>
      <c r="O932" s="157"/>
      <c r="P932" s="157"/>
      <c r="Q932" s="157"/>
      <c r="R932" s="157"/>
      <c r="S932" s="157"/>
      <c r="T932" s="157"/>
      <c r="U932" s="157"/>
      <c r="V932" s="157"/>
      <c r="W932" s="153"/>
    </row>
    <row r="933" spans="2:23" s="14" customFormat="1" x14ac:dyDescent="0.25">
      <c r="B933" s="76"/>
      <c r="C933" s="153"/>
      <c r="D933" s="153"/>
      <c r="E933" s="153"/>
      <c r="F933" s="153"/>
      <c r="G933" s="153"/>
      <c r="H933" s="153"/>
      <c r="I933" s="157"/>
      <c r="J933" s="157"/>
      <c r="K933" s="157"/>
      <c r="L933" s="157"/>
      <c r="M933" s="157"/>
      <c r="N933" s="221"/>
      <c r="O933" s="157"/>
      <c r="P933" s="157"/>
      <c r="Q933" s="157"/>
      <c r="R933" s="157"/>
      <c r="S933" s="157"/>
      <c r="T933" s="157"/>
      <c r="U933" s="157"/>
      <c r="V933" s="157"/>
      <c r="W933" s="153"/>
    </row>
    <row r="934" spans="2:23" s="14" customFormat="1" x14ac:dyDescent="0.25">
      <c r="B934" s="76"/>
      <c r="C934" s="153"/>
      <c r="D934" s="153"/>
      <c r="E934" s="153"/>
      <c r="F934" s="153"/>
      <c r="G934" s="153"/>
      <c r="H934" s="153"/>
      <c r="I934" s="157"/>
      <c r="J934" s="157"/>
      <c r="K934" s="157"/>
      <c r="L934" s="157"/>
      <c r="M934" s="157"/>
      <c r="N934" s="221"/>
      <c r="O934" s="157"/>
      <c r="P934" s="157"/>
      <c r="Q934" s="157"/>
      <c r="R934" s="157"/>
      <c r="S934" s="157"/>
      <c r="T934" s="157"/>
      <c r="U934" s="157"/>
      <c r="V934" s="157"/>
      <c r="W934" s="153"/>
    </row>
    <row r="935" spans="2:23" s="14" customFormat="1" x14ac:dyDescent="0.25">
      <c r="B935" s="76"/>
      <c r="C935" s="153"/>
      <c r="D935" s="153"/>
      <c r="E935" s="153"/>
      <c r="F935" s="153"/>
      <c r="G935" s="153"/>
      <c r="H935" s="153"/>
      <c r="I935" s="157"/>
      <c r="J935" s="157"/>
      <c r="K935" s="157"/>
      <c r="L935" s="157"/>
      <c r="M935" s="157"/>
      <c r="N935" s="221"/>
      <c r="O935" s="157"/>
      <c r="P935" s="157"/>
      <c r="Q935" s="157"/>
      <c r="R935" s="157"/>
      <c r="S935" s="157"/>
      <c r="T935" s="157"/>
      <c r="U935" s="157"/>
      <c r="V935" s="157"/>
      <c r="W935" s="153"/>
    </row>
    <row r="936" spans="2:23" s="14" customFormat="1" x14ac:dyDescent="0.25">
      <c r="B936" s="76"/>
      <c r="C936" s="153"/>
      <c r="D936" s="153"/>
      <c r="E936" s="153"/>
      <c r="F936" s="153"/>
      <c r="G936" s="153"/>
      <c r="H936" s="153"/>
      <c r="I936" s="157"/>
      <c r="J936" s="157"/>
      <c r="K936" s="157"/>
      <c r="L936" s="157"/>
      <c r="M936" s="157"/>
      <c r="N936" s="221"/>
      <c r="O936" s="157"/>
      <c r="P936" s="157"/>
      <c r="Q936" s="157"/>
      <c r="R936" s="157"/>
      <c r="S936" s="157"/>
      <c r="T936" s="157"/>
      <c r="U936" s="157"/>
      <c r="V936" s="157"/>
      <c r="W936" s="153"/>
    </row>
    <row r="937" spans="2:23" s="14" customFormat="1" x14ac:dyDescent="0.25">
      <c r="B937" s="76"/>
      <c r="C937" s="153"/>
      <c r="D937" s="153"/>
      <c r="E937" s="153"/>
      <c r="F937" s="153"/>
      <c r="G937" s="153"/>
      <c r="H937" s="153"/>
      <c r="I937" s="157"/>
      <c r="J937" s="157"/>
      <c r="K937" s="157"/>
      <c r="L937" s="157"/>
      <c r="M937" s="157"/>
      <c r="N937" s="221"/>
      <c r="O937" s="157"/>
      <c r="P937" s="157"/>
      <c r="Q937" s="157"/>
      <c r="R937" s="157"/>
      <c r="S937" s="157"/>
      <c r="T937" s="157"/>
      <c r="U937" s="157"/>
      <c r="V937" s="157"/>
      <c r="W937" s="153"/>
    </row>
    <row r="938" spans="2:23" s="14" customFormat="1" x14ac:dyDescent="0.25">
      <c r="B938" s="76"/>
      <c r="C938" s="153"/>
      <c r="D938" s="153"/>
      <c r="E938" s="153"/>
      <c r="F938" s="153"/>
      <c r="G938" s="153"/>
      <c r="H938" s="153"/>
      <c r="I938" s="157"/>
      <c r="J938" s="157"/>
      <c r="K938" s="157"/>
      <c r="L938" s="157"/>
      <c r="M938" s="157"/>
      <c r="N938" s="221"/>
      <c r="O938" s="157"/>
      <c r="P938" s="157"/>
      <c r="Q938" s="157"/>
      <c r="R938" s="157"/>
      <c r="S938" s="157"/>
      <c r="T938" s="157"/>
      <c r="U938" s="157"/>
      <c r="V938" s="157"/>
      <c r="W938" s="153"/>
    </row>
    <row r="939" spans="2:23" s="14" customFormat="1" x14ac:dyDescent="0.25">
      <c r="B939" s="76"/>
      <c r="C939" s="153"/>
      <c r="D939" s="153"/>
      <c r="E939" s="153"/>
      <c r="F939" s="153"/>
      <c r="G939" s="153"/>
      <c r="H939" s="153"/>
      <c r="I939" s="157"/>
      <c r="J939" s="157"/>
      <c r="K939" s="157"/>
      <c r="L939" s="157"/>
      <c r="M939" s="157"/>
      <c r="N939" s="221"/>
      <c r="O939" s="157"/>
      <c r="P939" s="157"/>
      <c r="Q939" s="157"/>
      <c r="R939" s="157"/>
      <c r="S939" s="157"/>
      <c r="T939" s="157"/>
      <c r="U939" s="157"/>
      <c r="V939" s="157"/>
      <c r="W939" s="153"/>
    </row>
    <row r="940" spans="2:23" s="14" customFormat="1" x14ac:dyDescent="0.25">
      <c r="B940" s="76"/>
      <c r="C940" s="153"/>
      <c r="D940" s="153"/>
      <c r="E940" s="153"/>
      <c r="F940" s="153"/>
      <c r="G940" s="153"/>
      <c r="H940" s="153"/>
      <c r="I940" s="157"/>
      <c r="J940" s="157"/>
      <c r="K940" s="157"/>
      <c r="L940" s="157"/>
      <c r="M940" s="157"/>
      <c r="N940" s="221"/>
      <c r="O940" s="157"/>
      <c r="P940" s="157"/>
      <c r="Q940" s="157"/>
      <c r="R940" s="157"/>
      <c r="S940" s="157"/>
      <c r="T940" s="157"/>
      <c r="U940" s="157"/>
      <c r="V940" s="157"/>
      <c r="W940" s="153"/>
    </row>
    <row r="941" spans="2:23" s="14" customFormat="1" x14ac:dyDescent="0.25">
      <c r="B941" s="76"/>
      <c r="C941" s="153"/>
      <c r="D941" s="153"/>
      <c r="E941" s="153"/>
      <c r="F941" s="153"/>
      <c r="G941" s="153"/>
      <c r="H941" s="153"/>
      <c r="I941" s="157"/>
      <c r="J941" s="157"/>
      <c r="K941" s="157"/>
      <c r="L941" s="157"/>
      <c r="M941" s="157"/>
      <c r="N941" s="221"/>
      <c r="O941" s="157"/>
      <c r="P941" s="157"/>
      <c r="Q941" s="157"/>
      <c r="R941" s="157"/>
      <c r="S941" s="157"/>
      <c r="T941" s="157"/>
      <c r="U941" s="157"/>
      <c r="V941" s="157"/>
      <c r="W941" s="153"/>
    </row>
    <row r="942" spans="2:23" s="14" customFormat="1" x14ac:dyDescent="0.25">
      <c r="B942" s="76"/>
      <c r="C942" s="153"/>
      <c r="D942" s="153"/>
      <c r="E942" s="153"/>
      <c r="F942" s="153"/>
      <c r="G942" s="153"/>
      <c r="H942" s="153"/>
      <c r="I942" s="157"/>
      <c r="J942" s="157"/>
      <c r="K942" s="157"/>
      <c r="L942" s="157"/>
      <c r="M942" s="157"/>
      <c r="N942" s="221"/>
      <c r="O942" s="157"/>
      <c r="P942" s="157"/>
      <c r="Q942" s="157"/>
      <c r="R942" s="157"/>
      <c r="S942" s="157"/>
      <c r="T942" s="157"/>
      <c r="U942" s="157"/>
      <c r="V942" s="157"/>
      <c r="W942" s="153"/>
    </row>
    <row r="943" spans="2:23" s="14" customFormat="1" x14ac:dyDescent="0.25">
      <c r="B943" s="76"/>
      <c r="C943" s="153"/>
      <c r="D943" s="153"/>
      <c r="E943" s="153"/>
      <c r="F943" s="153"/>
      <c r="G943" s="153"/>
      <c r="H943" s="153"/>
      <c r="I943" s="157"/>
      <c r="J943" s="157"/>
      <c r="K943" s="157"/>
      <c r="L943" s="157"/>
      <c r="M943" s="157"/>
      <c r="N943" s="221"/>
      <c r="O943" s="157"/>
      <c r="P943" s="157"/>
      <c r="Q943" s="157"/>
      <c r="R943" s="157"/>
      <c r="S943" s="157"/>
      <c r="T943" s="157"/>
      <c r="U943" s="157"/>
      <c r="V943" s="157"/>
      <c r="W943" s="153"/>
    </row>
    <row r="944" spans="2:23" s="14" customFormat="1" x14ac:dyDescent="0.25">
      <c r="B944" s="76"/>
      <c r="C944" s="153"/>
      <c r="D944" s="153"/>
      <c r="E944" s="153"/>
      <c r="F944" s="153"/>
      <c r="G944" s="153"/>
      <c r="H944" s="153"/>
      <c r="I944" s="157"/>
      <c r="J944" s="157"/>
      <c r="K944" s="157"/>
      <c r="L944" s="157"/>
      <c r="M944" s="157"/>
      <c r="N944" s="221"/>
      <c r="O944" s="157"/>
      <c r="P944" s="157"/>
      <c r="Q944" s="157"/>
      <c r="R944" s="157"/>
      <c r="S944" s="157"/>
      <c r="T944" s="157"/>
      <c r="U944" s="157"/>
      <c r="V944" s="157"/>
      <c r="W944" s="153"/>
    </row>
    <row r="945" spans="2:23" s="14" customFormat="1" x14ac:dyDescent="0.25">
      <c r="B945" s="76"/>
      <c r="C945" s="153"/>
      <c r="D945" s="153"/>
      <c r="E945" s="153"/>
      <c r="F945" s="153"/>
      <c r="G945" s="153"/>
      <c r="H945" s="153"/>
      <c r="I945" s="157"/>
      <c r="J945" s="157"/>
      <c r="K945" s="157"/>
      <c r="L945" s="157"/>
      <c r="M945" s="157"/>
      <c r="N945" s="221"/>
      <c r="O945" s="157"/>
      <c r="P945" s="157"/>
      <c r="Q945" s="157"/>
      <c r="R945" s="157"/>
      <c r="S945" s="157"/>
      <c r="T945" s="157"/>
      <c r="U945" s="157"/>
      <c r="V945" s="157"/>
      <c r="W945" s="153"/>
    </row>
    <row r="946" spans="2:23" s="14" customFormat="1" x14ac:dyDescent="0.25">
      <c r="B946" s="76"/>
      <c r="C946" s="153"/>
      <c r="D946" s="153"/>
      <c r="E946" s="153"/>
      <c r="F946" s="153"/>
      <c r="G946" s="153"/>
      <c r="H946" s="153"/>
      <c r="I946" s="157"/>
      <c r="J946" s="157"/>
      <c r="K946" s="157"/>
      <c r="L946" s="157"/>
      <c r="M946" s="157"/>
      <c r="N946" s="221"/>
      <c r="O946" s="157"/>
      <c r="P946" s="157"/>
      <c r="Q946" s="157"/>
      <c r="R946" s="157"/>
      <c r="S946" s="157"/>
      <c r="T946" s="157"/>
      <c r="U946" s="157"/>
      <c r="V946" s="157"/>
      <c r="W946" s="153"/>
    </row>
    <row r="947" spans="2:23" s="14" customFormat="1" x14ac:dyDescent="0.25">
      <c r="B947" s="76"/>
      <c r="C947" s="153"/>
      <c r="D947" s="153"/>
      <c r="E947" s="153"/>
      <c r="F947" s="153"/>
      <c r="G947" s="153"/>
      <c r="H947" s="153"/>
      <c r="I947" s="157"/>
      <c r="J947" s="157"/>
      <c r="K947" s="157"/>
      <c r="L947" s="157"/>
      <c r="M947" s="157"/>
      <c r="N947" s="221"/>
      <c r="O947" s="157"/>
      <c r="P947" s="157"/>
      <c r="Q947" s="157"/>
      <c r="R947" s="157"/>
      <c r="S947" s="157"/>
      <c r="T947" s="157"/>
      <c r="U947" s="157"/>
      <c r="V947" s="157"/>
      <c r="W947" s="153"/>
    </row>
    <row r="948" spans="2:23" s="14" customFormat="1" x14ac:dyDescent="0.25">
      <c r="B948" s="76"/>
      <c r="C948" s="153"/>
      <c r="D948" s="153"/>
      <c r="E948" s="153"/>
      <c r="F948" s="153"/>
      <c r="G948" s="153"/>
      <c r="H948" s="153"/>
      <c r="I948" s="157"/>
      <c r="J948" s="157"/>
      <c r="K948" s="157"/>
      <c r="L948" s="157"/>
      <c r="M948" s="157"/>
      <c r="N948" s="221"/>
      <c r="O948" s="157"/>
      <c r="P948" s="157"/>
      <c r="Q948" s="157"/>
      <c r="R948" s="157"/>
      <c r="S948" s="157"/>
      <c r="T948" s="157"/>
      <c r="U948" s="157"/>
      <c r="V948" s="157"/>
      <c r="W948" s="153"/>
    </row>
    <row r="949" spans="2:23" s="14" customFormat="1" x14ac:dyDescent="0.25">
      <c r="B949" s="76"/>
      <c r="C949" s="153"/>
      <c r="D949" s="153"/>
      <c r="E949" s="153"/>
      <c r="F949" s="153"/>
      <c r="G949" s="153"/>
      <c r="H949" s="153"/>
      <c r="I949" s="157"/>
      <c r="J949" s="157"/>
      <c r="K949" s="157"/>
      <c r="L949" s="157"/>
      <c r="M949" s="157"/>
      <c r="N949" s="221"/>
      <c r="O949" s="157"/>
      <c r="P949" s="157"/>
      <c r="Q949" s="157"/>
      <c r="R949" s="157"/>
      <c r="S949" s="157"/>
      <c r="T949" s="157"/>
      <c r="U949" s="157"/>
      <c r="V949" s="157"/>
      <c r="W949" s="153"/>
    </row>
    <row r="950" spans="2:23" s="14" customFormat="1" x14ac:dyDescent="0.25">
      <c r="B950" s="76"/>
      <c r="C950" s="153"/>
      <c r="D950" s="153"/>
      <c r="E950" s="153"/>
      <c r="F950" s="153"/>
      <c r="G950" s="153"/>
      <c r="H950" s="153"/>
      <c r="I950" s="157"/>
      <c r="J950" s="157"/>
      <c r="K950" s="157"/>
      <c r="L950" s="157"/>
      <c r="M950" s="157"/>
      <c r="N950" s="221"/>
      <c r="O950" s="157"/>
      <c r="P950" s="157"/>
      <c r="Q950" s="157"/>
      <c r="R950" s="157"/>
      <c r="S950" s="157"/>
      <c r="T950" s="157"/>
      <c r="U950" s="157"/>
      <c r="V950" s="157"/>
      <c r="W950" s="153"/>
    </row>
    <row r="951" spans="2:23" s="14" customFormat="1" x14ac:dyDescent="0.25">
      <c r="B951" s="76"/>
      <c r="C951" s="153"/>
      <c r="D951" s="153"/>
      <c r="E951" s="153"/>
      <c r="F951" s="153"/>
      <c r="G951" s="153"/>
      <c r="H951" s="153"/>
      <c r="I951" s="157"/>
      <c r="J951" s="157"/>
      <c r="K951" s="157"/>
      <c r="L951" s="157"/>
      <c r="M951" s="157"/>
      <c r="N951" s="221"/>
      <c r="O951" s="157"/>
      <c r="P951" s="157"/>
      <c r="Q951" s="157"/>
      <c r="R951" s="157"/>
      <c r="S951" s="157"/>
      <c r="T951" s="157"/>
      <c r="U951" s="157"/>
      <c r="V951" s="157"/>
      <c r="W951" s="153"/>
    </row>
    <row r="952" spans="2:23" s="14" customFormat="1" x14ac:dyDescent="0.25">
      <c r="B952" s="76"/>
      <c r="C952" s="153"/>
      <c r="D952" s="153"/>
      <c r="E952" s="153"/>
      <c r="F952" s="153"/>
      <c r="G952" s="153"/>
      <c r="H952" s="153"/>
      <c r="I952" s="157"/>
      <c r="J952" s="157"/>
      <c r="K952" s="157"/>
      <c r="L952" s="157"/>
      <c r="M952" s="157"/>
      <c r="N952" s="221"/>
      <c r="O952" s="157"/>
      <c r="P952" s="157"/>
      <c r="Q952" s="157"/>
      <c r="R952" s="157"/>
      <c r="S952" s="157"/>
      <c r="T952" s="157"/>
      <c r="U952" s="157"/>
      <c r="V952" s="157"/>
      <c r="W952" s="153"/>
    </row>
    <row r="953" spans="2:23" s="14" customFormat="1" x14ac:dyDescent="0.25">
      <c r="B953" s="76"/>
      <c r="C953" s="153"/>
      <c r="D953" s="153"/>
      <c r="E953" s="153"/>
      <c r="F953" s="153"/>
      <c r="G953" s="153"/>
      <c r="H953" s="153"/>
      <c r="I953" s="157"/>
      <c r="J953" s="157"/>
      <c r="K953" s="157"/>
      <c r="L953" s="157"/>
      <c r="M953" s="157"/>
      <c r="N953" s="221"/>
      <c r="O953" s="157"/>
      <c r="P953" s="157"/>
      <c r="Q953" s="157"/>
      <c r="R953" s="157"/>
      <c r="S953" s="157"/>
      <c r="T953" s="157"/>
      <c r="U953" s="157"/>
      <c r="V953" s="157"/>
      <c r="W953" s="153"/>
    </row>
    <row r="954" spans="2:23" s="14" customFormat="1" x14ac:dyDescent="0.25">
      <c r="B954" s="76"/>
      <c r="C954" s="153"/>
      <c r="D954" s="153"/>
      <c r="E954" s="153"/>
      <c r="F954" s="153"/>
      <c r="G954" s="153"/>
      <c r="H954" s="153"/>
      <c r="I954" s="157"/>
      <c r="J954" s="157"/>
      <c r="K954" s="157"/>
      <c r="L954" s="157"/>
      <c r="M954" s="157"/>
      <c r="N954" s="221"/>
      <c r="O954" s="157"/>
      <c r="P954" s="157"/>
      <c r="Q954" s="157"/>
      <c r="R954" s="157"/>
      <c r="S954" s="157"/>
      <c r="T954" s="157"/>
      <c r="U954" s="157"/>
      <c r="V954" s="157"/>
      <c r="W954" s="153"/>
    </row>
    <row r="955" spans="2:23" s="14" customFormat="1" x14ac:dyDescent="0.25">
      <c r="B955" s="76"/>
      <c r="C955" s="153"/>
      <c r="D955" s="153"/>
      <c r="E955" s="153"/>
      <c r="F955" s="153"/>
      <c r="G955" s="153"/>
      <c r="H955" s="153"/>
      <c r="I955" s="157"/>
      <c r="J955" s="157"/>
      <c r="K955" s="157"/>
      <c r="L955" s="157"/>
      <c r="M955" s="157"/>
      <c r="N955" s="221"/>
      <c r="O955" s="157"/>
      <c r="P955" s="157"/>
      <c r="Q955" s="157"/>
      <c r="R955" s="157"/>
      <c r="S955" s="157"/>
      <c r="T955" s="157"/>
      <c r="U955" s="157"/>
      <c r="V955" s="157"/>
      <c r="W955" s="153"/>
    </row>
    <row r="956" spans="2:23" s="14" customFormat="1" x14ac:dyDescent="0.25">
      <c r="B956" s="76"/>
      <c r="C956" s="153"/>
      <c r="D956" s="153"/>
      <c r="E956" s="153"/>
      <c r="F956" s="153"/>
      <c r="G956" s="153"/>
      <c r="H956" s="153"/>
      <c r="I956" s="157"/>
      <c r="J956" s="157"/>
      <c r="K956" s="157"/>
      <c r="L956" s="157"/>
      <c r="M956" s="157"/>
      <c r="N956" s="221"/>
      <c r="O956" s="157"/>
      <c r="P956" s="157"/>
      <c r="Q956" s="157"/>
      <c r="R956" s="157"/>
      <c r="S956" s="157"/>
      <c r="T956" s="157"/>
      <c r="U956" s="157"/>
      <c r="V956" s="157"/>
      <c r="W956" s="153"/>
    </row>
    <row r="957" spans="2:23" s="14" customFormat="1" x14ac:dyDescent="0.25">
      <c r="B957" s="76"/>
      <c r="C957" s="153"/>
      <c r="D957" s="153"/>
      <c r="E957" s="153"/>
      <c r="F957" s="153"/>
      <c r="G957" s="153"/>
      <c r="H957" s="153"/>
      <c r="I957" s="157"/>
      <c r="J957" s="157"/>
      <c r="K957" s="157"/>
      <c r="L957" s="157"/>
      <c r="M957" s="157"/>
      <c r="N957" s="221"/>
      <c r="O957" s="157"/>
      <c r="P957" s="157"/>
      <c r="Q957" s="157"/>
      <c r="R957" s="157"/>
      <c r="S957" s="157"/>
      <c r="T957" s="157"/>
      <c r="U957" s="157"/>
      <c r="V957" s="157"/>
      <c r="W957" s="153"/>
    </row>
    <row r="958" spans="2:23" s="14" customFormat="1" x14ac:dyDescent="0.25">
      <c r="B958" s="76"/>
      <c r="C958" s="153"/>
      <c r="D958" s="153"/>
      <c r="E958" s="153"/>
      <c r="F958" s="153"/>
      <c r="G958" s="153"/>
      <c r="H958" s="153"/>
      <c r="I958" s="157"/>
      <c r="J958" s="157"/>
      <c r="K958" s="157"/>
      <c r="L958" s="157"/>
      <c r="M958" s="157"/>
      <c r="N958" s="221"/>
      <c r="O958" s="157"/>
      <c r="P958" s="157"/>
      <c r="Q958" s="157"/>
      <c r="R958" s="157"/>
      <c r="S958" s="157"/>
      <c r="T958" s="157"/>
      <c r="U958" s="157"/>
      <c r="V958" s="157"/>
      <c r="W958" s="153"/>
    </row>
    <row r="959" spans="2:23" s="14" customFormat="1" x14ac:dyDescent="0.25">
      <c r="B959" s="76"/>
      <c r="C959" s="153"/>
      <c r="D959" s="153"/>
      <c r="E959" s="153"/>
      <c r="F959" s="153"/>
      <c r="G959" s="153"/>
      <c r="H959" s="153"/>
      <c r="I959" s="157"/>
      <c r="J959" s="157"/>
      <c r="K959" s="157"/>
      <c r="L959" s="157"/>
      <c r="M959" s="157"/>
      <c r="N959" s="221"/>
      <c r="O959" s="157"/>
      <c r="P959" s="157"/>
      <c r="Q959" s="157"/>
      <c r="R959" s="157"/>
      <c r="S959" s="157"/>
      <c r="T959" s="157"/>
      <c r="U959" s="157"/>
      <c r="V959" s="157"/>
      <c r="W959" s="153"/>
    </row>
    <row r="960" spans="2:23" s="14" customFormat="1" x14ac:dyDescent="0.25">
      <c r="B960" s="76"/>
      <c r="C960" s="153"/>
      <c r="D960" s="153"/>
      <c r="E960" s="153"/>
      <c r="F960" s="153"/>
      <c r="G960" s="153"/>
      <c r="H960" s="153"/>
      <c r="I960" s="157"/>
      <c r="J960" s="157"/>
      <c r="K960" s="157"/>
      <c r="L960" s="157"/>
      <c r="M960" s="157"/>
      <c r="N960" s="221"/>
      <c r="O960" s="157"/>
      <c r="P960" s="157"/>
      <c r="Q960" s="157"/>
      <c r="R960" s="157"/>
      <c r="S960" s="157"/>
      <c r="T960" s="157"/>
      <c r="U960" s="157"/>
      <c r="V960" s="157"/>
      <c r="W960" s="153"/>
    </row>
    <row r="961" spans="2:23" s="14" customFormat="1" x14ac:dyDescent="0.25">
      <c r="B961" s="76"/>
      <c r="C961" s="153"/>
      <c r="D961" s="153"/>
      <c r="E961" s="153"/>
      <c r="F961" s="153"/>
      <c r="G961" s="153"/>
      <c r="H961" s="153"/>
      <c r="I961" s="157"/>
      <c r="J961" s="157"/>
      <c r="K961" s="157"/>
      <c r="L961" s="157"/>
      <c r="M961" s="157"/>
      <c r="N961" s="221"/>
      <c r="O961" s="157"/>
      <c r="P961" s="157"/>
      <c r="Q961" s="157"/>
      <c r="R961" s="157"/>
      <c r="S961" s="157"/>
      <c r="T961" s="157"/>
      <c r="U961" s="157"/>
      <c r="V961" s="157"/>
      <c r="W961" s="153"/>
    </row>
    <row r="962" spans="2:23" s="14" customFormat="1" x14ac:dyDescent="0.25">
      <c r="B962" s="76"/>
      <c r="C962" s="153"/>
      <c r="D962" s="153"/>
      <c r="E962" s="153"/>
      <c r="F962" s="153"/>
      <c r="G962" s="153"/>
      <c r="H962" s="153"/>
      <c r="I962" s="157"/>
      <c r="J962" s="157"/>
      <c r="K962" s="157"/>
      <c r="L962" s="157"/>
      <c r="M962" s="157"/>
      <c r="N962" s="221"/>
      <c r="O962" s="157"/>
      <c r="P962" s="157"/>
      <c r="Q962" s="157"/>
      <c r="R962" s="157"/>
      <c r="S962" s="157"/>
      <c r="T962" s="157"/>
      <c r="U962" s="157"/>
      <c r="V962" s="157"/>
      <c r="W962" s="153"/>
    </row>
    <row r="963" spans="2:23" s="14" customFormat="1" x14ac:dyDescent="0.25">
      <c r="B963" s="76"/>
      <c r="C963" s="153"/>
      <c r="D963" s="153"/>
      <c r="E963" s="153"/>
      <c r="F963" s="153"/>
      <c r="G963" s="153"/>
      <c r="H963" s="153"/>
      <c r="I963" s="157"/>
      <c r="J963" s="157"/>
      <c r="K963" s="157"/>
      <c r="L963" s="157"/>
      <c r="M963" s="157"/>
      <c r="N963" s="221"/>
      <c r="O963" s="157"/>
      <c r="P963" s="157"/>
      <c r="Q963" s="157"/>
      <c r="R963" s="157"/>
      <c r="S963" s="157"/>
      <c r="T963" s="157"/>
      <c r="U963" s="157"/>
      <c r="V963" s="157"/>
      <c r="W963" s="153"/>
    </row>
    <row r="964" spans="2:23" s="14" customFormat="1" x14ac:dyDescent="0.25">
      <c r="B964" s="76"/>
      <c r="C964" s="153"/>
      <c r="D964" s="153"/>
      <c r="E964" s="153"/>
      <c r="F964" s="153"/>
      <c r="G964" s="153"/>
      <c r="H964" s="153"/>
      <c r="I964" s="157"/>
      <c r="J964" s="157"/>
      <c r="K964" s="157"/>
      <c r="L964" s="157"/>
      <c r="M964" s="157"/>
      <c r="N964" s="221"/>
      <c r="O964" s="157"/>
      <c r="P964" s="157"/>
      <c r="Q964" s="157"/>
      <c r="R964" s="157"/>
      <c r="S964" s="157"/>
      <c r="T964" s="157"/>
      <c r="U964" s="157"/>
      <c r="V964" s="157"/>
      <c r="W964" s="153"/>
    </row>
    <row r="965" spans="2:23" s="14" customFormat="1" x14ac:dyDescent="0.25">
      <c r="B965" s="76"/>
      <c r="C965" s="153"/>
      <c r="D965" s="153"/>
      <c r="E965" s="153"/>
      <c r="F965" s="153"/>
      <c r="G965" s="153"/>
      <c r="H965" s="153"/>
      <c r="I965" s="157"/>
      <c r="J965" s="157"/>
      <c r="K965" s="157"/>
      <c r="L965" s="157"/>
      <c r="M965" s="157"/>
      <c r="N965" s="221"/>
      <c r="O965" s="157"/>
      <c r="P965" s="157"/>
      <c r="Q965" s="157"/>
      <c r="R965" s="157"/>
      <c r="S965" s="157"/>
      <c r="T965" s="157"/>
      <c r="U965" s="157"/>
      <c r="V965" s="157"/>
      <c r="W965" s="153"/>
    </row>
    <row r="966" spans="2:23" s="14" customFormat="1" x14ac:dyDescent="0.25">
      <c r="B966" s="76"/>
      <c r="C966" s="153"/>
      <c r="D966" s="153"/>
      <c r="E966" s="153"/>
      <c r="F966" s="153"/>
      <c r="G966" s="153"/>
      <c r="H966" s="153"/>
      <c r="I966" s="157"/>
      <c r="J966" s="157"/>
      <c r="K966" s="157"/>
      <c r="L966" s="157"/>
      <c r="M966" s="157"/>
      <c r="N966" s="221"/>
      <c r="O966" s="157"/>
      <c r="P966" s="157"/>
      <c r="Q966" s="157"/>
      <c r="R966" s="157"/>
      <c r="S966" s="157"/>
      <c r="T966" s="157"/>
      <c r="U966" s="157"/>
      <c r="V966" s="157"/>
      <c r="W966" s="153"/>
    </row>
    <row r="967" spans="2:23" s="14" customFormat="1" x14ac:dyDescent="0.25">
      <c r="B967" s="76"/>
      <c r="C967" s="153"/>
      <c r="D967" s="153"/>
      <c r="E967" s="153"/>
      <c r="F967" s="153"/>
      <c r="G967" s="153"/>
      <c r="H967" s="153"/>
      <c r="I967" s="157"/>
      <c r="J967" s="157"/>
      <c r="K967" s="157"/>
      <c r="L967" s="157"/>
      <c r="M967" s="157"/>
      <c r="N967" s="221"/>
      <c r="O967" s="157"/>
      <c r="P967" s="157"/>
      <c r="Q967" s="157"/>
      <c r="R967" s="157"/>
      <c r="S967" s="157"/>
      <c r="T967" s="157"/>
      <c r="U967" s="157"/>
      <c r="V967" s="157"/>
      <c r="W967" s="153"/>
    </row>
    <row r="968" spans="2:23" s="14" customFormat="1" x14ac:dyDescent="0.25">
      <c r="B968" s="76"/>
      <c r="C968" s="153"/>
      <c r="D968" s="153"/>
      <c r="E968" s="153"/>
      <c r="F968" s="153"/>
      <c r="G968" s="153"/>
      <c r="H968" s="153"/>
      <c r="I968" s="157"/>
      <c r="J968" s="157"/>
      <c r="K968" s="157"/>
      <c r="L968" s="157"/>
      <c r="M968" s="157"/>
      <c r="N968" s="221"/>
      <c r="O968" s="157"/>
      <c r="P968" s="157"/>
      <c r="Q968" s="157"/>
      <c r="R968" s="157"/>
      <c r="S968" s="157"/>
      <c r="T968" s="157"/>
      <c r="U968" s="157"/>
      <c r="V968" s="157"/>
      <c r="W968" s="153"/>
    </row>
    <row r="969" spans="2:23" s="14" customFormat="1" x14ac:dyDescent="0.25">
      <c r="B969" s="76"/>
      <c r="C969" s="153"/>
      <c r="D969" s="153"/>
      <c r="E969" s="153"/>
      <c r="F969" s="153"/>
      <c r="G969" s="153"/>
      <c r="H969" s="153"/>
      <c r="I969" s="157"/>
      <c r="J969" s="157"/>
      <c r="K969" s="157"/>
      <c r="L969" s="157"/>
      <c r="M969" s="157"/>
      <c r="N969" s="221"/>
      <c r="O969" s="157"/>
      <c r="P969" s="157"/>
      <c r="Q969" s="157"/>
      <c r="R969" s="157"/>
      <c r="S969" s="157"/>
      <c r="T969" s="157"/>
      <c r="U969" s="157"/>
      <c r="V969" s="157"/>
      <c r="W969" s="153"/>
    </row>
    <row r="970" spans="2:23" s="14" customFormat="1" x14ac:dyDescent="0.25">
      <c r="B970" s="76"/>
      <c r="C970" s="153"/>
      <c r="D970" s="153"/>
      <c r="E970" s="153"/>
      <c r="F970" s="153"/>
      <c r="G970" s="153"/>
      <c r="H970" s="153"/>
      <c r="I970" s="157"/>
      <c r="J970" s="157"/>
      <c r="K970" s="157"/>
      <c r="L970" s="157"/>
      <c r="M970" s="157"/>
      <c r="N970" s="221"/>
      <c r="O970" s="157"/>
      <c r="P970" s="157"/>
      <c r="Q970" s="157"/>
      <c r="R970" s="157"/>
      <c r="S970" s="157"/>
      <c r="T970" s="157"/>
      <c r="U970" s="157"/>
      <c r="V970" s="157"/>
      <c r="W970" s="153"/>
    </row>
    <row r="971" spans="2:23" s="14" customFormat="1" x14ac:dyDescent="0.25">
      <c r="B971" s="76"/>
      <c r="C971" s="153"/>
      <c r="D971" s="153"/>
      <c r="E971" s="153"/>
      <c r="F971" s="153"/>
      <c r="G971" s="153"/>
      <c r="H971" s="153"/>
      <c r="I971" s="157"/>
      <c r="J971" s="157"/>
      <c r="K971" s="157"/>
      <c r="L971" s="157"/>
      <c r="M971" s="157"/>
      <c r="N971" s="221"/>
      <c r="O971" s="157"/>
      <c r="P971" s="157"/>
      <c r="Q971" s="157"/>
      <c r="R971" s="157"/>
      <c r="S971" s="157"/>
      <c r="T971" s="157"/>
      <c r="U971" s="157"/>
      <c r="V971" s="157"/>
      <c r="W971" s="153"/>
    </row>
    <row r="972" spans="2:23" s="14" customFormat="1" x14ac:dyDescent="0.25">
      <c r="B972" s="76"/>
      <c r="C972" s="153"/>
      <c r="D972" s="153"/>
      <c r="E972" s="153"/>
      <c r="F972" s="153"/>
      <c r="G972" s="153"/>
      <c r="H972" s="153"/>
      <c r="I972" s="157"/>
      <c r="J972" s="157"/>
      <c r="K972" s="157"/>
      <c r="L972" s="157"/>
      <c r="M972" s="157"/>
      <c r="N972" s="221"/>
      <c r="O972" s="157"/>
      <c r="P972" s="157"/>
      <c r="Q972" s="157"/>
      <c r="R972" s="157"/>
      <c r="S972" s="157"/>
      <c r="T972" s="157"/>
      <c r="U972" s="157"/>
      <c r="V972" s="157"/>
      <c r="W972" s="153"/>
    </row>
    <row r="973" spans="2:23" s="14" customFormat="1" x14ac:dyDescent="0.25">
      <c r="B973" s="76"/>
      <c r="C973" s="153"/>
      <c r="D973" s="153"/>
      <c r="E973" s="153"/>
      <c r="F973" s="153"/>
      <c r="G973" s="153"/>
      <c r="H973" s="153"/>
      <c r="I973" s="157"/>
      <c r="J973" s="157"/>
      <c r="K973" s="157"/>
      <c r="L973" s="157"/>
      <c r="M973" s="157"/>
      <c r="N973" s="221"/>
      <c r="O973" s="157"/>
      <c r="P973" s="157"/>
      <c r="Q973" s="157"/>
      <c r="R973" s="157"/>
      <c r="S973" s="157"/>
      <c r="T973" s="157"/>
      <c r="U973" s="157"/>
      <c r="V973" s="157"/>
      <c r="W973" s="153"/>
    </row>
    <row r="974" spans="2:23" s="14" customFormat="1" x14ac:dyDescent="0.25">
      <c r="B974" s="76"/>
      <c r="C974" s="153"/>
      <c r="D974" s="153"/>
      <c r="E974" s="153"/>
      <c r="F974" s="153"/>
      <c r="G974" s="153"/>
      <c r="H974" s="153"/>
      <c r="I974" s="157"/>
      <c r="J974" s="157"/>
      <c r="K974" s="157"/>
      <c r="L974" s="157"/>
      <c r="M974" s="157"/>
      <c r="N974" s="221"/>
      <c r="O974" s="157"/>
      <c r="P974" s="157"/>
      <c r="Q974" s="157"/>
      <c r="R974" s="157"/>
      <c r="S974" s="157"/>
      <c r="T974" s="157"/>
      <c r="U974" s="157"/>
      <c r="V974" s="157"/>
      <c r="W974" s="153"/>
    </row>
    <row r="975" spans="2:23" s="14" customFormat="1" x14ac:dyDescent="0.25">
      <c r="B975" s="76"/>
      <c r="C975" s="153"/>
      <c r="D975" s="153"/>
      <c r="E975" s="153"/>
      <c r="F975" s="153"/>
      <c r="G975" s="153"/>
      <c r="H975" s="153"/>
      <c r="I975" s="157"/>
      <c r="J975" s="157"/>
      <c r="K975" s="157"/>
      <c r="L975" s="157"/>
      <c r="M975" s="157"/>
      <c r="N975" s="221"/>
      <c r="O975" s="157"/>
      <c r="P975" s="157"/>
      <c r="Q975" s="157"/>
      <c r="R975" s="157"/>
      <c r="S975" s="157"/>
      <c r="T975" s="157"/>
      <c r="U975" s="157"/>
      <c r="V975" s="157"/>
      <c r="W975" s="153"/>
    </row>
    <row r="976" spans="2:23" s="14" customFormat="1" x14ac:dyDescent="0.25">
      <c r="B976" s="76"/>
      <c r="C976" s="153"/>
      <c r="D976" s="153"/>
      <c r="E976" s="153"/>
      <c r="F976" s="153"/>
      <c r="G976" s="153"/>
      <c r="H976" s="153"/>
      <c r="I976" s="157"/>
      <c r="J976" s="157"/>
      <c r="K976" s="157"/>
      <c r="L976" s="157"/>
      <c r="M976" s="157"/>
      <c r="N976" s="221"/>
      <c r="O976" s="157"/>
      <c r="P976" s="157"/>
      <c r="Q976" s="157"/>
      <c r="R976" s="157"/>
      <c r="S976" s="157"/>
      <c r="T976" s="157"/>
      <c r="U976" s="157"/>
      <c r="V976" s="157"/>
      <c r="W976" s="153"/>
    </row>
    <row r="977" spans="2:23" s="14" customFormat="1" x14ac:dyDescent="0.25">
      <c r="B977" s="76"/>
      <c r="C977" s="153"/>
      <c r="D977" s="153"/>
      <c r="E977" s="153"/>
      <c r="F977" s="153"/>
      <c r="G977" s="153"/>
      <c r="H977" s="153"/>
      <c r="I977" s="157"/>
      <c r="J977" s="157"/>
      <c r="K977" s="157"/>
      <c r="L977" s="157"/>
      <c r="M977" s="157"/>
      <c r="N977" s="221"/>
      <c r="O977" s="157"/>
      <c r="P977" s="157"/>
      <c r="Q977" s="157"/>
      <c r="R977" s="157"/>
      <c r="S977" s="157"/>
      <c r="T977" s="157"/>
      <c r="U977" s="157"/>
      <c r="V977" s="157"/>
      <c r="W977" s="153"/>
    </row>
    <row r="978" spans="2:23" s="14" customFormat="1" x14ac:dyDescent="0.25">
      <c r="B978" s="76"/>
      <c r="C978" s="153"/>
      <c r="D978" s="153"/>
      <c r="E978" s="153"/>
      <c r="F978" s="153"/>
      <c r="G978" s="153"/>
      <c r="H978" s="153"/>
      <c r="I978" s="157"/>
      <c r="J978" s="157"/>
      <c r="K978" s="157"/>
      <c r="L978" s="157"/>
      <c r="M978" s="157"/>
      <c r="N978" s="221"/>
      <c r="O978" s="157"/>
      <c r="P978" s="157"/>
      <c r="Q978" s="157"/>
      <c r="R978" s="157"/>
      <c r="S978" s="157"/>
      <c r="T978" s="157"/>
      <c r="U978" s="157"/>
      <c r="V978" s="157"/>
      <c r="W978" s="153"/>
    </row>
    <row r="979" spans="2:23" s="14" customFormat="1" x14ac:dyDescent="0.25">
      <c r="B979" s="76"/>
      <c r="C979" s="153"/>
      <c r="D979" s="153"/>
      <c r="E979" s="153"/>
      <c r="F979" s="153"/>
      <c r="G979" s="153"/>
      <c r="H979" s="153"/>
      <c r="I979" s="157"/>
      <c r="J979" s="157"/>
      <c r="K979" s="157"/>
      <c r="L979" s="157"/>
      <c r="M979" s="157"/>
      <c r="N979" s="221"/>
      <c r="O979" s="157"/>
      <c r="P979" s="157"/>
      <c r="Q979" s="157"/>
      <c r="R979" s="157"/>
      <c r="S979" s="157"/>
      <c r="T979" s="157"/>
      <c r="U979" s="157"/>
      <c r="V979" s="157"/>
      <c r="W979" s="153"/>
    </row>
    <row r="980" spans="2:23" s="14" customFormat="1" x14ac:dyDescent="0.25">
      <c r="B980" s="76"/>
      <c r="C980" s="153"/>
      <c r="D980" s="153"/>
      <c r="E980" s="153"/>
      <c r="F980" s="153"/>
      <c r="G980" s="153"/>
      <c r="H980" s="153"/>
      <c r="I980" s="157"/>
      <c r="J980" s="157"/>
      <c r="K980" s="157"/>
      <c r="L980" s="157"/>
      <c r="M980" s="157"/>
      <c r="N980" s="221"/>
      <c r="O980" s="157"/>
      <c r="P980" s="157"/>
      <c r="Q980" s="157"/>
      <c r="R980" s="157"/>
      <c r="S980" s="157"/>
      <c r="T980" s="157"/>
      <c r="U980" s="157"/>
      <c r="V980" s="157"/>
      <c r="W980" s="153"/>
    </row>
    <row r="981" spans="2:23" s="14" customFormat="1" x14ac:dyDescent="0.25">
      <c r="B981" s="76"/>
      <c r="C981" s="153"/>
      <c r="D981" s="153"/>
      <c r="E981" s="153"/>
      <c r="F981" s="153"/>
      <c r="G981" s="153"/>
      <c r="H981" s="153"/>
      <c r="I981" s="157"/>
      <c r="J981" s="157"/>
      <c r="K981" s="157"/>
      <c r="L981" s="157"/>
      <c r="M981" s="157"/>
      <c r="N981" s="221"/>
      <c r="O981" s="157"/>
      <c r="P981" s="157"/>
      <c r="Q981" s="157"/>
      <c r="R981" s="157"/>
      <c r="S981" s="157"/>
      <c r="T981" s="157"/>
      <c r="U981" s="157"/>
      <c r="V981" s="157"/>
      <c r="W981" s="153"/>
    </row>
    <row r="982" spans="2:23" s="14" customFormat="1" x14ac:dyDescent="0.25">
      <c r="B982" s="76"/>
      <c r="C982" s="153"/>
      <c r="D982" s="153"/>
      <c r="E982" s="153"/>
      <c r="F982" s="153"/>
      <c r="G982" s="153"/>
      <c r="H982" s="153"/>
      <c r="I982" s="157"/>
      <c r="J982" s="157"/>
      <c r="K982" s="157"/>
      <c r="L982" s="157"/>
      <c r="M982" s="157"/>
      <c r="N982" s="221"/>
      <c r="O982" s="157"/>
      <c r="P982" s="157"/>
      <c r="Q982" s="157"/>
      <c r="R982" s="157"/>
      <c r="S982" s="157"/>
      <c r="T982" s="157"/>
      <c r="U982" s="157"/>
      <c r="V982" s="157"/>
      <c r="W982" s="153"/>
    </row>
    <row r="983" spans="2:23" s="14" customFormat="1" x14ac:dyDescent="0.25">
      <c r="B983" s="76"/>
      <c r="C983" s="153"/>
      <c r="D983" s="153"/>
      <c r="E983" s="153"/>
      <c r="F983" s="153"/>
      <c r="G983" s="153"/>
      <c r="H983" s="153"/>
      <c r="I983" s="157"/>
      <c r="J983" s="157"/>
      <c r="K983" s="157"/>
      <c r="L983" s="157"/>
      <c r="M983" s="157"/>
      <c r="N983" s="221"/>
      <c r="O983" s="157"/>
      <c r="P983" s="157"/>
      <c r="Q983" s="157"/>
      <c r="R983" s="157"/>
      <c r="S983" s="157"/>
      <c r="T983" s="157"/>
      <c r="U983" s="157"/>
      <c r="V983" s="157"/>
      <c r="W983" s="153"/>
    </row>
    <row r="984" spans="2:23" s="14" customFormat="1" x14ac:dyDescent="0.25">
      <c r="B984" s="76"/>
      <c r="C984" s="153"/>
      <c r="D984" s="153"/>
      <c r="E984" s="153"/>
      <c r="F984" s="153"/>
      <c r="G984" s="153"/>
      <c r="H984" s="153"/>
      <c r="I984" s="157"/>
      <c r="J984" s="157"/>
      <c r="K984" s="157"/>
      <c r="L984" s="157"/>
      <c r="M984" s="157"/>
      <c r="N984" s="221"/>
      <c r="O984" s="157"/>
      <c r="P984" s="157"/>
      <c r="Q984" s="157"/>
      <c r="R984" s="157"/>
      <c r="S984" s="157"/>
      <c r="T984" s="157"/>
      <c r="U984" s="157"/>
      <c r="V984" s="157"/>
      <c r="W984" s="153"/>
    </row>
    <row r="985" spans="2:23" s="14" customFormat="1" x14ac:dyDescent="0.25">
      <c r="B985" s="76"/>
      <c r="C985" s="153"/>
      <c r="D985" s="153"/>
      <c r="E985" s="153"/>
      <c r="F985" s="153"/>
      <c r="G985" s="153"/>
      <c r="H985" s="153"/>
      <c r="I985" s="157"/>
      <c r="J985" s="157"/>
      <c r="K985" s="157"/>
      <c r="L985" s="157"/>
      <c r="M985" s="157"/>
      <c r="N985" s="221"/>
      <c r="O985" s="157"/>
      <c r="P985" s="157"/>
      <c r="Q985" s="157"/>
      <c r="R985" s="157"/>
      <c r="S985" s="157"/>
      <c r="T985" s="157"/>
      <c r="U985" s="157"/>
      <c r="V985" s="157"/>
      <c r="W985" s="153"/>
    </row>
    <row r="986" spans="2:23" s="14" customFormat="1" x14ac:dyDescent="0.25">
      <c r="B986" s="76"/>
      <c r="C986" s="153"/>
      <c r="D986" s="153"/>
      <c r="E986" s="153"/>
      <c r="F986" s="153"/>
      <c r="G986" s="153"/>
      <c r="H986" s="153"/>
      <c r="I986" s="157"/>
      <c r="J986" s="157"/>
      <c r="K986" s="157"/>
      <c r="L986" s="157"/>
      <c r="M986" s="157"/>
      <c r="N986" s="221"/>
      <c r="O986" s="157"/>
      <c r="P986" s="157"/>
      <c r="Q986" s="157"/>
      <c r="R986" s="157"/>
      <c r="S986" s="157"/>
      <c r="T986" s="157"/>
      <c r="U986" s="157"/>
      <c r="V986" s="157"/>
      <c r="W986" s="153"/>
    </row>
    <row r="987" spans="2:23" s="14" customFormat="1" x14ac:dyDescent="0.25">
      <c r="B987" s="76"/>
      <c r="C987" s="153"/>
      <c r="D987" s="153"/>
      <c r="E987" s="153"/>
      <c r="F987" s="153"/>
      <c r="G987" s="153"/>
      <c r="H987" s="153"/>
      <c r="I987" s="157"/>
      <c r="J987" s="157"/>
      <c r="K987" s="157"/>
      <c r="L987" s="157"/>
      <c r="M987" s="157"/>
      <c r="N987" s="221"/>
      <c r="O987" s="157"/>
      <c r="P987" s="157"/>
      <c r="Q987" s="157"/>
      <c r="R987" s="157"/>
      <c r="S987" s="157"/>
      <c r="T987" s="157"/>
      <c r="U987" s="157"/>
      <c r="V987" s="157"/>
      <c r="W987" s="153"/>
    </row>
    <row r="988" spans="2:23" s="14" customFormat="1" x14ac:dyDescent="0.25">
      <c r="B988" s="76"/>
      <c r="C988" s="153"/>
      <c r="D988" s="153"/>
      <c r="E988" s="153"/>
      <c r="F988" s="153"/>
      <c r="G988" s="153"/>
      <c r="H988" s="153"/>
      <c r="I988" s="157"/>
      <c r="J988" s="157"/>
      <c r="K988" s="157"/>
      <c r="L988" s="157"/>
      <c r="M988" s="157"/>
      <c r="N988" s="221"/>
      <c r="O988" s="157"/>
      <c r="P988" s="157"/>
      <c r="Q988" s="157"/>
      <c r="R988" s="157"/>
      <c r="S988" s="157"/>
      <c r="T988" s="157"/>
      <c r="U988" s="157"/>
      <c r="V988" s="157"/>
      <c r="W988" s="153"/>
    </row>
    <row r="989" spans="2:23" s="14" customFormat="1" x14ac:dyDescent="0.25">
      <c r="B989" s="76"/>
      <c r="C989" s="153"/>
      <c r="D989" s="153"/>
      <c r="E989" s="153"/>
      <c r="F989" s="153"/>
      <c r="G989" s="153"/>
      <c r="H989" s="153"/>
      <c r="I989" s="157"/>
      <c r="J989" s="157"/>
      <c r="K989" s="157"/>
      <c r="L989" s="157"/>
      <c r="M989" s="157"/>
      <c r="N989" s="221"/>
      <c r="O989" s="157"/>
      <c r="P989" s="157"/>
      <c r="Q989" s="157"/>
      <c r="R989" s="157"/>
      <c r="S989" s="157"/>
      <c r="T989" s="157"/>
      <c r="U989" s="157"/>
      <c r="V989" s="157"/>
      <c r="W989" s="153"/>
    </row>
    <row r="990" spans="2:23" s="14" customFormat="1" x14ac:dyDescent="0.25">
      <c r="B990" s="76"/>
      <c r="C990" s="153"/>
      <c r="D990" s="153"/>
      <c r="E990" s="153"/>
      <c r="F990" s="153"/>
      <c r="G990" s="153"/>
      <c r="H990" s="153"/>
      <c r="I990" s="157"/>
      <c r="J990" s="157"/>
      <c r="K990" s="157"/>
      <c r="L990" s="157"/>
      <c r="M990" s="157"/>
      <c r="N990" s="221"/>
      <c r="O990" s="157"/>
      <c r="P990" s="157"/>
      <c r="Q990" s="157"/>
      <c r="R990" s="157"/>
      <c r="S990" s="157"/>
      <c r="T990" s="157"/>
      <c r="U990" s="157"/>
      <c r="V990" s="157"/>
      <c r="W990" s="153"/>
    </row>
    <row r="991" spans="2:23" s="14" customFormat="1" x14ac:dyDescent="0.25">
      <c r="B991" s="76"/>
      <c r="C991" s="153"/>
      <c r="D991" s="153"/>
      <c r="E991" s="153"/>
      <c r="F991" s="153"/>
      <c r="G991" s="153"/>
      <c r="H991" s="153"/>
      <c r="I991" s="157"/>
      <c r="J991" s="157"/>
      <c r="K991" s="157"/>
      <c r="L991" s="157"/>
      <c r="M991" s="157"/>
      <c r="N991" s="221"/>
      <c r="O991" s="157"/>
      <c r="P991" s="157"/>
      <c r="Q991" s="157"/>
      <c r="R991" s="157"/>
      <c r="S991" s="157"/>
      <c r="T991" s="157"/>
      <c r="U991" s="157"/>
      <c r="V991" s="157"/>
      <c r="W991" s="153"/>
    </row>
    <row r="992" spans="2:23" s="14" customFormat="1" x14ac:dyDescent="0.25">
      <c r="B992" s="76"/>
      <c r="C992" s="153"/>
      <c r="D992" s="153"/>
      <c r="E992" s="153"/>
      <c r="F992" s="153"/>
      <c r="G992" s="153"/>
      <c r="H992" s="153"/>
      <c r="I992" s="157"/>
      <c r="J992" s="157"/>
      <c r="K992" s="157"/>
      <c r="L992" s="157"/>
      <c r="M992" s="157"/>
      <c r="N992" s="221"/>
      <c r="O992" s="157"/>
      <c r="P992" s="157"/>
      <c r="Q992" s="157"/>
      <c r="R992" s="157"/>
      <c r="S992" s="157"/>
      <c r="T992" s="157"/>
      <c r="U992" s="157"/>
      <c r="V992" s="157"/>
      <c r="W992" s="153"/>
    </row>
    <row r="993" spans="2:23" s="14" customFormat="1" x14ac:dyDescent="0.25">
      <c r="B993" s="76"/>
      <c r="C993" s="153"/>
      <c r="D993" s="153"/>
      <c r="E993" s="153"/>
      <c r="F993" s="153"/>
      <c r="G993" s="153"/>
      <c r="H993" s="153"/>
      <c r="I993" s="157"/>
      <c r="J993" s="157"/>
      <c r="K993" s="157"/>
      <c r="L993" s="157"/>
      <c r="M993" s="157"/>
      <c r="N993" s="221"/>
      <c r="O993" s="157"/>
      <c r="P993" s="157"/>
      <c r="Q993" s="157"/>
      <c r="R993" s="157"/>
      <c r="S993" s="157"/>
      <c r="T993" s="157"/>
      <c r="U993" s="157"/>
      <c r="V993" s="157"/>
      <c r="W993" s="153"/>
    </row>
    <row r="994" spans="2:23" s="14" customFormat="1" x14ac:dyDescent="0.25">
      <c r="B994" s="76"/>
      <c r="C994" s="153"/>
      <c r="D994" s="153"/>
      <c r="E994" s="153"/>
      <c r="F994" s="153"/>
      <c r="G994" s="153"/>
      <c r="H994" s="153"/>
      <c r="I994" s="157"/>
      <c r="J994" s="157"/>
      <c r="K994" s="157"/>
      <c r="L994" s="157"/>
      <c r="M994" s="157"/>
      <c r="N994" s="221"/>
      <c r="O994" s="157"/>
      <c r="P994" s="157"/>
      <c r="Q994" s="157"/>
      <c r="R994" s="157"/>
      <c r="S994" s="157"/>
      <c r="T994" s="157"/>
      <c r="U994" s="157"/>
      <c r="V994" s="157"/>
      <c r="W994" s="153"/>
    </row>
    <row r="995" spans="2:23" s="14" customFormat="1" x14ac:dyDescent="0.25">
      <c r="B995" s="76"/>
      <c r="C995" s="153"/>
      <c r="D995" s="153"/>
      <c r="E995" s="153"/>
      <c r="F995" s="153"/>
      <c r="G995" s="153"/>
      <c r="H995" s="153"/>
      <c r="I995" s="157"/>
      <c r="J995" s="157"/>
      <c r="K995" s="157"/>
      <c r="L995" s="157"/>
      <c r="M995" s="157"/>
      <c r="N995" s="221"/>
      <c r="O995" s="157"/>
      <c r="P995" s="157"/>
      <c r="Q995" s="157"/>
      <c r="R995" s="157"/>
      <c r="S995" s="157"/>
      <c r="T995" s="157"/>
      <c r="U995" s="157"/>
      <c r="V995" s="157"/>
      <c r="W995" s="153"/>
    </row>
    <row r="996" spans="2:23" s="14" customFormat="1" x14ac:dyDescent="0.25">
      <c r="B996" s="76"/>
      <c r="C996" s="153"/>
      <c r="D996" s="153"/>
      <c r="E996" s="153"/>
      <c r="F996" s="153"/>
      <c r="G996" s="153"/>
      <c r="H996" s="153"/>
      <c r="I996" s="157"/>
      <c r="J996" s="157"/>
      <c r="K996" s="157"/>
      <c r="L996" s="157"/>
      <c r="M996" s="157"/>
      <c r="N996" s="221"/>
      <c r="O996" s="157"/>
      <c r="P996" s="157"/>
      <c r="Q996" s="157"/>
      <c r="R996" s="157"/>
      <c r="S996" s="157"/>
      <c r="T996" s="157"/>
      <c r="U996" s="157"/>
      <c r="V996" s="157"/>
      <c r="W996" s="153"/>
    </row>
    <row r="997" spans="2:23" s="14" customFormat="1" x14ac:dyDescent="0.25">
      <c r="B997" s="76"/>
      <c r="C997" s="153"/>
      <c r="D997" s="153"/>
      <c r="E997" s="153"/>
      <c r="F997" s="153"/>
      <c r="G997" s="153"/>
      <c r="H997" s="153"/>
      <c r="I997" s="157"/>
      <c r="J997" s="157"/>
      <c r="K997" s="157"/>
      <c r="L997" s="157"/>
      <c r="M997" s="157"/>
      <c r="N997" s="221"/>
      <c r="O997" s="157"/>
      <c r="P997" s="157"/>
      <c r="Q997" s="157"/>
      <c r="R997" s="157"/>
      <c r="S997" s="157"/>
      <c r="T997" s="157"/>
      <c r="U997" s="157"/>
      <c r="V997" s="157"/>
      <c r="W997" s="153"/>
    </row>
    <row r="998" spans="2:23" s="14" customFormat="1" x14ac:dyDescent="0.25">
      <c r="B998" s="76"/>
      <c r="C998" s="153"/>
      <c r="D998" s="153"/>
      <c r="E998" s="153"/>
      <c r="F998" s="153"/>
      <c r="G998" s="153"/>
      <c r="H998" s="153"/>
      <c r="I998" s="157"/>
      <c r="J998" s="157"/>
      <c r="K998" s="157"/>
      <c r="L998" s="157"/>
      <c r="M998" s="157"/>
      <c r="N998" s="221"/>
      <c r="O998" s="157"/>
      <c r="P998" s="157"/>
      <c r="Q998" s="157"/>
      <c r="R998" s="157"/>
      <c r="S998" s="157"/>
      <c r="T998" s="157"/>
      <c r="U998" s="157"/>
      <c r="V998" s="157"/>
      <c r="W998" s="153"/>
    </row>
    <row r="999" spans="2:23" s="14" customFormat="1" x14ac:dyDescent="0.25">
      <c r="B999" s="76"/>
      <c r="C999" s="153"/>
      <c r="D999" s="153"/>
      <c r="E999" s="153"/>
      <c r="F999" s="153"/>
      <c r="G999" s="153"/>
      <c r="H999" s="153"/>
      <c r="I999" s="157"/>
      <c r="J999" s="157"/>
      <c r="K999" s="157"/>
      <c r="L999" s="157"/>
      <c r="M999" s="157"/>
      <c r="N999" s="221"/>
      <c r="O999" s="157"/>
      <c r="P999" s="157"/>
      <c r="Q999" s="157"/>
      <c r="R999" s="157"/>
      <c r="S999" s="157"/>
      <c r="T999" s="157"/>
      <c r="U999" s="157"/>
      <c r="V999" s="157"/>
      <c r="W999" s="153"/>
    </row>
    <row r="1000" spans="2:23" s="14" customFormat="1" x14ac:dyDescent="0.25">
      <c r="B1000" s="76"/>
      <c r="C1000" s="153"/>
      <c r="D1000" s="153"/>
      <c r="E1000" s="153"/>
      <c r="F1000" s="153"/>
      <c r="G1000" s="153"/>
      <c r="H1000" s="153"/>
      <c r="I1000" s="157"/>
      <c r="J1000" s="157"/>
      <c r="K1000" s="157"/>
      <c r="L1000" s="157"/>
      <c r="M1000" s="157"/>
      <c r="N1000" s="221"/>
      <c r="O1000" s="157"/>
      <c r="P1000" s="157"/>
      <c r="Q1000" s="157"/>
      <c r="R1000" s="157"/>
      <c r="S1000" s="157"/>
      <c r="T1000" s="157"/>
      <c r="U1000" s="157"/>
      <c r="V1000" s="157"/>
      <c r="W1000" s="153"/>
    </row>
    <row r="1001" spans="2:23" s="14" customFormat="1" x14ac:dyDescent="0.25">
      <c r="B1001" s="76"/>
      <c r="C1001" s="153"/>
      <c r="D1001" s="153"/>
      <c r="E1001" s="153"/>
      <c r="F1001" s="153"/>
      <c r="G1001" s="153"/>
      <c r="H1001" s="153"/>
      <c r="I1001" s="157"/>
      <c r="J1001" s="157"/>
      <c r="K1001" s="157"/>
      <c r="L1001" s="157"/>
      <c r="M1001" s="157"/>
      <c r="N1001" s="221"/>
      <c r="O1001" s="157"/>
      <c r="P1001" s="157"/>
      <c r="Q1001" s="157"/>
      <c r="R1001" s="157"/>
      <c r="S1001" s="157"/>
      <c r="T1001" s="157"/>
      <c r="U1001" s="157"/>
      <c r="V1001" s="157"/>
      <c r="W1001" s="153"/>
    </row>
    <row r="1002" spans="2:23" s="14" customFormat="1" x14ac:dyDescent="0.25">
      <c r="B1002" s="76"/>
      <c r="C1002" s="153"/>
      <c r="D1002" s="153"/>
      <c r="E1002" s="153"/>
      <c r="F1002" s="153"/>
      <c r="G1002" s="153"/>
      <c r="H1002" s="153"/>
      <c r="I1002" s="157"/>
      <c r="J1002" s="157"/>
      <c r="K1002" s="157"/>
      <c r="L1002" s="157"/>
      <c r="M1002" s="157"/>
      <c r="N1002" s="221"/>
      <c r="O1002" s="157"/>
      <c r="P1002" s="157"/>
      <c r="Q1002" s="157"/>
      <c r="R1002" s="157"/>
      <c r="S1002" s="157"/>
      <c r="T1002" s="157"/>
      <c r="U1002" s="157"/>
      <c r="V1002" s="157"/>
      <c r="W1002" s="153"/>
    </row>
    <row r="1003" spans="2:23" s="14" customFormat="1" x14ac:dyDescent="0.25">
      <c r="B1003" s="76"/>
      <c r="C1003" s="153"/>
      <c r="D1003" s="153"/>
      <c r="E1003" s="153"/>
      <c r="F1003" s="153"/>
      <c r="G1003" s="153"/>
      <c r="H1003" s="153"/>
      <c r="I1003" s="157"/>
      <c r="J1003" s="157"/>
      <c r="K1003" s="157"/>
      <c r="L1003" s="157"/>
      <c r="M1003" s="157"/>
      <c r="N1003" s="221"/>
      <c r="O1003" s="157"/>
      <c r="P1003" s="157"/>
      <c r="Q1003" s="157"/>
      <c r="R1003" s="157"/>
      <c r="S1003" s="157"/>
      <c r="T1003" s="157"/>
      <c r="U1003" s="157"/>
      <c r="V1003" s="157"/>
      <c r="W1003" s="153"/>
    </row>
    <row r="1004" spans="2:23" s="14" customFormat="1" x14ac:dyDescent="0.25">
      <c r="B1004" s="76"/>
      <c r="C1004" s="153"/>
      <c r="D1004" s="153"/>
      <c r="E1004" s="153"/>
      <c r="F1004" s="153"/>
      <c r="G1004" s="153"/>
      <c r="H1004" s="153"/>
      <c r="I1004" s="157"/>
      <c r="J1004" s="157"/>
      <c r="K1004" s="157"/>
      <c r="L1004" s="157"/>
      <c r="M1004" s="157"/>
      <c r="N1004" s="221"/>
      <c r="O1004" s="157"/>
      <c r="P1004" s="157"/>
      <c r="Q1004" s="157"/>
      <c r="R1004" s="157"/>
      <c r="S1004" s="157"/>
      <c r="T1004" s="157"/>
      <c r="U1004" s="157"/>
      <c r="V1004" s="157"/>
      <c r="W1004" s="153"/>
    </row>
    <row r="1005" spans="2:23" s="14" customFormat="1" x14ac:dyDescent="0.25">
      <c r="B1005" s="76"/>
      <c r="C1005" s="153"/>
      <c r="D1005" s="153"/>
      <c r="E1005" s="153"/>
      <c r="F1005" s="153"/>
      <c r="G1005" s="153"/>
      <c r="H1005" s="153"/>
      <c r="I1005" s="157"/>
      <c r="J1005" s="157"/>
      <c r="K1005" s="157"/>
      <c r="L1005" s="157"/>
      <c r="M1005" s="157"/>
      <c r="N1005" s="221"/>
      <c r="O1005" s="157"/>
      <c r="P1005" s="157"/>
      <c r="Q1005" s="157"/>
      <c r="R1005" s="157"/>
      <c r="S1005" s="157"/>
      <c r="T1005" s="157"/>
      <c r="U1005" s="157"/>
      <c r="V1005" s="157"/>
      <c r="W1005" s="153"/>
    </row>
    <row r="1006" spans="2:23" s="14" customFormat="1" x14ac:dyDescent="0.25">
      <c r="B1006" s="76"/>
      <c r="C1006" s="153"/>
      <c r="D1006" s="153"/>
      <c r="E1006" s="153"/>
      <c r="F1006" s="153"/>
      <c r="G1006" s="153"/>
      <c r="H1006" s="153"/>
      <c r="I1006" s="157"/>
      <c r="J1006" s="157"/>
      <c r="K1006" s="157"/>
      <c r="L1006" s="157"/>
      <c r="M1006" s="157"/>
      <c r="N1006" s="221"/>
      <c r="O1006" s="157"/>
      <c r="P1006" s="157"/>
      <c r="Q1006" s="157"/>
      <c r="R1006" s="157"/>
      <c r="S1006" s="157"/>
      <c r="T1006" s="157"/>
      <c r="U1006" s="157"/>
      <c r="V1006" s="157"/>
      <c r="W1006" s="153"/>
    </row>
    <row r="1007" spans="2:23" s="14" customFormat="1" x14ac:dyDescent="0.25">
      <c r="B1007" s="76"/>
      <c r="C1007" s="153"/>
      <c r="D1007" s="153"/>
      <c r="E1007" s="153"/>
      <c r="F1007" s="153"/>
      <c r="G1007" s="153"/>
      <c r="H1007" s="153"/>
      <c r="I1007" s="157"/>
      <c r="J1007" s="157"/>
      <c r="K1007" s="157"/>
      <c r="L1007" s="157"/>
      <c r="M1007" s="157"/>
      <c r="N1007" s="221"/>
      <c r="O1007" s="157"/>
      <c r="P1007" s="157"/>
      <c r="Q1007" s="157"/>
      <c r="R1007" s="157"/>
      <c r="S1007" s="157"/>
      <c r="T1007" s="157"/>
      <c r="U1007" s="157"/>
      <c r="V1007" s="157"/>
      <c r="W1007" s="153"/>
    </row>
    <row r="1008" spans="2:23" s="14" customFormat="1" x14ac:dyDescent="0.25">
      <c r="B1008" s="76"/>
      <c r="C1008" s="153"/>
      <c r="D1008" s="153"/>
      <c r="E1008" s="153"/>
      <c r="F1008" s="153"/>
      <c r="G1008" s="153"/>
      <c r="H1008" s="153"/>
      <c r="I1008" s="157"/>
      <c r="J1008" s="157"/>
      <c r="K1008" s="157"/>
      <c r="L1008" s="157"/>
      <c r="M1008" s="157"/>
      <c r="N1008" s="221"/>
      <c r="O1008" s="157"/>
      <c r="P1008" s="157"/>
      <c r="Q1008" s="157"/>
      <c r="R1008" s="157"/>
      <c r="S1008" s="157"/>
      <c r="T1008" s="157"/>
      <c r="U1008" s="157"/>
      <c r="V1008" s="157"/>
      <c r="W1008" s="153"/>
    </row>
    <row r="1009" spans="2:23" s="14" customFormat="1" x14ac:dyDescent="0.25">
      <c r="B1009" s="76"/>
      <c r="C1009" s="153"/>
      <c r="D1009" s="153"/>
      <c r="E1009" s="153"/>
      <c r="F1009" s="153"/>
      <c r="G1009" s="153"/>
      <c r="H1009" s="153"/>
      <c r="I1009" s="157"/>
      <c r="J1009" s="157"/>
      <c r="K1009" s="157"/>
      <c r="L1009" s="157"/>
      <c r="M1009" s="157"/>
      <c r="N1009" s="221"/>
      <c r="O1009" s="157"/>
      <c r="P1009" s="157"/>
      <c r="Q1009" s="157"/>
      <c r="R1009" s="157"/>
      <c r="S1009" s="157"/>
      <c r="T1009" s="157"/>
      <c r="U1009" s="157"/>
      <c r="V1009" s="157"/>
      <c r="W1009" s="153"/>
    </row>
    <row r="1010" spans="2:23" s="14" customFormat="1" x14ac:dyDescent="0.25">
      <c r="B1010" s="76"/>
      <c r="C1010" s="153"/>
      <c r="D1010" s="153"/>
      <c r="E1010" s="153"/>
      <c r="F1010" s="153"/>
      <c r="G1010" s="153"/>
      <c r="H1010" s="153"/>
      <c r="I1010" s="157"/>
      <c r="J1010" s="157"/>
      <c r="K1010" s="157"/>
      <c r="L1010" s="157"/>
      <c r="M1010" s="157"/>
      <c r="N1010" s="221"/>
      <c r="O1010" s="157"/>
      <c r="P1010" s="157"/>
      <c r="Q1010" s="157"/>
      <c r="R1010" s="157"/>
      <c r="S1010" s="157"/>
      <c r="T1010" s="157"/>
      <c r="U1010" s="157"/>
      <c r="V1010" s="157"/>
      <c r="W1010" s="153"/>
    </row>
    <row r="1011" spans="2:23" s="14" customFormat="1" x14ac:dyDescent="0.25">
      <c r="B1011" s="76"/>
      <c r="C1011" s="153"/>
      <c r="D1011" s="153"/>
      <c r="E1011" s="153"/>
      <c r="F1011" s="153"/>
      <c r="G1011" s="153"/>
      <c r="H1011" s="153"/>
      <c r="I1011" s="157"/>
      <c r="J1011" s="157"/>
      <c r="K1011" s="157"/>
      <c r="L1011" s="157"/>
      <c r="M1011" s="157"/>
      <c r="N1011" s="221"/>
      <c r="O1011" s="157"/>
      <c r="P1011" s="157"/>
      <c r="Q1011" s="157"/>
      <c r="R1011" s="157"/>
      <c r="S1011" s="157"/>
      <c r="T1011" s="157"/>
      <c r="U1011" s="157"/>
      <c r="V1011" s="157"/>
      <c r="W1011" s="153"/>
    </row>
    <row r="1012" spans="2:23" s="14" customFormat="1" x14ac:dyDescent="0.25">
      <c r="B1012" s="76"/>
      <c r="C1012" s="153"/>
      <c r="D1012" s="153"/>
      <c r="E1012" s="153"/>
      <c r="F1012" s="153"/>
      <c r="G1012" s="153"/>
      <c r="H1012" s="153"/>
      <c r="I1012" s="157"/>
      <c r="J1012" s="157"/>
      <c r="K1012" s="157"/>
      <c r="L1012" s="157"/>
      <c r="M1012" s="157"/>
      <c r="N1012" s="221"/>
      <c r="O1012" s="157"/>
      <c r="P1012" s="157"/>
      <c r="Q1012" s="157"/>
      <c r="R1012" s="157"/>
      <c r="S1012" s="157"/>
      <c r="T1012" s="157"/>
      <c r="U1012" s="157"/>
      <c r="V1012" s="157"/>
      <c r="W1012" s="153"/>
    </row>
    <row r="1013" spans="2:23" s="14" customFormat="1" x14ac:dyDescent="0.25">
      <c r="B1013" s="76"/>
      <c r="C1013" s="153"/>
      <c r="D1013" s="153"/>
      <c r="E1013" s="153"/>
      <c r="F1013" s="153"/>
      <c r="G1013" s="153"/>
      <c r="H1013" s="153"/>
      <c r="I1013" s="157"/>
      <c r="J1013" s="157"/>
      <c r="K1013" s="157"/>
      <c r="L1013" s="157"/>
      <c r="M1013" s="157"/>
      <c r="N1013" s="221"/>
      <c r="O1013" s="157"/>
      <c r="P1013" s="157"/>
      <c r="Q1013" s="157"/>
      <c r="R1013" s="157"/>
      <c r="S1013" s="157"/>
      <c r="T1013" s="157"/>
      <c r="U1013" s="157"/>
      <c r="V1013" s="157"/>
      <c r="W1013" s="153"/>
    </row>
    <row r="1014" spans="2:23" s="14" customFormat="1" x14ac:dyDescent="0.25">
      <c r="B1014" s="76"/>
      <c r="C1014" s="153"/>
      <c r="D1014" s="153"/>
      <c r="E1014" s="153"/>
      <c r="F1014" s="153"/>
      <c r="G1014" s="153"/>
      <c r="H1014" s="153"/>
      <c r="I1014" s="157"/>
      <c r="J1014" s="157"/>
      <c r="K1014" s="157"/>
      <c r="L1014" s="157"/>
      <c r="M1014" s="157"/>
      <c r="N1014" s="221"/>
      <c r="O1014" s="157"/>
      <c r="P1014" s="157"/>
      <c r="Q1014" s="157"/>
      <c r="R1014" s="157"/>
      <c r="S1014" s="157"/>
      <c r="T1014" s="157"/>
      <c r="U1014" s="157"/>
      <c r="V1014" s="157"/>
      <c r="W1014" s="153"/>
    </row>
    <row r="1015" spans="2:23" s="14" customFormat="1" x14ac:dyDescent="0.25">
      <c r="B1015" s="76"/>
      <c r="C1015" s="153"/>
      <c r="D1015" s="153"/>
      <c r="E1015" s="153"/>
      <c r="F1015" s="153"/>
      <c r="G1015" s="153"/>
      <c r="H1015" s="153"/>
      <c r="I1015" s="157"/>
      <c r="J1015" s="157"/>
      <c r="K1015" s="157"/>
      <c r="L1015" s="157"/>
      <c r="M1015" s="157"/>
      <c r="N1015" s="221"/>
      <c r="O1015" s="157"/>
      <c r="P1015" s="157"/>
      <c r="Q1015" s="157"/>
      <c r="R1015" s="157"/>
      <c r="S1015" s="157"/>
      <c r="T1015" s="157"/>
      <c r="U1015" s="157"/>
      <c r="V1015" s="157"/>
      <c r="W1015" s="153"/>
    </row>
    <row r="1016" spans="2:23" s="14" customFormat="1" x14ac:dyDescent="0.25">
      <c r="B1016" s="76"/>
      <c r="C1016" s="153"/>
      <c r="D1016" s="153"/>
      <c r="E1016" s="153"/>
      <c r="F1016" s="153"/>
      <c r="G1016" s="153"/>
      <c r="H1016" s="153"/>
      <c r="I1016" s="157"/>
      <c r="J1016" s="157"/>
      <c r="K1016" s="157"/>
      <c r="L1016" s="157"/>
      <c r="M1016" s="157"/>
      <c r="N1016" s="221"/>
      <c r="O1016" s="157"/>
      <c r="P1016" s="157"/>
      <c r="Q1016" s="157"/>
      <c r="R1016" s="157"/>
      <c r="S1016" s="157"/>
      <c r="T1016" s="157"/>
      <c r="U1016" s="157"/>
      <c r="V1016" s="157"/>
      <c r="W1016" s="153"/>
    </row>
    <row r="1017" spans="2:23" s="14" customFormat="1" x14ac:dyDescent="0.25">
      <c r="B1017" s="76"/>
      <c r="C1017" s="153"/>
      <c r="D1017" s="153"/>
      <c r="E1017" s="153"/>
      <c r="F1017" s="153"/>
      <c r="G1017" s="153"/>
      <c r="H1017" s="153"/>
      <c r="I1017" s="157"/>
      <c r="J1017" s="157"/>
      <c r="K1017" s="157"/>
      <c r="L1017" s="157"/>
      <c r="M1017" s="157"/>
      <c r="N1017" s="221"/>
      <c r="O1017" s="157"/>
      <c r="P1017" s="157"/>
      <c r="Q1017" s="157"/>
      <c r="R1017" s="157"/>
      <c r="S1017" s="157"/>
      <c r="T1017" s="157"/>
      <c r="U1017" s="157"/>
      <c r="V1017" s="157"/>
      <c r="W1017" s="153"/>
    </row>
    <row r="1018" spans="2:23" s="14" customFormat="1" x14ac:dyDescent="0.25">
      <c r="B1018" s="76"/>
      <c r="C1018" s="153"/>
      <c r="D1018" s="153"/>
      <c r="E1018" s="153"/>
      <c r="F1018" s="153"/>
      <c r="G1018" s="153"/>
      <c r="H1018" s="153"/>
      <c r="I1018" s="157"/>
      <c r="J1018" s="157"/>
      <c r="K1018" s="157"/>
      <c r="L1018" s="157"/>
      <c r="M1018" s="157"/>
      <c r="N1018" s="221"/>
      <c r="O1018" s="157"/>
      <c r="P1018" s="157"/>
      <c r="Q1018" s="157"/>
      <c r="R1018" s="157"/>
      <c r="S1018" s="157"/>
      <c r="T1018" s="157"/>
      <c r="U1018" s="157"/>
      <c r="V1018" s="157"/>
      <c r="W1018" s="153"/>
    </row>
    <row r="1019" spans="2:23" s="14" customFormat="1" x14ac:dyDescent="0.25">
      <c r="B1019" s="76"/>
      <c r="C1019" s="153"/>
      <c r="D1019" s="153"/>
      <c r="E1019" s="153"/>
      <c r="F1019" s="153"/>
      <c r="G1019" s="153"/>
      <c r="H1019" s="153"/>
      <c r="I1019" s="157"/>
      <c r="J1019" s="157"/>
      <c r="K1019" s="157"/>
      <c r="L1019" s="157"/>
      <c r="M1019" s="157"/>
      <c r="N1019" s="221"/>
      <c r="O1019" s="157"/>
      <c r="P1019" s="157"/>
      <c r="Q1019" s="157"/>
      <c r="R1019" s="157"/>
      <c r="S1019" s="157"/>
      <c r="T1019" s="157"/>
      <c r="U1019" s="157"/>
      <c r="V1019" s="157"/>
      <c r="W1019" s="153"/>
    </row>
    <row r="1020" spans="2:23" s="14" customFormat="1" x14ac:dyDescent="0.25">
      <c r="B1020" s="76"/>
      <c r="C1020" s="153"/>
      <c r="D1020" s="153"/>
      <c r="E1020" s="153"/>
      <c r="F1020" s="153"/>
      <c r="G1020" s="153"/>
      <c r="H1020" s="153"/>
      <c r="I1020" s="157"/>
      <c r="J1020" s="157"/>
      <c r="K1020" s="157"/>
      <c r="L1020" s="157"/>
      <c r="M1020" s="157"/>
      <c r="N1020" s="221"/>
      <c r="O1020" s="157"/>
      <c r="P1020" s="157"/>
      <c r="Q1020" s="157"/>
      <c r="R1020" s="157"/>
      <c r="S1020" s="157"/>
      <c r="T1020" s="157"/>
      <c r="U1020" s="157"/>
      <c r="V1020" s="157"/>
      <c r="W1020" s="153"/>
    </row>
    <row r="1021" spans="2:23" s="14" customFormat="1" x14ac:dyDescent="0.25">
      <c r="B1021" s="76"/>
      <c r="C1021" s="153"/>
      <c r="D1021" s="153"/>
      <c r="E1021" s="153"/>
      <c r="F1021" s="153"/>
      <c r="G1021" s="153"/>
      <c r="H1021" s="153"/>
      <c r="I1021" s="157"/>
      <c r="J1021" s="157"/>
      <c r="K1021" s="157"/>
      <c r="L1021" s="157"/>
      <c r="M1021" s="157"/>
      <c r="N1021" s="221"/>
      <c r="O1021" s="157"/>
      <c r="P1021" s="157"/>
      <c r="Q1021" s="157"/>
      <c r="R1021" s="157"/>
      <c r="S1021" s="157"/>
      <c r="T1021" s="157"/>
      <c r="U1021" s="157"/>
      <c r="V1021" s="157"/>
      <c r="W1021" s="153"/>
    </row>
    <row r="1022" spans="2:23" s="14" customFormat="1" x14ac:dyDescent="0.25">
      <c r="B1022" s="76"/>
      <c r="C1022" s="153"/>
      <c r="D1022" s="153"/>
      <c r="E1022" s="153"/>
      <c r="F1022" s="153"/>
      <c r="G1022" s="153"/>
      <c r="H1022" s="153"/>
      <c r="I1022" s="157"/>
      <c r="J1022" s="157"/>
      <c r="K1022" s="157"/>
      <c r="L1022" s="157"/>
      <c r="M1022" s="157"/>
      <c r="N1022" s="221"/>
      <c r="O1022" s="157"/>
      <c r="P1022" s="157"/>
      <c r="Q1022" s="157"/>
      <c r="R1022" s="157"/>
      <c r="S1022" s="157"/>
      <c r="T1022" s="157"/>
      <c r="U1022" s="157"/>
      <c r="V1022" s="157"/>
      <c r="W1022" s="153"/>
    </row>
    <row r="1023" spans="2:23" s="14" customFormat="1" x14ac:dyDescent="0.25">
      <c r="B1023" s="76"/>
      <c r="C1023" s="153"/>
      <c r="D1023" s="153"/>
      <c r="E1023" s="153"/>
      <c r="F1023" s="153"/>
      <c r="G1023" s="153"/>
      <c r="H1023" s="153"/>
      <c r="I1023" s="157"/>
      <c r="J1023" s="157"/>
      <c r="K1023" s="157"/>
      <c r="L1023" s="157"/>
      <c r="M1023" s="157"/>
      <c r="N1023" s="221"/>
      <c r="O1023" s="157"/>
      <c r="P1023" s="157"/>
      <c r="Q1023" s="157"/>
      <c r="R1023" s="157"/>
      <c r="S1023" s="157"/>
      <c r="T1023" s="157"/>
      <c r="U1023" s="157"/>
      <c r="V1023" s="157"/>
      <c r="W1023" s="153"/>
    </row>
    <row r="1024" spans="2:23" s="14" customFormat="1" x14ac:dyDescent="0.25">
      <c r="B1024" s="76"/>
      <c r="C1024" s="153"/>
      <c r="D1024" s="153"/>
      <c r="E1024" s="153"/>
      <c r="F1024" s="153"/>
      <c r="G1024" s="153"/>
      <c r="H1024" s="153"/>
      <c r="I1024" s="157"/>
      <c r="J1024" s="157"/>
      <c r="K1024" s="157"/>
      <c r="L1024" s="157"/>
      <c r="M1024" s="157"/>
      <c r="N1024" s="221"/>
      <c r="O1024" s="157"/>
      <c r="P1024" s="157"/>
      <c r="Q1024" s="157"/>
      <c r="R1024" s="157"/>
      <c r="S1024" s="157"/>
      <c r="T1024" s="157"/>
      <c r="U1024" s="157"/>
      <c r="V1024" s="157"/>
      <c r="W1024" s="153"/>
    </row>
    <row r="1025" spans="2:23" s="14" customFormat="1" x14ac:dyDescent="0.25">
      <c r="B1025" s="76"/>
      <c r="C1025" s="153"/>
      <c r="D1025" s="153"/>
      <c r="E1025" s="153"/>
      <c r="F1025" s="153"/>
      <c r="G1025" s="153"/>
      <c r="H1025" s="153"/>
      <c r="I1025" s="157"/>
      <c r="J1025" s="157"/>
      <c r="K1025" s="157"/>
      <c r="L1025" s="157"/>
      <c r="M1025" s="157"/>
      <c r="N1025" s="221"/>
      <c r="O1025" s="157"/>
      <c r="P1025" s="157"/>
      <c r="Q1025" s="157"/>
      <c r="R1025" s="157"/>
      <c r="S1025" s="157"/>
      <c r="T1025" s="157"/>
      <c r="U1025" s="157"/>
      <c r="V1025" s="157"/>
      <c r="W1025" s="153"/>
    </row>
    <row r="1026" spans="2:23" s="14" customFormat="1" x14ac:dyDescent="0.25">
      <c r="B1026" s="76"/>
      <c r="C1026" s="153"/>
      <c r="D1026" s="153"/>
      <c r="E1026" s="153"/>
      <c r="F1026" s="153"/>
      <c r="G1026" s="153"/>
      <c r="H1026" s="153"/>
      <c r="I1026" s="157"/>
      <c r="J1026" s="157"/>
      <c r="K1026" s="157"/>
      <c r="L1026" s="157"/>
      <c r="M1026" s="157"/>
      <c r="N1026" s="221"/>
      <c r="O1026" s="157"/>
      <c r="P1026" s="157"/>
      <c r="Q1026" s="157"/>
      <c r="R1026" s="157"/>
      <c r="S1026" s="157"/>
      <c r="T1026" s="157"/>
      <c r="U1026" s="157"/>
      <c r="V1026" s="157"/>
      <c r="W1026" s="153"/>
    </row>
    <row r="1027" spans="2:23" s="14" customFormat="1" x14ac:dyDescent="0.25">
      <c r="B1027" s="76"/>
      <c r="C1027" s="153"/>
      <c r="D1027" s="153"/>
      <c r="E1027" s="153"/>
      <c r="F1027" s="153"/>
      <c r="G1027" s="153"/>
      <c r="H1027" s="153"/>
      <c r="I1027" s="157"/>
      <c r="J1027" s="157"/>
      <c r="K1027" s="157"/>
      <c r="L1027" s="157"/>
      <c r="M1027" s="157"/>
      <c r="N1027" s="221"/>
      <c r="O1027" s="157"/>
      <c r="P1027" s="157"/>
      <c r="Q1027" s="157"/>
      <c r="R1027" s="157"/>
      <c r="S1027" s="157"/>
      <c r="T1027" s="157"/>
      <c r="U1027" s="157"/>
      <c r="V1027" s="157"/>
      <c r="W1027" s="153"/>
    </row>
    <row r="1028" spans="2:23" s="14" customFormat="1" x14ac:dyDescent="0.25">
      <c r="B1028" s="76"/>
      <c r="C1028" s="153"/>
      <c r="D1028" s="153"/>
      <c r="E1028" s="153"/>
      <c r="F1028" s="153"/>
      <c r="G1028" s="153"/>
      <c r="H1028" s="153"/>
      <c r="I1028" s="157"/>
      <c r="J1028" s="157"/>
      <c r="K1028" s="157"/>
      <c r="L1028" s="157"/>
      <c r="M1028" s="157"/>
      <c r="N1028" s="221"/>
      <c r="O1028" s="157"/>
      <c r="P1028" s="157"/>
      <c r="Q1028" s="157"/>
      <c r="R1028" s="157"/>
      <c r="S1028" s="157"/>
      <c r="T1028" s="157"/>
      <c r="U1028" s="157"/>
      <c r="V1028" s="157"/>
      <c r="W1028" s="153"/>
    </row>
    <row r="1029" spans="2:23" s="14" customFormat="1" x14ac:dyDescent="0.25">
      <c r="B1029" s="76"/>
      <c r="C1029" s="153"/>
      <c r="D1029" s="153"/>
      <c r="E1029" s="153"/>
      <c r="F1029" s="153"/>
      <c r="G1029" s="153"/>
      <c r="H1029" s="153"/>
      <c r="I1029" s="157"/>
      <c r="J1029" s="157"/>
      <c r="K1029" s="157"/>
      <c r="L1029" s="157"/>
      <c r="M1029" s="157"/>
      <c r="N1029" s="221"/>
      <c r="O1029" s="157"/>
      <c r="P1029" s="157"/>
      <c r="Q1029" s="157"/>
      <c r="R1029" s="157"/>
      <c r="S1029" s="157"/>
      <c r="T1029" s="157"/>
      <c r="U1029" s="157"/>
      <c r="V1029" s="157"/>
      <c r="W1029" s="153"/>
    </row>
    <row r="1030" spans="2:23" s="14" customFormat="1" x14ac:dyDescent="0.25">
      <c r="B1030" s="76"/>
      <c r="C1030" s="153"/>
      <c r="D1030" s="153"/>
      <c r="E1030" s="153"/>
      <c r="F1030" s="153"/>
      <c r="G1030" s="153"/>
      <c r="H1030" s="153"/>
      <c r="I1030" s="157"/>
      <c r="J1030" s="157"/>
      <c r="K1030" s="157"/>
      <c r="L1030" s="157"/>
      <c r="M1030" s="157"/>
      <c r="N1030" s="221"/>
      <c r="O1030" s="157"/>
      <c r="P1030" s="157"/>
      <c r="Q1030" s="157"/>
      <c r="R1030" s="157"/>
      <c r="S1030" s="157"/>
      <c r="T1030" s="157"/>
      <c r="U1030" s="157"/>
      <c r="V1030" s="157"/>
      <c r="W1030" s="153"/>
    </row>
    <row r="1031" spans="2:23" s="14" customFormat="1" x14ac:dyDescent="0.25">
      <c r="B1031" s="76"/>
      <c r="C1031" s="153"/>
      <c r="D1031" s="153"/>
      <c r="E1031" s="153"/>
      <c r="F1031" s="153"/>
      <c r="G1031" s="153"/>
      <c r="H1031" s="153"/>
      <c r="I1031" s="157"/>
      <c r="J1031" s="157"/>
      <c r="K1031" s="157"/>
      <c r="L1031" s="157"/>
      <c r="M1031" s="157"/>
      <c r="N1031" s="221"/>
      <c r="O1031" s="157"/>
      <c r="P1031" s="157"/>
      <c r="Q1031" s="157"/>
      <c r="R1031" s="157"/>
      <c r="S1031" s="157"/>
      <c r="T1031" s="157"/>
      <c r="U1031" s="157"/>
      <c r="V1031" s="157"/>
      <c r="W1031" s="153"/>
    </row>
    <row r="1032" spans="2:23" s="14" customFormat="1" x14ac:dyDescent="0.25">
      <c r="B1032" s="76"/>
      <c r="C1032" s="153"/>
      <c r="D1032" s="153"/>
      <c r="E1032" s="153"/>
      <c r="F1032" s="153"/>
      <c r="G1032" s="153"/>
      <c r="H1032" s="153"/>
      <c r="I1032" s="157"/>
      <c r="J1032" s="157"/>
      <c r="K1032" s="157"/>
      <c r="L1032" s="157"/>
      <c r="M1032" s="157"/>
      <c r="N1032" s="221"/>
      <c r="O1032" s="157"/>
      <c r="P1032" s="157"/>
      <c r="Q1032" s="157"/>
      <c r="R1032" s="157"/>
      <c r="S1032" s="157"/>
      <c r="T1032" s="157"/>
      <c r="U1032" s="157"/>
      <c r="V1032" s="157"/>
      <c r="W1032" s="153"/>
    </row>
    <row r="1033" spans="2:23" s="14" customFormat="1" x14ac:dyDescent="0.25">
      <c r="B1033" s="76"/>
      <c r="C1033" s="153"/>
      <c r="D1033" s="153"/>
      <c r="E1033" s="153"/>
      <c r="F1033" s="153"/>
      <c r="G1033" s="153"/>
      <c r="H1033" s="153"/>
      <c r="I1033" s="157"/>
      <c r="J1033" s="157"/>
      <c r="K1033" s="157"/>
      <c r="L1033" s="157"/>
      <c r="M1033" s="157"/>
      <c r="N1033" s="221"/>
      <c r="O1033" s="157"/>
      <c r="P1033" s="157"/>
      <c r="Q1033" s="157"/>
      <c r="R1033" s="157"/>
      <c r="S1033" s="157"/>
      <c r="T1033" s="157"/>
      <c r="U1033" s="157"/>
      <c r="V1033" s="157"/>
      <c r="W1033" s="153"/>
    </row>
    <row r="1034" spans="2:23" s="14" customFormat="1" x14ac:dyDescent="0.25">
      <c r="B1034" s="76"/>
      <c r="C1034" s="153"/>
      <c r="D1034" s="153"/>
      <c r="E1034" s="153"/>
      <c r="F1034" s="153"/>
      <c r="G1034" s="153"/>
      <c r="H1034" s="153"/>
      <c r="I1034" s="157"/>
      <c r="J1034" s="157"/>
      <c r="K1034" s="157"/>
      <c r="L1034" s="157"/>
      <c r="M1034" s="157"/>
      <c r="N1034" s="221"/>
      <c r="O1034" s="157"/>
      <c r="P1034" s="157"/>
      <c r="Q1034" s="157"/>
      <c r="R1034" s="157"/>
      <c r="S1034" s="157"/>
      <c r="T1034" s="157"/>
      <c r="U1034" s="157"/>
      <c r="V1034" s="157"/>
      <c r="W1034" s="153"/>
    </row>
    <row r="1035" spans="2:23" s="14" customFormat="1" x14ac:dyDescent="0.25">
      <c r="B1035" s="76"/>
      <c r="C1035" s="153"/>
      <c r="D1035" s="153"/>
      <c r="E1035" s="153"/>
      <c r="F1035" s="153"/>
      <c r="G1035" s="153"/>
      <c r="H1035" s="153"/>
      <c r="I1035" s="157"/>
      <c r="J1035" s="157"/>
      <c r="K1035" s="157"/>
      <c r="L1035" s="157"/>
      <c r="M1035" s="157"/>
      <c r="N1035" s="221"/>
      <c r="O1035" s="157"/>
      <c r="P1035" s="157"/>
      <c r="Q1035" s="157"/>
      <c r="R1035" s="157"/>
      <c r="S1035" s="157"/>
      <c r="T1035" s="157"/>
      <c r="U1035" s="157"/>
      <c r="V1035" s="157"/>
      <c r="W1035" s="153"/>
    </row>
    <row r="1036" spans="2:23" s="14" customFormat="1" x14ac:dyDescent="0.25">
      <c r="B1036" s="76"/>
      <c r="C1036" s="153"/>
      <c r="D1036" s="153"/>
      <c r="E1036" s="153"/>
      <c r="F1036" s="153"/>
      <c r="G1036" s="153"/>
      <c r="H1036" s="153"/>
      <c r="I1036" s="157"/>
      <c r="J1036" s="157"/>
      <c r="K1036" s="157"/>
      <c r="L1036" s="157"/>
      <c r="M1036" s="157"/>
      <c r="N1036" s="221"/>
      <c r="O1036" s="157"/>
      <c r="P1036" s="157"/>
      <c r="Q1036" s="157"/>
      <c r="R1036" s="157"/>
      <c r="S1036" s="157"/>
      <c r="T1036" s="157"/>
      <c r="U1036" s="157"/>
      <c r="V1036" s="157"/>
      <c r="W1036" s="153"/>
    </row>
    <row r="1037" spans="2:23" s="14" customFormat="1" x14ac:dyDescent="0.25">
      <c r="B1037" s="76"/>
      <c r="C1037" s="153"/>
      <c r="D1037" s="153"/>
      <c r="E1037" s="153"/>
      <c r="F1037" s="153"/>
      <c r="G1037" s="153"/>
      <c r="H1037" s="153"/>
      <c r="I1037" s="157"/>
      <c r="J1037" s="157"/>
      <c r="K1037" s="157"/>
      <c r="L1037" s="157"/>
      <c r="M1037" s="157"/>
      <c r="N1037" s="221"/>
      <c r="O1037" s="157"/>
      <c r="P1037" s="157"/>
      <c r="Q1037" s="157"/>
      <c r="R1037" s="157"/>
      <c r="S1037" s="157"/>
      <c r="T1037" s="157"/>
      <c r="U1037" s="157"/>
      <c r="V1037" s="157"/>
      <c r="W1037" s="153"/>
    </row>
    <row r="1038" spans="2:23" s="14" customFormat="1" x14ac:dyDescent="0.25">
      <c r="B1038" s="76"/>
      <c r="C1038" s="153"/>
      <c r="D1038" s="153"/>
      <c r="E1038" s="153"/>
      <c r="F1038" s="153"/>
      <c r="G1038" s="153"/>
      <c r="H1038" s="153"/>
      <c r="I1038" s="157"/>
      <c r="J1038" s="157"/>
      <c r="K1038" s="157"/>
      <c r="L1038" s="157"/>
      <c r="M1038" s="157"/>
      <c r="N1038" s="221"/>
      <c r="O1038" s="157"/>
      <c r="P1038" s="157"/>
      <c r="Q1038" s="157"/>
      <c r="R1038" s="157"/>
      <c r="S1038" s="157"/>
      <c r="T1038" s="157"/>
      <c r="U1038" s="157"/>
      <c r="V1038" s="157"/>
      <c r="W1038" s="153"/>
    </row>
    <row r="1039" spans="2:23" s="14" customFormat="1" x14ac:dyDescent="0.25">
      <c r="B1039" s="76"/>
      <c r="C1039" s="153"/>
      <c r="D1039" s="153"/>
      <c r="E1039" s="153"/>
      <c r="F1039" s="153"/>
      <c r="G1039" s="153"/>
      <c r="H1039" s="153"/>
      <c r="I1039" s="157"/>
      <c r="J1039" s="157"/>
      <c r="K1039" s="157"/>
      <c r="L1039" s="157"/>
      <c r="M1039" s="157"/>
      <c r="N1039" s="221"/>
      <c r="O1039" s="157"/>
      <c r="P1039" s="157"/>
      <c r="Q1039" s="157"/>
      <c r="R1039" s="157"/>
      <c r="S1039" s="157"/>
      <c r="T1039" s="157"/>
      <c r="U1039" s="157"/>
      <c r="V1039" s="157"/>
      <c r="W1039" s="153"/>
    </row>
    <row r="1040" spans="2:23" s="14" customFormat="1" x14ac:dyDescent="0.25">
      <c r="B1040" s="76"/>
      <c r="C1040" s="153"/>
      <c r="D1040" s="153"/>
      <c r="E1040" s="153"/>
      <c r="F1040" s="153"/>
      <c r="G1040" s="153"/>
      <c r="H1040" s="153"/>
      <c r="I1040" s="157"/>
      <c r="J1040" s="157"/>
      <c r="K1040" s="157"/>
      <c r="L1040" s="157"/>
      <c r="M1040" s="157"/>
      <c r="N1040" s="221"/>
      <c r="O1040" s="157"/>
      <c r="P1040" s="157"/>
      <c r="Q1040" s="157"/>
      <c r="R1040" s="157"/>
      <c r="S1040" s="157"/>
      <c r="T1040" s="157"/>
      <c r="U1040" s="157"/>
      <c r="V1040" s="157"/>
      <c r="W1040" s="153"/>
    </row>
    <row r="1041" spans="2:23" s="14" customFormat="1" x14ac:dyDescent="0.25">
      <c r="B1041" s="76"/>
      <c r="C1041" s="153"/>
      <c r="D1041" s="153"/>
      <c r="E1041" s="153"/>
      <c r="F1041" s="153"/>
      <c r="G1041" s="153"/>
      <c r="H1041" s="153"/>
      <c r="I1041" s="157"/>
      <c r="J1041" s="157"/>
      <c r="K1041" s="157"/>
      <c r="L1041" s="157"/>
      <c r="M1041" s="157"/>
      <c r="N1041" s="221"/>
      <c r="O1041" s="157"/>
      <c r="P1041" s="157"/>
      <c r="Q1041" s="157"/>
      <c r="R1041" s="157"/>
      <c r="S1041" s="157"/>
      <c r="T1041" s="157"/>
      <c r="U1041" s="157"/>
      <c r="V1041" s="157"/>
      <c r="W1041" s="153"/>
    </row>
    <row r="1042" spans="2:23" s="14" customFormat="1" x14ac:dyDescent="0.25">
      <c r="B1042" s="76"/>
      <c r="C1042" s="153"/>
      <c r="D1042" s="153"/>
      <c r="E1042" s="153"/>
      <c r="F1042" s="153"/>
      <c r="G1042" s="153"/>
      <c r="H1042" s="153"/>
      <c r="I1042" s="157"/>
      <c r="J1042" s="157"/>
      <c r="K1042" s="157"/>
      <c r="L1042" s="157"/>
      <c r="M1042" s="157"/>
      <c r="N1042" s="221"/>
      <c r="O1042" s="157"/>
      <c r="P1042" s="157"/>
      <c r="Q1042" s="157"/>
      <c r="R1042" s="157"/>
      <c r="S1042" s="157"/>
      <c r="T1042" s="157"/>
      <c r="U1042" s="157"/>
      <c r="V1042" s="157"/>
      <c r="W1042" s="153"/>
    </row>
    <row r="1043" spans="2:23" s="14" customFormat="1" x14ac:dyDescent="0.25">
      <c r="B1043" s="76"/>
      <c r="C1043" s="153"/>
      <c r="D1043" s="153"/>
      <c r="E1043" s="153"/>
      <c r="F1043" s="153"/>
      <c r="G1043" s="153"/>
      <c r="H1043" s="153"/>
      <c r="I1043" s="157"/>
      <c r="J1043" s="157"/>
      <c r="K1043" s="157"/>
      <c r="L1043" s="157"/>
      <c r="M1043" s="157"/>
      <c r="N1043" s="221"/>
      <c r="O1043" s="157"/>
      <c r="P1043" s="157"/>
      <c r="Q1043" s="157"/>
      <c r="R1043" s="157"/>
      <c r="S1043" s="157"/>
      <c r="T1043" s="157"/>
      <c r="U1043" s="157"/>
      <c r="V1043" s="157"/>
      <c r="W1043" s="153"/>
    </row>
    <row r="1044" spans="2:23" s="14" customFormat="1" x14ac:dyDescent="0.25">
      <c r="B1044" s="76"/>
      <c r="C1044" s="153"/>
      <c r="D1044" s="153"/>
      <c r="E1044" s="153"/>
      <c r="F1044" s="153"/>
      <c r="G1044" s="153"/>
      <c r="H1044" s="153"/>
      <c r="I1044" s="157"/>
      <c r="J1044" s="157"/>
      <c r="K1044" s="157"/>
      <c r="L1044" s="157"/>
      <c r="M1044" s="157"/>
      <c r="N1044" s="221"/>
      <c r="O1044" s="157"/>
      <c r="P1044" s="157"/>
      <c r="Q1044" s="157"/>
      <c r="R1044" s="157"/>
      <c r="S1044" s="157"/>
      <c r="T1044" s="157"/>
      <c r="U1044" s="157"/>
      <c r="V1044" s="157"/>
      <c r="W1044" s="153"/>
    </row>
    <row r="1045" spans="2:23" s="14" customFormat="1" x14ac:dyDescent="0.25">
      <c r="B1045" s="76"/>
      <c r="C1045" s="153"/>
      <c r="D1045" s="153"/>
      <c r="E1045" s="153"/>
      <c r="F1045" s="153"/>
      <c r="G1045" s="153"/>
      <c r="H1045" s="153"/>
      <c r="I1045" s="157"/>
      <c r="J1045" s="157"/>
      <c r="K1045" s="157"/>
      <c r="L1045" s="157"/>
      <c r="M1045" s="157"/>
      <c r="N1045" s="221"/>
      <c r="O1045" s="157"/>
      <c r="P1045" s="157"/>
      <c r="Q1045" s="157"/>
      <c r="R1045" s="157"/>
      <c r="S1045" s="157"/>
      <c r="T1045" s="157"/>
      <c r="U1045" s="157"/>
      <c r="V1045" s="157"/>
      <c r="W1045" s="153"/>
    </row>
    <row r="1046" spans="2:23" s="14" customFormat="1" x14ac:dyDescent="0.25">
      <c r="B1046" s="76"/>
      <c r="C1046" s="153"/>
      <c r="D1046" s="153"/>
      <c r="E1046" s="153"/>
      <c r="F1046" s="153"/>
      <c r="G1046" s="153"/>
      <c r="H1046" s="153"/>
      <c r="I1046" s="157"/>
      <c r="J1046" s="157"/>
      <c r="K1046" s="157"/>
      <c r="L1046" s="157"/>
      <c r="M1046" s="157"/>
      <c r="N1046" s="221"/>
      <c r="O1046" s="157"/>
      <c r="P1046" s="157"/>
      <c r="Q1046" s="157"/>
      <c r="R1046" s="157"/>
      <c r="S1046" s="157"/>
      <c r="T1046" s="157"/>
      <c r="U1046" s="157"/>
      <c r="V1046" s="157"/>
      <c r="W1046" s="153"/>
    </row>
    <row r="1047" spans="2:23" s="14" customFormat="1" x14ac:dyDescent="0.25">
      <c r="B1047" s="76"/>
      <c r="C1047" s="153"/>
      <c r="D1047" s="153"/>
      <c r="E1047" s="153"/>
      <c r="F1047" s="153"/>
      <c r="G1047" s="153"/>
      <c r="H1047" s="153"/>
      <c r="I1047" s="157"/>
      <c r="J1047" s="157"/>
      <c r="K1047" s="157"/>
      <c r="L1047" s="157"/>
      <c r="M1047" s="157"/>
      <c r="N1047" s="221"/>
      <c r="O1047" s="157"/>
      <c r="P1047" s="157"/>
      <c r="Q1047" s="157"/>
      <c r="R1047" s="157"/>
      <c r="S1047" s="157"/>
      <c r="T1047" s="157"/>
      <c r="U1047" s="157"/>
      <c r="V1047" s="157"/>
      <c r="W1047" s="153"/>
    </row>
    <row r="1048" spans="2:23" s="14" customFormat="1" x14ac:dyDescent="0.25">
      <c r="B1048" s="76"/>
      <c r="C1048" s="153"/>
      <c r="D1048" s="153"/>
      <c r="E1048" s="153"/>
      <c r="F1048" s="153"/>
      <c r="G1048" s="153"/>
      <c r="H1048" s="153"/>
      <c r="I1048" s="157"/>
      <c r="J1048" s="157"/>
      <c r="K1048" s="157"/>
      <c r="L1048" s="157"/>
      <c r="M1048" s="157"/>
      <c r="N1048" s="221"/>
      <c r="O1048" s="157"/>
      <c r="P1048" s="157"/>
      <c r="Q1048" s="157"/>
      <c r="R1048" s="157"/>
      <c r="S1048" s="157"/>
      <c r="T1048" s="157"/>
      <c r="U1048" s="157"/>
      <c r="V1048" s="157"/>
      <c r="W1048" s="153"/>
    </row>
    <row r="1049" spans="2:23" s="14" customFormat="1" x14ac:dyDescent="0.25">
      <c r="B1049" s="76"/>
      <c r="C1049" s="153"/>
      <c r="D1049" s="153"/>
      <c r="E1049" s="153"/>
      <c r="F1049" s="153"/>
      <c r="G1049" s="153"/>
      <c r="H1049" s="153"/>
      <c r="I1049" s="157"/>
      <c r="J1049" s="157"/>
      <c r="K1049" s="157"/>
      <c r="L1049" s="157"/>
      <c r="M1049" s="157"/>
      <c r="N1049" s="221"/>
      <c r="O1049" s="157"/>
      <c r="P1049" s="157"/>
      <c r="Q1049" s="157"/>
      <c r="R1049" s="157"/>
      <c r="S1049" s="157"/>
      <c r="T1049" s="157"/>
      <c r="U1049" s="157"/>
      <c r="V1049" s="157"/>
      <c r="W1049" s="153"/>
    </row>
    <row r="1050" spans="2:23" s="14" customFormat="1" x14ac:dyDescent="0.25">
      <c r="B1050" s="76"/>
      <c r="C1050" s="153"/>
      <c r="D1050" s="153"/>
      <c r="E1050" s="153"/>
      <c r="F1050" s="153"/>
      <c r="G1050" s="153"/>
      <c r="H1050" s="153"/>
      <c r="I1050" s="157"/>
      <c r="J1050" s="157"/>
      <c r="K1050" s="157"/>
      <c r="L1050" s="157"/>
      <c r="M1050" s="157"/>
      <c r="N1050" s="221"/>
      <c r="O1050" s="157"/>
      <c r="P1050" s="157"/>
      <c r="Q1050" s="157"/>
      <c r="R1050" s="157"/>
      <c r="S1050" s="157"/>
      <c r="T1050" s="157"/>
      <c r="U1050" s="157"/>
      <c r="V1050" s="157"/>
      <c r="W1050" s="153"/>
    </row>
    <row r="1051" spans="2:23" s="14" customFormat="1" x14ac:dyDescent="0.25">
      <c r="B1051" s="76"/>
      <c r="C1051" s="153"/>
      <c r="D1051" s="153"/>
      <c r="E1051" s="153"/>
      <c r="F1051" s="153"/>
      <c r="G1051" s="153"/>
      <c r="H1051" s="153"/>
      <c r="I1051" s="157"/>
      <c r="J1051" s="157"/>
      <c r="K1051" s="157"/>
      <c r="L1051" s="157"/>
      <c r="M1051" s="157"/>
      <c r="N1051" s="221"/>
      <c r="O1051" s="157"/>
      <c r="P1051" s="157"/>
      <c r="Q1051" s="157"/>
      <c r="R1051" s="157"/>
      <c r="S1051" s="157"/>
      <c r="T1051" s="157"/>
      <c r="U1051" s="157"/>
      <c r="V1051" s="157"/>
      <c r="W1051" s="153"/>
    </row>
    <row r="1052" spans="2:23" s="14" customFormat="1" x14ac:dyDescent="0.25">
      <c r="B1052" s="76"/>
      <c r="C1052" s="153"/>
      <c r="D1052" s="153"/>
      <c r="E1052" s="153"/>
      <c r="F1052" s="153"/>
      <c r="G1052" s="153"/>
      <c r="H1052" s="153"/>
      <c r="I1052" s="157"/>
      <c r="J1052" s="157"/>
      <c r="K1052" s="157"/>
      <c r="L1052" s="157"/>
      <c r="M1052" s="157"/>
      <c r="N1052" s="221"/>
      <c r="O1052" s="157"/>
      <c r="P1052" s="157"/>
      <c r="Q1052" s="157"/>
      <c r="R1052" s="157"/>
      <c r="S1052" s="157"/>
      <c r="T1052" s="157"/>
      <c r="U1052" s="157"/>
      <c r="V1052" s="157"/>
      <c r="W1052" s="153"/>
    </row>
    <row r="1053" spans="2:23" s="14" customFormat="1" x14ac:dyDescent="0.25">
      <c r="B1053" s="76"/>
      <c r="C1053" s="153"/>
      <c r="D1053" s="153"/>
      <c r="E1053" s="153"/>
      <c r="F1053" s="153"/>
      <c r="G1053" s="153"/>
      <c r="H1053" s="153"/>
      <c r="I1053" s="157"/>
      <c r="J1053" s="157"/>
      <c r="K1053" s="157"/>
      <c r="L1053" s="157"/>
      <c r="M1053" s="157"/>
      <c r="N1053" s="221"/>
      <c r="O1053" s="157"/>
      <c r="P1053" s="157"/>
      <c r="Q1053" s="157"/>
      <c r="R1053" s="157"/>
      <c r="S1053" s="157"/>
      <c r="T1053" s="157"/>
      <c r="U1053" s="157"/>
      <c r="V1053" s="157"/>
      <c r="W1053" s="153"/>
    </row>
    <row r="1054" spans="2:23" s="14" customFormat="1" x14ac:dyDescent="0.25">
      <c r="B1054" s="76"/>
      <c r="C1054" s="153"/>
      <c r="D1054" s="153"/>
      <c r="E1054" s="153"/>
      <c r="F1054" s="153"/>
      <c r="G1054" s="153"/>
      <c r="H1054" s="153"/>
      <c r="I1054" s="157"/>
      <c r="J1054" s="157"/>
      <c r="K1054" s="157"/>
      <c r="L1054" s="157"/>
      <c r="M1054" s="157"/>
      <c r="N1054" s="221"/>
      <c r="O1054" s="157"/>
      <c r="P1054" s="157"/>
      <c r="Q1054" s="157"/>
      <c r="R1054" s="157"/>
      <c r="S1054" s="157"/>
      <c r="T1054" s="157"/>
      <c r="U1054" s="157"/>
      <c r="V1054" s="157"/>
      <c r="W1054" s="153"/>
    </row>
    <row r="1055" spans="2:23" s="14" customFormat="1" x14ac:dyDescent="0.25">
      <c r="B1055" s="76"/>
      <c r="C1055" s="153"/>
      <c r="D1055" s="153"/>
      <c r="E1055" s="153"/>
      <c r="F1055" s="153"/>
      <c r="G1055" s="153"/>
      <c r="H1055" s="153"/>
      <c r="I1055" s="157"/>
      <c r="J1055" s="157"/>
      <c r="K1055" s="157"/>
      <c r="L1055" s="157"/>
      <c r="M1055" s="157"/>
      <c r="N1055" s="221"/>
      <c r="O1055" s="157"/>
      <c r="P1055" s="157"/>
      <c r="Q1055" s="157"/>
      <c r="R1055" s="157"/>
      <c r="S1055" s="157"/>
      <c r="T1055" s="157"/>
      <c r="U1055" s="157"/>
      <c r="V1055" s="157"/>
      <c r="W1055" s="153"/>
    </row>
    <row r="1056" spans="2:23" s="14" customFormat="1" x14ac:dyDescent="0.25">
      <c r="B1056" s="76"/>
      <c r="C1056" s="153"/>
      <c r="D1056" s="153"/>
      <c r="E1056" s="153"/>
      <c r="F1056" s="153"/>
      <c r="G1056" s="153"/>
      <c r="H1056" s="153"/>
      <c r="I1056" s="157"/>
      <c r="J1056" s="157"/>
      <c r="K1056" s="157"/>
      <c r="L1056" s="157"/>
      <c r="M1056" s="157"/>
      <c r="N1056" s="221"/>
      <c r="O1056" s="157"/>
      <c r="P1056" s="157"/>
      <c r="Q1056" s="157"/>
      <c r="R1056" s="157"/>
      <c r="S1056" s="157"/>
      <c r="T1056" s="157"/>
      <c r="U1056" s="157"/>
      <c r="V1056" s="157"/>
      <c r="W1056" s="153"/>
    </row>
    <row r="1057" spans="2:23" s="14" customFormat="1" x14ac:dyDescent="0.25">
      <c r="B1057" s="76"/>
      <c r="C1057" s="153"/>
      <c r="D1057" s="153"/>
      <c r="E1057" s="153"/>
      <c r="F1057" s="153"/>
      <c r="G1057" s="153"/>
      <c r="H1057" s="153"/>
      <c r="I1057" s="157"/>
      <c r="J1057" s="157"/>
      <c r="K1057" s="157"/>
      <c r="L1057" s="157"/>
      <c r="M1057" s="157"/>
      <c r="N1057" s="221"/>
      <c r="O1057" s="157"/>
      <c r="P1057" s="157"/>
      <c r="Q1057" s="157"/>
      <c r="R1057" s="157"/>
      <c r="S1057" s="157"/>
      <c r="T1057" s="157"/>
      <c r="U1057" s="157"/>
      <c r="V1057" s="157"/>
      <c r="W1057" s="153"/>
    </row>
    <row r="1058" spans="2:23" s="14" customFormat="1" x14ac:dyDescent="0.25">
      <c r="B1058" s="76"/>
      <c r="C1058" s="153"/>
      <c r="D1058" s="153"/>
      <c r="E1058" s="153"/>
      <c r="F1058" s="153"/>
      <c r="G1058" s="153"/>
      <c r="H1058" s="153"/>
      <c r="I1058" s="157"/>
      <c r="J1058" s="157"/>
      <c r="K1058" s="157"/>
      <c r="L1058" s="157"/>
      <c r="M1058" s="157"/>
      <c r="N1058" s="221"/>
      <c r="O1058" s="157"/>
      <c r="P1058" s="157"/>
      <c r="Q1058" s="157"/>
      <c r="R1058" s="157"/>
      <c r="S1058" s="157"/>
      <c r="T1058" s="157"/>
      <c r="U1058" s="157"/>
      <c r="V1058" s="157"/>
      <c r="W1058" s="153"/>
    </row>
    <row r="1059" spans="2:23" s="14" customFormat="1" x14ac:dyDescent="0.25">
      <c r="B1059" s="76"/>
      <c r="C1059" s="153"/>
      <c r="D1059" s="153"/>
      <c r="E1059" s="153"/>
      <c r="F1059" s="153"/>
      <c r="G1059" s="153"/>
      <c r="H1059" s="153"/>
      <c r="I1059" s="157"/>
      <c r="J1059" s="157"/>
      <c r="K1059" s="157"/>
      <c r="L1059" s="157"/>
      <c r="M1059" s="157"/>
      <c r="N1059" s="221"/>
      <c r="O1059" s="157"/>
      <c r="P1059" s="157"/>
      <c r="Q1059" s="157"/>
      <c r="R1059" s="157"/>
      <c r="S1059" s="157"/>
      <c r="T1059" s="157"/>
      <c r="U1059" s="157"/>
      <c r="V1059" s="157"/>
      <c r="W1059" s="153"/>
    </row>
    <row r="1060" spans="2:23" s="14" customFormat="1" x14ac:dyDescent="0.25">
      <c r="B1060" s="76"/>
      <c r="C1060" s="153"/>
      <c r="D1060" s="153"/>
      <c r="E1060" s="153"/>
      <c r="F1060" s="153"/>
      <c r="G1060" s="153"/>
      <c r="H1060" s="153"/>
      <c r="I1060" s="157"/>
      <c r="J1060" s="157"/>
      <c r="K1060" s="157"/>
      <c r="L1060" s="157"/>
      <c r="M1060" s="157"/>
      <c r="N1060" s="221"/>
      <c r="O1060" s="157"/>
      <c r="P1060" s="157"/>
      <c r="Q1060" s="157"/>
      <c r="R1060" s="157"/>
      <c r="S1060" s="157"/>
      <c r="T1060" s="157"/>
      <c r="U1060" s="157"/>
      <c r="V1060" s="157"/>
      <c r="W1060" s="153"/>
    </row>
    <row r="1061" spans="2:23" s="14" customFormat="1" x14ac:dyDescent="0.25">
      <c r="B1061" s="76"/>
      <c r="C1061" s="153"/>
      <c r="D1061" s="153"/>
      <c r="E1061" s="153"/>
      <c r="F1061" s="153"/>
      <c r="G1061" s="153"/>
      <c r="H1061" s="153"/>
      <c r="I1061" s="157"/>
      <c r="J1061" s="157"/>
      <c r="K1061" s="157"/>
      <c r="L1061" s="157"/>
      <c r="M1061" s="157"/>
      <c r="N1061" s="221"/>
      <c r="O1061" s="157"/>
      <c r="P1061" s="157"/>
      <c r="Q1061" s="157"/>
      <c r="R1061" s="157"/>
      <c r="S1061" s="157"/>
      <c r="T1061" s="157"/>
      <c r="U1061" s="157"/>
      <c r="V1061" s="157"/>
      <c r="W1061" s="153"/>
    </row>
    <row r="1062" spans="2:23" s="14" customFormat="1" x14ac:dyDescent="0.25">
      <c r="B1062" s="76"/>
      <c r="C1062" s="153"/>
      <c r="D1062" s="153"/>
      <c r="E1062" s="153"/>
      <c r="F1062" s="153"/>
      <c r="G1062" s="153"/>
      <c r="H1062" s="153"/>
      <c r="I1062" s="157"/>
      <c r="J1062" s="157"/>
      <c r="K1062" s="157"/>
      <c r="L1062" s="157"/>
      <c r="M1062" s="157"/>
      <c r="N1062" s="221"/>
      <c r="O1062" s="157"/>
      <c r="P1062" s="157"/>
      <c r="Q1062" s="157"/>
      <c r="R1062" s="157"/>
      <c r="S1062" s="157"/>
      <c r="T1062" s="157"/>
      <c r="U1062" s="157"/>
      <c r="V1062" s="157"/>
      <c r="W1062" s="153"/>
    </row>
    <row r="1063" spans="2:23" s="14" customFormat="1" x14ac:dyDescent="0.25">
      <c r="B1063" s="76"/>
      <c r="C1063" s="153"/>
      <c r="D1063" s="153"/>
      <c r="E1063" s="153"/>
      <c r="F1063" s="153"/>
      <c r="G1063" s="153"/>
      <c r="H1063" s="153"/>
      <c r="I1063" s="157"/>
      <c r="J1063" s="157"/>
      <c r="K1063" s="157"/>
      <c r="L1063" s="157"/>
      <c r="M1063" s="157"/>
      <c r="N1063" s="221"/>
      <c r="O1063" s="157"/>
      <c r="P1063" s="157"/>
      <c r="Q1063" s="157"/>
      <c r="R1063" s="157"/>
      <c r="S1063" s="157"/>
      <c r="T1063" s="157"/>
      <c r="U1063" s="157"/>
      <c r="V1063" s="157"/>
      <c r="W1063" s="153"/>
    </row>
    <row r="1064" spans="2:23" s="14" customFormat="1" x14ac:dyDescent="0.25">
      <c r="B1064" s="76"/>
      <c r="C1064" s="153"/>
      <c r="D1064" s="153"/>
      <c r="E1064" s="153"/>
      <c r="F1064" s="153"/>
      <c r="G1064" s="153"/>
      <c r="H1064" s="153"/>
      <c r="I1064" s="157"/>
      <c r="J1064" s="157"/>
      <c r="K1064" s="157"/>
      <c r="L1064" s="157"/>
      <c r="M1064" s="157"/>
      <c r="N1064" s="221"/>
      <c r="O1064" s="157"/>
      <c r="P1064" s="157"/>
      <c r="Q1064" s="157"/>
      <c r="R1064" s="157"/>
      <c r="S1064" s="157"/>
      <c r="T1064" s="157"/>
      <c r="U1064" s="157"/>
      <c r="V1064" s="157"/>
      <c r="W1064" s="153"/>
    </row>
    <row r="1065" spans="2:23" s="14" customFormat="1" x14ac:dyDescent="0.25">
      <c r="B1065" s="76"/>
      <c r="C1065" s="153"/>
      <c r="D1065" s="153"/>
      <c r="E1065" s="153"/>
      <c r="F1065" s="153"/>
      <c r="G1065" s="153"/>
      <c r="H1065" s="153"/>
      <c r="I1065" s="157"/>
      <c r="J1065" s="157"/>
      <c r="K1065" s="157"/>
      <c r="L1065" s="157"/>
      <c r="M1065" s="157"/>
      <c r="N1065" s="221"/>
      <c r="O1065" s="157"/>
      <c r="P1065" s="157"/>
      <c r="Q1065" s="157"/>
      <c r="R1065" s="157"/>
      <c r="S1065" s="157"/>
      <c r="T1065" s="157"/>
      <c r="U1065" s="157"/>
      <c r="V1065" s="157"/>
      <c r="W1065" s="153"/>
    </row>
    <row r="1066" spans="2:23" s="14" customFormat="1" x14ac:dyDescent="0.25">
      <c r="B1066" s="76"/>
      <c r="C1066" s="153"/>
      <c r="D1066" s="153"/>
      <c r="E1066" s="153"/>
      <c r="F1066" s="153"/>
      <c r="G1066" s="153"/>
      <c r="H1066" s="153"/>
      <c r="I1066" s="157"/>
      <c r="J1066" s="157"/>
      <c r="K1066" s="157"/>
      <c r="L1066" s="157"/>
      <c r="M1066" s="157"/>
      <c r="N1066" s="221"/>
      <c r="O1066" s="157"/>
      <c r="P1066" s="157"/>
      <c r="Q1066" s="157"/>
      <c r="R1066" s="157"/>
      <c r="S1066" s="157"/>
      <c r="T1066" s="157"/>
      <c r="U1066" s="157"/>
      <c r="V1066" s="157"/>
      <c r="W1066" s="153"/>
    </row>
    <row r="1067" spans="2:23" s="14" customFormat="1" x14ac:dyDescent="0.25">
      <c r="B1067" s="76"/>
      <c r="C1067" s="153"/>
      <c r="D1067" s="153"/>
      <c r="E1067" s="153"/>
      <c r="F1067" s="153"/>
      <c r="G1067" s="153"/>
      <c r="H1067" s="153"/>
      <c r="I1067" s="157"/>
      <c r="J1067" s="157"/>
      <c r="K1067" s="157"/>
      <c r="L1067" s="157"/>
      <c r="M1067" s="157"/>
      <c r="N1067" s="221"/>
      <c r="O1067" s="157"/>
      <c r="P1067" s="157"/>
      <c r="Q1067" s="157"/>
      <c r="R1067" s="157"/>
      <c r="S1067" s="157"/>
      <c r="T1067" s="157"/>
      <c r="U1067" s="157"/>
      <c r="V1067" s="157"/>
      <c r="W1067" s="153"/>
    </row>
    <row r="1068" spans="2:23" s="14" customFormat="1" x14ac:dyDescent="0.25">
      <c r="B1068" s="76"/>
      <c r="C1068" s="153"/>
      <c r="D1068" s="153"/>
      <c r="E1068" s="153"/>
      <c r="F1068" s="153"/>
      <c r="G1068" s="153"/>
      <c r="H1068" s="153"/>
      <c r="I1068" s="157"/>
      <c r="J1068" s="157"/>
      <c r="K1068" s="157"/>
      <c r="L1068" s="157"/>
      <c r="M1068" s="157"/>
      <c r="N1068" s="221"/>
      <c r="O1068" s="157"/>
      <c r="P1068" s="157"/>
      <c r="Q1068" s="157"/>
      <c r="R1068" s="157"/>
      <c r="S1068" s="157"/>
      <c r="T1068" s="157"/>
      <c r="U1068" s="157"/>
      <c r="V1068" s="157"/>
      <c r="W1068" s="153"/>
    </row>
    <row r="1069" spans="2:23" s="14" customFormat="1" x14ac:dyDescent="0.25">
      <c r="B1069" s="76"/>
      <c r="C1069" s="153"/>
      <c r="D1069" s="153"/>
      <c r="E1069" s="153"/>
      <c r="F1069" s="153"/>
      <c r="G1069" s="153"/>
      <c r="H1069" s="153"/>
      <c r="I1069" s="157"/>
      <c r="J1069" s="157"/>
      <c r="K1069" s="157"/>
      <c r="L1069" s="157"/>
      <c r="M1069" s="157"/>
      <c r="N1069" s="221"/>
      <c r="O1069" s="157"/>
      <c r="P1069" s="157"/>
      <c r="Q1069" s="157"/>
      <c r="R1069" s="157"/>
      <c r="S1069" s="157"/>
      <c r="T1069" s="157"/>
      <c r="U1069" s="157"/>
      <c r="V1069" s="157"/>
      <c r="W1069" s="153"/>
    </row>
    <row r="1070" spans="2:23" s="14" customFormat="1" x14ac:dyDescent="0.25">
      <c r="B1070" s="76"/>
      <c r="C1070" s="153"/>
      <c r="D1070" s="153"/>
      <c r="E1070" s="153"/>
      <c r="F1070" s="153"/>
      <c r="G1070" s="153"/>
      <c r="H1070" s="153"/>
      <c r="I1070" s="157"/>
      <c r="J1070" s="157"/>
      <c r="K1070" s="157"/>
      <c r="L1070" s="157"/>
      <c r="M1070" s="157"/>
      <c r="N1070" s="221"/>
      <c r="O1070" s="157"/>
      <c r="P1070" s="157"/>
      <c r="Q1070" s="157"/>
      <c r="R1070" s="157"/>
      <c r="S1070" s="157"/>
      <c r="T1070" s="157"/>
      <c r="U1070" s="157"/>
      <c r="V1070" s="157"/>
      <c r="W1070" s="153"/>
    </row>
    <row r="1071" spans="2:23" s="14" customFormat="1" x14ac:dyDescent="0.25">
      <c r="B1071" s="76"/>
      <c r="C1071" s="153"/>
      <c r="D1071" s="153"/>
      <c r="E1071" s="153"/>
      <c r="F1071" s="153"/>
      <c r="G1071" s="153"/>
      <c r="H1071" s="153"/>
      <c r="I1071" s="157"/>
      <c r="J1071" s="157"/>
      <c r="K1071" s="157"/>
      <c r="L1071" s="157"/>
      <c r="M1071" s="157"/>
      <c r="N1071" s="221"/>
      <c r="O1071" s="157"/>
      <c r="P1071" s="157"/>
      <c r="Q1071" s="157"/>
      <c r="R1071" s="157"/>
      <c r="S1071" s="157"/>
      <c r="T1071" s="157"/>
      <c r="U1071" s="157"/>
      <c r="V1071" s="157"/>
      <c r="W1071" s="153"/>
    </row>
    <row r="1072" spans="2:23" s="14" customFormat="1" x14ac:dyDescent="0.25">
      <c r="B1072" s="76"/>
      <c r="C1072" s="153"/>
      <c r="D1072" s="153"/>
      <c r="E1072" s="153"/>
      <c r="F1072" s="153"/>
      <c r="G1072" s="153"/>
      <c r="H1072" s="153"/>
      <c r="I1072" s="157"/>
      <c r="J1072" s="157"/>
      <c r="K1072" s="157"/>
      <c r="L1072" s="157"/>
      <c r="M1072" s="157"/>
      <c r="N1072" s="221"/>
      <c r="O1072" s="157"/>
      <c r="P1072" s="157"/>
      <c r="Q1072" s="157"/>
      <c r="R1072" s="157"/>
      <c r="S1072" s="157"/>
      <c r="T1072" s="157"/>
      <c r="U1072" s="157"/>
      <c r="V1072" s="157"/>
      <c r="W1072" s="153"/>
    </row>
    <row r="1073" spans="2:23" s="14" customFormat="1" x14ac:dyDescent="0.25">
      <c r="B1073" s="76"/>
      <c r="C1073" s="153"/>
      <c r="D1073" s="153"/>
      <c r="E1073" s="153"/>
      <c r="F1073" s="153"/>
      <c r="G1073" s="153"/>
      <c r="H1073" s="153"/>
      <c r="I1073" s="157"/>
      <c r="J1073" s="157"/>
      <c r="K1073" s="157"/>
      <c r="L1073" s="157"/>
      <c r="M1073" s="157"/>
      <c r="N1073" s="221"/>
      <c r="O1073" s="157"/>
      <c r="P1073" s="157"/>
      <c r="Q1073" s="157"/>
      <c r="R1073" s="157"/>
      <c r="S1073" s="157"/>
      <c r="T1073" s="157"/>
      <c r="U1073" s="157"/>
      <c r="V1073" s="157"/>
      <c r="W1073" s="153"/>
    </row>
    <row r="1074" spans="2:23" s="14" customFormat="1" x14ac:dyDescent="0.25">
      <c r="B1074" s="76"/>
      <c r="C1074" s="153"/>
      <c r="D1074" s="153"/>
      <c r="E1074" s="153"/>
      <c r="F1074" s="153"/>
      <c r="G1074" s="153"/>
      <c r="H1074" s="153"/>
      <c r="I1074" s="157"/>
      <c r="J1074" s="157"/>
      <c r="K1074" s="157"/>
      <c r="L1074" s="157"/>
      <c r="M1074" s="157"/>
      <c r="N1074" s="221"/>
      <c r="O1074" s="157"/>
      <c r="P1074" s="157"/>
      <c r="Q1074" s="157"/>
      <c r="R1074" s="157"/>
      <c r="S1074" s="157"/>
      <c r="T1074" s="157"/>
      <c r="U1074" s="157"/>
      <c r="V1074" s="157"/>
      <c r="W1074" s="153"/>
    </row>
    <row r="1075" spans="2:23" s="14" customFormat="1" x14ac:dyDescent="0.25">
      <c r="B1075" s="76"/>
      <c r="C1075" s="153"/>
      <c r="D1075" s="153"/>
      <c r="E1075" s="153"/>
      <c r="F1075" s="153"/>
      <c r="G1075" s="153"/>
      <c r="H1075" s="153"/>
      <c r="I1075" s="157"/>
      <c r="J1075" s="157"/>
      <c r="K1075" s="157"/>
      <c r="L1075" s="157"/>
      <c r="M1075" s="157"/>
      <c r="N1075" s="221"/>
      <c r="O1075" s="157"/>
      <c r="P1075" s="157"/>
      <c r="Q1075" s="157"/>
      <c r="R1075" s="157"/>
      <c r="S1075" s="157"/>
      <c r="T1075" s="157"/>
      <c r="U1075" s="157"/>
      <c r="V1075" s="157"/>
      <c r="W1075" s="153"/>
    </row>
    <row r="1076" spans="2:23" s="14" customFormat="1" x14ac:dyDescent="0.25">
      <c r="B1076" s="76"/>
      <c r="C1076" s="153"/>
      <c r="D1076" s="153"/>
      <c r="E1076" s="153"/>
      <c r="F1076" s="153"/>
      <c r="G1076" s="153"/>
      <c r="H1076" s="153"/>
      <c r="I1076" s="157"/>
      <c r="J1076" s="157"/>
      <c r="K1076" s="157"/>
      <c r="L1076" s="157"/>
      <c r="M1076" s="157"/>
      <c r="N1076" s="221"/>
      <c r="O1076" s="157"/>
      <c r="P1076" s="157"/>
      <c r="Q1076" s="157"/>
      <c r="R1076" s="157"/>
      <c r="S1076" s="157"/>
      <c r="T1076" s="157"/>
      <c r="U1076" s="157"/>
      <c r="V1076" s="157"/>
      <c r="W1076" s="153"/>
    </row>
    <row r="1077" spans="2:23" s="14" customFormat="1" x14ac:dyDescent="0.25">
      <c r="B1077" s="76"/>
      <c r="C1077" s="153"/>
      <c r="D1077" s="153"/>
      <c r="E1077" s="153"/>
      <c r="F1077" s="153"/>
      <c r="G1077" s="153"/>
      <c r="H1077" s="153"/>
      <c r="I1077" s="157"/>
      <c r="J1077" s="157"/>
      <c r="K1077" s="157"/>
      <c r="L1077" s="157"/>
      <c r="M1077" s="157"/>
      <c r="N1077" s="221"/>
      <c r="O1077" s="157"/>
      <c r="P1077" s="157"/>
      <c r="Q1077" s="157"/>
      <c r="R1077" s="157"/>
      <c r="S1077" s="157"/>
      <c r="T1077" s="157"/>
      <c r="U1077" s="157"/>
      <c r="V1077" s="157"/>
      <c r="W1077" s="153"/>
    </row>
    <row r="1078" spans="2:23" s="14" customFormat="1" x14ac:dyDescent="0.25">
      <c r="B1078" s="76"/>
      <c r="C1078" s="153"/>
      <c r="D1078" s="153"/>
      <c r="E1078" s="153"/>
      <c r="F1078" s="153"/>
      <c r="G1078" s="153"/>
      <c r="H1078" s="153"/>
      <c r="I1078" s="157"/>
      <c r="J1078" s="157"/>
      <c r="K1078" s="157"/>
      <c r="L1078" s="157"/>
      <c r="M1078" s="157"/>
      <c r="N1078" s="221"/>
      <c r="O1078" s="157"/>
      <c r="P1078" s="157"/>
      <c r="Q1078" s="157"/>
      <c r="R1078" s="157"/>
      <c r="S1078" s="157"/>
      <c r="T1078" s="157"/>
      <c r="U1078" s="157"/>
      <c r="V1078" s="157"/>
      <c r="W1078" s="153"/>
    </row>
    <row r="1079" spans="2:23" s="14" customFormat="1" x14ac:dyDescent="0.25">
      <c r="B1079" s="76"/>
      <c r="C1079" s="153"/>
      <c r="D1079" s="153"/>
      <c r="E1079" s="153"/>
      <c r="F1079" s="153"/>
      <c r="G1079" s="153"/>
      <c r="H1079" s="153"/>
      <c r="I1079" s="157"/>
      <c r="J1079" s="157"/>
      <c r="K1079" s="157"/>
      <c r="L1079" s="157"/>
      <c r="M1079" s="157"/>
      <c r="N1079" s="221"/>
      <c r="O1079" s="157"/>
      <c r="P1079" s="157"/>
      <c r="Q1079" s="157"/>
      <c r="R1079" s="157"/>
      <c r="S1079" s="157"/>
      <c r="T1079" s="157"/>
      <c r="U1079" s="157"/>
      <c r="V1079" s="157"/>
      <c r="W1079" s="153"/>
    </row>
    <row r="1080" spans="2:23" s="14" customFormat="1" x14ac:dyDescent="0.25">
      <c r="B1080" s="76"/>
      <c r="C1080" s="153"/>
      <c r="D1080" s="153"/>
      <c r="E1080" s="153"/>
      <c r="F1080" s="153"/>
      <c r="G1080" s="153"/>
      <c r="H1080" s="153"/>
      <c r="I1080" s="157"/>
      <c r="J1080" s="157"/>
      <c r="K1080" s="157"/>
      <c r="L1080" s="157"/>
      <c r="M1080" s="157"/>
      <c r="N1080" s="221"/>
      <c r="O1080" s="157"/>
      <c r="P1080" s="157"/>
      <c r="Q1080" s="157"/>
      <c r="R1080" s="157"/>
      <c r="S1080" s="157"/>
      <c r="T1080" s="157"/>
      <c r="U1080" s="157"/>
      <c r="V1080" s="157"/>
      <c r="W1080" s="153"/>
    </row>
    <row r="1081" spans="2:23" s="14" customFormat="1" x14ac:dyDescent="0.25">
      <c r="B1081" s="76"/>
      <c r="C1081" s="153"/>
      <c r="D1081" s="153"/>
      <c r="E1081" s="153"/>
      <c r="F1081" s="153"/>
      <c r="G1081" s="153"/>
      <c r="H1081" s="153"/>
      <c r="I1081" s="157"/>
      <c r="J1081" s="157"/>
      <c r="K1081" s="157"/>
      <c r="L1081" s="157"/>
      <c r="M1081" s="157"/>
      <c r="N1081" s="221"/>
      <c r="O1081" s="157"/>
      <c r="P1081" s="157"/>
      <c r="Q1081" s="157"/>
      <c r="R1081" s="157"/>
      <c r="S1081" s="157"/>
      <c r="T1081" s="157"/>
      <c r="U1081" s="157"/>
      <c r="V1081" s="157"/>
      <c r="W1081" s="153"/>
    </row>
    <row r="1082" spans="2:23" s="14" customFormat="1" x14ac:dyDescent="0.25">
      <c r="B1082" s="76"/>
      <c r="C1082" s="153"/>
      <c r="D1082" s="153"/>
      <c r="E1082" s="153"/>
      <c r="F1082" s="153"/>
      <c r="G1082" s="153"/>
      <c r="H1082" s="153"/>
      <c r="I1082" s="157"/>
      <c r="J1082" s="157"/>
      <c r="K1082" s="157"/>
      <c r="L1082" s="157"/>
      <c r="M1082" s="157"/>
      <c r="N1082" s="221"/>
      <c r="O1082" s="157"/>
      <c r="P1082" s="157"/>
      <c r="Q1082" s="157"/>
      <c r="R1082" s="157"/>
      <c r="S1082" s="157"/>
      <c r="T1082" s="157"/>
      <c r="U1082" s="157"/>
      <c r="V1082" s="157"/>
      <c r="W1082" s="153"/>
    </row>
    <row r="1083" spans="2:23" s="14" customFormat="1" x14ac:dyDescent="0.25">
      <c r="B1083" s="76"/>
      <c r="C1083" s="153"/>
      <c r="D1083" s="153"/>
      <c r="E1083" s="153"/>
      <c r="F1083" s="153"/>
      <c r="G1083" s="153"/>
      <c r="H1083" s="153"/>
      <c r="I1083" s="157"/>
      <c r="J1083" s="157"/>
      <c r="K1083" s="157"/>
      <c r="L1083" s="157"/>
      <c r="M1083" s="157"/>
      <c r="N1083" s="221"/>
      <c r="O1083" s="157"/>
      <c r="P1083" s="157"/>
      <c r="Q1083" s="157"/>
      <c r="R1083" s="157"/>
      <c r="S1083" s="157"/>
      <c r="T1083" s="157"/>
      <c r="U1083" s="157"/>
      <c r="V1083" s="157"/>
      <c r="W1083" s="153"/>
    </row>
    <row r="1084" spans="2:23" s="14" customFormat="1" x14ac:dyDescent="0.25">
      <c r="B1084" s="76"/>
      <c r="C1084" s="153"/>
      <c r="D1084" s="153"/>
      <c r="E1084" s="153"/>
      <c r="F1084" s="153"/>
      <c r="G1084" s="153"/>
      <c r="H1084" s="153"/>
      <c r="I1084" s="157"/>
      <c r="J1084" s="157"/>
      <c r="K1084" s="157"/>
      <c r="L1084" s="157"/>
      <c r="M1084" s="157"/>
      <c r="N1084" s="221"/>
      <c r="O1084" s="157"/>
      <c r="P1084" s="157"/>
      <c r="Q1084" s="157"/>
      <c r="R1084" s="157"/>
      <c r="S1084" s="157"/>
      <c r="T1084" s="157"/>
      <c r="U1084" s="157"/>
      <c r="V1084" s="157"/>
      <c r="W1084" s="153"/>
    </row>
    <row r="1085" spans="2:23" s="14" customFormat="1" x14ac:dyDescent="0.25">
      <c r="B1085" s="76"/>
      <c r="C1085" s="153"/>
      <c r="D1085" s="153"/>
      <c r="E1085" s="153"/>
      <c r="F1085" s="153"/>
      <c r="G1085" s="153"/>
      <c r="H1085" s="153"/>
      <c r="I1085" s="157"/>
      <c r="J1085" s="157"/>
      <c r="K1085" s="157"/>
      <c r="L1085" s="157"/>
      <c r="M1085" s="157"/>
      <c r="N1085" s="221"/>
      <c r="O1085" s="157"/>
      <c r="P1085" s="157"/>
      <c r="Q1085" s="157"/>
      <c r="R1085" s="157"/>
      <c r="S1085" s="157"/>
      <c r="T1085" s="157"/>
      <c r="U1085" s="157"/>
      <c r="V1085" s="157"/>
      <c r="W1085" s="153"/>
    </row>
    <row r="1086" spans="2:23" s="14" customFormat="1" x14ac:dyDescent="0.25">
      <c r="B1086" s="76"/>
      <c r="C1086" s="153"/>
      <c r="D1086" s="153"/>
      <c r="E1086" s="153"/>
      <c r="F1086" s="153"/>
      <c r="G1086" s="153"/>
      <c r="H1086" s="153"/>
      <c r="I1086" s="157"/>
      <c r="J1086" s="157"/>
      <c r="K1086" s="157"/>
      <c r="L1086" s="157"/>
      <c r="M1086" s="157"/>
      <c r="N1086" s="221"/>
      <c r="O1086" s="157"/>
      <c r="P1086" s="157"/>
      <c r="Q1086" s="157"/>
      <c r="R1086" s="157"/>
      <c r="S1086" s="157"/>
      <c r="T1086" s="157"/>
      <c r="U1086" s="157"/>
      <c r="V1086" s="157"/>
      <c r="W1086" s="153"/>
    </row>
    <row r="1087" spans="2:23" s="14" customFormat="1" x14ac:dyDescent="0.25">
      <c r="B1087" s="76"/>
      <c r="C1087" s="153"/>
      <c r="D1087" s="153"/>
      <c r="E1087" s="153"/>
      <c r="F1087" s="153"/>
      <c r="G1087" s="153"/>
      <c r="H1087" s="153"/>
      <c r="I1087" s="157"/>
      <c r="J1087" s="157"/>
      <c r="K1087" s="157"/>
      <c r="L1087" s="157"/>
      <c r="M1087" s="157"/>
      <c r="N1087" s="221"/>
      <c r="O1087" s="157"/>
      <c r="P1087" s="157"/>
      <c r="Q1087" s="157"/>
      <c r="R1087" s="157"/>
      <c r="S1087" s="157"/>
      <c r="T1087" s="157"/>
      <c r="U1087" s="157"/>
      <c r="V1087" s="157"/>
      <c r="W1087" s="153"/>
    </row>
    <row r="1088" spans="2:23" s="14" customFormat="1" x14ac:dyDescent="0.25">
      <c r="B1088" s="76"/>
      <c r="C1088" s="153"/>
      <c r="D1088" s="153"/>
      <c r="E1088" s="153"/>
      <c r="F1088" s="153"/>
      <c r="G1088" s="153"/>
      <c r="H1088" s="153"/>
      <c r="I1088" s="157"/>
      <c r="J1088" s="157"/>
      <c r="K1088" s="157"/>
      <c r="L1088" s="157"/>
      <c r="M1088" s="157"/>
      <c r="N1088" s="221"/>
      <c r="O1088" s="157"/>
      <c r="P1088" s="157"/>
      <c r="Q1088" s="157"/>
      <c r="R1088" s="157"/>
      <c r="S1088" s="157"/>
      <c r="T1088" s="157"/>
      <c r="U1088" s="157"/>
      <c r="V1088" s="157"/>
      <c r="W1088" s="153"/>
    </row>
    <row r="1089" spans="2:23" s="14" customFormat="1" x14ac:dyDescent="0.25">
      <c r="B1089" s="76"/>
      <c r="C1089" s="153"/>
      <c r="D1089" s="153"/>
      <c r="E1089" s="153"/>
      <c r="F1089" s="153"/>
      <c r="G1089" s="153"/>
      <c r="H1089" s="153"/>
      <c r="I1089" s="157"/>
      <c r="J1089" s="157"/>
      <c r="K1089" s="157"/>
      <c r="L1089" s="157"/>
      <c r="M1089" s="157"/>
      <c r="N1089" s="221"/>
      <c r="O1089" s="157"/>
      <c r="P1089" s="157"/>
      <c r="Q1089" s="157"/>
      <c r="R1089" s="157"/>
      <c r="S1089" s="157"/>
      <c r="T1089" s="157"/>
      <c r="U1089" s="157"/>
      <c r="V1089" s="157"/>
      <c r="W1089" s="153"/>
    </row>
    <row r="1090" spans="2:23" s="14" customFormat="1" x14ac:dyDescent="0.25">
      <c r="B1090" s="76"/>
      <c r="C1090" s="153"/>
      <c r="D1090" s="153"/>
      <c r="E1090" s="153"/>
      <c r="F1090" s="153"/>
      <c r="G1090" s="153"/>
      <c r="H1090" s="153"/>
      <c r="I1090" s="157"/>
      <c r="J1090" s="157"/>
      <c r="K1090" s="157"/>
      <c r="L1090" s="157"/>
      <c r="M1090" s="157"/>
      <c r="N1090" s="221"/>
      <c r="O1090" s="157"/>
      <c r="P1090" s="157"/>
      <c r="Q1090" s="157"/>
      <c r="R1090" s="157"/>
      <c r="S1090" s="157"/>
      <c r="T1090" s="157"/>
      <c r="U1090" s="157"/>
      <c r="V1090" s="157"/>
      <c r="W1090" s="153"/>
    </row>
    <row r="1091" spans="2:23" s="14" customFormat="1" x14ac:dyDescent="0.25">
      <c r="B1091" s="76"/>
      <c r="C1091" s="153"/>
      <c r="D1091" s="153"/>
      <c r="E1091" s="153"/>
      <c r="F1091" s="153"/>
      <c r="G1091" s="153"/>
      <c r="H1091" s="153"/>
      <c r="I1091" s="157"/>
      <c r="J1091" s="157"/>
      <c r="K1091" s="157"/>
      <c r="L1091" s="157"/>
      <c r="M1091" s="157"/>
      <c r="N1091" s="221"/>
      <c r="O1091" s="157"/>
      <c r="P1091" s="157"/>
      <c r="Q1091" s="157"/>
      <c r="R1091" s="157"/>
      <c r="S1091" s="157"/>
      <c r="T1091" s="157"/>
      <c r="U1091" s="157"/>
      <c r="V1091" s="157"/>
      <c r="W1091" s="153"/>
    </row>
    <row r="1092" spans="2:23" s="14" customFormat="1" x14ac:dyDescent="0.25">
      <c r="B1092" s="76"/>
      <c r="C1092" s="153"/>
      <c r="D1092" s="153"/>
      <c r="E1092" s="153"/>
      <c r="F1092" s="153"/>
      <c r="G1092" s="153"/>
      <c r="H1092" s="153"/>
      <c r="I1092" s="157"/>
      <c r="J1092" s="157"/>
      <c r="K1092" s="157"/>
      <c r="L1092" s="157"/>
      <c r="M1092" s="157"/>
      <c r="N1092" s="221"/>
      <c r="O1092" s="157"/>
      <c r="P1092" s="157"/>
      <c r="Q1092" s="157"/>
      <c r="R1092" s="157"/>
      <c r="S1092" s="157"/>
      <c r="T1092" s="157"/>
      <c r="U1092" s="157"/>
      <c r="V1092" s="157"/>
      <c r="W1092" s="153"/>
    </row>
    <row r="1093" spans="2:23" s="14" customFormat="1" x14ac:dyDescent="0.25">
      <c r="B1093" s="76"/>
      <c r="C1093" s="153"/>
      <c r="D1093" s="153"/>
      <c r="E1093" s="153"/>
      <c r="F1093" s="153"/>
      <c r="G1093" s="153"/>
      <c r="H1093" s="153"/>
      <c r="I1093" s="157"/>
      <c r="J1093" s="157"/>
      <c r="K1093" s="157"/>
      <c r="L1093" s="157"/>
      <c r="M1093" s="157"/>
      <c r="N1093" s="221"/>
      <c r="O1093" s="157"/>
      <c r="P1093" s="157"/>
      <c r="Q1093" s="157"/>
      <c r="R1093" s="157"/>
      <c r="S1093" s="157"/>
      <c r="T1093" s="157"/>
      <c r="U1093" s="157"/>
      <c r="V1093" s="157"/>
      <c r="W1093" s="153"/>
    </row>
    <row r="1094" spans="2:23" s="14" customFormat="1" x14ac:dyDescent="0.25">
      <c r="B1094" s="76"/>
      <c r="C1094" s="153"/>
      <c r="D1094" s="153"/>
      <c r="E1094" s="153"/>
      <c r="F1094" s="153"/>
      <c r="G1094" s="153"/>
      <c r="H1094" s="153"/>
      <c r="I1094" s="157"/>
      <c r="J1094" s="157"/>
      <c r="K1094" s="157"/>
      <c r="L1094" s="157"/>
      <c r="M1094" s="157"/>
      <c r="N1094" s="221"/>
      <c r="O1094" s="157"/>
      <c r="P1094" s="157"/>
      <c r="Q1094" s="157"/>
      <c r="R1094" s="157"/>
      <c r="S1094" s="157"/>
      <c r="T1094" s="157"/>
      <c r="U1094" s="157"/>
      <c r="V1094" s="157"/>
      <c r="W1094" s="153"/>
    </row>
    <row r="1095" spans="2:23" s="14" customFormat="1" x14ac:dyDescent="0.25">
      <c r="B1095" s="76"/>
      <c r="C1095" s="153"/>
      <c r="D1095" s="153"/>
      <c r="E1095" s="153"/>
      <c r="F1095" s="153"/>
      <c r="G1095" s="153"/>
      <c r="H1095" s="153"/>
      <c r="I1095" s="157"/>
      <c r="J1095" s="157"/>
      <c r="K1095" s="157"/>
      <c r="L1095" s="157"/>
      <c r="M1095" s="157"/>
      <c r="N1095" s="221"/>
      <c r="O1095" s="157"/>
      <c r="P1095" s="157"/>
      <c r="Q1095" s="157"/>
      <c r="R1095" s="157"/>
      <c r="S1095" s="157"/>
      <c r="T1095" s="157"/>
      <c r="U1095" s="157"/>
      <c r="V1095" s="157"/>
      <c r="W1095" s="153"/>
    </row>
    <row r="1096" spans="2:23" s="14" customFormat="1" x14ac:dyDescent="0.25">
      <c r="B1096" s="76"/>
      <c r="C1096" s="153"/>
      <c r="D1096" s="153"/>
      <c r="E1096" s="153"/>
      <c r="F1096" s="153"/>
      <c r="G1096" s="153"/>
      <c r="H1096" s="153"/>
      <c r="I1096" s="157"/>
      <c r="J1096" s="157"/>
      <c r="K1096" s="157"/>
      <c r="L1096" s="157"/>
      <c r="M1096" s="157"/>
      <c r="N1096" s="221"/>
      <c r="O1096" s="157"/>
      <c r="P1096" s="157"/>
      <c r="Q1096" s="157"/>
      <c r="R1096" s="157"/>
      <c r="S1096" s="157"/>
      <c r="T1096" s="157"/>
      <c r="U1096" s="157"/>
      <c r="V1096" s="157"/>
      <c r="W1096" s="153"/>
    </row>
    <row r="1097" spans="2:23" s="14" customFormat="1" x14ac:dyDescent="0.25">
      <c r="B1097" s="76"/>
      <c r="C1097" s="153"/>
      <c r="D1097" s="153"/>
      <c r="E1097" s="153"/>
      <c r="F1097" s="153"/>
      <c r="G1097" s="153"/>
      <c r="H1097" s="153"/>
      <c r="I1097" s="157"/>
      <c r="J1097" s="157"/>
      <c r="K1097" s="157"/>
      <c r="L1097" s="157"/>
      <c r="M1097" s="157"/>
      <c r="N1097" s="221"/>
      <c r="O1097" s="157"/>
      <c r="P1097" s="157"/>
      <c r="Q1097" s="157"/>
      <c r="R1097" s="157"/>
      <c r="S1097" s="157"/>
      <c r="T1097" s="157"/>
      <c r="U1097" s="157"/>
      <c r="V1097" s="157"/>
      <c r="W1097" s="153"/>
    </row>
    <row r="1098" spans="2:23" s="14" customFormat="1" x14ac:dyDescent="0.25">
      <c r="B1098" s="76"/>
      <c r="C1098" s="153"/>
      <c r="D1098" s="153"/>
      <c r="E1098" s="153"/>
      <c r="F1098" s="153"/>
      <c r="G1098" s="153"/>
      <c r="H1098" s="153"/>
      <c r="I1098" s="157"/>
      <c r="J1098" s="157"/>
      <c r="K1098" s="157"/>
      <c r="L1098" s="157"/>
      <c r="M1098" s="157"/>
      <c r="N1098" s="221"/>
      <c r="O1098" s="157"/>
      <c r="P1098" s="157"/>
      <c r="Q1098" s="157"/>
      <c r="R1098" s="157"/>
      <c r="S1098" s="157"/>
      <c r="T1098" s="157"/>
      <c r="U1098" s="157"/>
      <c r="V1098" s="157"/>
      <c r="W1098" s="153"/>
    </row>
    <row r="1099" spans="2:23" s="14" customFormat="1" x14ac:dyDescent="0.25">
      <c r="B1099" s="76"/>
      <c r="C1099" s="153"/>
      <c r="D1099" s="153"/>
      <c r="E1099" s="153"/>
      <c r="F1099" s="153"/>
      <c r="G1099" s="153"/>
      <c r="H1099" s="153"/>
      <c r="I1099" s="157"/>
      <c r="J1099" s="157"/>
      <c r="K1099" s="157"/>
      <c r="L1099" s="157"/>
      <c r="M1099" s="157"/>
      <c r="N1099" s="221"/>
      <c r="O1099" s="157"/>
      <c r="P1099" s="157"/>
      <c r="Q1099" s="157"/>
      <c r="R1099" s="157"/>
      <c r="S1099" s="157"/>
      <c r="T1099" s="157"/>
      <c r="U1099" s="157"/>
      <c r="V1099" s="157"/>
      <c r="W1099" s="153"/>
    </row>
    <row r="1100" spans="2:23" s="14" customFormat="1" x14ac:dyDescent="0.25">
      <c r="B1100" s="76"/>
      <c r="C1100" s="153"/>
      <c r="D1100" s="153"/>
      <c r="E1100" s="153"/>
      <c r="F1100" s="153"/>
      <c r="G1100" s="153"/>
      <c r="H1100" s="153"/>
      <c r="I1100" s="157"/>
      <c r="J1100" s="157"/>
      <c r="K1100" s="157"/>
      <c r="L1100" s="157"/>
      <c r="M1100" s="157"/>
      <c r="N1100" s="221"/>
      <c r="O1100" s="157"/>
      <c r="P1100" s="157"/>
      <c r="Q1100" s="157"/>
      <c r="R1100" s="157"/>
      <c r="S1100" s="157"/>
      <c r="T1100" s="157"/>
      <c r="U1100" s="157"/>
      <c r="V1100" s="157"/>
      <c r="W1100" s="153"/>
    </row>
  </sheetData>
  <phoneticPr fontId="0" type="noConversion"/>
  <pageMargins left="0.75" right="0.75" top="1" bottom="1" header="0.5" footer="0.5"/>
  <pageSetup scale="58" orientation="landscape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F1101"/>
  <sheetViews>
    <sheetView showGridLines="0" topLeftCell="B1" workbookViewId="0">
      <selection activeCell="B33" sqref="B33"/>
    </sheetView>
  </sheetViews>
  <sheetFormatPr defaultColWidth="9.140625" defaultRowHeight="15" outlineLevelCol="1" x14ac:dyDescent="0.25"/>
  <cols>
    <col min="1" max="1" width="45.42578125" style="2" hidden="1" customWidth="1"/>
    <col min="2" max="2" width="35.7109375" style="38" bestFit="1" customWidth="1"/>
    <col min="3" max="3" width="11.28515625" style="24" customWidth="1"/>
    <col min="4" max="4" width="10.5703125" style="24" customWidth="1"/>
    <col min="5" max="8" width="10.5703125" style="24" hidden="1" customWidth="1" outlineLevel="1"/>
    <col min="9" max="9" width="10.5703125" style="24" customWidth="1" collapsed="1"/>
    <col min="10" max="13" width="10.5703125" style="24" customWidth="1" outlineLevel="1"/>
    <col min="14" max="14" width="10.5703125" style="24" customWidth="1"/>
    <col min="15" max="16" width="10.5703125" style="24" customWidth="1" outlineLevel="1"/>
    <col min="17" max="17" width="10.5703125" style="36" customWidth="1" outlineLevel="1"/>
    <col min="18" max="18" width="10.5703125" style="37" customWidth="1" outlineLevel="1"/>
    <col min="19" max="23" width="10.5703125" style="36" customWidth="1"/>
    <col min="24" max="26" width="10.5703125" style="24" customWidth="1"/>
    <col min="27" max="58" width="9.140625" style="24"/>
    <col min="59" max="16384" width="9.140625" style="2"/>
  </cols>
  <sheetData>
    <row r="1" spans="1:58" s="5" customFormat="1" x14ac:dyDescent="0.25">
      <c r="A1" s="99" t="s">
        <v>101</v>
      </c>
      <c r="B1" s="100" t="str">
        <f>Inputs!A1</f>
        <v>Molson Coors</v>
      </c>
      <c r="C1" s="99"/>
      <c r="D1" s="99" t="s">
        <v>214</v>
      </c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101"/>
      <c r="R1" s="102"/>
      <c r="S1" s="101"/>
      <c r="T1" s="101"/>
      <c r="U1" s="101"/>
      <c r="V1" s="101"/>
      <c r="W1" s="101"/>
    </row>
    <row r="2" spans="1:58" s="5" customFormat="1" x14ac:dyDescent="0.25">
      <c r="A2" s="99"/>
      <c r="B2" s="103" t="s">
        <v>365</v>
      </c>
      <c r="C2" s="99"/>
      <c r="E2" s="132" t="s">
        <v>220</v>
      </c>
      <c r="F2" s="132" t="s">
        <v>221</v>
      </c>
      <c r="G2" s="132" t="s">
        <v>222</v>
      </c>
      <c r="H2" s="132" t="s">
        <v>223</v>
      </c>
      <c r="I2" s="99"/>
      <c r="J2" s="132" t="s">
        <v>220</v>
      </c>
      <c r="K2" s="132" t="s">
        <v>221</v>
      </c>
      <c r="L2" s="132" t="s">
        <v>222</v>
      </c>
      <c r="M2" s="132" t="s">
        <v>223</v>
      </c>
      <c r="N2" s="99"/>
      <c r="O2" s="99"/>
      <c r="P2" s="99"/>
      <c r="Q2" s="101"/>
      <c r="R2" s="102"/>
      <c r="S2" s="101"/>
      <c r="T2" s="101"/>
      <c r="U2" s="101"/>
      <c r="V2" s="101"/>
      <c r="W2" s="101"/>
    </row>
    <row r="3" spans="1:58" s="8" customFormat="1" x14ac:dyDescent="0.25">
      <c r="A3" s="104"/>
      <c r="B3" s="105"/>
      <c r="C3" s="106"/>
      <c r="D3" s="106"/>
      <c r="E3" s="133">
        <v>2021</v>
      </c>
      <c r="F3" s="133">
        <v>2021</v>
      </c>
      <c r="G3" s="133">
        <v>2021</v>
      </c>
      <c r="H3" s="133">
        <v>2021</v>
      </c>
      <c r="I3" s="106"/>
      <c r="J3" s="133">
        <v>2022</v>
      </c>
      <c r="K3" s="133">
        <v>2022</v>
      </c>
      <c r="L3" s="133">
        <v>2022</v>
      </c>
      <c r="M3" s="133">
        <v>2022</v>
      </c>
      <c r="N3" s="106"/>
      <c r="O3" s="106"/>
      <c r="P3" s="106"/>
      <c r="Q3" s="107"/>
      <c r="R3" s="108"/>
      <c r="S3" s="107"/>
      <c r="T3" s="107"/>
      <c r="U3" s="107"/>
      <c r="V3" s="107"/>
      <c r="W3" s="107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</row>
    <row r="4" spans="1:58" s="50" customFormat="1" ht="15.75" thickBot="1" x14ac:dyDescent="0.3">
      <c r="A4" s="109"/>
      <c r="B4" s="110" t="str">
        <f>CONCATENATE("Fiscal Years Ending ",Inputs!B7)</f>
        <v>Fiscal Years Ending Dec. 31</v>
      </c>
      <c r="C4" s="120">
        <v>2019</v>
      </c>
      <c r="D4" s="120">
        <v>2020</v>
      </c>
      <c r="E4" s="49" t="s">
        <v>224</v>
      </c>
      <c r="F4" s="49" t="s">
        <v>225</v>
      </c>
      <c r="G4" s="49" t="s">
        <v>226</v>
      </c>
      <c r="H4" s="49" t="s">
        <v>227</v>
      </c>
      <c r="I4" s="120">
        <v>2021</v>
      </c>
      <c r="J4" s="49" t="s">
        <v>216</v>
      </c>
      <c r="K4" s="49" t="s">
        <v>217</v>
      </c>
      <c r="L4" s="49" t="s">
        <v>218</v>
      </c>
      <c r="M4" s="49" t="s">
        <v>219</v>
      </c>
      <c r="N4" s="120">
        <v>2022</v>
      </c>
      <c r="O4" s="111" t="s">
        <v>92</v>
      </c>
      <c r="P4" s="111" t="s">
        <v>93</v>
      </c>
      <c r="Q4" s="111" t="s">
        <v>94</v>
      </c>
      <c r="R4" s="111" t="s">
        <v>95</v>
      </c>
      <c r="S4" s="111" t="s">
        <v>15</v>
      </c>
      <c r="T4" s="111" t="s">
        <v>18</v>
      </c>
      <c r="U4" s="111" t="s">
        <v>20</v>
      </c>
      <c r="V4" s="111" t="s">
        <v>21</v>
      </c>
      <c r="W4" s="111" t="s">
        <v>23</v>
      </c>
    </row>
    <row r="5" spans="1:58" s="11" customFormat="1" x14ac:dyDescent="0.25">
      <c r="A5" s="89"/>
      <c r="B5" s="89" t="s">
        <v>180</v>
      </c>
      <c r="C5" s="239"/>
      <c r="D5" s="239"/>
      <c r="E5" s="239"/>
      <c r="F5" s="239"/>
      <c r="G5" s="239"/>
      <c r="H5" s="239"/>
      <c r="I5" s="239"/>
      <c r="J5" s="89"/>
      <c r="K5" s="89"/>
      <c r="L5" s="89"/>
      <c r="M5" s="89"/>
      <c r="N5" s="239"/>
      <c r="O5" s="89"/>
      <c r="P5" s="89"/>
      <c r="Q5" s="90"/>
      <c r="R5" s="90"/>
      <c r="S5" s="274"/>
      <c r="T5" s="274"/>
      <c r="U5" s="274"/>
      <c r="V5" s="274"/>
      <c r="W5" s="274"/>
    </row>
    <row r="6" spans="1:58" s="11" customFormat="1" x14ac:dyDescent="0.25">
      <c r="A6" s="89"/>
      <c r="B6" s="89" t="s">
        <v>91</v>
      </c>
      <c r="C6" s="239">
        <f>IS!C27</f>
        <v>241.69999999999965</v>
      </c>
      <c r="D6" s="239">
        <f>IS!D27</f>
        <v>-948.99999999999966</v>
      </c>
      <c r="E6" s="239"/>
      <c r="F6" s="239"/>
      <c r="G6" s="239"/>
      <c r="H6" s="239"/>
      <c r="I6" s="239">
        <f>IS!I27</f>
        <v>1005.7000000000014</v>
      </c>
      <c r="J6" s="89">
        <f>IS!J27</f>
        <v>206.89999999999992</v>
      </c>
      <c r="K6" s="89">
        <f>IS!K27</f>
        <v>43.099999999999874</v>
      </c>
      <c r="L6" s="89">
        <f>IS!L27</f>
        <v>203.59999999999982</v>
      </c>
      <c r="M6" s="89">
        <f>IS!M27</f>
        <v>-628.6</v>
      </c>
      <c r="N6" s="239">
        <f>IS!N27</f>
        <v>-175.00000000000034</v>
      </c>
      <c r="O6" s="89">
        <f>IS!O27</f>
        <v>72.300000000000097</v>
      </c>
      <c r="P6" s="89">
        <f>IS!P27</f>
        <v>91.256141675347578</v>
      </c>
      <c r="Q6" s="89">
        <f>IS!Q27</f>
        <v>276.19282495562499</v>
      </c>
      <c r="R6" s="89">
        <f>IS!R27</f>
        <v>264.47339746625761</v>
      </c>
      <c r="S6" s="239">
        <f t="shared" ref="S6:S12" si="0">SUM(O6:R6)</f>
        <v>704.22236409723018</v>
      </c>
      <c r="T6" s="239">
        <f>IS!T27</f>
        <v>880.228001518224</v>
      </c>
      <c r="U6" s="239">
        <f>IS!U27</f>
        <v>1021.6353332581853</v>
      </c>
      <c r="V6" s="239">
        <f>IS!V27</f>
        <v>1164.2908876474155</v>
      </c>
      <c r="W6" s="239">
        <f>IS!W27</f>
        <v>1262.9074527143671</v>
      </c>
    </row>
    <row r="7" spans="1:58" s="11" customFormat="1" x14ac:dyDescent="0.25">
      <c r="A7" s="89"/>
      <c r="B7" s="89" t="s">
        <v>144</v>
      </c>
      <c r="C7" s="239">
        <f>IS!C12</f>
        <v>859</v>
      </c>
      <c r="D7" s="239">
        <f>IS!D12</f>
        <v>922</v>
      </c>
      <c r="E7" s="239"/>
      <c r="F7" s="239"/>
      <c r="G7" s="239"/>
      <c r="H7" s="239"/>
      <c r="I7" s="239">
        <f>IS!I12</f>
        <v>786.09999999999991</v>
      </c>
      <c r="J7" s="89">
        <f>IS!J12</f>
        <v>173.7</v>
      </c>
      <c r="K7" s="89">
        <f>IS!K12</f>
        <v>171.7</v>
      </c>
      <c r="L7" s="89">
        <f>IS!L12</f>
        <v>170.2</v>
      </c>
      <c r="M7" s="89">
        <f>IS!M12</f>
        <v>169.2</v>
      </c>
      <c r="N7" s="239">
        <f>IS!N12</f>
        <v>684.8</v>
      </c>
      <c r="O7" s="89">
        <f>IS!O12</f>
        <v>171.5</v>
      </c>
      <c r="P7" s="89">
        <f>IS!P12</f>
        <v>170.8415</v>
      </c>
      <c r="Q7" s="89">
        <f>IS!Q12</f>
        <v>169.34899999999999</v>
      </c>
      <c r="R7" s="89">
        <f>IS!R12</f>
        <v>168.35399999999998</v>
      </c>
      <c r="S7" s="239">
        <f t="shared" si="0"/>
        <v>680.04449999999997</v>
      </c>
      <c r="T7" s="239">
        <f>IS!T12</f>
        <v>683.4447224999999</v>
      </c>
      <c r="U7" s="239">
        <f>IS!U12</f>
        <v>686.86194611249982</v>
      </c>
      <c r="V7" s="239">
        <f>IS!V12</f>
        <v>690.29625584306223</v>
      </c>
      <c r="W7" s="239">
        <f>IS!W12</f>
        <v>693.7477371222775</v>
      </c>
    </row>
    <row r="8" spans="1:58" s="11" customFormat="1" x14ac:dyDescent="0.25">
      <c r="A8" s="89"/>
      <c r="B8" s="89" t="s">
        <v>378</v>
      </c>
      <c r="C8" s="239">
        <v>57</v>
      </c>
      <c r="D8" s="239">
        <v>127</v>
      </c>
      <c r="E8" s="239"/>
      <c r="F8" s="239"/>
      <c r="G8" s="239"/>
      <c r="H8" s="239"/>
      <c r="I8" s="239">
        <v>227</v>
      </c>
      <c r="J8" s="89">
        <v>3.1</v>
      </c>
      <c r="K8" s="89">
        <v>4.7</v>
      </c>
      <c r="L8" s="89">
        <v>63.4</v>
      </c>
      <c r="M8" s="89">
        <v>5.4</v>
      </c>
      <c r="N8" s="239">
        <v>76.599999999999994</v>
      </c>
      <c r="O8" s="89">
        <v>10</v>
      </c>
      <c r="P8" s="89">
        <v>0</v>
      </c>
      <c r="Q8" s="89">
        <v>0</v>
      </c>
      <c r="R8" s="89">
        <v>0</v>
      </c>
      <c r="S8" s="239">
        <f t="shared" si="0"/>
        <v>10</v>
      </c>
      <c r="T8" s="239">
        <v>0</v>
      </c>
      <c r="U8" s="239">
        <v>0</v>
      </c>
      <c r="V8" s="239">
        <v>0</v>
      </c>
      <c r="W8" s="239">
        <v>0</v>
      </c>
    </row>
    <row r="9" spans="1:58" s="11" customFormat="1" x14ac:dyDescent="0.25">
      <c r="A9" s="89"/>
      <c r="B9" s="89" t="s">
        <v>379</v>
      </c>
      <c r="C9" s="239">
        <v>285</v>
      </c>
      <c r="D9" s="239">
        <v>271.89999999999998</v>
      </c>
      <c r="E9" s="239"/>
      <c r="F9" s="239"/>
      <c r="G9" s="239"/>
      <c r="H9" s="239"/>
      <c r="I9" s="239">
        <v>256.2</v>
      </c>
      <c r="J9" s="89">
        <v>81.2</v>
      </c>
      <c r="K9" s="89">
        <v>38.299999999999997</v>
      </c>
      <c r="L9" s="89">
        <v>92</v>
      </c>
      <c r="M9" s="89">
        <v>28.5</v>
      </c>
      <c r="N9" s="239">
        <v>240</v>
      </c>
      <c r="O9" s="89">
        <v>80.400000000000006</v>
      </c>
      <c r="P9" s="89">
        <v>0</v>
      </c>
      <c r="Q9" s="89">
        <v>0</v>
      </c>
      <c r="R9" s="89">
        <v>0</v>
      </c>
      <c r="S9" s="239">
        <f t="shared" si="0"/>
        <v>80.400000000000006</v>
      </c>
      <c r="T9" s="239">
        <v>0</v>
      </c>
      <c r="U9" s="239">
        <v>0</v>
      </c>
      <c r="V9" s="239">
        <v>0</v>
      </c>
      <c r="W9" s="239">
        <v>0</v>
      </c>
    </row>
    <row r="10" spans="1:58" s="11" customFormat="1" x14ac:dyDescent="0.25">
      <c r="A10" s="89"/>
      <c r="B10" s="89" t="s">
        <v>213</v>
      </c>
      <c r="C10" s="239">
        <v>0</v>
      </c>
      <c r="D10" s="239">
        <v>1484.3</v>
      </c>
      <c r="E10" s="239"/>
      <c r="F10" s="239"/>
      <c r="G10" s="239"/>
      <c r="H10" s="239"/>
      <c r="I10" s="239">
        <v>0</v>
      </c>
      <c r="J10" s="89">
        <v>0</v>
      </c>
      <c r="K10" s="89">
        <v>0</v>
      </c>
      <c r="L10" s="89">
        <v>0</v>
      </c>
      <c r="M10" s="89">
        <v>845</v>
      </c>
      <c r="N10" s="239">
        <f>SUM(J10:M10)</f>
        <v>845</v>
      </c>
      <c r="O10" s="89">
        <v>0</v>
      </c>
      <c r="P10" s="89">
        <v>0</v>
      </c>
      <c r="Q10" s="89">
        <v>0</v>
      </c>
      <c r="R10" s="89">
        <v>0</v>
      </c>
      <c r="S10" s="239">
        <f t="shared" si="0"/>
        <v>0</v>
      </c>
      <c r="T10" s="239">
        <v>0</v>
      </c>
      <c r="U10" s="239">
        <v>0</v>
      </c>
      <c r="V10" s="239">
        <v>0</v>
      </c>
      <c r="W10" s="239">
        <v>0</v>
      </c>
    </row>
    <row r="11" spans="1:58" s="11" customFormat="1" x14ac:dyDescent="0.25">
      <c r="A11" s="89"/>
      <c r="B11" s="89" t="s">
        <v>314</v>
      </c>
      <c r="C11" s="239">
        <v>18.899999999999999</v>
      </c>
      <c r="D11" s="239">
        <v>-111.4</v>
      </c>
      <c r="E11" s="239"/>
      <c r="F11" s="239"/>
      <c r="G11" s="239"/>
      <c r="H11" s="239"/>
      <c r="I11" s="239">
        <v>-233.8</v>
      </c>
      <c r="J11" s="89">
        <v>-191.6</v>
      </c>
      <c r="K11" s="89">
        <f>105.7-J11</f>
        <v>297.3</v>
      </c>
      <c r="L11" s="89">
        <f>217.7-SUM(J11:K11)</f>
        <v>111.99999999999997</v>
      </c>
      <c r="M11" s="89">
        <f>236.4-SUM(J11:L11)</f>
        <v>18.700000000000017</v>
      </c>
      <c r="N11" s="239">
        <f>SUM(J11:M11)</f>
        <v>236.4</v>
      </c>
      <c r="O11" s="89">
        <v>52.5</v>
      </c>
      <c r="P11" s="89">
        <v>0</v>
      </c>
      <c r="Q11" s="89">
        <v>0</v>
      </c>
      <c r="R11" s="89">
        <v>0</v>
      </c>
      <c r="S11" s="239">
        <f t="shared" si="0"/>
        <v>52.5</v>
      </c>
      <c r="T11" s="239">
        <v>0</v>
      </c>
      <c r="U11" s="239">
        <v>0</v>
      </c>
      <c r="V11" s="239">
        <v>0</v>
      </c>
      <c r="W11" s="239">
        <v>0</v>
      </c>
    </row>
    <row r="12" spans="1:58" s="11" customFormat="1" x14ac:dyDescent="0.25">
      <c r="A12" s="89"/>
      <c r="B12" s="89" t="s">
        <v>315</v>
      </c>
      <c r="C12" s="239">
        <v>614.70000000000005</v>
      </c>
      <c r="D12" s="239">
        <f>1553.5-D10</f>
        <v>69.200000000000045</v>
      </c>
      <c r="E12" s="239"/>
      <c r="F12" s="239"/>
      <c r="G12" s="239"/>
      <c r="H12" s="239"/>
      <c r="I12" s="239">
        <v>9.1</v>
      </c>
      <c r="J12" s="89">
        <v>22.4</v>
      </c>
      <c r="K12" s="89">
        <f>21.8-J12</f>
        <v>-0.59999999999999787</v>
      </c>
      <c r="L12" s="89">
        <f>16.8-SUM(J12:K12)</f>
        <v>-5</v>
      </c>
      <c r="M12" s="89">
        <f>18.6-SUM(J12:L12)</f>
        <v>1.8000000000000007</v>
      </c>
      <c r="N12" s="239">
        <f>SUM(J12:M12)</f>
        <v>18.600000000000001</v>
      </c>
      <c r="O12" s="89">
        <v>-2.5</v>
      </c>
      <c r="P12" s="89">
        <v>0</v>
      </c>
      <c r="Q12" s="89">
        <v>0</v>
      </c>
      <c r="R12" s="89">
        <v>0</v>
      </c>
      <c r="S12" s="239">
        <f t="shared" si="0"/>
        <v>-2.5</v>
      </c>
      <c r="T12" s="239">
        <v>0</v>
      </c>
      <c r="U12" s="239">
        <v>0</v>
      </c>
      <c r="V12" s="239">
        <v>0</v>
      </c>
      <c r="W12" s="239">
        <v>0</v>
      </c>
    </row>
    <row r="13" spans="1:58" s="11" customFormat="1" x14ac:dyDescent="0.25">
      <c r="A13" s="112" t="s">
        <v>159</v>
      </c>
      <c r="B13" s="89" t="s">
        <v>147</v>
      </c>
      <c r="C13" s="239">
        <f>_xll.BDP($A$1,$A13,"EQY_FUND_RELATIVE_PERIOD",C$4)+SUM(C8:C9)-SUM(C10:C12)</f>
        <v>532.69999999999993</v>
      </c>
      <c r="D13" s="239">
        <f>_xll.BDP($A$1,$A13,"EQY_FUND_RELATIVE_PERIOD",D$4)+SUM(D8:D9)-SUM(D10:D12)</f>
        <v>603.40000000000009</v>
      </c>
      <c r="E13" s="239"/>
      <c r="F13" s="239"/>
      <c r="G13" s="239"/>
      <c r="H13" s="239"/>
      <c r="I13" s="239">
        <f>_xll.BDP($A$1,$A13,"EQY_FUND_RELATIVE_PERIOD",I$4)+SUM(I8:I9)-SUM(I10:I12)</f>
        <v>525.70000000000005</v>
      </c>
      <c r="J13" s="89" cm="1">
        <f t="array" ref="J13">_xll.BDP($A$1,$A13,"EQY_FUND_YEAR",J$3,"FUND_PER",J$2)+SUM(J8:J9)-SUM(J10:J12)</f>
        <v>116.59999999999998</v>
      </c>
      <c r="K13" s="89" cm="1">
        <f t="array" ref="K13">_xll.BDP($A$1,$A13,"EQY_FUND_YEAR",K$3,"FUND_PER",K$2)+SUM(K8:K9)-SUM(K10:K12)</f>
        <v>58.599999999999966</v>
      </c>
      <c r="L13" s="89" cm="1">
        <f t="array" ref="L13">_xll.BDP($A$1,$A13,"EQY_FUND_YEAR",L$3,"FUND_PER",L$2)+SUM(L8:L9)-SUM(L10:L12)</f>
        <v>124.40000000000003</v>
      </c>
      <c r="M13" s="89" cm="1">
        <f t="array" ref="M13">_xll.BDP($A$1,$A13,"EQY_FUND_YEAR",M$3,"FUND_PER",M$2)+SUM(M8:M9)-SUM(M10:M12)</f>
        <v>92.699999999999932</v>
      </c>
      <c r="N13" s="239">
        <f>_xll.BDP($A$1,$A13,"EQY_FUND_RELATIVE_PERIOD",N$4)+SUM(N8:N9)-SUM(N10:N12)</f>
        <v>392.29999999999973</v>
      </c>
      <c r="O13" s="89">
        <f>57+SUM(O8:O9)-SUM(O10:O12)</f>
        <v>97.4</v>
      </c>
      <c r="P13" s="89">
        <f>P38+(BS!O13-BS!P13)+(BS!O14-BS!P14)</f>
        <v>130.62400000000071</v>
      </c>
      <c r="Q13" s="89">
        <f>Q38+(BS!P13-BS!Q13)+(BS!P14-BS!Q14)</f>
        <v>130.09476000000086</v>
      </c>
      <c r="R13" s="89">
        <f>R38+(BS!Q13-BS!R13)+(BS!Q14-BS!R14)</f>
        <v>129.57081240000116</v>
      </c>
      <c r="S13" s="239">
        <f>SUM(O13:R13)</f>
        <v>487.6895724000027</v>
      </c>
      <c r="T13" s="239">
        <f>T38+(BS!S13-BS!T13)+(BS!S14-BS!T14)</f>
        <v>299.05210427600105</v>
      </c>
      <c r="U13" s="239">
        <f>U38+(BS!T13-BS!U13)+(BS!T14-BS!U14)</f>
        <v>303.53858323324039</v>
      </c>
      <c r="V13" s="239">
        <f>V38+(BS!U13-BS!V13)+(BS!U14-BS!V14)</f>
        <v>289.53019740090804</v>
      </c>
      <c r="W13" s="239">
        <f>W38+(BS!V13-BS!W13)+(BS!V14-BS!W14)</f>
        <v>229.62689542689805</v>
      </c>
    </row>
    <row r="14" spans="1:58" s="11" customFormat="1" x14ac:dyDescent="0.25">
      <c r="A14" s="112" t="s">
        <v>160</v>
      </c>
      <c r="B14" s="89" t="s">
        <v>148</v>
      </c>
      <c r="C14" s="239">
        <f>_xll.BDP($A$1, $A14, "EQY_FUND_RELATIVE_PERIOD", C$4)</f>
        <v>-27.7</v>
      </c>
      <c r="D14" s="239">
        <f>_xll.BDP($A$1, $A14, "EQY_FUND_RELATIVE_PERIOD", D$4)</f>
        <v>76.099999999999994</v>
      </c>
      <c r="E14" s="239"/>
      <c r="F14" s="239"/>
      <c r="G14" s="239"/>
      <c r="H14" s="239"/>
      <c r="I14" s="239">
        <f>_xll.BDP($A$1, $A14, "EQY_FUND_RELATIVE_PERIOD", I$4)</f>
        <v>-36.1</v>
      </c>
      <c r="J14" s="89" cm="1">
        <f t="array" ref="J14">_xll.BDP($A$1, $A14, "EQY_FUND_YEAR", J$3, "FUND_PER", J$2)</f>
        <v>-307.59999999999997</v>
      </c>
      <c r="K14" s="89" cm="1">
        <f t="array" ref="K14">_xll.BDP($A$1, $A14, "EQY_FUND_YEAR", K$3, "FUND_PER", K$2)</f>
        <v>254.79999999999998</v>
      </c>
      <c r="L14" s="89" cm="1">
        <f t="array" ref="L14">_xll.BDP($A$1, $A14, "EQY_FUND_YEAR", L$3, "FUND_PER", L$2)</f>
        <v>-11.899999999999999</v>
      </c>
      <c r="M14" s="89" cm="1">
        <f t="array" ref="M14">_xll.BDP($A$1, $A14, "EQY_FUND_YEAR", M$3, "FUND_PER", M$2)</f>
        <v>-118.5</v>
      </c>
      <c r="N14" s="239">
        <f>_xll.BDP($A$1, $A14, "EQY_FUND_RELATIVE_PERIOD", N$4)</f>
        <v>-183.2</v>
      </c>
      <c r="O14" s="89">
        <v>-298</v>
      </c>
      <c r="P14" s="89">
        <f>(BS!O7-BS!P7)+(BS!O8-BS!P8)+(BS!O9-BS!P9)+(BS!P22-BS!O22)++(BS!P24-BS!O24)</f>
        <v>49.722000000000094</v>
      </c>
      <c r="Q14" s="89">
        <f>(BS!P7-BS!Q7)+(BS!P8-BS!Q8)+(BS!P9-BS!Q9)+(BS!Q22-BS!P22)+(BS!Q23-BS!P23)+(BS!Q24-BS!P24)</f>
        <v>55.127219999999966</v>
      </c>
      <c r="R14" s="89">
        <f>(BS!Q7-BS!R7)+(BS!Q8-BS!R8)+(BS!Q9-BS!R9)+(BS!R22-BS!Q22)+(BS!R23-BS!Q23)+(BS!R24-BS!Q24)</f>
        <v>59.216818200000148</v>
      </c>
      <c r="S14" s="239">
        <f>SUM(O14:R14)</f>
        <v>-133.93396179999979</v>
      </c>
      <c r="T14" s="239">
        <f>(BS!S7-BS!T7)+(BS!S8-BS!T8)+(BS!S9-BS!T9)+(BS!T22-BS!S22)+(BS!T23-BS!S23)+(BS!T24-BS!S24)</f>
        <v>-84.175218396000105</v>
      </c>
      <c r="U14" s="239">
        <f>(BS!T7-BS!U7)+(BS!T8-BS!U8)+(BS!T9-BS!U9)+(BS!U22-BS!T22)+(BS!U23-BS!T23)+(BS!U24-BS!T24)</f>
        <v>-83.668951980719839</v>
      </c>
      <c r="V14" s="239">
        <f>(BS!U7-BS!V7)+(BS!U8-BS!V8)+(BS!U9-BS!V9)+(BS!V22-BS!U22)+(BS!V23-BS!U23)+(BS!V24-BS!U24)</f>
        <v>-83.196355652798616</v>
      </c>
      <c r="W14" s="239">
        <f>(BS!V7-BS!W7)+(BS!V8-BS!W8)+(BS!V9-BS!W9)+(BS!W22-BS!V22)+(BS!W23-BS!V23)+(BS!W24-BS!V24)</f>
        <v>-82.757226905669313</v>
      </c>
    </row>
    <row r="15" spans="1:58" s="87" customFormat="1" x14ac:dyDescent="0.25">
      <c r="A15" s="118"/>
      <c r="B15" s="91" t="s">
        <v>149</v>
      </c>
      <c r="C15" s="242">
        <f>C6+C7-SUM(C8:C9)+SUM(C10:C14)</f>
        <v>1897.2999999999995</v>
      </c>
      <c r="D15" s="242">
        <f t="shared" ref="D15:N15" si="1">D6+D7-SUM(D8:D9)+SUM(D10:D14)</f>
        <v>1695.7000000000003</v>
      </c>
      <c r="E15" s="242"/>
      <c r="F15" s="242"/>
      <c r="G15" s="242"/>
      <c r="H15" s="242"/>
      <c r="I15" s="242">
        <f t="shared" si="1"/>
        <v>1573.5000000000014</v>
      </c>
      <c r="J15" s="91">
        <f t="shared" si="1"/>
        <v>-63.900000000000091</v>
      </c>
      <c r="K15" s="91">
        <f t="shared" si="1"/>
        <v>781.89999999999975</v>
      </c>
      <c r="L15" s="91">
        <f t="shared" si="1"/>
        <v>437.89999999999986</v>
      </c>
      <c r="M15" s="91">
        <f t="shared" si="1"/>
        <v>346.39999999999992</v>
      </c>
      <c r="N15" s="242">
        <f t="shared" si="1"/>
        <v>1502.2999999999993</v>
      </c>
      <c r="O15" s="91">
        <f>O6+O7-SUM(O8:O9)+SUM(O10:O14)</f>
        <v>2.8000000000000966</v>
      </c>
      <c r="P15" s="91">
        <f>SUM(P6:P14)</f>
        <v>442.44364167534837</v>
      </c>
      <c r="Q15" s="91">
        <f t="shared" ref="Q15:R15" si="2">SUM(Q6:Q14)</f>
        <v>630.7638049556258</v>
      </c>
      <c r="R15" s="91">
        <f t="shared" si="2"/>
        <v>621.6150280662589</v>
      </c>
      <c r="S15" s="242">
        <f>SUM(S10:S14)+S6+S7-S8-S9</f>
        <v>1697.622474697233</v>
      </c>
      <c r="T15" s="242">
        <f t="shared" ref="T15:W15" si="3">SUM(T10:T14)+T6+T7-T8-T9</f>
        <v>1778.5496098982248</v>
      </c>
      <c r="U15" s="242">
        <f t="shared" si="3"/>
        <v>1928.3669106232055</v>
      </c>
      <c r="V15" s="242">
        <f t="shared" si="3"/>
        <v>2060.920985238587</v>
      </c>
      <c r="W15" s="242">
        <f t="shared" si="3"/>
        <v>2103.5248583578732</v>
      </c>
    </row>
    <row r="16" spans="1:58" s="14" customFormat="1" x14ac:dyDescent="0.25">
      <c r="A16" s="112"/>
      <c r="B16" s="113"/>
      <c r="C16" s="239"/>
      <c r="D16" s="239"/>
      <c r="E16" s="239"/>
      <c r="F16" s="239"/>
      <c r="G16" s="239"/>
      <c r="H16" s="239"/>
      <c r="I16" s="239"/>
      <c r="J16" s="89"/>
      <c r="K16" s="89"/>
      <c r="L16" s="89"/>
      <c r="M16" s="89"/>
      <c r="N16" s="239"/>
      <c r="O16" s="93"/>
      <c r="P16" s="93"/>
      <c r="Q16" s="92"/>
      <c r="R16" s="114"/>
      <c r="S16" s="275"/>
      <c r="T16" s="275"/>
      <c r="U16" s="275"/>
      <c r="V16" s="275"/>
      <c r="W16" s="275"/>
    </row>
    <row r="17" spans="1:24" s="17" customFormat="1" x14ac:dyDescent="0.25">
      <c r="A17" s="112"/>
      <c r="B17" s="113" t="s">
        <v>150</v>
      </c>
      <c r="C17" s="239"/>
      <c r="D17" s="239"/>
      <c r="E17" s="239"/>
      <c r="F17" s="239"/>
      <c r="G17" s="239"/>
      <c r="H17" s="239"/>
      <c r="I17" s="239"/>
      <c r="J17" s="89"/>
      <c r="K17" s="89"/>
      <c r="L17" s="89"/>
      <c r="M17" s="89"/>
      <c r="N17" s="239"/>
      <c r="O17" s="95"/>
      <c r="P17" s="95"/>
      <c r="Q17" s="94"/>
      <c r="R17" s="115"/>
      <c r="S17" s="276"/>
      <c r="T17" s="276"/>
      <c r="U17" s="276"/>
      <c r="V17" s="276"/>
      <c r="W17" s="276"/>
    </row>
    <row r="18" spans="1:24" s="17" customFormat="1" x14ac:dyDescent="0.25">
      <c r="A18" s="112" t="s">
        <v>161</v>
      </c>
      <c r="B18" s="113" t="s">
        <v>151</v>
      </c>
      <c r="C18" s="239">
        <f>_xll.BDP($A$1, $A18, "EQY_FUND_RELATIVE_PERIOD", C$4)</f>
        <v>-477.9</v>
      </c>
      <c r="D18" s="239">
        <f>_xll.BDP($A$1, $A18, "EQY_FUND_RELATIVE_PERIOD", D$4)</f>
        <v>-415.99999999999994</v>
      </c>
      <c r="E18" s="239" cm="1">
        <f t="array" ref="E18">_xll.BDP($A$1, $A18, "EQY_FUND_YEAR", E$3, "FUND_PER", E$2)</f>
        <v>-101.4</v>
      </c>
      <c r="F18" s="239" cm="1">
        <f t="array" ref="F18">_xll.BDP($A$1, $A18, "EQY_FUND_YEAR", F$3, "FUND_PER", F$2)</f>
        <v>-107.30000000000001</v>
      </c>
      <c r="G18" s="239" cm="1">
        <f t="array" ref="G18">_xll.BDP($A$1, $A18, "EQY_FUND_YEAR", G$3, "FUND_PER", G$2)</f>
        <v>-130.6</v>
      </c>
      <c r="H18" s="239" cm="1">
        <f t="array" ref="H18">_xll.BDP($A$1, $A18, "EQY_FUND_YEAR", H$3, "FUND_PER", H$2)</f>
        <v>-157.29999999999998</v>
      </c>
      <c r="I18" s="239">
        <f>_xll.BDP($A$1, $A18, "EQY_FUND_RELATIVE_PERIOD", I$4)</f>
        <v>-496.6</v>
      </c>
      <c r="J18" s="89" cm="1">
        <f t="array" ref="J18">_xll.BDP($A$1, $A18, "EQY_FUND_YEAR", J$3, "FUND_PER", J$2)</f>
        <v>-230.60000000000002</v>
      </c>
      <c r="K18" s="89" cm="1">
        <f t="array" ref="K18">_xll.BDP($A$1, $A18, "EQY_FUND_YEAR", K$3, "FUND_PER", K$2)</f>
        <v>-143.1</v>
      </c>
      <c r="L18" s="89" cm="1">
        <f t="array" ref="L18">_xll.BDP($A$1, $A18, "EQY_FUND_YEAR", L$3, "FUND_PER", L$2)</f>
        <v>-134.9</v>
      </c>
      <c r="M18" s="89" cm="1">
        <f t="array" ref="M18">_xll.BDP($A$1, $A18, "EQY_FUND_YEAR", M$3, "FUND_PER", M$2)</f>
        <v>-120.6</v>
      </c>
      <c r="N18" s="239">
        <f>_xll.BDP($A$1, $A18, "EQY_FUND_RELATIVE_PERIOD", N$4)</f>
        <v>-629.19999999999993</v>
      </c>
      <c r="O18" s="93">
        <v>-176.8</v>
      </c>
      <c r="P18" s="151">
        <f>-BS!P53*IS!P7</f>
        <v>-194.23661210544003</v>
      </c>
      <c r="Q18" s="151">
        <f>-BS!Q53*IS!Q7</f>
        <v>-174.91533271874999</v>
      </c>
      <c r="R18" s="151">
        <f>-BS!R53*IS!R7</f>
        <v>-146.05840243495803</v>
      </c>
      <c r="S18" s="245">
        <f>SUM(O18:R18)</f>
        <v>-692.01034725914803</v>
      </c>
      <c r="T18" s="245">
        <f>-BS!T53*IS!T7</f>
        <v>-693.69471855663619</v>
      </c>
      <c r="U18" s="245">
        <f>-BS!U53*IS!U7</f>
        <v>-698.42909643130588</v>
      </c>
      <c r="V18" s="245">
        <f>-BS!V53*IS!V7</f>
        <v>-693.99573393021649</v>
      </c>
      <c r="W18" s="245">
        <f>-BS!W53*IS!W7</f>
        <v>-693.10873798268017</v>
      </c>
    </row>
    <row r="19" spans="1:24" s="17" customFormat="1" x14ac:dyDescent="0.25">
      <c r="A19" s="112" t="s">
        <v>162</v>
      </c>
      <c r="B19" s="113" t="s">
        <v>184</v>
      </c>
      <c r="C19" s="239">
        <f>_xll.BDP($A$1, $A19, "EQY_FUND_RELATIVE_PERIOD", C$4)</f>
        <v>44.6</v>
      </c>
      <c r="D19" s="239">
        <f>_xll.BDP($A$1, $A19, "EQY_FUND_RELATIVE_PERIOD", D$4)</f>
        <v>2.4</v>
      </c>
      <c r="E19" s="239"/>
      <c r="F19" s="239"/>
      <c r="G19" s="239"/>
      <c r="H19" s="239"/>
      <c r="I19" s="239">
        <f>_xll.BDP($A$1, $A19, "EQY_FUND_RELATIVE_PERIOD", I$4)</f>
        <v>-13.3</v>
      </c>
      <c r="J19" s="89" cm="1">
        <f t="array" ref="J19">_xll.BDP($A$1, $A19, "EQY_FUND_YEAR", J$3, "FUND_PER", J$2)</f>
        <v>4.4000000000000004</v>
      </c>
      <c r="K19" s="89" cm="1">
        <f t="array" ref="K19">_xll.BDP($A$1, $A19, "EQY_FUND_YEAR", K$3, "FUND_PER", K$2)</f>
        <v>-0.2</v>
      </c>
      <c r="L19" s="89" cm="1">
        <f t="array" ref="L19">_xll.BDP($A$1, $A19, "EQY_FUND_YEAR", L$3, "FUND_PER", L$2)</f>
        <v>-0.5</v>
      </c>
      <c r="M19" s="89" cm="1">
        <f t="array" ref="M19">_xll.BDP($A$1, $A19, "EQY_FUND_YEAR", M$3, "FUND_PER", M$2)</f>
        <v>0.4</v>
      </c>
      <c r="N19" s="239">
        <f>_xll.BDP($A$1, $A19, "EQY_FUND_RELATIVE_PERIOD", N$4)</f>
        <v>4.0999999999999996</v>
      </c>
      <c r="O19" s="93">
        <v>0</v>
      </c>
      <c r="P19" s="93">
        <v>-30</v>
      </c>
      <c r="Q19" s="93">
        <v>-30</v>
      </c>
      <c r="R19" s="93">
        <v>-30</v>
      </c>
      <c r="S19" s="245">
        <f>SUM(O19:R19)</f>
        <v>-90</v>
      </c>
      <c r="T19" s="245">
        <v>-100</v>
      </c>
      <c r="U19" s="245">
        <v>-100</v>
      </c>
      <c r="V19" s="245">
        <v>-120</v>
      </c>
      <c r="W19" s="245">
        <v>-140</v>
      </c>
    </row>
    <row r="20" spans="1:24" s="88" customFormat="1" x14ac:dyDescent="0.25">
      <c r="A20" s="118"/>
      <c r="B20" s="116" t="s">
        <v>163</v>
      </c>
      <c r="C20" s="242">
        <f>SUM(C18:C19)</f>
        <v>-433.29999999999995</v>
      </c>
      <c r="D20" s="242">
        <f t="shared" ref="D20:N20" si="4">SUM(D18:D19)</f>
        <v>-413.59999999999997</v>
      </c>
      <c r="E20" s="242"/>
      <c r="F20" s="242"/>
      <c r="G20" s="242"/>
      <c r="H20" s="242"/>
      <c r="I20" s="242">
        <f t="shared" si="4"/>
        <v>-509.90000000000003</v>
      </c>
      <c r="J20" s="91">
        <f t="shared" si="4"/>
        <v>-226.20000000000002</v>
      </c>
      <c r="K20" s="91">
        <f t="shared" si="4"/>
        <v>-143.29999999999998</v>
      </c>
      <c r="L20" s="91">
        <f t="shared" si="4"/>
        <v>-135.4</v>
      </c>
      <c r="M20" s="91">
        <f t="shared" si="4"/>
        <v>-120.19999999999999</v>
      </c>
      <c r="N20" s="242">
        <f t="shared" si="4"/>
        <v>-625.09999999999991</v>
      </c>
      <c r="O20" s="91">
        <f t="shared" ref="O20" si="5">SUM(O18:O19)</f>
        <v>-176.8</v>
      </c>
      <c r="P20" s="91">
        <f t="shared" ref="P20" si="6">SUM(P18:P19)</f>
        <v>-224.23661210544003</v>
      </c>
      <c r="Q20" s="91">
        <f t="shared" ref="Q20" si="7">SUM(Q18:Q19)</f>
        <v>-204.91533271874999</v>
      </c>
      <c r="R20" s="91">
        <f t="shared" ref="R20" si="8">SUM(R18:R19)</f>
        <v>-176.05840243495803</v>
      </c>
      <c r="S20" s="242">
        <f t="shared" ref="S20" si="9">SUM(S18:S19)</f>
        <v>-782.01034725914803</v>
      </c>
      <c r="T20" s="242">
        <f t="shared" ref="T20" si="10">SUM(T18:T19)</f>
        <v>-793.69471855663619</v>
      </c>
      <c r="U20" s="242">
        <f t="shared" ref="U20" si="11">SUM(U18:U19)</f>
        <v>-798.42909643130588</v>
      </c>
      <c r="V20" s="242">
        <f t="shared" ref="V20" si="12">SUM(V18:V19)</f>
        <v>-813.99573393021649</v>
      </c>
      <c r="W20" s="242">
        <f t="shared" ref="W20" si="13">SUM(W18:W19)</f>
        <v>-833.10873798268017</v>
      </c>
    </row>
    <row r="21" spans="1:24" s="14" customFormat="1" x14ac:dyDescent="0.25">
      <c r="A21" s="112"/>
      <c r="B21" s="89"/>
      <c r="C21" s="239"/>
      <c r="D21" s="239"/>
      <c r="E21" s="239"/>
      <c r="F21" s="239"/>
      <c r="G21" s="239"/>
      <c r="H21" s="239"/>
      <c r="I21" s="239"/>
      <c r="J21" s="89"/>
      <c r="K21" s="89"/>
      <c r="L21" s="89"/>
      <c r="M21" s="89"/>
      <c r="N21" s="239"/>
      <c r="O21" s="93"/>
      <c r="P21" s="93"/>
      <c r="Q21" s="92"/>
      <c r="R21" s="114"/>
      <c r="S21" s="275"/>
      <c r="T21" s="275"/>
      <c r="U21" s="275"/>
      <c r="V21" s="275"/>
      <c r="W21" s="275"/>
    </row>
    <row r="22" spans="1:24" s="17" customFormat="1" x14ac:dyDescent="0.25">
      <c r="A22" s="112"/>
      <c r="B22" s="89" t="s">
        <v>164</v>
      </c>
      <c r="C22" s="239"/>
      <c r="D22" s="239"/>
      <c r="E22" s="239"/>
      <c r="F22" s="239"/>
      <c r="G22" s="239"/>
      <c r="H22" s="239"/>
      <c r="I22" s="239"/>
      <c r="J22" s="89"/>
      <c r="K22" s="89"/>
      <c r="L22" s="89"/>
      <c r="M22" s="89"/>
      <c r="N22" s="239"/>
      <c r="O22" s="93"/>
      <c r="P22" s="93"/>
      <c r="Q22" s="92"/>
      <c r="R22" s="114"/>
      <c r="S22" s="276"/>
      <c r="T22" s="276"/>
      <c r="U22" s="276"/>
      <c r="V22" s="276"/>
      <c r="W22" s="276"/>
    </row>
    <row r="23" spans="1:24" s="17" customFormat="1" x14ac:dyDescent="0.25">
      <c r="A23" s="112" t="s">
        <v>165</v>
      </c>
      <c r="B23" s="89" t="s">
        <v>152</v>
      </c>
      <c r="C23" s="239">
        <f>_xll.BDP($A$1, $A23, "EQY_FUND_RELATIVE_PERIOD", C$4)</f>
        <v>-424.4</v>
      </c>
      <c r="D23" s="239">
        <f>_xll.BDP($A$1, $A23, "EQY_FUND_RELATIVE_PERIOD", D$4)</f>
        <v>-125.3</v>
      </c>
      <c r="E23" s="239"/>
      <c r="F23" s="239"/>
      <c r="G23" s="239"/>
      <c r="H23" s="239"/>
      <c r="I23" s="239">
        <f>_xll.BDP($A$1, $A23, "EQY_FUND_RELATIVE_PERIOD", I$4)</f>
        <v>-147.79999999999998</v>
      </c>
      <c r="J23" s="89" cm="1">
        <f t="array" ref="J23">_xll.BDP($A$1, $A23, "EQY_FUND_YEAR", J$3, "FUND_PER", J$2)</f>
        <v>-82.399999999999991</v>
      </c>
      <c r="K23" s="89" cm="1">
        <f t="array" ref="K23">_xll.BDP($A$1, $A23, "EQY_FUND_YEAR", K$3, "FUND_PER", K$2)</f>
        <v>-82.5</v>
      </c>
      <c r="L23" s="89" cm="1">
        <f t="array" ref="L23">_xll.BDP($A$1, $A23, "EQY_FUND_YEAR", L$3, "FUND_PER", L$2)</f>
        <v>-82.2</v>
      </c>
      <c r="M23" s="89" cm="1">
        <f t="array" ref="M23">_xll.BDP($A$1, $A23, "EQY_FUND_YEAR", M$3, "FUND_PER", M$2)</f>
        <v>-82.2</v>
      </c>
      <c r="N23" s="239">
        <f>_xll.BDP($A$1, $A23, "EQY_FUND_RELATIVE_PERIOD", N$4)</f>
        <v>-329.3</v>
      </c>
      <c r="O23" s="93">
        <v>-89</v>
      </c>
      <c r="P23" s="93">
        <v>-110</v>
      </c>
      <c r="Q23" s="93">
        <v>-110</v>
      </c>
      <c r="R23" s="93">
        <v>-110</v>
      </c>
      <c r="S23" s="245">
        <f>SUM(O23:R23)</f>
        <v>-419</v>
      </c>
      <c r="T23" s="245">
        <f>S23*1.1</f>
        <v>-460.90000000000003</v>
      </c>
      <c r="U23" s="245">
        <f t="shared" ref="U23:W23" si="14">T23*1.1</f>
        <v>-506.99000000000007</v>
      </c>
      <c r="V23" s="245">
        <f t="shared" si="14"/>
        <v>-557.68900000000008</v>
      </c>
      <c r="W23" s="245">
        <f t="shared" si="14"/>
        <v>-613.45790000000011</v>
      </c>
    </row>
    <row r="24" spans="1:24" s="14" customFormat="1" ht="14.25" customHeight="1" x14ac:dyDescent="0.25">
      <c r="A24" s="112" t="s">
        <v>166</v>
      </c>
      <c r="B24" s="89" t="s">
        <v>153</v>
      </c>
      <c r="C24" s="239">
        <f>_xll.BDP($A$1, $A24, "EQY_FUND_RELATIVE_PERIOD", C$4)</f>
        <v>-1587.9</v>
      </c>
      <c r="D24" s="239">
        <f>_xll.BDP($A$1, $A24, "EQY_FUND_RELATIVE_PERIOD", D$4)</f>
        <v>-915.9</v>
      </c>
      <c r="E24" s="239"/>
      <c r="F24" s="239"/>
      <c r="G24" s="239"/>
      <c r="H24" s="239"/>
      <c r="I24" s="239">
        <f>_xll.BDP($A$1, $A24, "EQY_FUND_RELATIVE_PERIOD", I$4)</f>
        <v>-1005.2</v>
      </c>
      <c r="J24" s="89" cm="1">
        <f t="array" ref="J24">_xll.BDP($A$1, $A24, "EQY_FUND_YEAR", J$3, "FUND_PER", J$2)</f>
        <v>160.20000000000002</v>
      </c>
      <c r="K24" s="89" cm="1">
        <f t="array" ref="K24">_xll.BDP($A$1, $A24, "EQY_FUND_YEAR", K$3, "FUND_PER", K$2)</f>
        <v>-431.70000000000005</v>
      </c>
      <c r="L24" s="89" cm="1">
        <f t="array" ref="L24">_xll.BDP($A$1, $A24, "EQY_FUND_YEAR", L$3, "FUND_PER", L$2)</f>
        <v>-107.7</v>
      </c>
      <c r="M24" s="89" cm="1">
        <f t="array" ref="M24">_xll.BDP($A$1, $A24, "EQY_FUND_YEAR", M$3, "FUND_PER", M$2)</f>
        <v>-126.6</v>
      </c>
      <c r="N24" s="239">
        <f>_xll.BDP($A$1, $A24, "EQY_FUND_RELATIVE_PERIOD", N$4)</f>
        <v>-505.8</v>
      </c>
      <c r="O24" s="93">
        <v>1</v>
      </c>
      <c r="P24" s="93">
        <f>1000-380</f>
        <v>620</v>
      </c>
      <c r="Q24" s="89">
        <v>0</v>
      </c>
      <c r="R24" s="89">
        <v>0</v>
      </c>
      <c r="S24" s="245">
        <f t="shared" ref="S24:S27" si="15">SUM(O24:R24)</f>
        <v>621</v>
      </c>
      <c r="T24" s="239">
        <v>-880</v>
      </c>
      <c r="U24" s="239">
        <v>-1000</v>
      </c>
      <c r="V24" s="239">
        <v>-380</v>
      </c>
      <c r="W24" s="239">
        <v>0</v>
      </c>
    </row>
    <row r="25" spans="1:24" s="14" customFormat="1" x14ac:dyDescent="0.25">
      <c r="A25" s="112" t="s">
        <v>167</v>
      </c>
      <c r="B25" s="113" t="s">
        <v>154</v>
      </c>
      <c r="C25" s="239">
        <f>_xll.BDP($A$1, $A25, "EQY_FUND_RELATIVE_PERIOD", C$4)</f>
        <v>1.6</v>
      </c>
      <c r="D25" s="239">
        <f>_xll.BDP($A$1, $A25, "EQY_FUND_RELATIVE_PERIOD", D$4)</f>
        <v>4.0999999999999996</v>
      </c>
      <c r="E25" s="239"/>
      <c r="F25" s="239"/>
      <c r="G25" s="239"/>
      <c r="H25" s="239"/>
      <c r="I25" s="239">
        <f>_xll.BDP($A$1, $A25, "EQY_FUND_RELATIVE_PERIOD", I$4)</f>
        <v>4.5999999999999996</v>
      </c>
      <c r="J25" s="89" cm="1">
        <f t="array" ref="J25">_xll.BDP($A$1, $A25, "EQY_FUND_YEAR", J$3, "FUND_PER", J$2)</f>
        <v>-13.2</v>
      </c>
      <c r="K25" s="89" cm="1">
        <f t="array" ref="K25">_xll.BDP($A$1, $A25, "EQY_FUND_YEAR", K$3, "FUND_PER", K$2)</f>
        <v>-11.5</v>
      </c>
      <c r="L25" s="89" cm="1">
        <f t="array" ref="L25">_xll.BDP($A$1, $A25, "EQY_FUND_YEAR", L$3, "FUND_PER", L$2)</f>
        <v>-11.6</v>
      </c>
      <c r="M25" s="89" cm="1">
        <f t="array" ref="M25">_xll.BDP($A$1, $A25, "EQY_FUND_YEAR", M$3, "FUND_PER", M$2)</f>
        <v>-12.1</v>
      </c>
      <c r="N25" s="239">
        <f>_xll.BDP($A$1, $A25, "EQY_FUND_RELATIVE_PERIOD", N$4)</f>
        <v>-48.4</v>
      </c>
      <c r="O25" s="93">
        <v>-15</v>
      </c>
      <c r="P25" s="93">
        <v>-20</v>
      </c>
      <c r="Q25" s="93">
        <v>-20</v>
      </c>
      <c r="R25" s="93">
        <v>-20</v>
      </c>
      <c r="S25" s="245">
        <f t="shared" si="15"/>
        <v>-75</v>
      </c>
      <c r="T25" s="239">
        <v>-100</v>
      </c>
      <c r="U25" s="239">
        <v>-200</v>
      </c>
      <c r="V25" s="239">
        <v>-250</v>
      </c>
      <c r="W25" s="239">
        <v>-350</v>
      </c>
      <c r="X25" s="93"/>
    </row>
    <row r="26" spans="1:24" s="14" customFormat="1" hidden="1" x14ac:dyDescent="0.25">
      <c r="A26" s="112"/>
      <c r="B26" s="113" t="s">
        <v>90</v>
      </c>
      <c r="C26" s="239">
        <f>-IS!C26</f>
        <v>-4.5</v>
      </c>
      <c r="D26" s="239">
        <f>-IS!D26</f>
        <v>-3.3</v>
      </c>
      <c r="E26" s="239">
        <f>-IS!E26</f>
        <v>2.1</v>
      </c>
      <c r="F26" s="239">
        <f>-IS!F26</f>
        <v>-1.7</v>
      </c>
      <c r="G26" s="239">
        <f>-IS!G26</f>
        <v>-0.79999999999999993</v>
      </c>
      <c r="H26" s="239">
        <f>-IS!H26</f>
        <v>-2.4</v>
      </c>
      <c r="I26" s="239">
        <f>-IS!I26</f>
        <v>-2.8</v>
      </c>
      <c r="J26" s="89">
        <f>-IS!J26</f>
        <v>14.2</v>
      </c>
      <c r="K26" s="89">
        <f>-IS!K26</f>
        <v>-0.6</v>
      </c>
      <c r="L26" s="89">
        <f>-IS!L26</f>
        <v>-1.7</v>
      </c>
      <c r="M26" s="89">
        <f>-IS!M26</f>
        <v>-0.7</v>
      </c>
      <c r="N26" s="239">
        <f>-IS!N26</f>
        <v>11.2</v>
      </c>
      <c r="O26" s="89">
        <f>-IS!O26</f>
        <v>-1</v>
      </c>
      <c r="P26" s="89">
        <f>-IS!P26</f>
        <v>-1</v>
      </c>
      <c r="Q26" s="89">
        <f>-IS!Q26</f>
        <v>-1</v>
      </c>
      <c r="R26" s="89">
        <f>-IS!R26</f>
        <v>-1</v>
      </c>
      <c r="S26" s="239">
        <f>-IS!S26</f>
        <v>-4</v>
      </c>
      <c r="T26" s="239">
        <f>-IS!T26</f>
        <v>-4</v>
      </c>
      <c r="U26" s="239">
        <f>-IS!U26</f>
        <v>-4</v>
      </c>
      <c r="V26" s="239">
        <f>-IS!V26</f>
        <v>-4</v>
      </c>
      <c r="W26" s="239">
        <f>-IS!W26</f>
        <v>-4</v>
      </c>
      <c r="X26" s="93"/>
    </row>
    <row r="27" spans="1:24" s="14" customFormat="1" x14ac:dyDescent="0.25">
      <c r="A27" s="112" t="s">
        <v>168</v>
      </c>
      <c r="B27" s="113" t="s">
        <v>155</v>
      </c>
      <c r="C27" s="239">
        <f>_xll.BDP($A$1, $A27, "EQY_FUND_RELATIVE_PERIOD", C$4)</f>
        <v>3.7</v>
      </c>
      <c r="D27" s="239">
        <f>_xll.BDP($A$1, $A27, "EQY_FUND_RELATIVE_PERIOD", D$4)</f>
        <v>-31.8</v>
      </c>
      <c r="E27" s="239"/>
      <c r="F27" s="239"/>
      <c r="G27" s="239"/>
      <c r="H27" s="239"/>
      <c r="I27" s="239">
        <f>_xll.BDP($A$1, $A27, "EQY_FUND_RELATIVE_PERIOD", I$4)</f>
        <v>-23.8</v>
      </c>
      <c r="J27" s="89" cm="1">
        <f t="array" ref="J27">_xll.BDP($A$1, $A27, "EQY_FUND_YEAR", J$3, "FUND_PER", J$2)</f>
        <v>7.9</v>
      </c>
      <c r="K27" s="89" cm="1">
        <f t="array" ref="K27">_xll.BDP($A$1, $A27, "EQY_FUND_YEAR", K$3, "FUND_PER", K$2)</f>
        <v>-16.600000000000001</v>
      </c>
      <c r="L27" s="89" cm="1">
        <f t="array" ref="L27">_xll.BDP($A$1, $A27, "EQY_FUND_YEAR", L$3, "FUND_PER", L$2)</f>
        <v>-1.5</v>
      </c>
      <c r="M27" s="89" cm="1">
        <f t="array" ref="M27">_xll.BDP($A$1, $A27, "EQY_FUND_YEAR", M$3, "FUND_PER", M$2)</f>
        <v>4.2</v>
      </c>
      <c r="N27" s="239">
        <f>_xll.BDP($A$1, $A27, "EQY_FUND_RELATIVE_PERIOD", N$4)</f>
        <v>-6</v>
      </c>
      <c r="O27" s="93">
        <v>0</v>
      </c>
      <c r="P27" s="93">
        <v>0</v>
      </c>
      <c r="Q27" s="93">
        <v>0</v>
      </c>
      <c r="R27" s="93">
        <v>0</v>
      </c>
      <c r="S27" s="245">
        <f t="shared" si="15"/>
        <v>0</v>
      </c>
      <c r="T27" s="245">
        <v>0</v>
      </c>
      <c r="U27" s="245">
        <v>0</v>
      </c>
      <c r="V27" s="245">
        <v>0</v>
      </c>
      <c r="W27" s="245">
        <v>0</v>
      </c>
    </row>
    <row r="28" spans="1:24" s="88" customFormat="1" x14ac:dyDescent="0.25">
      <c r="A28" s="118"/>
      <c r="B28" s="116" t="s">
        <v>156</v>
      </c>
      <c r="C28" s="242">
        <f>SUM(C23:C27)</f>
        <v>-2011.5000000000002</v>
      </c>
      <c r="D28" s="242">
        <f t="shared" ref="D28:N28" si="16">SUM(D23:D27)</f>
        <v>-1072.2</v>
      </c>
      <c r="E28" s="242"/>
      <c r="F28" s="242"/>
      <c r="G28" s="242"/>
      <c r="H28" s="242"/>
      <c r="I28" s="242">
        <f t="shared" si="16"/>
        <v>-1175</v>
      </c>
      <c r="J28" s="91">
        <f t="shared" si="16"/>
        <v>86.700000000000031</v>
      </c>
      <c r="K28" s="91">
        <f t="shared" si="16"/>
        <v>-542.90000000000009</v>
      </c>
      <c r="L28" s="91">
        <f t="shared" si="16"/>
        <v>-204.7</v>
      </c>
      <c r="M28" s="91">
        <f t="shared" si="16"/>
        <v>-217.4</v>
      </c>
      <c r="N28" s="242">
        <f t="shared" si="16"/>
        <v>-878.3</v>
      </c>
      <c r="O28" s="91">
        <f>SUM(O23:O27)</f>
        <v>-104</v>
      </c>
      <c r="P28" s="91">
        <f>SUM(P23:P27)</f>
        <v>489</v>
      </c>
      <c r="Q28" s="91">
        <f t="shared" ref="Q28" si="17">SUM(Q23:Q27)</f>
        <v>-131</v>
      </c>
      <c r="R28" s="91">
        <f t="shared" ref="R28" si="18">SUM(R23:R27)</f>
        <v>-131</v>
      </c>
      <c r="S28" s="242">
        <f t="shared" ref="S28" si="19">SUM(S23:S27)</f>
        <v>123</v>
      </c>
      <c r="T28" s="242">
        <f t="shared" ref="T28" si="20">SUM(T23:T27)</f>
        <v>-1444.9</v>
      </c>
      <c r="U28" s="242">
        <f t="shared" ref="U28" si="21">SUM(U23:U27)</f>
        <v>-1710.99</v>
      </c>
      <c r="V28" s="242">
        <f t="shared" ref="V28" si="22">SUM(V23:V27)</f>
        <v>-1191.6890000000001</v>
      </c>
      <c r="W28" s="242">
        <f t="shared" ref="W28" si="23">SUM(W23:W27)</f>
        <v>-967.45790000000011</v>
      </c>
    </row>
    <row r="29" spans="1:24" s="14" customFormat="1" x14ac:dyDescent="0.25">
      <c r="A29" s="112"/>
      <c r="B29" s="113"/>
      <c r="C29" s="239"/>
      <c r="D29" s="239"/>
      <c r="E29" s="239"/>
      <c r="F29" s="239"/>
      <c r="G29" s="239"/>
      <c r="H29" s="239"/>
      <c r="I29" s="239"/>
      <c r="J29" s="89"/>
      <c r="K29" s="89"/>
      <c r="L29" s="89"/>
      <c r="M29" s="89"/>
      <c r="N29" s="239"/>
      <c r="O29" s="93"/>
      <c r="P29" s="93"/>
      <c r="Q29" s="92"/>
      <c r="R29" s="114"/>
      <c r="S29" s="275"/>
      <c r="T29" s="275"/>
      <c r="U29" s="275"/>
      <c r="V29" s="275"/>
      <c r="W29" s="275"/>
    </row>
    <row r="30" spans="1:24" s="14" customFormat="1" x14ac:dyDescent="0.25">
      <c r="A30" s="112" t="s">
        <v>169</v>
      </c>
      <c r="B30" s="113" t="s">
        <v>157</v>
      </c>
      <c r="C30" s="239">
        <f>_xll.BDP($A$1, $A30, "EQY_FUND_RELATIVE_PERIOD", C$4)</f>
        <v>8.5</v>
      </c>
      <c r="D30" s="239">
        <f>_xll.BDP($A$1, $A30, "EQY_FUND_RELATIVE_PERIOD", D$4)</f>
        <v>35</v>
      </c>
      <c r="E30" s="239"/>
      <c r="F30" s="239"/>
      <c r="G30" s="239"/>
      <c r="H30" s="239"/>
      <c r="I30" s="239">
        <f>_xll.BDP($A$1, $A30, "EQY_FUND_RELATIVE_PERIOD", I$4)</f>
        <v>-24.099999999999998</v>
      </c>
      <c r="J30" s="89" cm="1">
        <f t="array" ref="J30">_xll.BDP($A$1, $A30, "EQY_FUND_YEAR", J$3, "FUND_PER", J$2)</f>
        <v>-5.7</v>
      </c>
      <c r="K30" s="89" cm="1">
        <f t="array" ref="K30">_xll.BDP($A$1, $A30, "EQY_FUND_YEAR", K$3, "FUND_PER", K$2)</f>
        <v>-17.099999999999998</v>
      </c>
      <c r="L30" s="89" cm="1">
        <f t="array" ref="L30">_xll.BDP($A$1, $A30, "EQY_FUND_YEAR", L$3, "FUND_PER", L$2)</f>
        <v>-29.2</v>
      </c>
      <c r="M30" s="89" cm="1">
        <f t="array" ref="M30">_xll.BDP($A$1, $A30, "EQY_FUND_YEAR", M$3, "FUND_PER", M$2)</f>
        <v>27.2</v>
      </c>
      <c r="N30" s="239">
        <f>_xll.BDP($A$1, $A30, "EQY_FUND_RELATIVE_PERIOD", N$4)</f>
        <v>-24.799999999999997</v>
      </c>
      <c r="O30" s="93">
        <v>4.7</v>
      </c>
      <c r="P30" s="93">
        <v>0</v>
      </c>
      <c r="Q30" s="93">
        <v>0</v>
      </c>
      <c r="R30" s="93">
        <v>0</v>
      </c>
      <c r="S30" s="245">
        <v>0</v>
      </c>
      <c r="T30" s="245">
        <v>0</v>
      </c>
      <c r="U30" s="245">
        <v>0</v>
      </c>
      <c r="V30" s="245">
        <v>0</v>
      </c>
      <c r="W30" s="245">
        <v>0</v>
      </c>
    </row>
    <row r="31" spans="1:24" s="88" customFormat="1" x14ac:dyDescent="0.25">
      <c r="A31" s="118" t="s">
        <v>170</v>
      </c>
      <c r="B31" s="116" t="s">
        <v>158</v>
      </c>
      <c r="C31" s="242">
        <f>_xll.BDP($A$1, $A31, "EQY_FUND_RELATIVE_PERIOD", C$4)</f>
        <v>-534.5</v>
      </c>
      <c r="D31" s="242">
        <f>_xll.BDP($A$1, $A31, "EQY_FUND_RELATIVE_PERIOD", D$4)</f>
        <v>246.7</v>
      </c>
      <c r="E31" s="242"/>
      <c r="F31" s="242"/>
      <c r="G31" s="242"/>
      <c r="H31" s="242"/>
      <c r="I31" s="242">
        <f>_xll.BDP($A$1, $A31, "EQY_FUND_RELATIVE_PERIOD", I$4)</f>
        <v>-132.69999999999999</v>
      </c>
      <c r="J31" s="91" cm="1">
        <f t="array" ref="J31">_xll.BDP($A$1, $A31, "EQY_FUND_YEAR", J$3, "FUND_PER", J$2)</f>
        <v>-278.7</v>
      </c>
      <c r="K31" s="91" cm="1">
        <f t="array" ref="K31">_xll.BDP($A$1, $A31, "EQY_FUND_YEAR", K$3, "FUND_PER", K$2)</f>
        <v>83.399999999999991</v>
      </c>
      <c r="L31" s="91" cm="1">
        <f t="array" ref="L31">_xll.BDP($A$1, $A31, "EQY_FUND_YEAR", L$3, "FUND_PER", L$2)</f>
        <v>83.1</v>
      </c>
      <c r="M31" s="91" cm="1">
        <f t="array" ref="M31">_xll.BDP($A$1, $A31, "EQY_FUND_YEAR", M$3, "FUND_PER", M$2)</f>
        <v>74.8</v>
      </c>
      <c r="N31" s="242">
        <f>_xll.BDP($A$1, $A31, "EQY_FUND_RELATIVE_PERIOD", N$4)</f>
        <v>-37.4</v>
      </c>
      <c r="O31" s="91">
        <f t="shared" ref="O31:W31" si="24">O15+O20+O28+O30</f>
        <v>-273.2999999999999</v>
      </c>
      <c r="P31" s="91">
        <f t="shared" si="24"/>
        <v>707.2070295699084</v>
      </c>
      <c r="Q31" s="91">
        <f t="shared" si="24"/>
        <v>294.84847223687581</v>
      </c>
      <c r="R31" s="91">
        <f t="shared" si="24"/>
        <v>314.5566256313009</v>
      </c>
      <c r="S31" s="242">
        <f t="shared" si="24"/>
        <v>1038.6121274380848</v>
      </c>
      <c r="T31" s="242">
        <f t="shared" si="24"/>
        <v>-460.04510865841144</v>
      </c>
      <c r="U31" s="242">
        <f t="shared" si="24"/>
        <v>-581.05218580810038</v>
      </c>
      <c r="V31" s="242">
        <f t="shared" si="24"/>
        <v>55.236251308370584</v>
      </c>
      <c r="W31" s="242">
        <f t="shared" si="24"/>
        <v>302.95822037519292</v>
      </c>
    </row>
    <row r="32" spans="1:24" s="17" customFormat="1" x14ac:dyDescent="0.25">
      <c r="A32" s="112"/>
      <c r="B32" s="117"/>
      <c r="C32" s="244"/>
      <c r="D32" s="244"/>
      <c r="E32" s="244"/>
      <c r="F32" s="244"/>
      <c r="G32" s="244"/>
      <c r="H32" s="244"/>
      <c r="I32" s="244"/>
      <c r="J32" s="95"/>
      <c r="K32" s="95"/>
      <c r="L32" s="95"/>
      <c r="M32" s="95"/>
      <c r="N32" s="244"/>
      <c r="O32" s="95"/>
      <c r="P32" s="95"/>
      <c r="Q32" s="94"/>
      <c r="R32" s="115"/>
      <c r="S32" s="276"/>
      <c r="T32" s="276"/>
      <c r="U32" s="276"/>
      <c r="V32" s="276"/>
      <c r="W32" s="276"/>
    </row>
    <row r="33" spans="1:23" s="17" customFormat="1" x14ac:dyDescent="0.25">
      <c r="A33" s="119"/>
      <c r="B33" s="117" t="s">
        <v>181</v>
      </c>
      <c r="C33" s="244">
        <f>C15+C18</f>
        <v>1419.3999999999996</v>
      </c>
      <c r="D33" s="244">
        <f t="shared" ref="D33:W33" si="25">D15+D18</f>
        <v>1279.7000000000003</v>
      </c>
      <c r="E33" s="244">
        <v>-293.39999999999998</v>
      </c>
      <c r="F33" s="244">
        <v>830</v>
      </c>
      <c r="G33" s="244">
        <v>367.7</v>
      </c>
      <c r="H33" s="244">
        <v>146.6</v>
      </c>
      <c r="I33" s="244">
        <f t="shared" si="25"/>
        <v>1076.9000000000015</v>
      </c>
      <c r="J33" s="95">
        <f t="shared" si="25"/>
        <v>-294.50000000000011</v>
      </c>
      <c r="K33" s="95">
        <f t="shared" si="25"/>
        <v>638.79999999999973</v>
      </c>
      <c r="L33" s="95">
        <f t="shared" si="25"/>
        <v>302.99999999999989</v>
      </c>
      <c r="M33" s="95">
        <f t="shared" si="25"/>
        <v>225.79999999999993</v>
      </c>
      <c r="N33" s="244">
        <f t="shared" si="25"/>
        <v>873.09999999999934</v>
      </c>
      <c r="O33" s="95">
        <f t="shared" si="25"/>
        <v>-173.99999999999991</v>
      </c>
      <c r="P33" s="95">
        <f t="shared" si="25"/>
        <v>248.20702956990834</v>
      </c>
      <c r="Q33" s="95">
        <f t="shared" si="25"/>
        <v>455.84847223687581</v>
      </c>
      <c r="R33" s="95">
        <f t="shared" si="25"/>
        <v>475.5566256313009</v>
      </c>
      <c r="S33" s="244">
        <f>S15+S18</f>
        <v>1005.6121274380849</v>
      </c>
      <c r="T33" s="244">
        <f>T15+T18</f>
        <v>1084.8548913415887</v>
      </c>
      <c r="U33" s="244">
        <f t="shared" si="25"/>
        <v>1229.9378141918996</v>
      </c>
      <c r="V33" s="244">
        <f t="shared" si="25"/>
        <v>1366.9252513083707</v>
      </c>
      <c r="W33" s="244">
        <f t="shared" si="25"/>
        <v>1410.416120375193</v>
      </c>
    </row>
    <row r="34" spans="1:23" s="14" customFormat="1" x14ac:dyDescent="0.25">
      <c r="A34" s="112"/>
      <c r="B34" s="113"/>
      <c r="C34" s="151"/>
      <c r="D34" s="151"/>
      <c r="E34" s="151"/>
      <c r="F34" s="151"/>
      <c r="G34" s="151"/>
      <c r="H34" s="151"/>
      <c r="I34" s="151"/>
      <c r="J34" s="151"/>
      <c r="K34" s="151"/>
      <c r="L34" s="151"/>
      <c r="M34" s="151"/>
      <c r="N34" s="151"/>
      <c r="O34" s="151"/>
      <c r="P34" s="151"/>
      <c r="Q34" s="212"/>
      <c r="R34" s="223"/>
      <c r="S34" s="212"/>
      <c r="T34" s="212"/>
      <c r="U34" s="212"/>
      <c r="V34" s="212"/>
      <c r="W34" s="212"/>
    </row>
    <row r="35" spans="1:23" s="14" customFormat="1" x14ac:dyDescent="0.25">
      <c r="A35" s="112"/>
      <c r="B35" s="113"/>
      <c r="C35" s="151"/>
      <c r="D35" s="151"/>
      <c r="E35" s="151"/>
      <c r="F35" s="151"/>
      <c r="G35" s="151"/>
      <c r="H35" s="151"/>
      <c r="I35" s="162"/>
      <c r="J35" s="162">
        <f>J33+H33+G33+F33</f>
        <v>1049.8</v>
      </c>
      <c r="K35" s="162">
        <f>SUM(J33:K33)+SUM(G33:H33)</f>
        <v>858.59999999999957</v>
      </c>
      <c r="L35" s="162">
        <f>SUM(J33:L33)+H33</f>
        <v>793.89999999999952</v>
      </c>
      <c r="M35" s="162">
        <f>SUM(J33:M33)</f>
        <v>873.09999999999945</v>
      </c>
      <c r="N35" s="162"/>
      <c r="O35" s="151"/>
      <c r="P35" s="151"/>
      <c r="Q35" s="212"/>
      <c r="R35" s="223"/>
      <c r="S35" s="212"/>
      <c r="T35" s="212"/>
      <c r="U35" s="212"/>
      <c r="V35" s="212"/>
      <c r="W35" s="212"/>
    </row>
    <row r="36" spans="1:23" s="17" customFormat="1" x14ac:dyDescent="0.25">
      <c r="A36" s="112"/>
      <c r="B36" s="117"/>
      <c r="C36" s="150"/>
      <c r="D36" s="150"/>
      <c r="E36" s="150"/>
      <c r="F36" s="150"/>
      <c r="G36" s="150"/>
      <c r="H36" s="150"/>
      <c r="I36" s="163"/>
      <c r="J36" s="163">
        <f>BS!J27+BS!J23</f>
        <v>7442.7</v>
      </c>
      <c r="K36" s="163">
        <f>BS!K27+BS!K23</f>
        <v>6946.7999999999993</v>
      </c>
      <c r="L36" s="163">
        <f>BS!L27+BS!L23</f>
        <v>6717.7999999999993</v>
      </c>
      <c r="M36" s="163">
        <f>BS!M27+BS!M23</f>
        <v>6706.3</v>
      </c>
      <c r="N36" s="163"/>
      <c r="O36" s="150"/>
      <c r="P36" s="150"/>
      <c r="Q36" s="224"/>
      <c r="R36" s="225"/>
      <c r="S36" s="224"/>
      <c r="T36" s="224"/>
      <c r="U36" s="224"/>
      <c r="V36" s="224"/>
      <c r="W36" s="224"/>
    </row>
    <row r="37" spans="1:23" s="17" customFormat="1" x14ac:dyDescent="0.25">
      <c r="A37" s="112"/>
      <c r="B37" s="117"/>
      <c r="C37" s="150"/>
      <c r="D37" s="150"/>
      <c r="E37" s="150"/>
      <c r="F37" s="150"/>
      <c r="G37" s="150"/>
      <c r="H37" s="150"/>
      <c r="I37" s="163"/>
      <c r="J37" s="164">
        <f>J35/J36</f>
        <v>0.14105096268827172</v>
      </c>
      <c r="K37" s="164">
        <f t="shared" ref="K37:M37" si="26">K35/K36</f>
        <v>0.12359647607531521</v>
      </c>
      <c r="L37" s="164">
        <f t="shared" si="26"/>
        <v>0.11817857036529811</v>
      </c>
      <c r="M37" s="164">
        <f t="shared" si="26"/>
        <v>0.1301910144192773</v>
      </c>
      <c r="N37" s="163"/>
      <c r="O37" s="150"/>
      <c r="P37" s="150"/>
      <c r="Q37" s="224"/>
      <c r="R37" s="225"/>
      <c r="S37" s="224"/>
      <c r="T37" s="224"/>
      <c r="U37" s="224"/>
      <c r="V37" s="224"/>
      <c r="W37" s="224"/>
    </row>
    <row r="38" spans="1:23" s="14" customFormat="1" ht="36.75" hidden="1" x14ac:dyDescent="0.25">
      <c r="A38" s="112" t="s">
        <v>305</v>
      </c>
      <c r="B38" s="113" t="s">
        <v>306</v>
      </c>
      <c r="C38" s="151">
        <f>_xll.BDP($A$1, $A38, "EQY_FUND_RELATIVE_PERIOD", C$4)</f>
        <v>8.5</v>
      </c>
      <c r="D38" s="151">
        <f>_xll.BDP($A$1, $A38, "EQY_FUND_RELATIVE_PERIOD", D$4)</f>
        <v>24.2</v>
      </c>
      <c r="E38" s="151">
        <f>_xll.BDP($A$1, $A38, "EQY_FUND_RELATIVE_PERIOD", E$4)</f>
        <v>33.6</v>
      </c>
      <c r="F38" s="151">
        <f>_xll.BDP($A$1, $A38, "EQY_FUND_RELATIVE_PERIOD", F$4)</f>
        <v>33.6</v>
      </c>
      <c r="G38" s="151">
        <f>_xll.BDP($A$1, $A38, "EQY_FUND_RELATIVE_PERIOD", G$4)</f>
        <v>33.6</v>
      </c>
      <c r="H38" s="151">
        <f>_xll.BDP($A$1, $A38, "EQY_FUND_RELATIVE_PERIOD", H$4)</f>
        <v>33.6</v>
      </c>
      <c r="I38" s="151">
        <f>_xll.BDP($A$1, $A38, "EQY_FUND_RELATIVE_PERIOD", I$4)</f>
        <v>32.1</v>
      </c>
      <c r="J38" s="151" cm="1">
        <f t="array" ref="J38">_xll.BDP($A$1, $A38, "EQY_FUND_YEAR", J$3, "FUND_PER", J$2)</f>
        <v>8.5</v>
      </c>
      <c r="K38" s="151" cm="1">
        <f t="array" ref="K38">_xll.BDP($A$1, $A38, "EQY_FUND_YEAR", K$3, "FUND_PER", K$2)</f>
        <v>8.4</v>
      </c>
      <c r="L38" s="151" cm="1">
        <f t="array" ref="L38">_xll.BDP($A$1, $A38, "EQY_FUND_YEAR", L$3, "FUND_PER", L$2)</f>
        <v>8.7999999999999989</v>
      </c>
      <c r="M38" s="151" cm="1">
        <f t="array" ref="M38">_xll.BDP($A$1, $A38, "EQY_FUND_YEAR", M$3, "FUND_PER", M$2)</f>
        <v>7.8999999999999995</v>
      </c>
      <c r="N38" s="151">
        <f>SUM(J38:M38)</f>
        <v>33.599999999999994</v>
      </c>
      <c r="O38" s="151">
        <v>9.8000000000000007</v>
      </c>
      <c r="P38" s="151">
        <v>10</v>
      </c>
      <c r="Q38" s="212">
        <v>10</v>
      </c>
      <c r="R38" s="223">
        <v>10</v>
      </c>
      <c r="S38" s="212">
        <f>SUM(O38:R38)</f>
        <v>39.799999999999997</v>
      </c>
      <c r="T38" s="212">
        <v>45</v>
      </c>
      <c r="U38" s="212">
        <v>50</v>
      </c>
      <c r="V38" s="212">
        <v>55</v>
      </c>
      <c r="W38" s="212">
        <v>60</v>
      </c>
    </row>
    <row r="39" spans="1:23" s="17" customFormat="1" hidden="1" x14ac:dyDescent="0.25">
      <c r="A39" s="80"/>
      <c r="B39" s="52" t="s">
        <v>307</v>
      </c>
      <c r="C39" s="226"/>
      <c r="D39" s="226"/>
      <c r="E39" s="226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226"/>
      <c r="Q39" s="227"/>
      <c r="R39" s="228"/>
      <c r="S39" s="227"/>
      <c r="T39" s="227"/>
      <c r="U39" s="227"/>
      <c r="V39" s="227"/>
      <c r="W39" s="227"/>
    </row>
    <row r="40" spans="1:23" s="14" customFormat="1" hidden="1" x14ac:dyDescent="0.25">
      <c r="A40" s="80"/>
      <c r="B40" s="76" t="s">
        <v>308</v>
      </c>
      <c r="C40" s="229">
        <f>C23/IS!C27</f>
        <v>-1.7558957385188274</v>
      </c>
      <c r="D40" s="229">
        <f>D23/IS!D27</f>
        <v>0.13203371970495262</v>
      </c>
      <c r="E40" s="229">
        <f>E23/IS!E27</f>
        <v>0</v>
      </c>
      <c r="F40" s="229">
        <f>F23/IS!F27</f>
        <v>0</v>
      </c>
      <c r="G40" s="229">
        <f>G23/IS!G27</f>
        <v>0</v>
      </c>
      <c r="H40" s="229">
        <f>H23/IS!H27</f>
        <v>0</v>
      </c>
      <c r="I40" s="229">
        <f>I23/IS!I27</f>
        <v>-0.14696231480560781</v>
      </c>
      <c r="J40" s="229">
        <f>J23/IS!J27</f>
        <v>-0.39826002899951679</v>
      </c>
      <c r="K40" s="229">
        <f>K23/IS!K27</f>
        <v>-1.9141531322505856</v>
      </c>
      <c r="L40" s="229">
        <f>L23/IS!L27</f>
        <v>-0.40373280943025575</v>
      </c>
      <c r="M40" s="229">
        <f>M23/IS!M27</f>
        <v>0.13076678332803054</v>
      </c>
      <c r="N40" s="229">
        <f>N23/IS!N27</f>
        <v>1.8817142857142821</v>
      </c>
      <c r="O40" s="229">
        <f>O23/IS!O27</f>
        <v>-1.2309820193637604</v>
      </c>
      <c r="P40" s="229">
        <f>P23/IS!P27</f>
        <v>-1.2053983214777531</v>
      </c>
      <c r="Q40" s="229">
        <f>Q23/IS!Q27</f>
        <v>-0.39827247510022518</v>
      </c>
      <c r="R40" s="229">
        <f>R23/IS!R27</f>
        <v>-0.41592084895432313</v>
      </c>
      <c r="S40" s="229">
        <f>S23/IS!S27</f>
        <v>-0.59498252450010181</v>
      </c>
      <c r="T40" s="229">
        <f>T23/IS!T27</f>
        <v>-0.52361433538246471</v>
      </c>
      <c r="U40" s="229">
        <f>U23/IS!U27</f>
        <v>-0.4962533924733345</v>
      </c>
      <c r="V40" s="229">
        <f>V23/IS!V27</f>
        <v>-0.47899455876260894</v>
      </c>
      <c r="W40" s="229">
        <f>W23/IS!W27</f>
        <v>-0.48575047892978618</v>
      </c>
    </row>
    <row r="41" spans="1:23" s="14" customFormat="1" hidden="1" x14ac:dyDescent="0.25">
      <c r="A41" s="80"/>
      <c r="B41" s="76"/>
      <c r="C41" s="153"/>
      <c r="D41" s="153"/>
      <c r="E41" s="153"/>
      <c r="F41" s="153"/>
      <c r="G41" s="153"/>
      <c r="H41" s="153"/>
      <c r="I41" s="153"/>
      <c r="J41" s="153"/>
      <c r="K41" s="153"/>
      <c r="L41" s="153"/>
      <c r="M41" s="153"/>
      <c r="N41" s="153"/>
      <c r="O41" s="153"/>
      <c r="P41" s="153"/>
      <c r="Q41" s="157"/>
      <c r="R41" s="221"/>
      <c r="S41" s="157"/>
      <c r="T41" s="157"/>
      <c r="U41" s="157"/>
      <c r="V41" s="157"/>
      <c r="W41" s="157"/>
    </row>
    <row r="42" spans="1:23" s="14" customFormat="1" x14ac:dyDescent="0.25">
      <c r="A42" s="80"/>
      <c r="B42" s="76"/>
      <c r="C42" s="153"/>
      <c r="D42" s="153"/>
      <c r="E42" s="153"/>
      <c r="F42" s="153"/>
      <c r="G42" s="153"/>
      <c r="H42" s="153"/>
      <c r="I42" s="153"/>
      <c r="J42" s="153"/>
      <c r="K42" s="153"/>
      <c r="L42" s="153"/>
      <c r="M42" s="153"/>
      <c r="N42" s="153"/>
      <c r="O42" s="153"/>
      <c r="P42" s="153"/>
      <c r="Q42" s="157"/>
      <c r="R42" s="221"/>
      <c r="S42" s="157"/>
      <c r="T42" s="157"/>
      <c r="U42" s="157"/>
      <c r="V42" s="157"/>
      <c r="W42" s="157"/>
    </row>
    <row r="43" spans="1:23" s="14" customFormat="1" x14ac:dyDescent="0.25">
      <c r="A43" s="80"/>
      <c r="B43" s="76"/>
      <c r="C43" s="153"/>
      <c r="D43" s="153"/>
      <c r="E43" s="153"/>
      <c r="F43" s="153"/>
      <c r="G43" s="153"/>
      <c r="H43" s="153"/>
      <c r="I43" s="153"/>
      <c r="J43" s="153"/>
      <c r="K43" s="153"/>
      <c r="L43" s="153"/>
      <c r="M43" s="153"/>
      <c r="N43" s="153"/>
      <c r="O43" s="153"/>
      <c r="P43" s="153"/>
      <c r="Q43" s="157"/>
      <c r="R43" s="221"/>
      <c r="S43" s="157"/>
      <c r="T43" s="157"/>
      <c r="U43" s="157"/>
      <c r="V43" s="157"/>
      <c r="W43" s="157"/>
    </row>
    <row r="44" spans="1:23" s="14" customFormat="1" x14ac:dyDescent="0.25">
      <c r="A44" s="80"/>
      <c r="B44" s="76"/>
      <c r="C44" s="153"/>
      <c r="D44" s="153"/>
      <c r="E44" s="153"/>
      <c r="F44" s="153"/>
      <c r="G44" s="153"/>
      <c r="H44" s="153"/>
      <c r="I44" s="153"/>
      <c r="J44" s="153"/>
      <c r="K44" s="153"/>
      <c r="L44" s="153"/>
      <c r="M44" s="153"/>
      <c r="N44" s="153"/>
      <c r="O44" s="153"/>
      <c r="P44" s="153"/>
      <c r="Q44" s="157"/>
      <c r="R44" s="221"/>
      <c r="S44" s="157"/>
      <c r="T44" s="157"/>
      <c r="U44" s="157"/>
      <c r="V44" s="157"/>
      <c r="W44" s="157"/>
    </row>
    <row r="45" spans="1:23" s="14" customFormat="1" x14ac:dyDescent="0.25">
      <c r="A45" s="80"/>
      <c r="B45" s="76"/>
      <c r="C45" s="230"/>
      <c r="D45" s="230"/>
      <c r="E45" s="230"/>
      <c r="F45" s="230"/>
      <c r="G45" s="230"/>
      <c r="H45" s="230"/>
      <c r="I45" s="230"/>
      <c r="J45" s="230"/>
      <c r="K45" s="230"/>
      <c r="L45" s="230"/>
      <c r="M45" s="230"/>
      <c r="N45" s="230"/>
      <c r="O45" s="230"/>
      <c r="P45" s="230"/>
      <c r="Q45" s="157"/>
      <c r="R45" s="221"/>
      <c r="S45" s="157"/>
      <c r="T45" s="157"/>
      <c r="U45" s="157"/>
      <c r="V45" s="157"/>
      <c r="W45" s="157"/>
    </row>
    <row r="46" spans="1:23" s="14" customFormat="1" x14ac:dyDescent="0.25">
      <c r="A46" s="80"/>
      <c r="B46" s="76"/>
      <c r="C46" s="231"/>
      <c r="D46" s="231"/>
      <c r="E46" s="231"/>
      <c r="F46" s="231"/>
      <c r="G46" s="231"/>
      <c r="H46" s="231"/>
      <c r="I46" s="231"/>
      <c r="J46" s="231"/>
      <c r="K46" s="231"/>
      <c r="L46" s="231"/>
      <c r="M46" s="231"/>
      <c r="N46" s="231"/>
      <c r="O46" s="231"/>
      <c r="P46" s="231"/>
      <c r="Q46" s="157"/>
      <c r="R46" s="221"/>
      <c r="S46" s="157"/>
      <c r="T46" s="157"/>
      <c r="U46" s="157"/>
      <c r="V46" s="157"/>
      <c r="W46" s="157"/>
    </row>
    <row r="47" spans="1:23" s="14" customFormat="1" x14ac:dyDescent="0.25">
      <c r="A47" s="80"/>
      <c r="B47" s="76"/>
      <c r="C47" s="231"/>
      <c r="D47" s="231"/>
      <c r="E47" s="231"/>
      <c r="F47" s="231"/>
      <c r="G47" s="231"/>
      <c r="H47" s="231"/>
      <c r="I47" s="231"/>
      <c r="J47" s="231"/>
      <c r="K47" s="231"/>
      <c r="L47" s="231"/>
      <c r="M47" s="231"/>
      <c r="N47" s="231"/>
      <c r="O47" s="231"/>
      <c r="P47" s="231"/>
      <c r="Q47" s="157"/>
      <c r="R47" s="221"/>
      <c r="S47" s="157"/>
      <c r="T47" s="157"/>
      <c r="U47" s="157"/>
      <c r="V47" s="157"/>
      <c r="W47" s="157"/>
    </row>
    <row r="48" spans="1:23" s="14" customFormat="1" x14ac:dyDescent="0.25">
      <c r="A48" s="80"/>
      <c r="B48" s="76"/>
      <c r="C48" s="153"/>
      <c r="D48" s="153"/>
      <c r="E48" s="153"/>
      <c r="F48" s="153"/>
      <c r="G48" s="153"/>
      <c r="H48" s="153"/>
      <c r="I48" s="153"/>
      <c r="J48" s="153"/>
      <c r="K48" s="153"/>
      <c r="L48" s="153"/>
      <c r="M48" s="153"/>
      <c r="N48" s="153"/>
      <c r="O48" s="153"/>
      <c r="P48" s="153"/>
      <c r="Q48" s="157"/>
      <c r="R48" s="221"/>
      <c r="S48" s="157"/>
      <c r="T48" s="157"/>
      <c r="U48" s="157"/>
      <c r="V48" s="157"/>
      <c r="W48" s="157"/>
    </row>
    <row r="49" spans="1:23" s="11" customFormat="1" x14ac:dyDescent="0.25">
      <c r="A49" s="80"/>
      <c r="B49" s="51"/>
      <c r="C49" s="155"/>
      <c r="D49" s="155"/>
      <c r="E49" s="155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232"/>
      <c r="R49" s="232"/>
      <c r="S49" s="232"/>
      <c r="T49" s="232"/>
      <c r="U49" s="232"/>
      <c r="V49" s="232"/>
      <c r="W49" s="232"/>
    </row>
    <row r="50" spans="1:23" s="11" customFormat="1" x14ac:dyDescent="0.25">
      <c r="A50" s="80"/>
      <c r="C50" s="155"/>
      <c r="D50" s="155"/>
      <c r="E50" s="155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232"/>
      <c r="R50" s="232"/>
      <c r="S50" s="232"/>
      <c r="T50" s="232"/>
      <c r="U50" s="232"/>
      <c r="V50" s="232"/>
      <c r="W50" s="232"/>
    </row>
    <row r="51" spans="1:23" s="11" customFormat="1" x14ac:dyDescent="0.25">
      <c r="A51" s="80"/>
      <c r="C51" s="155"/>
      <c r="D51" s="155"/>
      <c r="E51" s="155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232"/>
      <c r="R51" s="232"/>
      <c r="S51" s="232"/>
      <c r="T51" s="232"/>
      <c r="U51" s="232"/>
      <c r="V51" s="232"/>
      <c r="W51" s="232"/>
    </row>
    <row r="52" spans="1:23" s="11" customFormat="1" x14ac:dyDescent="0.25">
      <c r="C52" s="155"/>
      <c r="D52" s="155"/>
      <c r="E52" s="155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232"/>
      <c r="R52" s="232"/>
      <c r="S52" s="232"/>
      <c r="T52" s="232"/>
      <c r="U52" s="232"/>
      <c r="V52" s="232"/>
      <c r="W52" s="232"/>
    </row>
    <row r="53" spans="1:23" s="22" customFormat="1" x14ac:dyDescent="0.25">
      <c r="B53" s="85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233"/>
      <c r="R53" s="234"/>
      <c r="S53" s="233"/>
      <c r="T53" s="233"/>
      <c r="U53" s="233"/>
      <c r="V53" s="233"/>
      <c r="W53" s="233"/>
    </row>
    <row r="54" spans="1:23" s="14" customFormat="1" x14ac:dyDescent="0.25">
      <c r="B54" s="76"/>
      <c r="C54" s="153"/>
      <c r="D54" s="153"/>
      <c r="E54" s="153"/>
      <c r="F54" s="153"/>
      <c r="G54" s="153"/>
      <c r="H54" s="153"/>
      <c r="I54" s="153"/>
      <c r="J54" s="153"/>
      <c r="K54" s="153"/>
      <c r="L54" s="153"/>
      <c r="M54" s="153"/>
      <c r="N54" s="153"/>
      <c r="O54" s="153"/>
      <c r="P54" s="153"/>
      <c r="Q54" s="157"/>
      <c r="R54" s="221"/>
      <c r="S54" s="157"/>
      <c r="T54" s="157"/>
      <c r="U54" s="157"/>
      <c r="V54" s="157"/>
      <c r="W54" s="157"/>
    </row>
    <row r="55" spans="1:23" s="14" customFormat="1" x14ac:dyDescent="0.25">
      <c r="B55" s="76"/>
      <c r="C55" s="153"/>
      <c r="D55" s="153"/>
      <c r="E55" s="153"/>
      <c r="F55" s="153"/>
      <c r="G55" s="153"/>
      <c r="H55" s="153"/>
      <c r="I55" s="153"/>
      <c r="J55" s="153"/>
      <c r="K55" s="153"/>
      <c r="L55" s="153"/>
      <c r="M55" s="153"/>
      <c r="N55" s="153"/>
      <c r="O55" s="153"/>
      <c r="P55" s="153"/>
      <c r="Q55" s="157"/>
      <c r="R55" s="221"/>
      <c r="S55" s="157"/>
      <c r="T55" s="157"/>
      <c r="U55" s="157"/>
      <c r="V55" s="157"/>
      <c r="W55" s="157"/>
    </row>
    <row r="56" spans="1:23" s="14" customFormat="1" x14ac:dyDescent="0.25">
      <c r="B56" s="76"/>
      <c r="C56" s="153"/>
      <c r="D56" s="153"/>
      <c r="E56" s="153"/>
      <c r="F56" s="153"/>
      <c r="G56" s="153"/>
      <c r="H56" s="153"/>
      <c r="I56" s="153"/>
      <c r="J56" s="153"/>
      <c r="K56" s="153"/>
      <c r="L56" s="153"/>
      <c r="M56" s="153"/>
      <c r="N56" s="153"/>
      <c r="O56" s="153"/>
      <c r="P56" s="153"/>
      <c r="Q56" s="157"/>
      <c r="R56" s="221"/>
      <c r="S56" s="157"/>
      <c r="T56" s="157"/>
      <c r="U56" s="157"/>
      <c r="V56" s="157"/>
      <c r="W56" s="157"/>
    </row>
    <row r="57" spans="1:23" s="14" customFormat="1" x14ac:dyDescent="0.25">
      <c r="B57" s="76"/>
      <c r="C57" s="153"/>
      <c r="D57" s="153"/>
      <c r="E57" s="153"/>
      <c r="F57" s="153"/>
      <c r="G57" s="153"/>
      <c r="H57" s="153"/>
      <c r="I57" s="153"/>
      <c r="J57" s="153"/>
      <c r="K57" s="153"/>
      <c r="L57" s="153"/>
      <c r="M57" s="153"/>
      <c r="N57" s="153"/>
      <c r="O57" s="153"/>
      <c r="P57" s="153"/>
      <c r="Q57" s="157"/>
      <c r="R57" s="221"/>
      <c r="S57" s="157"/>
      <c r="T57" s="157"/>
      <c r="U57" s="157"/>
      <c r="V57" s="157"/>
      <c r="W57" s="157"/>
    </row>
    <row r="58" spans="1:23" s="14" customFormat="1" x14ac:dyDescent="0.25">
      <c r="B58" s="76"/>
      <c r="C58" s="153"/>
      <c r="D58" s="153"/>
      <c r="E58" s="153"/>
      <c r="F58" s="153"/>
      <c r="G58" s="153"/>
      <c r="H58" s="153"/>
      <c r="I58" s="153"/>
      <c r="J58" s="153"/>
      <c r="K58" s="153"/>
      <c r="L58" s="153"/>
      <c r="M58" s="153"/>
      <c r="N58" s="153"/>
      <c r="O58" s="153"/>
      <c r="P58" s="153"/>
      <c r="Q58" s="157"/>
      <c r="R58" s="221"/>
      <c r="S58" s="157"/>
      <c r="T58" s="157"/>
      <c r="U58" s="157"/>
      <c r="V58" s="157"/>
      <c r="W58" s="157"/>
    </row>
    <row r="59" spans="1:23" s="14" customFormat="1" x14ac:dyDescent="0.25">
      <c r="B59" s="76"/>
      <c r="C59" s="153"/>
      <c r="D59" s="153"/>
      <c r="E59" s="153"/>
      <c r="F59" s="153"/>
      <c r="G59" s="153"/>
      <c r="H59" s="153"/>
      <c r="I59" s="153"/>
      <c r="J59" s="153"/>
      <c r="K59" s="153"/>
      <c r="L59" s="153"/>
      <c r="M59" s="153"/>
      <c r="N59" s="153"/>
      <c r="O59" s="153"/>
      <c r="P59" s="153"/>
      <c r="Q59" s="157"/>
      <c r="R59" s="221"/>
      <c r="S59" s="157"/>
      <c r="T59" s="157"/>
      <c r="U59" s="157"/>
      <c r="V59" s="157"/>
      <c r="W59" s="157"/>
    </row>
    <row r="60" spans="1:23" s="14" customFormat="1" x14ac:dyDescent="0.25">
      <c r="B60" s="76"/>
      <c r="C60" s="153"/>
      <c r="D60" s="153"/>
      <c r="E60" s="153"/>
      <c r="F60" s="153"/>
      <c r="G60" s="153"/>
      <c r="H60" s="153"/>
      <c r="I60" s="153"/>
      <c r="J60" s="153"/>
      <c r="K60" s="153"/>
      <c r="L60" s="153"/>
      <c r="M60" s="153"/>
      <c r="N60" s="153"/>
      <c r="O60" s="153"/>
      <c r="P60" s="153"/>
      <c r="Q60" s="157"/>
      <c r="R60" s="221"/>
      <c r="S60" s="157"/>
      <c r="T60" s="157"/>
      <c r="U60" s="157"/>
      <c r="V60" s="157"/>
      <c r="W60" s="157"/>
    </row>
    <row r="61" spans="1:23" s="14" customFormat="1" x14ac:dyDescent="0.25">
      <c r="B61" s="76"/>
      <c r="C61" s="153"/>
      <c r="D61" s="153"/>
      <c r="E61" s="153"/>
      <c r="F61" s="153"/>
      <c r="G61" s="153"/>
      <c r="H61" s="153"/>
      <c r="I61" s="153"/>
      <c r="J61" s="153"/>
      <c r="K61" s="153"/>
      <c r="L61" s="153"/>
      <c r="M61" s="153"/>
      <c r="N61" s="153"/>
      <c r="O61" s="153"/>
      <c r="P61" s="153"/>
      <c r="Q61" s="157"/>
      <c r="R61" s="221"/>
      <c r="S61" s="157"/>
      <c r="T61" s="157"/>
      <c r="U61" s="157"/>
      <c r="V61" s="157"/>
      <c r="W61" s="157"/>
    </row>
    <row r="62" spans="1:23" s="14" customFormat="1" x14ac:dyDescent="0.25">
      <c r="B62" s="76"/>
      <c r="C62" s="153"/>
      <c r="D62" s="153"/>
      <c r="E62" s="153"/>
      <c r="F62" s="153"/>
      <c r="G62" s="153"/>
      <c r="H62" s="153"/>
      <c r="I62" s="153"/>
      <c r="J62" s="153"/>
      <c r="K62" s="153"/>
      <c r="L62" s="153"/>
      <c r="M62" s="153"/>
      <c r="N62" s="153"/>
      <c r="O62" s="153"/>
      <c r="P62" s="153"/>
      <c r="Q62" s="157"/>
      <c r="R62" s="221"/>
      <c r="S62" s="157"/>
      <c r="T62" s="157"/>
      <c r="U62" s="157"/>
      <c r="V62" s="157"/>
      <c r="W62" s="157"/>
    </row>
    <row r="63" spans="1:23" s="14" customFormat="1" x14ac:dyDescent="0.25">
      <c r="B63" s="76"/>
      <c r="C63" s="153"/>
      <c r="D63" s="153"/>
      <c r="E63" s="153"/>
      <c r="F63" s="153"/>
      <c r="G63" s="153"/>
      <c r="H63" s="153"/>
      <c r="I63" s="153"/>
      <c r="J63" s="153"/>
      <c r="K63" s="153"/>
      <c r="L63" s="153"/>
      <c r="M63" s="153"/>
      <c r="N63" s="153"/>
      <c r="O63" s="153"/>
      <c r="P63" s="153"/>
      <c r="Q63" s="157"/>
      <c r="R63" s="221"/>
      <c r="S63" s="157"/>
      <c r="T63" s="157"/>
      <c r="U63" s="157"/>
      <c r="V63" s="157"/>
      <c r="W63" s="157"/>
    </row>
    <row r="64" spans="1:23" s="14" customFormat="1" x14ac:dyDescent="0.25">
      <c r="B64" s="76"/>
      <c r="C64" s="153"/>
      <c r="D64" s="153"/>
      <c r="E64" s="153"/>
      <c r="F64" s="153"/>
      <c r="G64" s="153"/>
      <c r="H64" s="153"/>
      <c r="I64" s="153"/>
      <c r="J64" s="153"/>
      <c r="K64" s="153"/>
      <c r="L64" s="153"/>
      <c r="M64" s="153"/>
      <c r="N64" s="153"/>
      <c r="O64" s="153"/>
      <c r="P64" s="153"/>
      <c r="Q64" s="157"/>
      <c r="R64" s="221"/>
      <c r="S64" s="157"/>
      <c r="T64" s="157"/>
      <c r="U64" s="157"/>
      <c r="V64" s="157"/>
      <c r="W64" s="157"/>
    </row>
    <row r="65" spans="2:23" s="14" customFormat="1" x14ac:dyDescent="0.25">
      <c r="B65" s="76"/>
      <c r="C65" s="153"/>
      <c r="D65" s="153"/>
      <c r="E65" s="153"/>
      <c r="F65" s="153"/>
      <c r="G65" s="153"/>
      <c r="H65" s="153"/>
      <c r="I65" s="153"/>
      <c r="J65" s="153"/>
      <c r="K65" s="153"/>
      <c r="L65" s="153"/>
      <c r="M65" s="153"/>
      <c r="N65" s="153"/>
      <c r="O65" s="153"/>
      <c r="P65" s="153"/>
      <c r="Q65" s="157"/>
      <c r="R65" s="221"/>
      <c r="S65" s="157"/>
      <c r="T65" s="157"/>
      <c r="U65" s="157"/>
      <c r="V65" s="157"/>
      <c r="W65" s="157"/>
    </row>
    <row r="66" spans="2:23" s="14" customFormat="1" x14ac:dyDescent="0.25">
      <c r="B66" s="76"/>
      <c r="C66" s="153"/>
      <c r="D66" s="153"/>
      <c r="E66" s="153"/>
      <c r="F66" s="153"/>
      <c r="G66" s="153"/>
      <c r="H66" s="153"/>
      <c r="I66" s="153"/>
      <c r="J66" s="153"/>
      <c r="K66" s="153"/>
      <c r="L66" s="153"/>
      <c r="M66" s="153"/>
      <c r="N66" s="153"/>
      <c r="O66" s="153"/>
      <c r="P66" s="153"/>
      <c r="Q66" s="157"/>
      <c r="R66" s="221"/>
      <c r="S66" s="157"/>
      <c r="T66" s="157"/>
      <c r="U66" s="157"/>
      <c r="V66" s="157"/>
      <c r="W66" s="157"/>
    </row>
    <row r="67" spans="2:23" s="14" customFormat="1" x14ac:dyDescent="0.25">
      <c r="B67" s="76"/>
      <c r="C67" s="153"/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7"/>
      <c r="R67" s="221"/>
      <c r="S67" s="157"/>
      <c r="T67" s="157"/>
      <c r="U67" s="157"/>
      <c r="V67" s="157"/>
      <c r="W67" s="157"/>
    </row>
    <row r="68" spans="2:23" s="14" customFormat="1" x14ac:dyDescent="0.25">
      <c r="B68" s="76"/>
      <c r="C68" s="153"/>
      <c r="D68" s="153"/>
      <c r="E68" s="153"/>
      <c r="F68" s="153"/>
      <c r="G68" s="153"/>
      <c r="H68" s="153"/>
      <c r="I68" s="153"/>
      <c r="J68" s="153"/>
      <c r="K68" s="153"/>
      <c r="L68" s="153"/>
      <c r="M68" s="153"/>
      <c r="N68" s="153"/>
      <c r="O68" s="153"/>
      <c r="P68" s="153"/>
      <c r="Q68" s="157"/>
      <c r="R68" s="221"/>
      <c r="S68" s="157"/>
      <c r="T68" s="157"/>
      <c r="U68" s="157"/>
      <c r="V68" s="157"/>
      <c r="W68" s="157"/>
    </row>
    <row r="69" spans="2:23" s="14" customFormat="1" x14ac:dyDescent="0.25">
      <c r="B69" s="76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7"/>
      <c r="R69" s="221"/>
      <c r="S69" s="157"/>
      <c r="T69" s="157"/>
      <c r="U69" s="157"/>
      <c r="V69" s="157"/>
      <c r="W69" s="157"/>
    </row>
    <row r="70" spans="2:23" s="14" customFormat="1" x14ac:dyDescent="0.25">
      <c r="B70" s="76"/>
      <c r="C70" s="153"/>
      <c r="D70" s="153"/>
      <c r="E70" s="153"/>
      <c r="F70" s="153"/>
      <c r="G70" s="153"/>
      <c r="H70" s="153"/>
      <c r="I70" s="153"/>
      <c r="J70" s="153"/>
      <c r="K70" s="153"/>
      <c r="L70" s="153"/>
      <c r="M70" s="153"/>
      <c r="N70" s="153"/>
      <c r="O70" s="153"/>
      <c r="P70" s="153"/>
      <c r="Q70" s="157"/>
      <c r="R70" s="221"/>
      <c r="S70" s="157"/>
      <c r="T70" s="157"/>
      <c r="U70" s="157"/>
      <c r="V70" s="157"/>
      <c r="W70" s="157"/>
    </row>
    <row r="71" spans="2:23" s="14" customFormat="1" x14ac:dyDescent="0.25">
      <c r="B71" s="76"/>
      <c r="C71" s="153"/>
      <c r="D71" s="153"/>
      <c r="E71" s="153"/>
      <c r="F71" s="153"/>
      <c r="G71" s="153"/>
      <c r="H71" s="153"/>
      <c r="I71" s="153"/>
      <c r="J71" s="153"/>
      <c r="K71" s="153"/>
      <c r="L71" s="153"/>
      <c r="M71" s="153"/>
      <c r="N71" s="153"/>
      <c r="O71" s="153"/>
      <c r="P71" s="153"/>
      <c r="Q71" s="157"/>
      <c r="R71" s="221"/>
      <c r="S71" s="157"/>
      <c r="T71" s="157"/>
      <c r="U71" s="157"/>
      <c r="V71" s="157"/>
      <c r="W71" s="157"/>
    </row>
    <row r="72" spans="2:23" s="14" customFormat="1" x14ac:dyDescent="0.25">
      <c r="B72" s="76"/>
      <c r="C72" s="153"/>
      <c r="D72" s="153"/>
      <c r="E72" s="153"/>
      <c r="F72" s="153"/>
      <c r="G72" s="153"/>
      <c r="H72" s="153"/>
      <c r="I72" s="153"/>
      <c r="J72" s="153"/>
      <c r="K72" s="153"/>
      <c r="L72" s="153"/>
      <c r="M72" s="153"/>
      <c r="N72" s="153"/>
      <c r="O72" s="153"/>
      <c r="P72" s="153"/>
      <c r="Q72" s="157"/>
      <c r="R72" s="221"/>
      <c r="S72" s="157"/>
      <c r="T72" s="157"/>
      <c r="U72" s="157"/>
      <c r="V72" s="157"/>
      <c r="W72" s="157"/>
    </row>
    <row r="73" spans="2:23" s="14" customFormat="1" x14ac:dyDescent="0.25">
      <c r="B73" s="76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7"/>
      <c r="R73" s="221"/>
      <c r="S73" s="157"/>
      <c r="T73" s="157"/>
      <c r="U73" s="157"/>
      <c r="V73" s="157"/>
      <c r="W73" s="157"/>
    </row>
    <row r="74" spans="2:23" s="14" customFormat="1" x14ac:dyDescent="0.25">
      <c r="B74" s="76"/>
      <c r="C74" s="153"/>
      <c r="D74" s="153"/>
      <c r="E74" s="153"/>
      <c r="F74" s="153"/>
      <c r="G74" s="153"/>
      <c r="H74" s="153"/>
      <c r="I74" s="153"/>
      <c r="J74" s="153"/>
      <c r="K74" s="153"/>
      <c r="L74" s="153"/>
      <c r="M74" s="153"/>
      <c r="N74" s="153"/>
      <c r="O74" s="153"/>
      <c r="P74" s="153"/>
      <c r="Q74" s="157"/>
      <c r="R74" s="221"/>
      <c r="S74" s="157"/>
      <c r="T74" s="157"/>
      <c r="U74" s="157"/>
      <c r="V74" s="157"/>
      <c r="W74" s="157"/>
    </row>
    <row r="75" spans="2:23" s="14" customFormat="1" x14ac:dyDescent="0.25">
      <c r="B75" s="76"/>
      <c r="C75" s="153"/>
      <c r="D75" s="153"/>
      <c r="E75" s="153"/>
      <c r="F75" s="153"/>
      <c r="G75" s="153"/>
      <c r="H75" s="153"/>
      <c r="I75" s="153"/>
      <c r="J75" s="153"/>
      <c r="K75" s="153"/>
      <c r="L75" s="153"/>
      <c r="M75" s="153"/>
      <c r="N75" s="153"/>
      <c r="O75" s="153"/>
      <c r="P75" s="153"/>
      <c r="Q75" s="157"/>
      <c r="R75" s="221"/>
      <c r="S75" s="157"/>
      <c r="T75" s="157"/>
      <c r="U75" s="157"/>
      <c r="V75" s="157"/>
      <c r="W75" s="157"/>
    </row>
    <row r="76" spans="2:23" s="14" customFormat="1" x14ac:dyDescent="0.25">
      <c r="B76" s="76"/>
      <c r="C76" s="153"/>
      <c r="D76" s="153"/>
      <c r="E76" s="153"/>
      <c r="F76" s="153"/>
      <c r="G76" s="153"/>
      <c r="H76" s="153"/>
      <c r="I76" s="153"/>
      <c r="J76" s="153"/>
      <c r="K76" s="153"/>
      <c r="L76" s="153"/>
      <c r="M76" s="153"/>
      <c r="N76" s="153"/>
      <c r="O76" s="153"/>
      <c r="P76" s="153"/>
      <c r="Q76" s="157"/>
      <c r="R76" s="221"/>
      <c r="S76" s="157"/>
      <c r="T76" s="157"/>
      <c r="U76" s="157"/>
      <c r="V76" s="157"/>
      <c r="W76" s="157"/>
    </row>
    <row r="77" spans="2:23" s="14" customFormat="1" x14ac:dyDescent="0.25">
      <c r="B77" s="76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7"/>
      <c r="R77" s="221"/>
      <c r="S77" s="157"/>
      <c r="T77" s="157"/>
      <c r="U77" s="157"/>
      <c r="V77" s="157"/>
      <c r="W77" s="157"/>
    </row>
    <row r="78" spans="2:23" s="14" customFormat="1" x14ac:dyDescent="0.25">
      <c r="B78" s="76"/>
      <c r="C78" s="153"/>
      <c r="D78" s="153"/>
      <c r="E78" s="153"/>
      <c r="F78" s="153"/>
      <c r="G78" s="153"/>
      <c r="H78" s="153"/>
      <c r="I78" s="153"/>
      <c r="J78" s="153"/>
      <c r="K78" s="153"/>
      <c r="L78" s="153"/>
      <c r="M78" s="153"/>
      <c r="N78" s="153"/>
      <c r="O78" s="153"/>
      <c r="P78" s="153"/>
      <c r="Q78" s="157"/>
      <c r="R78" s="221"/>
      <c r="S78" s="157"/>
      <c r="T78" s="157"/>
      <c r="U78" s="157"/>
      <c r="V78" s="157"/>
      <c r="W78" s="157"/>
    </row>
    <row r="79" spans="2:23" s="14" customFormat="1" x14ac:dyDescent="0.25">
      <c r="B79" s="76"/>
      <c r="C79" s="153"/>
      <c r="D79" s="153"/>
      <c r="E79" s="153"/>
      <c r="F79" s="153"/>
      <c r="G79" s="153"/>
      <c r="H79" s="153"/>
      <c r="I79" s="153"/>
      <c r="J79" s="153"/>
      <c r="K79" s="153"/>
      <c r="L79" s="153"/>
      <c r="M79" s="153"/>
      <c r="N79" s="153"/>
      <c r="O79" s="153"/>
      <c r="P79" s="153"/>
      <c r="Q79" s="157"/>
      <c r="R79" s="221"/>
      <c r="S79" s="157"/>
      <c r="T79" s="157"/>
      <c r="U79" s="157"/>
      <c r="V79" s="157"/>
      <c r="W79" s="157"/>
    </row>
    <row r="80" spans="2:23" s="14" customFormat="1" x14ac:dyDescent="0.25">
      <c r="B80" s="76"/>
      <c r="C80" s="153"/>
      <c r="D80" s="153"/>
      <c r="E80" s="153"/>
      <c r="F80" s="153"/>
      <c r="G80" s="153"/>
      <c r="H80" s="153"/>
      <c r="I80" s="153"/>
      <c r="J80" s="153"/>
      <c r="K80" s="153"/>
      <c r="L80" s="153"/>
      <c r="M80" s="153"/>
      <c r="N80" s="153"/>
      <c r="O80" s="153"/>
      <c r="P80" s="153"/>
      <c r="Q80" s="157"/>
      <c r="R80" s="221"/>
      <c r="S80" s="157"/>
      <c r="T80" s="157"/>
      <c r="U80" s="157"/>
      <c r="V80" s="157"/>
      <c r="W80" s="157"/>
    </row>
    <row r="81" spans="2:23" s="14" customFormat="1" x14ac:dyDescent="0.25">
      <c r="B81" s="76"/>
      <c r="C81" s="153"/>
      <c r="D81" s="153"/>
      <c r="E81" s="153"/>
      <c r="F81" s="153"/>
      <c r="G81" s="153"/>
      <c r="H81" s="153"/>
      <c r="I81" s="153"/>
      <c r="J81" s="153"/>
      <c r="K81" s="153"/>
      <c r="L81" s="153"/>
      <c r="M81" s="153"/>
      <c r="N81" s="153"/>
      <c r="O81" s="153"/>
      <c r="P81" s="153"/>
      <c r="Q81" s="157"/>
      <c r="R81" s="221"/>
      <c r="S81" s="157"/>
      <c r="T81" s="157"/>
      <c r="U81" s="157"/>
      <c r="V81" s="157"/>
      <c r="W81" s="157"/>
    </row>
    <row r="82" spans="2:23" s="14" customFormat="1" x14ac:dyDescent="0.25">
      <c r="B82" s="76"/>
      <c r="C82" s="153"/>
      <c r="D82" s="153"/>
      <c r="E82" s="153"/>
      <c r="F82" s="153"/>
      <c r="G82" s="153"/>
      <c r="H82" s="153"/>
      <c r="I82" s="153"/>
      <c r="J82" s="153"/>
      <c r="K82" s="153"/>
      <c r="L82" s="153"/>
      <c r="M82" s="153"/>
      <c r="N82" s="153"/>
      <c r="O82" s="153"/>
      <c r="P82" s="153"/>
      <c r="Q82" s="157"/>
      <c r="R82" s="221"/>
      <c r="S82" s="157"/>
      <c r="T82" s="157"/>
      <c r="U82" s="157"/>
      <c r="V82" s="157"/>
      <c r="W82" s="157"/>
    </row>
    <row r="83" spans="2:23" s="14" customFormat="1" x14ac:dyDescent="0.25">
      <c r="B83" s="76"/>
      <c r="C83" s="153"/>
      <c r="D83" s="153"/>
      <c r="E83" s="153"/>
      <c r="F83" s="153"/>
      <c r="G83" s="153"/>
      <c r="H83" s="153"/>
      <c r="I83" s="153"/>
      <c r="J83" s="153"/>
      <c r="K83" s="153"/>
      <c r="L83" s="153"/>
      <c r="M83" s="153"/>
      <c r="N83" s="153"/>
      <c r="O83" s="153"/>
      <c r="P83" s="153"/>
      <c r="Q83" s="157"/>
      <c r="R83" s="221"/>
      <c r="S83" s="157"/>
      <c r="T83" s="157"/>
      <c r="U83" s="157"/>
      <c r="V83" s="157"/>
      <c r="W83" s="157"/>
    </row>
    <row r="84" spans="2:23" s="14" customFormat="1" x14ac:dyDescent="0.25">
      <c r="B84" s="76"/>
      <c r="C84" s="153"/>
      <c r="D84" s="153"/>
      <c r="E84" s="153"/>
      <c r="F84" s="153"/>
      <c r="G84" s="153"/>
      <c r="H84" s="153"/>
      <c r="I84" s="153"/>
      <c r="J84" s="153"/>
      <c r="K84" s="153"/>
      <c r="L84" s="153"/>
      <c r="M84" s="153"/>
      <c r="N84" s="153"/>
      <c r="O84" s="153"/>
      <c r="P84" s="153"/>
      <c r="Q84" s="157"/>
      <c r="R84" s="221"/>
      <c r="S84" s="157"/>
      <c r="T84" s="157"/>
      <c r="U84" s="157"/>
      <c r="V84" s="157"/>
      <c r="W84" s="157"/>
    </row>
    <row r="85" spans="2:23" s="14" customFormat="1" x14ac:dyDescent="0.25">
      <c r="B85" s="76"/>
      <c r="C85" s="153"/>
      <c r="D85" s="153"/>
      <c r="E85" s="153"/>
      <c r="F85" s="153"/>
      <c r="G85" s="153"/>
      <c r="H85" s="153"/>
      <c r="I85" s="153"/>
      <c r="J85" s="153"/>
      <c r="K85" s="153"/>
      <c r="L85" s="153"/>
      <c r="M85" s="153"/>
      <c r="N85" s="153"/>
      <c r="O85" s="153"/>
      <c r="P85" s="153"/>
      <c r="Q85" s="157"/>
      <c r="R85" s="221"/>
      <c r="S85" s="157"/>
      <c r="T85" s="157"/>
      <c r="U85" s="157"/>
      <c r="V85" s="157"/>
      <c r="W85" s="157"/>
    </row>
    <row r="86" spans="2:23" s="14" customFormat="1" x14ac:dyDescent="0.25">
      <c r="B86" s="76"/>
      <c r="C86" s="153"/>
      <c r="D86" s="153"/>
      <c r="E86" s="153"/>
      <c r="F86" s="153"/>
      <c r="G86" s="153"/>
      <c r="H86" s="153"/>
      <c r="I86" s="153"/>
      <c r="J86" s="153"/>
      <c r="K86" s="153"/>
      <c r="L86" s="153"/>
      <c r="M86" s="153"/>
      <c r="N86" s="153"/>
      <c r="O86" s="153"/>
      <c r="P86" s="153"/>
      <c r="Q86" s="157"/>
      <c r="R86" s="221"/>
      <c r="S86" s="157"/>
      <c r="T86" s="157"/>
      <c r="U86" s="157"/>
      <c r="V86" s="157"/>
      <c r="W86" s="157"/>
    </row>
    <row r="87" spans="2:23" s="14" customFormat="1" x14ac:dyDescent="0.25">
      <c r="B87" s="76"/>
      <c r="C87" s="153"/>
      <c r="D87" s="153"/>
      <c r="E87" s="153"/>
      <c r="F87" s="153"/>
      <c r="G87" s="153"/>
      <c r="H87" s="153"/>
      <c r="I87" s="153"/>
      <c r="J87" s="153"/>
      <c r="K87" s="153"/>
      <c r="L87" s="153"/>
      <c r="M87" s="153"/>
      <c r="N87" s="153"/>
      <c r="O87" s="153"/>
      <c r="P87" s="153"/>
      <c r="Q87" s="157"/>
      <c r="R87" s="221"/>
      <c r="S87" s="157"/>
      <c r="T87" s="157"/>
      <c r="U87" s="157"/>
      <c r="V87" s="157"/>
      <c r="W87" s="157"/>
    </row>
    <row r="88" spans="2:23" s="14" customFormat="1" x14ac:dyDescent="0.25">
      <c r="B88" s="76"/>
      <c r="C88" s="153"/>
      <c r="D88" s="153"/>
      <c r="E88" s="153"/>
      <c r="F88" s="153"/>
      <c r="G88" s="153"/>
      <c r="H88" s="153"/>
      <c r="I88" s="153"/>
      <c r="J88" s="153"/>
      <c r="K88" s="153"/>
      <c r="L88" s="153"/>
      <c r="M88" s="153"/>
      <c r="N88" s="153"/>
      <c r="O88" s="153"/>
      <c r="P88" s="153"/>
      <c r="Q88" s="157"/>
      <c r="R88" s="221"/>
      <c r="S88" s="157"/>
      <c r="T88" s="157"/>
      <c r="U88" s="157"/>
      <c r="V88" s="157"/>
      <c r="W88" s="157"/>
    </row>
    <row r="89" spans="2:23" s="14" customFormat="1" x14ac:dyDescent="0.25">
      <c r="B89" s="76"/>
      <c r="C89" s="153"/>
      <c r="D89" s="153"/>
      <c r="E89" s="153"/>
      <c r="F89" s="153"/>
      <c r="G89" s="153"/>
      <c r="H89" s="153"/>
      <c r="I89" s="153"/>
      <c r="J89" s="153"/>
      <c r="K89" s="153"/>
      <c r="L89" s="153"/>
      <c r="M89" s="153"/>
      <c r="N89" s="153"/>
      <c r="O89" s="153"/>
      <c r="P89" s="153"/>
      <c r="Q89" s="157"/>
      <c r="R89" s="221"/>
      <c r="S89" s="157"/>
      <c r="T89" s="157"/>
      <c r="U89" s="157"/>
      <c r="V89" s="157"/>
      <c r="W89" s="157"/>
    </row>
    <row r="90" spans="2:23" s="14" customFormat="1" x14ac:dyDescent="0.25">
      <c r="B90" s="76"/>
      <c r="C90" s="153"/>
      <c r="D90" s="153"/>
      <c r="E90" s="153"/>
      <c r="F90" s="153"/>
      <c r="G90" s="153"/>
      <c r="H90" s="153"/>
      <c r="I90" s="153"/>
      <c r="J90" s="153"/>
      <c r="K90" s="153"/>
      <c r="L90" s="153"/>
      <c r="M90" s="153"/>
      <c r="N90" s="153"/>
      <c r="O90" s="153"/>
      <c r="P90" s="153"/>
      <c r="Q90" s="157"/>
      <c r="R90" s="221"/>
      <c r="S90" s="157"/>
      <c r="T90" s="157"/>
      <c r="U90" s="157"/>
      <c r="V90" s="157"/>
      <c r="W90" s="157"/>
    </row>
    <row r="91" spans="2:23" s="14" customFormat="1" x14ac:dyDescent="0.25">
      <c r="B91" s="76"/>
      <c r="C91" s="153"/>
      <c r="D91" s="153"/>
      <c r="E91" s="153"/>
      <c r="F91" s="153"/>
      <c r="G91" s="153"/>
      <c r="H91" s="153"/>
      <c r="I91" s="153"/>
      <c r="J91" s="153"/>
      <c r="K91" s="153"/>
      <c r="L91" s="153"/>
      <c r="M91" s="153"/>
      <c r="N91" s="153"/>
      <c r="O91" s="153"/>
      <c r="P91" s="153"/>
      <c r="Q91" s="157"/>
      <c r="R91" s="221"/>
      <c r="S91" s="157"/>
      <c r="T91" s="157"/>
      <c r="U91" s="157"/>
      <c r="V91" s="157"/>
      <c r="W91" s="157"/>
    </row>
    <row r="92" spans="2:23" s="14" customFormat="1" x14ac:dyDescent="0.25">
      <c r="B92" s="76"/>
      <c r="C92" s="153"/>
      <c r="D92" s="153"/>
      <c r="E92" s="153"/>
      <c r="F92" s="153"/>
      <c r="G92" s="153"/>
      <c r="H92" s="153"/>
      <c r="I92" s="153"/>
      <c r="J92" s="153"/>
      <c r="K92" s="153"/>
      <c r="L92" s="153"/>
      <c r="M92" s="153"/>
      <c r="N92" s="153"/>
      <c r="O92" s="153"/>
      <c r="P92" s="153"/>
      <c r="Q92" s="157"/>
      <c r="R92" s="221"/>
      <c r="S92" s="157"/>
      <c r="T92" s="157"/>
      <c r="U92" s="157"/>
      <c r="V92" s="157"/>
      <c r="W92" s="157"/>
    </row>
    <row r="93" spans="2:23" s="14" customFormat="1" x14ac:dyDescent="0.25">
      <c r="B93" s="76"/>
      <c r="C93" s="153"/>
      <c r="D93" s="153"/>
      <c r="E93" s="153"/>
      <c r="F93" s="153"/>
      <c r="G93" s="153"/>
      <c r="H93" s="153"/>
      <c r="I93" s="153"/>
      <c r="J93" s="153"/>
      <c r="K93" s="153"/>
      <c r="L93" s="153"/>
      <c r="M93" s="153"/>
      <c r="N93" s="153"/>
      <c r="O93" s="153"/>
      <c r="P93" s="153"/>
      <c r="Q93" s="157"/>
      <c r="R93" s="221"/>
      <c r="S93" s="157"/>
      <c r="T93" s="157"/>
      <c r="U93" s="157"/>
      <c r="V93" s="157"/>
      <c r="W93" s="157"/>
    </row>
    <row r="94" spans="2:23" s="14" customFormat="1" x14ac:dyDescent="0.25">
      <c r="B94" s="76"/>
      <c r="C94" s="153"/>
      <c r="D94" s="153"/>
      <c r="E94" s="153"/>
      <c r="F94" s="153"/>
      <c r="G94" s="153"/>
      <c r="H94" s="153"/>
      <c r="I94" s="153"/>
      <c r="J94" s="153"/>
      <c r="K94" s="153"/>
      <c r="L94" s="153"/>
      <c r="M94" s="153"/>
      <c r="N94" s="153"/>
      <c r="O94" s="153"/>
      <c r="P94" s="153"/>
      <c r="Q94" s="157"/>
      <c r="R94" s="221"/>
      <c r="S94" s="157"/>
      <c r="T94" s="157"/>
      <c r="U94" s="157"/>
      <c r="V94" s="157"/>
      <c r="W94" s="157"/>
    </row>
    <row r="95" spans="2:23" s="14" customFormat="1" x14ac:dyDescent="0.25">
      <c r="B95" s="76"/>
      <c r="C95" s="153"/>
      <c r="D95" s="153"/>
      <c r="E95" s="153"/>
      <c r="F95" s="153"/>
      <c r="G95" s="153"/>
      <c r="H95" s="153"/>
      <c r="I95" s="153"/>
      <c r="J95" s="153"/>
      <c r="K95" s="153"/>
      <c r="L95" s="153"/>
      <c r="M95" s="153"/>
      <c r="N95" s="153"/>
      <c r="O95" s="153"/>
      <c r="P95" s="153"/>
      <c r="Q95" s="157"/>
      <c r="R95" s="221"/>
      <c r="S95" s="157"/>
      <c r="T95" s="157"/>
      <c r="U95" s="157"/>
      <c r="V95" s="157"/>
      <c r="W95" s="157"/>
    </row>
    <row r="96" spans="2:23" s="14" customFormat="1" x14ac:dyDescent="0.25">
      <c r="B96" s="76"/>
      <c r="C96" s="153"/>
      <c r="D96" s="153"/>
      <c r="E96" s="153"/>
      <c r="F96" s="153"/>
      <c r="G96" s="153"/>
      <c r="H96" s="153"/>
      <c r="I96" s="153"/>
      <c r="J96" s="153"/>
      <c r="K96" s="153"/>
      <c r="L96" s="153"/>
      <c r="M96" s="153"/>
      <c r="N96" s="153"/>
      <c r="O96" s="153"/>
      <c r="P96" s="153"/>
      <c r="Q96" s="157"/>
      <c r="R96" s="221"/>
      <c r="S96" s="157"/>
      <c r="T96" s="157"/>
      <c r="U96" s="157"/>
      <c r="V96" s="157"/>
      <c r="W96" s="157"/>
    </row>
    <row r="97" spans="2:23" s="14" customFormat="1" x14ac:dyDescent="0.25">
      <c r="B97" s="76"/>
      <c r="C97" s="153"/>
      <c r="D97" s="153"/>
      <c r="E97" s="153"/>
      <c r="F97" s="153"/>
      <c r="G97" s="153"/>
      <c r="H97" s="153"/>
      <c r="I97" s="153"/>
      <c r="J97" s="153"/>
      <c r="K97" s="153"/>
      <c r="L97" s="153"/>
      <c r="M97" s="153"/>
      <c r="N97" s="153"/>
      <c r="O97" s="153"/>
      <c r="P97" s="153"/>
      <c r="Q97" s="157"/>
      <c r="R97" s="221"/>
      <c r="S97" s="157"/>
      <c r="T97" s="157"/>
      <c r="U97" s="157"/>
      <c r="V97" s="157"/>
      <c r="W97" s="157"/>
    </row>
    <row r="98" spans="2:23" s="14" customFormat="1" x14ac:dyDescent="0.25">
      <c r="B98" s="76"/>
      <c r="C98" s="153"/>
      <c r="D98" s="153"/>
      <c r="E98" s="153"/>
      <c r="F98" s="153"/>
      <c r="G98" s="153"/>
      <c r="H98" s="153"/>
      <c r="I98" s="153"/>
      <c r="J98" s="153"/>
      <c r="K98" s="153"/>
      <c r="L98" s="153"/>
      <c r="M98" s="153"/>
      <c r="N98" s="153"/>
      <c r="O98" s="153"/>
      <c r="P98" s="153"/>
      <c r="Q98" s="157"/>
      <c r="R98" s="221"/>
      <c r="S98" s="157"/>
      <c r="T98" s="157"/>
      <c r="U98" s="157"/>
      <c r="V98" s="157"/>
      <c r="W98" s="157"/>
    </row>
    <row r="99" spans="2:23" s="14" customFormat="1" x14ac:dyDescent="0.25">
      <c r="B99" s="76"/>
      <c r="C99" s="153"/>
      <c r="D99" s="153"/>
      <c r="E99" s="153"/>
      <c r="F99" s="153"/>
      <c r="G99" s="153"/>
      <c r="H99" s="153"/>
      <c r="I99" s="153"/>
      <c r="J99" s="153"/>
      <c r="K99" s="153"/>
      <c r="L99" s="153"/>
      <c r="M99" s="153"/>
      <c r="N99" s="153"/>
      <c r="O99" s="153"/>
      <c r="P99" s="153"/>
      <c r="Q99" s="157"/>
      <c r="R99" s="221"/>
      <c r="S99" s="157"/>
      <c r="T99" s="157"/>
      <c r="U99" s="157"/>
      <c r="V99" s="157"/>
      <c r="W99" s="157"/>
    </row>
    <row r="100" spans="2:23" s="14" customFormat="1" x14ac:dyDescent="0.25">
      <c r="B100" s="76"/>
      <c r="C100" s="153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7"/>
      <c r="R100" s="221"/>
      <c r="S100" s="157"/>
      <c r="T100" s="157"/>
      <c r="U100" s="157"/>
      <c r="V100" s="157"/>
      <c r="W100" s="157"/>
    </row>
    <row r="101" spans="2:23" s="14" customFormat="1" x14ac:dyDescent="0.25">
      <c r="B101" s="76"/>
      <c r="C101" s="153"/>
      <c r="D101" s="153"/>
      <c r="E101" s="153"/>
      <c r="F101" s="153"/>
      <c r="G101" s="153"/>
      <c r="H101" s="153"/>
      <c r="I101" s="153"/>
      <c r="J101" s="153"/>
      <c r="K101" s="153"/>
      <c r="L101" s="153"/>
      <c r="M101" s="153"/>
      <c r="N101" s="153"/>
      <c r="O101" s="153"/>
      <c r="P101" s="153"/>
      <c r="Q101" s="157"/>
      <c r="R101" s="221"/>
      <c r="S101" s="157"/>
      <c r="T101" s="157"/>
      <c r="U101" s="157"/>
      <c r="V101" s="157"/>
      <c r="W101" s="157"/>
    </row>
    <row r="102" spans="2:23" s="14" customFormat="1" x14ac:dyDescent="0.25">
      <c r="B102" s="76"/>
      <c r="C102" s="153"/>
      <c r="D102" s="153"/>
      <c r="E102" s="153"/>
      <c r="F102" s="153"/>
      <c r="G102" s="153"/>
      <c r="H102" s="153"/>
      <c r="I102" s="153"/>
      <c r="J102" s="153"/>
      <c r="K102" s="153"/>
      <c r="L102" s="153"/>
      <c r="M102" s="153"/>
      <c r="N102" s="153"/>
      <c r="O102" s="153"/>
      <c r="P102" s="153"/>
      <c r="Q102" s="157"/>
      <c r="R102" s="221"/>
      <c r="S102" s="157"/>
      <c r="T102" s="157"/>
      <c r="U102" s="157"/>
      <c r="V102" s="157"/>
      <c r="W102" s="157"/>
    </row>
    <row r="103" spans="2:23" s="14" customFormat="1" x14ac:dyDescent="0.25">
      <c r="B103" s="76"/>
      <c r="C103" s="153"/>
      <c r="D103" s="153"/>
      <c r="E103" s="153"/>
      <c r="F103" s="153"/>
      <c r="G103" s="153"/>
      <c r="H103" s="153"/>
      <c r="I103" s="153"/>
      <c r="J103" s="153"/>
      <c r="K103" s="153"/>
      <c r="L103" s="153"/>
      <c r="M103" s="153"/>
      <c r="N103" s="153"/>
      <c r="O103" s="153"/>
      <c r="P103" s="153"/>
      <c r="Q103" s="157"/>
      <c r="R103" s="221"/>
      <c r="S103" s="157"/>
      <c r="T103" s="157"/>
      <c r="U103" s="157"/>
      <c r="V103" s="157"/>
      <c r="W103" s="157"/>
    </row>
    <row r="104" spans="2:23" s="14" customFormat="1" x14ac:dyDescent="0.25">
      <c r="B104" s="76"/>
      <c r="C104" s="153"/>
      <c r="D104" s="153"/>
      <c r="E104" s="153"/>
      <c r="F104" s="153"/>
      <c r="G104" s="153"/>
      <c r="H104" s="153"/>
      <c r="I104" s="153"/>
      <c r="J104" s="153"/>
      <c r="K104" s="153"/>
      <c r="L104" s="153"/>
      <c r="M104" s="153"/>
      <c r="N104" s="153"/>
      <c r="O104" s="153"/>
      <c r="P104" s="153"/>
      <c r="Q104" s="157"/>
      <c r="R104" s="221"/>
      <c r="S104" s="157"/>
      <c r="T104" s="157"/>
      <c r="U104" s="157"/>
      <c r="V104" s="157"/>
      <c r="W104" s="157"/>
    </row>
    <row r="105" spans="2:23" s="14" customFormat="1" x14ac:dyDescent="0.25">
      <c r="B105" s="76"/>
      <c r="C105" s="153"/>
      <c r="D105" s="153"/>
      <c r="E105" s="153"/>
      <c r="F105" s="153"/>
      <c r="G105" s="153"/>
      <c r="H105" s="153"/>
      <c r="I105" s="153"/>
      <c r="J105" s="153"/>
      <c r="K105" s="153"/>
      <c r="L105" s="153"/>
      <c r="M105" s="153"/>
      <c r="N105" s="153"/>
      <c r="O105" s="153"/>
      <c r="P105" s="153"/>
      <c r="Q105" s="157"/>
      <c r="R105" s="221"/>
      <c r="S105" s="157"/>
      <c r="T105" s="157"/>
      <c r="U105" s="157"/>
      <c r="V105" s="157"/>
      <c r="W105" s="157"/>
    </row>
    <row r="106" spans="2:23" s="14" customFormat="1" x14ac:dyDescent="0.25">
      <c r="B106" s="76"/>
      <c r="C106" s="153"/>
      <c r="D106" s="153"/>
      <c r="E106" s="153"/>
      <c r="F106" s="153"/>
      <c r="G106" s="153"/>
      <c r="H106" s="153"/>
      <c r="I106" s="153"/>
      <c r="J106" s="153"/>
      <c r="K106" s="153"/>
      <c r="L106" s="153"/>
      <c r="M106" s="153"/>
      <c r="N106" s="153"/>
      <c r="O106" s="153"/>
      <c r="P106" s="153"/>
      <c r="Q106" s="157"/>
      <c r="R106" s="221"/>
      <c r="S106" s="157"/>
      <c r="T106" s="157"/>
      <c r="U106" s="157"/>
      <c r="V106" s="157"/>
      <c r="W106" s="157"/>
    </row>
    <row r="107" spans="2:23" s="14" customFormat="1" x14ac:dyDescent="0.25">
      <c r="B107" s="76"/>
      <c r="C107" s="153"/>
      <c r="D107" s="153"/>
      <c r="E107" s="153"/>
      <c r="F107" s="153"/>
      <c r="G107" s="153"/>
      <c r="H107" s="153"/>
      <c r="I107" s="153"/>
      <c r="J107" s="153"/>
      <c r="K107" s="153"/>
      <c r="L107" s="153"/>
      <c r="M107" s="153"/>
      <c r="N107" s="153"/>
      <c r="O107" s="153"/>
      <c r="P107" s="153"/>
      <c r="Q107" s="157"/>
      <c r="R107" s="221"/>
      <c r="S107" s="157"/>
      <c r="T107" s="157"/>
      <c r="U107" s="157"/>
      <c r="V107" s="157"/>
      <c r="W107" s="157"/>
    </row>
    <row r="108" spans="2:23" s="14" customFormat="1" x14ac:dyDescent="0.25">
      <c r="B108" s="76"/>
      <c r="C108" s="153"/>
      <c r="D108" s="153"/>
      <c r="E108" s="153"/>
      <c r="F108" s="153"/>
      <c r="G108" s="153"/>
      <c r="H108" s="153"/>
      <c r="I108" s="153"/>
      <c r="J108" s="153"/>
      <c r="K108" s="153"/>
      <c r="L108" s="153"/>
      <c r="M108" s="153"/>
      <c r="N108" s="153"/>
      <c r="O108" s="153"/>
      <c r="P108" s="153"/>
      <c r="Q108" s="157"/>
      <c r="R108" s="221"/>
      <c r="S108" s="157"/>
      <c r="T108" s="157"/>
      <c r="U108" s="157"/>
      <c r="V108" s="157"/>
      <c r="W108" s="157"/>
    </row>
    <row r="109" spans="2:23" s="14" customFormat="1" x14ac:dyDescent="0.25">
      <c r="B109" s="76"/>
      <c r="C109" s="153"/>
      <c r="D109" s="153"/>
      <c r="E109" s="153"/>
      <c r="F109" s="153"/>
      <c r="G109" s="153"/>
      <c r="H109" s="153"/>
      <c r="I109" s="153"/>
      <c r="J109" s="153"/>
      <c r="K109" s="153"/>
      <c r="L109" s="153"/>
      <c r="M109" s="153"/>
      <c r="N109" s="153"/>
      <c r="O109" s="153"/>
      <c r="P109" s="153"/>
      <c r="Q109" s="157"/>
      <c r="R109" s="221"/>
      <c r="S109" s="157"/>
      <c r="T109" s="157"/>
      <c r="U109" s="157"/>
      <c r="V109" s="157"/>
      <c r="W109" s="157"/>
    </row>
    <row r="110" spans="2:23" s="14" customFormat="1" x14ac:dyDescent="0.25">
      <c r="B110" s="76"/>
      <c r="C110" s="153"/>
      <c r="D110" s="153"/>
      <c r="E110" s="153"/>
      <c r="F110" s="153"/>
      <c r="G110" s="153"/>
      <c r="H110" s="153"/>
      <c r="I110" s="153"/>
      <c r="J110" s="153"/>
      <c r="K110" s="153"/>
      <c r="L110" s="153"/>
      <c r="M110" s="153"/>
      <c r="N110" s="153"/>
      <c r="O110" s="153"/>
      <c r="P110" s="153"/>
      <c r="Q110" s="157"/>
      <c r="R110" s="221"/>
      <c r="S110" s="157"/>
      <c r="T110" s="157"/>
      <c r="U110" s="157"/>
      <c r="V110" s="157"/>
      <c r="W110" s="157"/>
    </row>
    <row r="111" spans="2:23" s="14" customFormat="1" x14ac:dyDescent="0.25">
      <c r="B111" s="76"/>
      <c r="C111" s="153"/>
      <c r="D111" s="153"/>
      <c r="E111" s="153"/>
      <c r="F111" s="153"/>
      <c r="G111" s="153"/>
      <c r="H111" s="153"/>
      <c r="I111" s="153"/>
      <c r="J111" s="153"/>
      <c r="K111" s="153"/>
      <c r="L111" s="153"/>
      <c r="M111" s="153"/>
      <c r="N111" s="153"/>
      <c r="O111" s="153"/>
      <c r="P111" s="153"/>
      <c r="Q111" s="157"/>
      <c r="R111" s="221"/>
      <c r="S111" s="157"/>
      <c r="T111" s="157"/>
      <c r="U111" s="157"/>
      <c r="V111" s="157"/>
      <c r="W111" s="157"/>
    </row>
    <row r="112" spans="2:23" s="14" customFormat="1" x14ac:dyDescent="0.25">
      <c r="B112" s="76"/>
      <c r="C112" s="153"/>
      <c r="D112" s="153"/>
      <c r="E112" s="153"/>
      <c r="F112" s="153"/>
      <c r="G112" s="153"/>
      <c r="H112" s="153"/>
      <c r="I112" s="153"/>
      <c r="J112" s="153"/>
      <c r="K112" s="153"/>
      <c r="L112" s="153"/>
      <c r="M112" s="153"/>
      <c r="N112" s="153"/>
      <c r="O112" s="153"/>
      <c r="P112" s="153"/>
      <c r="Q112" s="157"/>
      <c r="R112" s="221"/>
      <c r="S112" s="157"/>
      <c r="T112" s="157"/>
      <c r="U112" s="157"/>
      <c r="V112" s="157"/>
      <c r="W112" s="157"/>
    </row>
    <row r="113" spans="2:23" s="14" customFormat="1" x14ac:dyDescent="0.25">
      <c r="B113" s="76"/>
      <c r="C113" s="153"/>
      <c r="D113" s="153"/>
      <c r="E113" s="153"/>
      <c r="F113" s="153"/>
      <c r="G113" s="153"/>
      <c r="H113" s="153"/>
      <c r="I113" s="153"/>
      <c r="J113" s="153"/>
      <c r="K113" s="153"/>
      <c r="L113" s="153"/>
      <c r="M113" s="153"/>
      <c r="N113" s="153"/>
      <c r="O113" s="153"/>
      <c r="P113" s="153"/>
      <c r="Q113" s="157"/>
      <c r="R113" s="221"/>
      <c r="S113" s="157"/>
      <c r="T113" s="157"/>
      <c r="U113" s="157"/>
      <c r="V113" s="157"/>
      <c r="W113" s="157"/>
    </row>
    <row r="114" spans="2:23" s="14" customFormat="1" x14ac:dyDescent="0.25">
      <c r="B114" s="76"/>
      <c r="C114" s="153"/>
      <c r="D114" s="153"/>
      <c r="E114" s="153"/>
      <c r="F114" s="153"/>
      <c r="G114" s="153"/>
      <c r="H114" s="153"/>
      <c r="I114" s="153"/>
      <c r="J114" s="153"/>
      <c r="K114" s="153"/>
      <c r="L114" s="153"/>
      <c r="M114" s="153"/>
      <c r="N114" s="153"/>
      <c r="O114" s="153"/>
      <c r="P114" s="153"/>
      <c r="Q114" s="157"/>
      <c r="R114" s="221"/>
      <c r="S114" s="157"/>
      <c r="T114" s="157"/>
      <c r="U114" s="157"/>
      <c r="V114" s="157"/>
      <c r="W114" s="157"/>
    </row>
    <row r="115" spans="2:23" s="14" customFormat="1" x14ac:dyDescent="0.25">
      <c r="B115" s="76"/>
      <c r="C115" s="153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7"/>
      <c r="R115" s="221"/>
      <c r="S115" s="157"/>
      <c r="T115" s="157"/>
      <c r="U115" s="157"/>
      <c r="V115" s="157"/>
      <c r="W115" s="157"/>
    </row>
    <row r="116" spans="2:23" s="14" customFormat="1" x14ac:dyDescent="0.25">
      <c r="B116" s="76"/>
      <c r="C116" s="153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7"/>
      <c r="R116" s="221"/>
      <c r="S116" s="157"/>
      <c r="T116" s="157"/>
      <c r="U116" s="157"/>
      <c r="V116" s="157"/>
      <c r="W116" s="157"/>
    </row>
    <row r="117" spans="2:23" s="14" customFormat="1" x14ac:dyDescent="0.25">
      <c r="B117" s="76"/>
      <c r="C117" s="153"/>
      <c r="D117" s="153"/>
      <c r="E117" s="153"/>
      <c r="F117" s="153"/>
      <c r="G117" s="153"/>
      <c r="H117" s="153"/>
      <c r="I117" s="153"/>
      <c r="J117" s="153"/>
      <c r="K117" s="153"/>
      <c r="L117" s="153"/>
      <c r="M117" s="153"/>
      <c r="N117" s="153"/>
      <c r="O117" s="153"/>
      <c r="P117" s="153"/>
      <c r="Q117" s="157"/>
      <c r="R117" s="221"/>
      <c r="S117" s="157"/>
      <c r="T117" s="157"/>
      <c r="U117" s="157"/>
      <c r="V117" s="157"/>
      <c r="W117" s="157"/>
    </row>
    <row r="118" spans="2:23" s="14" customFormat="1" x14ac:dyDescent="0.25">
      <c r="B118" s="76"/>
      <c r="C118" s="153"/>
      <c r="D118" s="153"/>
      <c r="E118" s="153"/>
      <c r="F118" s="153"/>
      <c r="G118" s="153"/>
      <c r="H118" s="153"/>
      <c r="I118" s="153"/>
      <c r="J118" s="153"/>
      <c r="K118" s="153"/>
      <c r="L118" s="153"/>
      <c r="M118" s="153"/>
      <c r="N118" s="153"/>
      <c r="O118" s="153"/>
      <c r="P118" s="153"/>
      <c r="Q118" s="157"/>
      <c r="R118" s="221"/>
      <c r="S118" s="157"/>
      <c r="T118" s="157"/>
      <c r="U118" s="157"/>
      <c r="V118" s="157"/>
      <c r="W118" s="157"/>
    </row>
    <row r="119" spans="2:23" s="14" customFormat="1" x14ac:dyDescent="0.25">
      <c r="B119" s="76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7"/>
      <c r="R119" s="221"/>
      <c r="S119" s="157"/>
      <c r="T119" s="157"/>
      <c r="U119" s="157"/>
      <c r="V119" s="157"/>
      <c r="W119" s="157"/>
    </row>
    <row r="120" spans="2:23" s="14" customFormat="1" x14ac:dyDescent="0.25">
      <c r="B120" s="76"/>
      <c r="C120" s="153"/>
      <c r="D120" s="153"/>
      <c r="E120" s="153"/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7"/>
      <c r="R120" s="221"/>
      <c r="S120" s="157"/>
      <c r="T120" s="157"/>
      <c r="U120" s="157"/>
      <c r="V120" s="157"/>
      <c r="W120" s="157"/>
    </row>
    <row r="121" spans="2:23" s="14" customFormat="1" x14ac:dyDescent="0.25">
      <c r="B121" s="76"/>
      <c r="C121" s="153"/>
      <c r="D121" s="153"/>
      <c r="E121" s="153"/>
      <c r="F121" s="153"/>
      <c r="G121" s="153"/>
      <c r="H121" s="153"/>
      <c r="I121" s="153"/>
      <c r="J121" s="153"/>
      <c r="K121" s="153"/>
      <c r="L121" s="153"/>
      <c r="M121" s="153"/>
      <c r="N121" s="153"/>
      <c r="O121" s="153"/>
      <c r="P121" s="153"/>
      <c r="Q121" s="157"/>
      <c r="R121" s="221"/>
      <c r="S121" s="157"/>
      <c r="T121" s="157"/>
      <c r="U121" s="157"/>
      <c r="V121" s="157"/>
      <c r="W121" s="157"/>
    </row>
    <row r="122" spans="2:23" s="14" customFormat="1" x14ac:dyDescent="0.25">
      <c r="B122" s="76"/>
      <c r="C122" s="153"/>
      <c r="D122" s="153"/>
      <c r="E122" s="153"/>
      <c r="F122" s="153"/>
      <c r="G122" s="153"/>
      <c r="H122" s="153"/>
      <c r="I122" s="153"/>
      <c r="J122" s="153"/>
      <c r="K122" s="153"/>
      <c r="L122" s="153"/>
      <c r="M122" s="153"/>
      <c r="N122" s="153"/>
      <c r="O122" s="153"/>
      <c r="P122" s="153"/>
      <c r="Q122" s="157"/>
      <c r="R122" s="221"/>
      <c r="S122" s="157"/>
      <c r="T122" s="157"/>
      <c r="U122" s="157"/>
      <c r="V122" s="157"/>
      <c r="W122" s="157"/>
    </row>
    <row r="123" spans="2:23" s="14" customFormat="1" x14ac:dyDescent="0.25">
      <c r="B123" s="76"/>
      <c r="C123" s="153"/>
      <c r="D123" s="153"/>
      <c r="E123" s="153"/>
      <c r="F123" s="153"/>
      <c r="G123" s="153"/>
      <c r="H123" s="153"/>
      <c r="I123" s="153"/>
      <c r="J123" s="153"/>
      <c r="K123" s="153"/>
      <c r="L123" s="153"/>
      <c r="M123" s="153"/>
      <c r="N123" s="153"/>
      <c r="O123" s="153"/>
      <c r="P123" s="153"/>
      <c r="Q123" s="157"/>
      <c r="R123" s="221"/>
      <c r="S123" s="157"/>
      <c r="T123" s="157"/>
      <c r="U123" s="157"/>
      <c r="V123" s="157"/>
      <c r="W123" s="157"/>
    </row>
    <row r="124" spans="2:23" s="14" customFormat="1" x14ac:dyDescent="0.25">
      <c r="B124" s="76"/>
      <c r="C124" s="153"/>
      <c r="D124" s="153"/>
      <c r="E124" s="153"/>
      <c r="F124" s="153"/>
      <c r="G124" s="153"/>
      <c r="H124" s="153"/>
      <c r="I124" s="153"/>
      <c r="J124" s="153"/>
      <c r="K124" s="153"/>
      <c r="L124" s="153"/>
      <c r="M124" s="153"/>
      <c r="N124" s="153"/>
      <c r="O124" s="153"/>
      <c r="P124" s="153"/>
      <c r="Q124" s="157"/>
      <c r="R124" s="221"/>
      <c r="S124" s="157"/>
      <c r="T124" s="157"/>
      <c r="U124" s="157"/>
      <c r="V124" s="157"/>
      <c r="W124" s="157"/>
    </row>
    <row r="125" spans="2:23" s="14" customFormat="1" x14ac:dyDescent="0.25">
      <c r="B125" s="76"/>
      <c r="C125" s="153"/>
      <c r="D125" s="153"/>
      <c r="E125" s="153"/>
      <c r="F125" s="153"/>
      <c r="G125" s="153"/>
      <c r="H125" s="153"/>
      <c r="I125" s="153"/>
      <c r="J125" s="153"/>
      <c r="K125" s="153"/>
      <c r="L125" s="153"/>
      <c r="M125" s="153"/>
      <c r="N125" s="153"/>
      <c r="O125" s="153"/>
      <c r="P125" s="153"/>
      <c r="Q125" s="157"/>
      <c r="R125" s="221"/>
      <c r="S125" s="157"/>
      <c r="T125" s="157"/>
      <c r="U125" s="157"/>
      <c r="V125" s="157"/>
      <c r="W125" s="157"/>
    </row>
    <row r="126" spans="2:23" s="14" customFormat="1" x14ac:dyDescent="0.25">
      <c r="B126" s="76"/>
      <c r="C126" s="153"/>
      <c r="D126" s="153"/>
      <c r="E126" s="153"/>
      <c r="F126" s="153"/>
      <c r="G126" s="153"/>
      <c r="H126" s="153"/>
      <c r="I126" s="153"/>
      <c r="J126" s="153"/>
      <c r="K126" s="153"/>
      <c r="L126" s="153"/>
      <c r="M126" s="153"/>
      <c r="N126" s="153"/>
      <c r="O126" s="153"/>
      <c r="P126" s="153"/>
      <c r="Q126" s="157"/>
      <c r="R126" s="221"/>
      <c r="S126" s="157"/>
      <c r="T126" s="157"/>
      <c r="U126" s="157"/>
      <c r="V126" s="157"/>
      <c r="W126" s="157"/>
    </row>
    <row r="127" spans="2:23" s="14" customFormat="1" x14ac:dyDescent="0.25">
      <c r="B127" s="76"/>
      <c r="C127" s="153"/>
      <c r="D127" s="153"/>
      <c r="E127" s="153"/>
      <c r="F127" s="153"/>
      <c r="G127" s="153"/>
      <c r="H127" s="153"/>
      <c r="I127" s="153"/>
      <c r="J127" s="153"/>
      <c r="K127" s="153"/>
      <c r="L127" s="153"/>
      <c r="M127" s="153"/>
      <c r="N127" s="153"/>
      <c r="O127" s="153"/>
      <c r="P127" s="153"/>
      <c r="Q127" s="157"/>
      <c r="R127" s="221"/>
      <c r="S127" s="157"/>
      <c r="T127" s="157"/>
      <c r="U127" s="157"/>
      <c r="V127" s="157"/>
      <c r="W127" s="157"/>
    </row>
    <row r="128" spans="2:23" s="14" customFormat="1" x14ac:dyDescent="0.25">
      <c r="B128" s="76"/>
      <c r="C128" s="153"/>
      <c r="D128" s="153"/>
      <c r="E128" s="153"/>
      <c r="F128" s="153"/>
      <c r="G128" s="153"/>
      <c r="H128" s="153"/>
      <c r="I128" s="153"/>
      <c r="J128" s="153"/>
      <c r="K128" s="153"/>
      <c r="L128" s="153"/>
      <c r="M128" s="153"/>
      <c r="N128" s="153"/>
      <c r="O128" s="153"/>
      <c r="P128" s="153"/>
      <c r="Q128" s="157"/>
      <c r="R128" s="221"/>
      <c r="S128" s="157"/>
      <c r="T128" s="157"/>
      <c r="U128" s="157"/>
      <c r="V128" s="157"/>
      <c r="W128" s="157"/>
    </row>
    <row r="129" spans="2:23" s="14" customFormat="1" x14ac:dyDescent="0.25">
      <c r="B129" s="76"/>
      <c r="C129" s="153"/>
      <c r="D129" s="153"/>
      <c r="E129" s="153"/>
      <c r="F129" s="153"/>
      <c r="G129" s="153"/>
      <c r="H129" s="153"/>
      <c r="I129" s="153"/>
      <c r="J129" s="153"/>
      <c r="K129" s="153"/>
      <c r="L129" s="153"/>
      <c r="M129" s="153"/>
      <c r="N129" s="153"/>
      <c r="O129" s="153"/>
      <c r="P129" s="153"/>
      <c r="Q129" s="157"/>
      <c r="R129" s="221"/>
      <c r="S129" s="157"/>
      <c r="T129" s="157"/>
      <c r="U129" s="157"/>
      <c r="V129" s="157"/>
      <c r="W129" s="157"/>
    </row>
    <row r="130" spans="2:23" s="14" customFormat="1" x14ac:dyDescent="0.25">
      <c r="B130" s="76"/>
      <c r="C130" s="153"/>
      <c r="D130" s="153"/>
      <c r="E130" s="153"/>
      <c r="F130" s="153"/>
      <c r="G130" s="153"/>
      <c r="H130" s="153"/>
      <c r="I130" s="153"/>
      <c r="J130" s="153"/>
      <c r="K130" s="153"/>
      <c r="L130" s="153"/>
      <c r="M130" s="153"/>
      <c r="N130" s="153"/>
      <c r="O130" s="153"/>
      <c r="P130" s="153"/>
      <c r="Q130" s="157"/>
      <c r="R130" s="221"/>
      <c r="S130" s="157"/>
      <c r="T130" s="157"/>
      <c r="U130" s="157"/>
      <c r="V130" s="157"/>
      <c r="W130" s="157"/>
    </row>
    <row r="131" spans="2:23" s="14" customFormat="1" x14ac:dyDescent="0.25">
      <c r="B131" s="76"/>
      <c r="C131" s="153"/>
      <c r="D131" s="153"/>
      <c r="E131" s="153"/>
      <c r="F131" s="153"/>
      <c r="G131" s="153"/>
      <c r="H131" s="153"/>
      <c r="I131" s="153"/>
      <c r="J131" s="153"/>
      <c r="K131" s="153"/>
      <c r="L131" s="153"/>
      <c r="M131" s="153"/>
      <c r="N131" s="153"/>
      <c r="O131" s="153"/>
      <c r="P131" s="153"/>
      <c r="Q131" s="157"/>
      <c r="R131" s="221"/>
      <c r="S131" s="157"/>
      <c r="T131" s="157"/>
      <c r="U131" s="157"/>
      <c r="V131" s="157"/>
      <c r="W131" s="157"/>
    </row>
    <row r="132" spans="2:23" s="14" customFormat="1" x14ac:dyDescent="0.25">
      <c r="B132" s="76"/>
      <c r="C132" s="153"/>
      <c r="D132" s="153"/>
      <c r="E132" s="153"/>
      <c r="F132" s="153"/>
      <c r="G132" s="153"/>
      <c r="H132" s="153"/>
      <c r="I132" s="153"/>
      <c r="J132" s="153"/>
      <c r="K132" s="153"/>
      <c r="L132" s="153"/>
      <c r="M132" s="153"/>
      <c r="N132" s="153"/>
      <c r="O132" s="153"/>
      <c r="P132" s="153"/>
      <c r="Q132" s="157"/>
      <c r="R132" s="221"/>
      <c r="S132" s="157"/>
      <c r="T132" s="157"/>
      <c r="U132" s="157"/>
      <c r="V132" s="157"/>
      <c r="W132" s="157"/>
    </row>
    <row r="133" spans="2:23" s="14" customFormat="1" x14ac:dyDescent="0.25">
      <c r="B133" s="76"/>
      <c r="C133" s="153"/>
      <c r="D133" s="153"/>
      <c r="E133" s="153"/>
      <c r="F133" s="153"/>
      <c r="G133" s="153"/>
      <c r="H133" s="153"/>
      <c r="I133" s="153"/>
      <c r="J133" s="153"/>
      <c r="K133" s="153"/>
      <c r="L133" s="153"/>
      <c r="M133" s="153"/>
      <c r="N133" s="153"/>
      <c r="O133" s="153"/>
      <c r="P133" s="153"/>
      <c r="Q133" s="157"/>
      <c r="R133" s="221"/>
      <c r="S133" s="157"/>
      <c r="T133" s="157"/>
      <c r="U133" s="157"/>
      <c r="V133" s="157"/>
      <c r="W133" s="157"/>
    </row>
    <row r="134" spans="2:23" s="14" customFormat="1" x14ac:dyDescent="0.25">
      <c r="B134" s="76"/>
      <c r="C134" s="153"/>
      <c r="D134" s="153"/>
      <c r="E134" s="153"/>
      <c r="F134" s="153"/>
      <c r="G134" s="153"/>
      <c r="H134" s="153"/>
      <c r="I134" s="153"/>
      <c r="J134" s="153"/>
      <c r="K134" s="153"/>
      <c r="L134" s="153"/>
      <c r="M134" s="153"/>
      <c r="N134" s="153"/>
      <c r="O134" s="153"/>
      <c r="P134" s="153"/>
      <c r="Q134" s="157"/>
      <c r="R134" s="221"/>
      <c r="S134" s="157"/>
      <c r="T134" s="157"/>
      <c r="U134" s="157"/>
      <c r="V134" s="157"/>
      <c r="W134" s="157"/>
    </row>
    <row r="135" spans="2:23" s="14" customFormat="1" x14ac:dyDescent="0.25">
      <c r="B135" s="76"/>
      <c r="C135" s="153"/>
      <c r="D135" s="153"/>
      <c r="E135" s="153"/>
      <c r="F135" s="153"/>
      <c r="G135" s="153"/>
      <c r="H135" s="153"/>
      <c r="I135" s="153"/>
      <c r="J135" s="153"/>
      <c r="K135" s="153"/>
      <c r="L135" s="153"/>
      <c r="M135" s="153"/>
      <c r="N135" s="153"/>
      <c r="O135" s="153"/>
      <c r="P135" s="153"/>
      <c r="Q135" s="157"/>
      <c r="R135" s="221"/>
      <c r="S135" s="157"/>
      <c r="T135" s="157"/>
      <c r="U135" s="157"/>
      <c r="V135" s="157"/>
      <c r="W135" s="157"/>
    </row>
    <row r="136" spans="2:23" s="14" customFormat="1" x14ac:dyDescent="0.25">
      <c r="B136" s="76"/>
      <c r="C136" s="153"/>
      <c r="D136" s="153"/>
      <c r="E136" s="153"/>
      <c r="F136" s="153"/>
      <c r="G136" s="153"/>
      <c r="H136" s="153"/>
      <c r="I136" s="153"/>
      <c r="J136" s="153"/>
      <c r="K136" s="153"/>
      <c r="L136" s="153"/>
      <c r="M136" s="153"/>
      <c r="N136" s="153"/>
      <c r="O136" s="153"/>
      <c r="P136" s="153"/>
      <c r="Q136" s="157"/>
      <c r="R136" s="221"/>
      <c r="S136" s="157"/>
      <c r="T136" s="157"/>
      <c r="U136" s="157"/>
      <c r="V136" s="157"/>
      <c r="W136" s="157"/>
    </row>
    <row r="137" spans="2:23" s="14" customFormat="1" x14ac:dyDescent="0.25">
      <c r="B137" s="76"/>
      <c r="C137" s="153"/>
      <c r="D137" s="153"/>
      <c r="E137" s="153"/>
      <c r="F137" s="153"/>
      <c r="G137" s="153"/>
      <c r="H137" s="153"/>
      <c r="I137" s="153"/>
      <c r="J137" s="153"/>
      <c r="K137" s="153"/>
      <c r="L137" s="153"/>
      <c r="M137" s="153"/>
      <c r="N137" s="153"/>
      <c r="O137" s="153"/>
      <c r="P137" s="153"/>
      <c r="Q137" s="157"/>
      <c r="R137" s="221"/>
      <c r="S137" s="157"/>
      <c r="T137" s="157"/>
      <c r="U137" s="157"/>
      <c r="V137" s="157"/>
      <c r="W137" s="157"/>
    </row>
    <row r="138" spans="2:23" s="14" customFormat="1" x14ac:dyDescent="0.25">
      <c r="B138" s="76"/>
      <c r="C138" s="153"/>
      <c r="D138" s="153"/>
      <c r="E138" s="153"/>
      <c r="F138" s="153"/>
      <c r="G138" s="153"/>
      <c r="H138" s="153"/>
      <c r="I138" s="153"/>
      <c r="J138" s="153"/>
      <c r="K138" s="153"/>
      <c r="L138" s="153"/>
      <c r="M138" s="153"/>
      <c r="N138" s="153"/>
      <c r="O138" s="153"/>
      <c r="P138" s="153"/>
      <c r="Q138" s="157"/>
      <c r="R138" s="221"/>
      <c r="S138" s="157"/>
      <c r="T138" s="157"/>
      <c r="U138" s="157"/>
      <c r="V138" s="157"/>
      <c r="W138" s="157"/>
    </row>
    <row r="139" spans="2:23" s="14" customFormat="1" x14ac:dyDescent="0.25">
      <c r="B139" s="76"/>
      <c r="C139" s="153"/>
      <c r="D139" s="153"/>
      <c r="E139" s="153"/>
      <c r="F139" s="153"/>
      <c r="G139" s="153"/>
      <c r="H139" s="153"/>
      <c r="I139" s="153"/>
      <c r="J139" s="153"/>
      <c r="K139" s="153"/>
      <c r="L139" s="153"/>
      <c r="M139" s="153"/>
      <c r="N139" s="153"/>
      <c r="O139" s="153"/>
      <c r="P139" s="153"/>
      <c r="Q139" s="157"/>
      <c r="R139" s="221"/>
      <c r="S139" s="157"/>
      <c r="T139" s="157"/>
      <c r="U139" s="157"/>
      <c r="V139" s="157"/>
      <c r="W139" s="157"/>
    </row>
    <row r="140" spans="2:23" s="14" customFormat="1" x14ac:dyDescent="0.25">
      <c r="B140" s="76"/>
      <c r="C140" s="153"/>
      <c r="D140" s="153"/>
      <c r="E140" s="153"/>
      <c r="F140" s="153"/>
      <c r="G140" s="153"/>
      <c r="H140" s="153"/>
      <c r="I140" s="153"/>
      <c r="J140" s="153"/>
      <c r="K140" s="153"/>
      <c r="L140" s="153"/>
      <c r="M140" s="153"/>
      <c r="N140" s="153"/>
      <c r="O140" s="153"/>
      <c r="P140" s="153"/>
      <c r="Q140" s="157"/>
      <c r="R140" s="221"/>
      <c r="S140" s="157"/>
      <c r="T140" s="157"/>
      <c r="U140" s="157"/>
      <c r="V140" s="157"/>
      <c r="W140" s="157"/>
    </row>
    <row r="141" spans="2:23" s="14" customFormat="1" x14ac:dyDescent="0.25">
      <c r="B141" s="76"/>
      <c r="C141" s="153"/>
      <c r="D141" s="153"/>
      <c r="E141" s="153"/>
      <c r="F141" s="153"/>
      <c r="G141" s="153"/>
      <c r="H141" s="153"/>
      <c r="I141" s="153"/>
      <c r="J141" s="153"/>
      <c r="K141" s="153"/>
      <c r="L141" s="153"/>
      <c r="M141" s="153"/>
      <c r="N141" s="153"/>
      <c r="O141" s="153"/>
      <c r="P141" s="153"/>
      <c r="Q141" s="157"/>
      <c r="R141" s="221"/>
      <c r="S141" s="157"/>
      <c r="T141" s="157"/>
      <c r="U141" s="157"/>
      <c r="V141" s="157"/>
      <c r="W141" s="157"/>
    </row>
    <row r="142" spans="2:23" s="14" customFormat="1" x14ac:dyDescent="0.25">
      <c r="B142" s="76"/>
      <c r="C142" s="153"/>
      <c r="D142" s="153"/>
      <c r="E142" s="153"/>
      <c r="F142" s="153"/>
      <c r="G142" s="153"/>
      <c r="H142" s="153"/>
      <c r="I142" s="153"/>
      <c r="J142" s="153"/>
      <c r="K142" s="153"/>
      <c r="L142" s="153"/>
      <c r="M142" s="153"/>
      <c r="N142" s="153"/>
      <c r="O142" s="153"/>
      <c r="P142" s="153"/>
      <c r="Q142" s="157"/>
      <c r="R142" s="221"/>
      <c r="S142" s="157"/>
      <c r="T142" s="157"/>
      <c r="U142" s="157"/>
      <c r="V142" s="157"/>
      <c r="W142" s="157"/>
    </row>
    <row r="143" spans="2:23" s="14" customFormat="1" x14ac:dyDescent="0.25">
      <c r="B143" s="76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7"/>
      <c r="R143" s="221"/>
      <c r="S143" s="157"/>
      <c r="T143" s="157"/>
      <c r="U143" s="157"/>
      <c r="V143" s="157"/>
      <c r="W143" s="157"/>
    </row>
    <row r="144" spans="2:23" s="14" customFormat="1" x14ac:dyDescent="0.25">
      <c r="B144" s="76"/>
      <c r="C144" s="153"/>
      <c r="D144" s="153"/>
      <c r="E144" s="153"/>
      <c r="F144" s="153"/>
      <c r="G144" s="153"/>
      <c r="H144" s="153"/>
      <c r="I144" s="153"/>
      <c r="J144" s="153"/>
      <c r="K144" s="153"/>
      <c r="L144" s="153"/>
      <c r="M144" s="153"/>
      <c r="N144" s="153"/>
      <c r="O144" s="153"/>
      <c r="P144" s="153"/>
      <c r="Q144" s="157"/>
      <c r="R144" s="221"/>
      <c r="S144" s="157"/>
      <c r="T144" s="157"/>
      <c r="U144" s="157"/>
      <c r="V144" s="157"/>
      <c r="W144" s="157"/>
    </row>
    <row r="145" spans="2:23" s="14" customFormat="1" x14ac:dyDescent="0.25">
      <c r="B145" s="76"/>
      <c r="C145" s="153"/>
      <c r="D145" s="153"/>
      <c r="E145" s="153"/>
      <c r="F145" s="153"/>
      <c r="G145" s="153"/>
      <c r="H145" s="153"/>
      <c r="I145" s="153"/>
      <c r="J145" s="153"/>
      <c r="K145" s="153"/>
      <c r="L145" s="153"/>
      <c r="M145" s="153"/>
      <c r="N145" s="153"/>
      <c r="O145" s="153"/>
      <c r="P145" s="153"/>
      <c r="Q145" s="157"/>
      <c r="R145" s="221"/>
      <c r="S145" s="157"/>
      <c r="T145" s="157"/>
      <c r="U145" s="157"/>
      <c r="V145" s="157"/>
      <c r="W145" s="157"/>
    </row>
    <row r="146" spans="2:23" s="14" customFormat="1" x14ac:dyDescent="0.25">
      <c r="B146" s="76"/>
      <c r="C146" s="153"/>
      <c r="D146" s="153"/>
      <c r="E146" s="153"/>
      <c r="F146" s="153"/>
      <c r="G146" s="153"/>
      <c r="H146" s="153"/>
      <c r="I146" s="153"/>
      <c r="J146" s="153"/>
      <c r="K146" s="153"/>
      <c r="L146" s="153"/>
      <c r="M146" s="153"/>
      <c r="N146" s="153"/>
      <c r="O146" s="153"/>
      <c r="P146" s="153"/>
      <c r="Q146" s="157"/>
      <c r="R146" s="221"/>
      <c r="S146" s="157"/>
      <c r="T146" s="157"/>
      <c r="U146" s="157"/>
      <c r="V146" s="157"/>
      <c r="W146" s="157"/>
    </row>
    <row r="147" spans="2:23" s="14" customFormat="1" x14ac:dyDescent="0.25">
      <c r="B147" s="76"/>
      <c r="C147" s="153"/>
      <c r="D147" s="153"/>
      <c r="E147" s="153"/>
      <c r="F147" s="153"/>
      <c r="G147" s="153"/>
      <c r="H147" s="153"/>
      <c r="I147" s="153"/>
      <c r="J147" s="153"/>
      <c r="K147" s="153"/>
      <c r="L147" s="153"/>
      <c r="M147" s="153"/>
      <c r="N147" s="153"/>
      <c r="O147" s="153"/>
      <c r="P147" s="153"/>
      <c r="Q147" s="157"/>
      <c r="R147" s="221"/>
      <c r="S147" s="157"/>
      <c r="T147" s="157"/>
      <c r="U147" s="157"/>
      <c r="V147" s="157"/>
      <c r="W147" s="157"/>
    </row>
    <row r="148" spans="2:23" s="14" customFormat="1" x14ac:dyDescent="0.25">
      <c r="B148" s="76"/>
      <c r="C148" s="153"/>
      <c r="D148" s="153"/>
      <c r="E148" s="153"/>
      <c r="F148" s="153"/>
      <c r="G148" s="153"/>
      <c r="H148" s="153"/>
      <c r="I148" s="153"/>
      <c r="J148" s="153"/>
      <c r="K148" s="153"/>
      <c r="L148" s="153"/>
      <c r="M148" s="153"/>
      <c r="N148" s="153"/>
      <c r="O148" s="153"/>
      <c r="P148" s="153"/>
      <c r="Q148" s="157"/>
      <c r="R148" s="221"/>
      <c r="S148" s="157"/>
      <c r="T148" s="157"/>
      <c r="U148" s="157"/>
      <c r="V148" s="157"/>
      <c r="W148" s="157"/>
    </row>
    <row r="149" spans="2:23" s="14" customFormat="1" x14ac:dyDescent="0.25">
      <c r="B149" s="76"/>
      <c r="C149" s="153"/>
      <c r="D149" s="153"/>
      <c r="E149" s="153"/>
      <c r="F149" s="153"/>
      <c r="G149" s="153"/>
      <c r="H149" s="153"/>
      <c r="I149" s="153"/>
      <c r="J149" s="153"/>
      <c r="K149" s="153"/>
      <c r="L149" s="153"/>
      <c r="M149" s="153"/>
      <c r="N149" s="153"/>
      <c r="O149" s="153"/>
      <c r="P149" s="153"/>
      <c r="Q149" s="157"/>
      <c r="R149" s="221"/>
      <c r="S149" s="157"/>
      <c r="T149" s="157"/>
      <c r="U149" s="157"/>
      <c r="V149" s="157"/>
      <c r="W149" s="157"/>
    </row>
    <row r="150" spans="2:23" s="14" customFormat="1" x14ac:dyDescent="0.25">
      <c r="B150" s="76"/>
      <c r="C150" s="153"/>
      <c r="D150" s="153"/>
      <c r="E150" s="153"/>
      <c r="F150" s="153"/>
      <c r="G150" s="153"/>
      <c r="H150" s="153"/>
      <c r="I150" s="153"/>
      <c r="J150" s="153"/>
      <c r="K150" s="153"/>
      <c r="L150" s="153"/>
      <c r="M150" s="153"/>
      <c r="N150" s="153"/>
      <c r="O150" s="153"/>
      <c r="P150" s="153"/>
      <c r="Q150" s="157"/>
      <c r="R150" s="221"/>
      <c r="S150" s="157"/>
      <c r="T150" s="157"/>
      <c r="U150" s="157"/>
      <c r="V150" s="157"/>
      <c r="W150" s="157"/>
    </row>
    <row r="151" spans="2:23" s="14" customFormat="1" x14ac:dyDescent="0.25">
      <c r="B151" s="76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7"/>
      <c r="R151" s="221"/>
      <c r="S151" s="157"/>
      <c r="T151" s="157"/>
      <c r="U151" s="157"/>
      <c r="V151" s="157"/>
      <c r="W151" s="157"/>
    </row>
    <row r="152" spans="2:23" s="14" customFormat="1" x14ac:dyDescent="0.25">
      <c r="B152" s="76"/>
      <c r="C152" s="153"/>
      <c r="D152" s="153"/>
      <c r="E152" s="153"/>
      <c r="F152" s="153"/>
      <c r="G152" s="153"/>
      <c r="H152" s="153"/>
      <c r="I152" s="153"/>
      <c r="J152" s="153"/>
      <c r="K152" s="153"/>
      <c r="L152" s="153"/>
      <c r="M152" s="153"/>
      <c r="N152" s="153"/>
      <c r="O152" s="153"/>
      <c r="P152" s="153"/>
      <c r="Q152" s="157"/>
      <c r="R152" s="221"/>
      <c r="S152" s="157"/>
      <c r="T152" s="157"/>
      <c r="U152" s="157"/>
      <c r="V152" s="157"/>
      <c r="W152" s="157"/>
    </row>
    <row r="153" spans="2:23" s="14" customFormat="1" x14ac:dyDescent="0.25">
      <c r="B153" s="76"/>
      <c r="C153" s="153"/>
      <c r="D153" s="153"/>
      <c r="E153" s="153"/>
      <c r="F153" s="153"/>
      <c r="G153" s="153"/>
      <c r="H153" s="153"/>
      <c r="I153" s="153"/>
      <c r="J153" s="153"/>
      <c r="K153" s="153"/>
      <c r="L153" s="153"/>
      <c r="M153" s="153"/>
      <c r="N153" s="153"/>
      <c r="O153" s="153"/>
      <c r="P153" s="153"/>
      <c r="Q153" s="157"/>
      <c r="R153" s="221"/>
      <c r="S153" s="157"/>
      <c r="T153" s="157"/>
      <c r="U153" s="157"/>
      <c r="V153" s="157"/>
      <c r="W153" s="157"/>
    </row>
    <row r="154" spans="2:23" s="14" customFormat="1" x14ac:dyDescent="0.25">
      <c r="B154" s="76"/>
      <c r="C154" s="153"/>
      <c r="D154" s="153"/>
      <c r="E154" s="153"/>
      <c r="F154" s="153"/>
      <c r="G154" s="153"/>
      <c r="H154" s="153"/>
      <c r="I154" s="153"/>
      <c r="J154" s="153"/>
      <c r="K154" s="153"/>
      <c r="L154" s="153"/>
      <c r="M154" s="153"/>
      <c r="N154" s="153"/>
      <c r="O154" s="153"/>
      <c r="P154" s="153"/>
      <c r="Q154" s="157"/>
      <c r="R154" s="221"/>
      <c r="S154" s="157"/>
      <c r="T154" s="157"/>
      <c r="U154" s="157"/>
      <c r="V154" s="157"/>
      <c r="W154" s="157"/>
    </row>
    <row r="155" spans="2:23" s="14" customFormat="1" x14ac:dyDescent="0.25">
      <c r="B155" s="76"/>
      <c r="C155" s="153"/>
      <c r="D155" s="153"/>
      <c r="E155" s="153"/>
      <c r="F155" s="153"/>
      <c r="G155" s="153"/>
      <c r="H155" s="153"/>
      <c r="I155" s="153"/>
      <c r="J155" s="153"/>
      <c r="K155" s="153"/>
      <c r="L155" s="153"/>
      <c r="M155" s="153"/>
      <c r="N155" s="153"/>
      <c r="O155" s="153"/>
      <c r="P155" s="153"/>
      <c r="Q155" s="157"/>
      <c r="R155" s="221"/>
      <c r="S155" s="157"/>
      <c r="T155" s="157"/>
      <c r="U155" s="157"/>
      <c r="V155" s="157"/>
      <c r="W155" s="157"/>
    </row>
    <row r="156" spans="2:23" s="14" customFormat="1" x14ac:dyDescent="0.25">
      <c r="B156" s="76"/>
      <c r="C156" s="153"/>
      <c r="D156" s="153"/>
      <c r="E156" s="153"/>
      <c r="F156" s="153"/>
      <c r="G156" s="153"/>
      <c r="H156" s="153"/>
      <c r="I156" s="153"/>
      <c r="J156" s="153"/>
      <c r="K156" s="153"/>
      <c r="L156" s="153"/>
      <c r="M156" s="153"/>
      <c r="N156" s="153"/>
      <c r="O156" s="153"/>
      <c r="P156" s="153"/>
      <c r="Q156" s="157"/>
      <c r="R156" s="221"/>
      <c r="S156" s="157"/>
      <c r="T156" s="157"/>
      <c r="U156" s="157"/>
      <c r="V156" s="157"/>
      <c r="W156" s="157"/>
    </row>
    <row r="157" spans="2:23" s="14" customFormat="1" x14ac:dyDescent="0.25">
      <c r="B157" s="76"/>
      <c r="C157" s="153"/>
      <c r="D157" s="153"/>
      <c r="E157" s="153"/>
      <c r="F157" s="153"/>
      <c r="G157" s="153"/>
      <c r="H157" s="153"/>
      <c r="I157" s="153"/>
      <c r="J157" s="153"/>
      <c r="K157" s="153"/>
      <c r="L157" s="153"/>
      <c r="M157" s="153"/>
      <c r="N157" s="153"/>
      <c r="O157" s="153"/>
      <c r="P157" s="153"/>
      <c r="Q157" s="157"/>
      <c r="R157" s="221"/>
      <c r="S157" s="157"/>
      <c r="T157" s="157"/>
      <c r="U157" s="157"/>
      <c r="V157" s="157"/>
      <c r="W157" s="157"/>
    </row>
    <row r="158" spans="2:23" s="14" customFormat="1" x14ac:dyDescent="0.25">
      <c r="B158" s="76"/>
      <c r="C158" s="153"/>
      <c r="D158" s="153"/>
      <c r="E158" s="153"/>
      <c r="F158" s="153"/>
      <c r="G158" s="153"/>
      <c r="H158" s="153"/>
      <c r="I158" s="153"/>
      <c r="J158" s="153"/>
      <c r="K158" s="153"/>
      <c r="L158" s="153"/>
      <c r="M158" s="153"/>
      <c r="N158" s="153"/>
      <c r="O158" s="153"/>
      <c r="P158" s="153"/>
      <c r="Q158" s="157"/>
      <c r="R158" s="221"/>
      <c r="S158" s="157"/>
      <c r="T158" s="157"/>
      <c r="U158" s="157"/>
      <c r="V158" s="157"/>
      <c r="W158" s="157"/>
    </row>
    <row r="159" spans="2:23" s="14" customFormat="1" x14ac:dyDescent="0.25">
      <c r="B159" s="76"/>
      <c r="C159" s="153"/>
      <c r="D159" s="153"/>
      <c r="E159" s="153"/>
      <c r="F159" s="153"/>
      <c r="G159" s="153"/>
      <c r="H159" s="153"/>
      <c r="I159" s="153"/>
      <c r="J159" s="153"/>
      <c r="K159" s="153"/>
      <c r="L159" s="153"/>
      <c r="M159" s="153"/>
      <c r="N159" s="153"/>
      <c r="O159" s="153"/>
      <c r="P159" s="153"/>
      <c r="Q159" s="157"/>
      <c r="R159" s="221"/>
      <c r="S159" s="157"/>
      <c r="T159" s="157"/>
      <c r="U159" s="157"/>
      <c r="V159" s="157"/>
      <c r="W159" s="157"/>
    </row>
    <row r="160" spans="2:23" s="14" customFormat="1" x14ac:dyDescent="0.25">
      <c r="B160" s="76"/>
      <c r="C160" s="153"/>
      <c r="D160" s="153"/>
      <c r="E160" s="153"/>
      <c r="F160" s="153"/>
      <c r="G160" s="153"/>
      <c r="H160" s="153"/>
      <c r="I160" s="153"/>
      <c r="J160" s="153"/>
      <c r="K160" s="153"/>
      <c r="L160" s="153"/>
      <c r="M160" s="153"/>
      <c r="N160" s="153"/>
      <c r="O160" s="153"/>
      <c r="P160" s="153"/>
      <c r="Q160" s="157"/>
      <c r="R160" s="221"/>
      <c r="S160" s="157"/>
      <c r="T160" s="157"/>
      <c r="U160" s="157"/>
      <c r="V160" s="157"/>
      <c r="W160" s="157"/>
    </row>
    <row r="161" spans="2:23" s="14" customFormat="1" x14ac:dyDescent="0.25">
      <c r="B161" s="76"/>
      <c r="C161" s="153"/>
      <c r="D161" s="153"/>
      <c r="E161" s="153"/>
      <c r="F161" s="153"/>
      <c r="G161" s="153"/>
      <c r="H161" s="153"/>
      <c r="I161" s="153"/>
      <c r="J161" s="153"/>
      <c r="K161" s="153"/>
      <c r="L161" s="153"/>
      <c r="M161" s="153"/>
      <c r="N161" s="153"/>
      <c r="O161" s="153"/>
      <c r="P161" s="153"/>
      <c r="Q161" s="157"/>
      <c r="R161" s="221"/>
      <c r="S161" s="157"/>
      <c r="T161" s="157"/>
      <c r="U161" s="157"/>
      <c r="V161" s="157"/>
      <c r="W161" s="157"/>
    </row>
    <row r="162" spans="2:23" s="14" customFormat="1" x14ac:dyDescent="0.25">
      <c r="B162" s="76"/>
      <c r="C162" s="153"/>
      <c r="D162" s="153"/>
      <c r="E162" s="153"/>
      <c r="F162" s="153"/>
      <c r="G162" s="153"/>
      <c r="H162" s="153"/>
      <c r="I162" s="153"/>
      <c r="J162" s="153"/>
      <c r="K162" s="153"/>
      <c r="L162" s="153"/>
      <c r="M162" s="153"/>
      <c r="N162" s="153"/>
      <c r="O162" s="153"/>
      <c r="P162" s="153"/>
      <c r="Q162" s="157"/>
      <c r="R162" s="221"/>
      <c r="S162" s="157"/>
      <c r="T162" s="157"/>
      <c r="U162" s="157"/>
      <c r="V162" s="157"/>
      <c r="W162" s="157"/>
    </row>
    <row r="163" spans="2:23" s="14" customFormat="1" x14ac:dyDescent="0.25">
      <c r="B163" s="76"/>
      <c r="C163" s="153"/>
      <c r="D163" s="153"/>
      <c r="E163" s="153"/>
      <c r="F163" s="153"/>
      <c r="G163" s="153"/>
      <c r="H163" s="153"/>
      <c r="I163" s="153"/>
      <c r="J163" s="153"/>
      <c r="K163" s="153"/>
      <c r="L163" s="153"/>
      <c r="M163" s="153"/>
      <c r="N163" s="153"/>
      <c r="O163" s="153"/>
      <c r="P163" s="153"/>
      <c r="Q163" s="157"/>
      <c r="R163" s="221"/>
      <c r="S163" s="157"/>
      <c r="T163" s="157"/>
      <c r="U163" s="157"/>
      <c r="V163" s="157"/>
      <c r="W163" s="157"/>
    </row>
    <row r="164" spans="2:23" s="14" customFormat="1" x14ac:dyDescent="0.25">
      <c r="B164" s="76"/>
      <c r="C164" s="153"/>
      <c r="D164" s="153"/>
      <c r="E164" s="153"/>
      <c r="F164" s="153"/>
      <c r="G164" s="153"/>
      <c r="H164" s="153"/>
      <c r="I164" s="153"/>
      <c r="J164" s="153"/>
      <c r="K164" s="153"/>
      <c r="L164" s="153"/>
      <c r="M164" s="153"/>
      <c r="N164" s="153"/>
      <c r="O164" s="153"/>
      <c r="P164" s="153"/>
      <c r="Q164" s="157"/>
      <c r="R164" s="221"/>
      <c r="S164" s="157"/>
      <c r="T164" s="157"/>
      <c r="U164" s="157"/>
      <c r="V164" s="157"/>
      <c r="W164" s="157"/>
    </row>
    <row r="165" spans="2:23" s="14" customFormat="1" x14ac:dyDescent="0.25">
      <c r="B165" s="76"/>
      <c r="C165" s="153"/>
      <c r="D165" s="153"/>
      <c r="E165" s="153"/>
      <c r="F165" s="153"/>
      <c r="G165" s="153"/>
      <c r="H165" s="153"/>
      <c r="I165" s="153"/>
      <c r="J165" s="153"/>
      <c r="K165" s="153"/>
      <c r="L165" s="153"/>
      <c r="M165" s="153"/>
      <c r="N165" s="153"/>
      <c r="O165" s="153"/>
      <c r="P165" s="153"/>
      <c r="Q165" s="157"/>
      <c r="R165" s="221"/>
      <c r="S165" s="157"/>
      <c r="T165" s="157"/>
      <c r="U165" s="157"/>
      <c r="V165" s="157"/>
      <c r="W165" s="157"/>
    </row>
    <row r="166" spans="2:23" s="14" customFormat="1" x14ac:dyDescent="0.25">
      <c r="B166" s="76"/>
      <c r="C166" s="153"/>
      <c r="D166" s="153"/>
      <c r="E166" s="153"/>
      <c r="F166" s="153"/>
      <c r="G166" s="153"/>
      <c r="H166" s="153"/>
      <c r="I166" s="153"/>
      <c r="J166" s="153"/>
      <c r="K166" s="153"/>
      <c r="L166" s="153"/>
      <c r="M166" s="153"/>
      <c r="N166" s="153"/>
      <c r="O166" s="153"/>
      <c r="P166" s="153"/>
      <c r="Q166" s="157"/>
      <c r="R166" s="221"/>
      <c r="S166" s="157"/>
      <c r="T166" s="157"/>
      <c r="U166" s="157"/>
      <c r="V166" s="157"/>
      <c r="W166" s="157"/>
    </row>
    <row r="167" spans="2:23" s="14" customFormat="1" x14ac:dyDescent="0.25">
      <c r="B167" s="76"/>
      <c r="C167" s="153"/>
      <c r="D167" s="153"/>
      <c r="E167" s="153"/>
      <c r="F167" s="153"/>
      <c r="G167" s="153"/>
      <c r="H167" s="153"/>
      <c r="I167" s="153"/>
      <c r="J167" s="153"/>
      <c r="K167" s="153"/>
      <c r="L167" s="153"/>
      <c r="M167" s="153"/>
      <c r="N167" s="153"/>
      <c r="O167" s="153"/>
      <c r="P167" s="153"/>
      <c r="Q167" s="157"/>
      <c r="R167" s="221"/>
      <c r="S167" s="157"/>
      <c r="T167" s="157"/>
      <c r="U167" s="157"/>
      <c r="V167" s="157"/>
      <c r="W167" s="157"/>
    </row>
    <row r="168" spans="2:23" s="14" customFormat="1" x14ac:dyDescent="0.25">
      <c r="B168" s="76"/>
      <c r="C168" s="153"/>
      <c r="D168" s="153"/>
      <c r="E168" s="153"/>
      <c r="F168" s="153"/>
      <c r="G168" s="153"/>
      <c r="H168" s="153"/>
      <c r="I168" s="153"/>
      <c r="J168" s="153"/>
      <c r="K168" s="153"/>
      <c r="L168" s="153"/>
      <c r="M168" s="153"/>
      <c r="N168" s="153"/>
      <c r="O168" s="153"/>
      <c r="P168" s="153"/>
      <c r="Q168" s="157"/>
      <c r="R168" s="221"/>
      <c r="S168" s="157"/>
      <c r="T168" s="157"/>
      <c r="U168" s="157"/>
      <c r="V168" s="157"/>
      <c r="W168" s="157"/>
    </row>
    <row r="169" spans="2:23" s="14" customFormat="1" x14ac:dyDescent="0.25">
      <c r="B169" s="76"/>
      <c r="C169" s="153"/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7"/>
      <c r="R169" s="221"/>
      <c r="S169" s="157"/>
      <c r="T169" s="157"/>
      <c r="U169" s="157"/>
      <c r="V169" s="157"/>
      <c r="W169" s="157"/>
    </row>
    <row r="170" spans="2:23" s="14" customFormat="1" x14ac:dyDescent="0.25">
      <c r="B170" s="76"/>
      <c r="C170" s="153"/>
      <c r="D170" s="153"/>
      <c r="E170" s="153"/>
      <c r="F170" s="153"/>
      <c r="G170" s="153"/>
      <c r="H170" s="153"/>
      <c r="I170" s="153"/>
      <c r="J170" s="153"/>
      <c r="K170" s="153"/>
      <c r="L170" s="153"/>
      <c r="M170" s="153"/>
      <c r="N170" s="153"/>
      <c r="O170" s="153"/>
      <c r="P170" s="153"/>
      <c r="Q170" s="157"/>
      <c r="R170" s="221"/>
      <c r="S170" s="157"/>
      <c r="T170" s="157"/>
      <c r="U170" s="157"/>
      <c r="V170" s="157"/>
      <c r="W170" s="157"/>
    </row>
    <row r="171" spans="2:23" s="14" customFormat="1" x14ac:dyDescent="0.25">
      <c r="B171" s="76"/>
      <c r="C171" s="153"/>
      <c r="D171" s="153"/>
      <c r="E171" s="153"/>
      <c r="F171" s="153"/>
      <c r="G171" s="153"/>
      <c r="H171" s="153"/>
      <c r="I171" s="153"/>
      <c r="J171" s="153"/>
      <c r="K171" s="153"/>
      <c r="L171" s="153"/>
      <c r="M171" s="153"/>
      <c r="N171" s="153"/>
      <c r="O171" s="153"/>
      <c r="P171" s="153"/>
      <c r="Q171" s="157"/>
      <c r="R171" s="221"/>
      <c r="S171" s="157"/>
      <c r="T171" s="157"/>
      <c r="U171" s="157"/>
      <c r="V171" s="157"/>
      <c r="W171" s="157"/>
    </row>
    <row r="172" spans="2:23" s="14" customFormat="1" x14ac:dyDescent="0.25">
      <c r="B172" s="76"/>
      <c r="C172" s="153"/>
      <c r="D172" s="153"/>
      <c r="E172" s="153"/>
      <c r="F172" s="153"/>
      <c r="G172" s="153"/>
      <c r="H172" s="153"/>
      <c r="I172" s="153"/>
      <c r="J172" s="153"/>
      <c r="K172" s="153"/>
      <c r="L172" s="153"/>
      <c r="M172" s="153"/>
      <c r="N172" s="153"/>
      <c r="O172" s="153"/>
      <c r="P172" s="153"/>
      <c r="Q172" s="157"/>
      <c r="R172" s="221"/>
      <c r="S172" s="157"/>
      <c r="T172" s="157"/>
      <c r="U172" s="157"/>
      <c r="V172" s="157"/>
      <c r="W172" s="157"/>
    </row>
    <row r="173" spans="2:23" s="14" customFormat="1" x14ac:dyDescent="0.25">
      <c r="B173" s="76"/>
      <c r="C173" s="153"/>
      <c r="D173" s="153"/>
      <c r="E173" s="153"/>
      <c r="F173" s="153"/>
      <c r="G173" s="153"/>
      <c r="H173" s="153"/>
      <c r="I173" s="153"/>
      <c r="J173" s="153"/>
      <c r="K173" s="153"/>
      <c r="L173" s="153"/>
      <c r="M173" s="153"/>
      <c r="N173" s="153"/>
      <c r="O173" s="153"/>
      <c r="P173" s="153"/>
      <c r="Q173" s="157"/>
      <c r="R173" s="221"/>
      <c r="S173" s="157"/>
      <c r="T173" s="157"/>
      <c r="U173" s="157"/>
      <c r="V173" s="157"/>
      <c r="W173" s="157"/>
    </row>
    <row r="174" spans="2:23" s="14" customFormat="1" x14ac:dyDescent="0.25">
      <c r="B174" s="76"/>
      <c r="C174" s="153"/>
      <c r="D174" s="153"/>
      <c r="E174" s="153"/>
      <c r="F174" s="153"/>
      <c r="G174" s="153"/>
      <c r="H174" s="153"/>
      <c r="I174" s="153"/>
      <c r="J174" s="153"/>
      <c r="K174" s="153"/>
      <c r="L174" s="153"/>
      <c r="M174" s="153"/>
      <c r="N174" s="153"/>
      <c r="O174" s="153"/>
      <c r="P174" s="153"/>
      <c r="Q174" s="157"/>
      <c r="R174" s="221"/>
      <c r="S174" s="157"/>
      <c r="T174" s="157"/>
      <c r="U174" s="157"/>
      <c r="V174" s="157"/>
      <c r="W174" s="157"/>
    </row>
    <row r="175" spans="2:23" s="14" customFormat="1" x14ac:dyDescent="0.25">
      <c r="B175" s="76"/>
      <c r="C175" s="153"/>
      <c r="D175" s="153"/>
      <c r="E175" s="153"/>
      <c r="F175" s="153"/>
      <c r="G175" s="153"/>
      <c r="H175" s="153"/>
      <c r="I175" s="153"/>
      <c r="J175" s="153"/>
      <c r="K175" s="153"/>
      <c r="L175" s="153"/>
      <c r="M175" s="153"/>
      <c r="N175" s="153"/>
      <c r="O175" s="153"/>
      <c r="P175" s="153"/>
      <c r="Q175" s="157"/>
      <c r="R175" s="221"/>
      <c r="S175" s="157"/>
      <c r="T175" s="157"/>
      <c r="U175" s="157"/>
      <c r="V175" s="157"/>
      <c r="W175" s="157"/>
    </row>
    <row r="176" spans="2:23" s="14" customFormat="1" x14ac:dyDescent="0.25">
      <c r="B176" s="76"/>
      <c r="C176" s="153"/>
      <c r="D176" s="153"/>
      <c r="E176" s="153"/>
      <c r="F176" s="153"/>
      <c r="G176" s="153"/>
      <c r="H176" s="153"/>
      <c r="I176" s="153"/>
      <c r="J176" s="153"/>
      <c r="K176" s="153"/>
      <c r="L176" s="153"/>
      <c r="M176" s="153"/>
      <c r="N176" s="153"/>
      <c r="O176" s="153"/>
      <c r="P176" s="153"/>
      <c r="Q176" s="157"/>
      <c r="R176" s="221"/>
      <c r="S176" s="157"/>
      <c r="T176" s="157"/>
      <c r="U176" s="157"/>
      <c r="V176" s="157"/>
      <c r="W176" s="157"/>
    </row>
    <row r="177" spans="2:23" s="14" customFormat="1" x14ac:dyDescent="0.25">
      <c r="B177" s="76"/>
      <c r="C177" s="153"/>
      <c r="D177" s="153"/>
      <c r="E177" s="153"/>
      <c r="F177" s="153"/>
      <c r="G177" s="153"/>
      <c r="H177" s="153"/>
      <c r="I177" s="153"/>
      <c r="J177" s="153"/>
      <c r="K177" s="153"/>
      <c r="L177" s="153"/>
      <c r="M177" s="153"/>
      <c r="N177" s="153"/>
      <c r="O177" s="153"/>
      <c r="P177" s="153"/>
      <c r="Q177" s="157"/>
      <c r="R177" s="221"/>
      <c r="S177" s="157"/>
      <c r="T177" s="157"/>
      <c r="U177" s="157"/>
      <c r="V177" s="157"/>
      <c r="W177" s="157"/>
    </row>
    <row r="178" spans="2:23" s="14" customFormat="1" x14ac:dyDescent="0.25">
      <c r="B178" s="76"/>
      <c r="C178" s="153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7"/>
      <c r="R178" s="221"/>
      <c r="S178" s="157"/>
      <c r="T178" s="157"/>
      <c r="U178" s="157"/>
      <c r="V178" s="157"/>
      <c r="W178" s="157"/>
    </row>
    <row r="179" spans="2:23" s="14" customFormat="1" x14ac:dyDescent="0.25">
      <c r="B179" s="76"/>
      <c r="C179" s="153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7"/>
      <c r="R179" s="221"/>
      <c r="S179" s="157"/>
      <c r="T179" s="157"/>
      <c r="U179" s="157"/>
      <c r="V179" s="157"/>
      <c r="W179" s="157"/>
    </row>
    <row r="180" spans="2:23" s="14" customFormat="1" x14ac:dyDescent="0.25">
      <c r="B180" s="76"/>
      <c r="C180" s="153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7"/>
      <c r="R180" s="221"/>
      <c r="S180" s="157"/>
      <c r="T180" s="157"/>
      <c r="U180" s="157"/>
      <c r="V180" s="157"/>
      <c r="W180" s="157"/>
    </row>
    <row r="181" spans="2:23" s="14" customFormat="1" x14ac:dyDescent="0.25">
      <c r="B181" s="76"/>
      <c r="C181" s="153"/>
      <c r="D181" s="153"/>
      <c r="E181" s="153"/>
      <c r="F181" s="153"/>
      <c r="G181" s="153"/>
      <c r="H181" s="153"/>
      <c r="I181" s="153"/>
      <c r="J181" s="153"/>
      <c r="K181" s="153"/>
      <c r="L181" s="153"/>
      <c r="M181" s="153"/>
      <c r="N181" s="153"/>
      <c r="O181" s="153"/>
      <c r="P181" s="153"/>
      <c r="Q181" s="157"/>
      <c r="R181" s="221"/>
      <c r="S181" s="157"/>
      <c r="T181" s="157"/>
      <c r="U181" s="157"/>
      <c r="V181" s="157"/>
      <c r="W181" s="157"/>
    </row>
    <row r="182" spans="2:23" s="14" customFormat="1" x14ac:dyDescent="0.25">
      <c r="B182" s="76"/>
      <c r="C182" s="153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7"/>
      <c r="R182" s="221"/>
      <c r="S182" s="157"/>
      <c r="T182" s="157"/>
      <c r="U182" s="157"/>
      <c r="V182" s="157"/>
      <c r="W182" s="157"/>
    </row>
    <row r="183" spans="2:23" s="14" customFormat="1" x14ac:dyDescent="0.25">
      <c r="B183" s="76"/>
      <c r="C183" s="153"/>
      <c r="D183" s="153"/>
      <c r="E183" s="153"/>
      <c r="F183" s="153"/>
      <c r="G183" s="153"/>
      <c r="H183" s="153"/>
      <c r="I183" s="153"/>
      <c r="J183" s="153"/>
      <c r="K183" s="153"/>
      <c r="L183" s="153"/>
      <c r="M183" s="153"/>
      <c r="N183" s="153"/>
      <c r="O183" s="153"/>
      <c r="P183" s="153"/>
      <c r="Q183" s="157"/>
      <c r="R183" s="221"/>
      <c r="S183" s="157"/>
      <c r="T183" s="157"/>
      <c r="U183" s="157"/>
      <c r="V183" s="157"/>
      <c r="W183" s="157"/>
    </row>
    <row r="184" spans="2:23" s="14" customFormat="1" x14ac:dyDescent="0.25">
      <c r="B184" s="76"/>
      <c r="C184" s="153"/>
      <c r="D184" s="153"/>
      <c r="E184" s="153"/>
      <c r="F184" s="153"/>
      <c r="G184" s="153"/>
      <c r="H184" s="153"/>
      <c r="I184" s="153"/>
      <c r="J184" s="153"/>
      <c r="K184" s="153"/>
      <c r="L184" s="153"/>
      <c r="M184" s="153"/>
      <c r="N184" s="153"/>
      <c r="O184" s="153"/>
      <c r="P184" s="153"/>
      <c r="Q184" s="157"/>
      <c r="R184" s="221"/>
      <c r="S184" s="157"/>
      <c r="T184" s="157"/>
      <c r="U184" s="157"/>
      <c r="V184" s="157"/>
      <c r="W184" s="157"/>
    </row>
    <row r="185" spans="2:23" s="14" customFormat="1" x14ac:dyDescent="0.25">
      <c r="B185" s="76"/>
      <c r="C185" s="153"/>
      <c r="D185" s="153"/>
      <c r="E185" s="153"/>
      <c r="F185" s="153"/>
      <c r="G185" s="153"/>
      <c r="H185" s="153"/>
      <c r="I185" s="153"/>
      <c r="J185" s="153"/>
      <c r="K185" s="153"/>
      <c r="L185" s="153"/>
      <c r="M185" s="153"/>
      <c r="N185" s="153"/>
      <c r="O185" s="153"/>
      <c r="P185" s="153"/>
      <c r="Q185" s="157"/>
      <c r="R185" s="221"/>
      <c r="S185" s="157"/>
      <c r="T185" s="157"/>
      <c r="U185" s="157"/>
      <c r="V185" s="157"/>
      <c r="W185" s="157"/>
    </row>
    <row r="186" spans="2:23" s="14" customFormat="1" x14ac:dyDescent="0.25">
      <c r="B186" s="76"/>
      <c r="C186" s="153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7"/>
      <c r="R186" s="221"/>
      <c r="S186" s="157"/>
      <c r="T186" s="157"/>
      <c r="U186" s="157"/>
      <c r="V186" s="157"/>
      <c r="W186" s="157"/>
    </row>
    <row r="187" spans="2:23" s="14" customFormat="1" x14ac:dyDescent="0.25">
      <c r="B187" s="76"/>
      <c r="C187" s="153"/>
      <c r="D187" s="153"/>
      <c r="E187" s="153"/>
      <c r="F187" s="153"/>
      <c r="G187" s="153"/>
      <c r="H187" s="153"/>
      <c r="I187" s="153"/>
      <c r="J187" s="153"/>
      <c r="K187" s="153"/>
      <c r="L187" s="153"/>
      <c r="M187" s="153"/>
      <c r="N187" s="153"/>
      <c r="O187" s="153"/>
      <c r="P187" s="153"/>
      <c r="Q187" s="157"/>
      <c r="R187" s="221"/>
      <c r="S187" s="157"/>
      <c r="T187" s="157"/>
      <c r="U187" s="157"/>
      <c r="V187" s="157"/>
      <c r="W187" s="157"/>
    </row>
    <row r="188" spans="2:23" s="14" customFormat="1" x14ac:dyDescent="0.25">
      <c r="B188" s="76"/>
      <c r="C188" s="153"/>
      <c r="D188" s="153"/>
      <c r="E188" s="153"/>
      <c r="F188" s="153"/>
      <c r="G188" s="153"/>
      <c r="H188" s="153"/>
      <c r="I188" s="153"/>
      <c r="J188" s="153"/>
      <c r="K188" s="153"/>
      <c r="L188" s="153"/>
      <c r="M188" s="153"/>
      <c r="N188" s="153"/>
      <c r="O188" s="153"/>
      <c r="P188" s="153"/>
      <c r="Q188" s="157"/>
      <c r="R188" s="221"/>
      <c r="S188" s="157"/>
      <c r="T188" s="157"/>
      <c r="U188" s="157"/>
      <c r="V188" s="157"/>
      <c r="W188" s="157"/>
    </row>
    <row r="189" spans="2:23" s="14" customFormat="1" x14ac:dyDescent="0.25">
      <c r="B189" s="76"/>
      <c r="C189" s="153"/>
      <c r="D189" s="153"/>
      <c r="E189" s="153"/>
      <c r="F189" s="153"/>
      <c r="G189" s="153"/>
      <c r="H189" s="153"/>
      <c r="I189" s="153"/>
      <c r="J189" s="153"/>
      <c r="K189" s="153"/>
      <c r="L189" s="153"/>
      <c r="M189" s="153"/>
      <c r="N189" s="153"/>
      <c r="O189" s="153"/>
      <c r="P189" s="153"/>
      <c r="Q189" s="157"/>
      <c r="R189" s="221"/>
      <c r="S189" s="157"/>
      <c r="T189" s="157"/>
      <c r="U189" s="157"/>
      <c r="V189" s="157"/>
      <c r="W189" s="157"/>
    </row>
    <row r="190" spans="2:23" s="14" customFormat="1" x14ac:dyDescent="0.25">
      <c r="B190" s="76"/>
      <c r="C190" s="153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7"/>
      <c r="R190" s="221"/>
      <c r="S190" s="157"/>
      <c r="T190" s="157"/>
      <c r="U190" s="157"/>
      <c r="V190" s="157"/>
      <c r="W190" s="157"/>
    </row>
    <row r="191" spans="2:23" s="14" customFormat="1" x14ac:dyDescent="0.25">
      <c r="B191" s="76"/>
      <c r="C191" s="153"/>
      <c r="D191" s="153"/>
      <c r="E191" s="153"/>
      <c r="F191" s="153"/>
      <c r="G191" s="153"/>
      <c r="H191" s="153"/>
      <c r="I191" s="153"/>
      <c r="J191" s="153"/>
      <c r="K191" s="153"/>
      <c r="L191" s="153"/>
      <c r="M191" s="153"/>
      <c r="N191" s="153"/>
      <c r="O191" s="153"/>
      <c r="P191" s="153"/>
      <c r="Q191" s="157"/>
      <c r="R191" s="221"/>
      <c r="S191" s="157"/>
      <c r="T191" s="157"/>
      <c r="U191" s="157"/>
      <c r="V191" s="157"/>
      <c r="W191" s="157"/>
    </row>
    <row r="192" spans="2:23" s="14" customFormat="1" x14ac:dyDescent="0.25">
      <c r="B192" s="76"/>
      <c r="C192" s="153"/>
      <c r="D192" s="153"/>
      <c r="E192" s="153"/>
      <c r="F192" s="153"/>
      <c r="G192" s="153"/>
      <c r="H192" s="153"/>
      <c r="I192" s="153"/>
      <c r="J192" s="153"/>
      <c r="K192" s="153"/>
      <c r="L192" s="153"/>
      <c r="M192" s="153"/>
      <c r="N192" s="153"/>
      <c r="O192" s="153"/>
      <c r="P192" s="153"/>
      <c r="Q192" s="157"/>
      <c r="R192" s="221"/>
      <c r="S192" s="157"/>
      <c r="T192" s="157"/>
      <c r="U192" s="157"/>
      <c r="V192" s="157"/>
      <c r="W192" s="157"/>
    </row>
    <row r="193" spans="2:23" s="14" customFormat="1" x14ac:dyDescent="0.25">
      <c r="B193" s="76"/>
      <c r="C193" s="153"/>
      <c r="D193" s="153"/>
      <c r="E193" s="153"/>
      <c r="F193" s="153"/>
      <c r="G193" s="153"/>
      <c r="H193" s="153"/>
      <c r="I193" s="153"/>
      <c r="J193" s="153"/>
      <c r="K193" s="153"/>
      <c r="L193" s="153"/>
      <c r="M193" s="153"/>
      <c r="N193" s="153"/>
      <c r="O193" s="153"/>
      <c r="P193" s="153"/>
      <c r="Q193" s="157"/>
      <c r="R193" s="221"/>
      <c r="S193" s="157"/>
      <c r="T193" s="157"/>
      <c r="U193" s="157"/>
      <c r="V193" s="157"/>
      <c r="W193" s="157"/>
    </row>
    <row r="194" spans="2:23" s="14" customFormat="1" x14ac:dyDescent="0.25">
      <c r="B194" s="76"/>
      <c r="C194" s="153"/>
      <c r="D194" s="153"/>
      <c r="E194" s="153"/>
      <c r="F194" s="153"/>
      <c r="G194" s="153"/>
      <c r="H194" s="153"/>
      <c r="I194" s="153"/>
      <c r="J194" s="153"/>
      <c r="K194" s="153"/>
      <c r="L194" s="153"/>
      <c r="M194" s="153"/>
      <c r="N194" s="153"/>
      <c r="O194" s="153"/>
      <c r="P194" s="153"/>
      <c r="Q194" s="157"/>
      <c r="R194" s="221"/>
      <c r="S194" s="157"/>
      <c r="T194" s="157"/>
      <c r="U194" s="157"/>
      <c r="V194" s="157"/>
      <c r="W194" s="157"/>
    </row>
    <row r="195" spans="2:23" s="14" customFormat="1" x14ac:dyDescent="0.25">
      <c r="B195" s="76"/>
      <c r="C195" s="153"/>
      <c r="D195" s="153"/>
      <c r="E195" s="153"/>
      <c r="F195" s="153"/>
      <c r="G195" s="153"/>
      <c r="H195" s="153"/>
      <c r="I195" s="153"/>
      <c r="J195" s="153"/>
      <c r="K195" s="153"/>
      <c r="L195" s="153"/>
      <c r="M195" s="153"/>
      <c r="N195" s="153"/>
      <c r="O195" s="153"/>
      <c r="P195" s="153"/>
      <c r="Q195" s="157"/>
      <c r="R195" s="221"/>
      <c r="S195" s="157"/>
      <c r="T195" s="157"/>
      <c r="U195" s="157"/>
      <c r="V195" s="157"/>
      <c r="W195" s="157"/>
    </row>
    <row r="196" spans="2:23" s="14" customFormat="1" x14ac:dyDescent="0.25">
      <c r="B196" s="76"/>
      <c r="C196" s="153"/>
      <c r="D196" s="153"/>
      <c r="E196" s="153"/>
      <c r="F196" s="153"/>
      <c r="G196" s="153"/>
      <c r="H196" s="153"/>
      <c r="I196" s="153"/>
      <c r="J196" s="153"/>
      <c r="K196" s="153"/>
      <c r="L196" s="153"/>
      <c r="M196" s="153"/>
      <c r="N196" s="153"/>
      <c r="O196" s="153"/>
      <c r="P196" s="153"/>
      <c r="Q196" s="157"/>
      <c r="R196" s="221"/>
      <c r="S196" s="157"/>
      <c r="T196" s="157"/>
      <c r="U196" s="157"/>
      <c r="V196" s="157"/>
      <c r="W196" s="157"/>
    </row>
    <row r="197" spans="2:23" s="14" customFormat="1" x14ac:dyDescent="0.25">
      <c r="B197" s="76"/>
      <c r="C197" s="153"/>
      <c r="D197" s="153"/>
      <c r="E197" s="153"/>
      <c r="F197" s="153"/>
      <c r="G197" s="153"/>
      <c r="H197" s="153"/>
      <c r="I197" s="153"/>
      <c r="J197" s="153"/>
      <c r="K197" s="153"/>
      <c r="L197" s="153"/>
      <c r="M197" s="153"/>
      <c r="N197" s="153"/>
      <c r="O197" s="153"/>
      <c r="P197" s="153"/>
      <c r="Q197" s="157"/>
      <c r="R197" s="221"/>
      <c r="S197" s="157"/>
      <c r="T197" s="157"/>
      <c r="U197" s="157"/>
      <c r="V197" s="157"/>
      <c r="W197" s="157"/>
    </row>
    <row r="198" spans="2:23" s="14" customFormat="1" x14ac:dyDescent="0.25">
      <c r="B198" s="76"/>
      <c r="C198" s="153"/>
      <c r="D198" s="153"/>
      <c r="E198" s="153"/>
      <c r="F198" s="153"/>
      <c r="G198" s="153"/>
      <c r="H198" s="153"/>
      <c r="I198" s="153"/>
      <c r="J198" s="153"/>
      <c r="K198" s="153"/>
      <c r="L198" s="153"/>
      <c r="M198" s="153"/>
      <c r="N198" s="153"/>
      <c r="O198" s="153"/>
      <c r="P198" s="153"/>
      <c r="Q198" s="157"/>
      <c r="R198" s="221"/>
      <c r="S198" s="157"/>
      <c r="T198" s="157"/>
      <c r="U198" s="157"/>
      <c r="V198" s="157"/>
      <c r="W198" s="157"/>
    </row>
    <row r="199" spans="2:23" s="14" customFormat="1" x14ac:dyDescent="0.25">
      <c r="B199" s="76"/>
      <c r="C199" s="153"/>
      <c r="D199" s="153"/>
      <c r="E199" s="153"/>
      <c r="F199" s="153"/>
      <c r="G199" s="153"/>
      <c r="H199" s="153"/>
      <c r="I199" s="153"/>
      <c r="J199" s="153"/>
      <c r="K199" s="153"/>
      <c r="L199" s="153"/>
      <c r="M199" s="153"/>
      <c r="N199" s="153"/>
      <c r="O199" s="153"/>
      <c r="P199" s="153"/>
      <c r="Q199" s="157"/>
      <c r="R199" s="221"/>
      <c r="S199" s="157"/>
      <c r="T199" s="157"/>
      <c r="U199" s="157"/>
      <c r="V199" s="157"/>
      <c r="W199" s="157"/>
    </row>
    <row r="200" spans="2:23" s="14" customFormat="1" x14ac:dyDescent="0.25">
      <c r="B200" s="76"/>
      <c r="C200" s="153"/>
      <c r="D200" s="153"/>
      <c r="E200" s="153"/>
      <c r="F200" s="153"/>
      <c r="G200" s="153"/>
      <c r="H200" s="153"/>
      <c r="I200" s="153"/>
      <c r="J200" s="153"/>
      <c r="K200" s="153"/>
      <c r="L200" s="153"/>
      <c r="M200" s="153"/>
      <c r="N200" s="153"/>
      <c r="O200" s="153"/>
      <c r="P200" s="153"/>
      <c r="Q200" s="157"/>
      <c r="R200" s="221"/>
      <c r="S200" s="157"/>
      <c r="T200" s="157"/>
      <c r="U200" s="157"/>
      <c r="V200" s="157"/>
      <c r="W200" s="157"/>
    </row>
    <row r="201" spans="2:23" s="14" customFormat="1" x14ac:dyDescent="0.25">
      <c r="B201" s="76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7"/>
      <c r="R201" s="221"/>
      <c r="S201" s="157"/>
      <c r="T201" s="157"/>
      <c r="U201" s="157"/>
      <c r="V201" s="157"/>
      <c r="W201" s="157"/>
    </row>
    <row r="202" spans="2:23" s="14" customFormat="1" x14ac:dyDescent="0.25">
      <c r="B202" s="76"/>
      <c r="C202" s="153"/>
      <c r="D202" s="153"/>
      <c r="E202" s="153"/>
      <c r="F202" s="153"/>
      <c r="G202" s="153"/>
      <c r="H202" s="153"/>
      <c r="I202" s="153"/>
      <c r="J202" s="153"/>
      <c r="K202" s="153"/>
      <c r="L202" s="153"/>
      <c r="M202" s="153"/>
      <c r="N202" s="153"/>
      <c r="O202" s="153"/>
      <c r="P202" s="153"/>
      <c r="Q202" s="157"/>
      <c r="R202" s="221"/>
      <c r="S202" s="157"/>
      <c r="T202" s="157"/>
      <c r="U202" s="157"/>
      <c r="V202" s="157"/>
      <c r="W202" s="157"/>
    </row>
    <row r="203" spans="2:23" s="14" customFormat="1" x14ac:dyDescent="0.25">
      <c r="B203" s="76"/>
      <c r="C203" s="153"/>
      <c r="D203" s="153"/>
      <c r="E203" s="153"/>
      <c r="F203" s="153"/>
      <c r="G203" s="153"/>
      <c r="H203" s="153"/>
      <c r="I203" s="153"/>
      <c r="J203" s="153"/>
      <c r="K203" s="153"/>
      <c r="L203" s="153"/>
      <c r="M203" s="153"/>
      <c r="N203" s="153"/>
      <c r="O203" s="153"/>
      <c r="P203" s="153"/>
      <c r="Q203" s="157"/>
      <c r="R203" s="221"/>
      <c r="S203" s="157"/>
      <c r="T203" s="157"/>
      <c r="U203" s="157"/>
      <c r="V203" s="157"/>
      <c r="W203" s="157"/>
    </row>
    <row r="204" spans="2:23" s="14" customFormat="1" x14ac:dyDescent="0.25">
      <c r="B204" s="76"/>
      <c r="C204" s="153"/>
      <c r="D204" s="153"/>
      <c r="E204" s="153"/>
      <c r="F204" s="153"/>
      <c r="G204" s="153"/>
      <c r="H204" s="153"/>
      <c r="I204" s="153"/>
      <c r="J204" s="153"/>
      <c r="K204" s="153"/>
      <c r="L204" s="153"/>
      <c r="M204" s="153"/>
      <c r="N204" s="153"/>
      <c r="O204" s="153"/>
      <c r="P204" s="153"/>
      <c r="Q204" s="157"/>
      <c r="R204" s="221"/>
      <c r="S204" s="157"/>
      <c r="T204" s="157"/>
      <c r="U204" s="157"/>
      <c r="V204" s="157"/>
      <c r="W204" s="157"/>
    </row>
    <row r="205" spans="2:23" s="14" customFormat="1" x14ac:dyDescent="0.25">
      <c r="B205" s="76"/>
      <c r="C205" s="153"/>
      <c r="D205" s="153"/>
      <c r="E205" s="153"/>
      <c r="F205" s="153"/>
      <c r="G205" s="153"/>
      <c r="H205" s="153"/>
      <c r="I205" s="153"/>
      <c r="J205" s="153"/>
      <c r="K205" s="153"/>
      <c r="L205" s="153"/>
      <c r="M205" s="153"/>
      <c r="N205" s="153"/>
      <c r="O205" s="153"/>
      <c r="P205" s="153"/>
      <c r="Q205" s="157"/>
      <c r="R205" s="221"/>
      <c r="S205" s="157"/>
      <c r="T205" s="157"/>
      <c r="U205" s="157"/>
      <c r="V205" s="157"/>
      <c r="W205" s="157"/>
    </row>
    <row r="206" spans="2:23" s="14" customFormat="1" x14ac:dyDescent="0.25">
      <c r="B206" s="76"/>
      <c r="C206" s="153"/>
      <c r="D206" s="153"/>
      <c r="E206" s="153"/>
      <c r="F206" s="153"/>
      <c r="G206" s="153"/>
      <c r="H206" s="153"/>
      <c r="I206" s="153"/>
      <c r="J206" s="153"/>
      <c r="K206" s="153"/>
      <c r="L206" s="153"/>
      <c r="M206" s="153"/>
      <c r="N206" s="153"/>
      <c r="O206" s="153"/>
      <c r="P206" s="153"/>
      <c r="Q206" s="157"/>
      <c r="R206" s="221"/>
      <c r="S206" s="157"/>
      <c r="T206" s="157"/>
      <c r="U206" s="157"/>
      <c r="V206" s="157"/>
      <c r="W206" s="157"/>
    </row>
    <row r="207" spans="2:23" s="14" customFormat="1" x14ac:dyDescent="0.25">
      <c r="B207" s="76"/>
      <c r="C207" s="153"/>
      <c r="D207" s="153"/>
      <c r="E207" s="153"/>
      <c r="F207" s="153"/>
      <c r="G207" s="153"/>
      <c r="H207" s="153"/>
      <c r="I207" s="153"/>
      <c r="J207" s="153"/>
      <c r="K207" s="153"/>
      <c r="L207" s="153"/>
      <c r="M207" s="153"/>
      <c r="N207" s="153"/>
      <c r="O207" s="153"/>
      <c r="P207" s="153"/>
      <c r="Q207" s="157"/>
      <c r="R207" s="221"/>
      <c r="S207" s="157"/>
      <c r="T207" s="157"/>
      <c r="U207" s="157"/>
      <c r="V207" s="157"/>
      <c r="W207" s="157"/>
    </row>
    <row r="208" spans="2:23" s="14" customFormat="1" x14ac:dyDescent="0.25">
      <c r="B208" s="76"/>
      <c r="C208" s="153"/>
      <c r="D208" s="153"/>
      <c r="E208" s="153"/>
      <c r="F208" s="153"/>
      <c r="G208" s="153"/>
      <c r="H208" s="153"/>
      <c r="I208" s="153"/>
      <c r="J208" s="153"/>
      <c r="K208" s="153"/>
      <c r="L208" s="153"/>
      <c r="M208" s="153"/>
      <c r="N208" s="153"/>
      <c r="O208" s="153"/>
      <c r="P208" s="153"/>
      <c r="Q208" s="157"/>
      <c r="R208" s="221"/>
      <c r="S208" s="157"/>
      <c r="T208" s="157"/>
      <c r="U208" s="157"/>
      <c r="V208" s="157"/>
      <c r="W208" s="157"/>
    </row>
    <row r="209" spans="2:23" s="14" customFormat="1" x14ac:dyDescent="0.25">
      <c r="B209" s="76"/>
      <c r="C209" s="153"/>
      <c r="D209" s="153"/>
      <c r="E209" s="153"/>
      <c r="F209" s="153"/>
      <c r="G209" s="153"/>
      <c r="H209" s="153"/>
      <c r="I209" s="153"/>
      <c r="J209" s="153"/>
      <c r="K209" s="153"/>
      <c r="L209" s="153"/>
      <c r="M209" s="153"/>
      <c r="N209" s="153"/>
      <c r="O209" s="153"/>
      <c r="P209" s="153"/>
      <c r="Q209" s="157"/>
      <c r="R209" s="221"/>
      <c r="S209" s="157"/>
      <c r="T209" s="157"/>
      <c r="U209" s="157"/>
      <c r="V209" s="157"/>
      <c r="W209" s="157"/>
    </row>
    <row r="210" spans="2:23" s="14" customFormat="1" x14ac:dyDescent="0.25">
      <c r="B210" s="76"/>
      <c r="C210" s="153"/>
      <c r="D210" s="153"/>
      <c r="E210" s="153"/>
      <c r="F210" s="153"/>
      <c r="G210" s="153"/>
      <c r="H210" s="153"/>
      <c r="I210" s="153"/>
      <c r="J210" s="153"/>
      <c r="K210" s="153"/>
      <c r="L210" s="153"/>
      <c r="M210" s="153"/>
      <c r="N210" s="153"/>
      <c r="O210" s="153"/>
      <c r="P210" s="153"/>
      <c r="Q210" s="157"/>
      <c r="R210" s="221"/>
      <c r="S210" s="157"/>
      <c r="T210" s="157"/>
      <c r="U210" s="157"/>
      <c r="V210" s="157"/>
      <c r="W210" s="157"/>
    </row>
    <row r="211" spans="2:23" s="14" customFormat="1" x14ac:dyDescent="0.25">
      <c r="B211" s="76"/>
      <c r="C211" s="153"/>
      <c r="D211" s="153"/>
      <c r="E211" s="153"/>
      <c r="F211" s="153"/>
      <c r="G211" s="153"/>
      <c r="H211" s="153"/>
      <c r="I211" s="153"/>
      <c r="J211" s="153"/>
      <c r="K211" s="153"/>
      <c r="L211" s="153"/>
      <c r="M211" s="153"/>
      <c r="N211" s="153"/>
      <c r="O211" s="153"/>
      <c r="P211" s="153"/>
      <c r="Q211" s="157"/>
      <c r="R211" s="221"/>
      <c r="S211" s="157"/>
      <c r="T211" s="157"/>
      <c r="U211" s="157"/>
      <c r="V211" s="157"/>
      <c r="W211" s="157"/>
    </row>
    <row r="212" spans="2:23" s="14" customFormat="1" x14ac:dyDescent="0.25">
      <c r="B212" s="76"/>
      <c r="C212" s="153"/>
      <c r="D212" s="153"/>
      <c r="E212" s="153"/>
      <c r="F212" s="153"/>
      <c r="G212" s="153"/>
      <c r="H212" s="153"/>
      <c r="I212" s="153"/>
      <c r="J212" s="153"/>
      <c r="K212" s="153"/>
      <c r="L212" s="153"/>
      <c r="M212" s="153"/>
      <c r="N212" s="153"/>
      <c r="O212" s="153"/>
      <c r="P212" s="153"/>
      <c r="Q212" s="157"/>
      <c r="R212" s="221"/>
      <c r="S212" s="157"/>
      <c r="T212" s="157"/>
      <c r="U212" s="157"/>
      <c r="V212" s="157"/>
      <c r="W212" s="157"/>
    </row>
    <row r="213" spans="2:23" s="14" customFormat="1" x14ac:dyDescent="0.25">
      <c r="B213" s="76"/>
      <c r="C213" s="153"/>
      <c r="D213" s="153"/>
      <c r="E213" s="153"/>
      <c r="F213" s="153"/>
      <c r="G213" s="153"/>
      <c r="H213" s="153"/>
      <c r="I213" s="153"/>
      <c r="J213" s="153"/>
      <c r="K213" s="153"/>
      <c r="L213" s="153"/>
      <c r="M213" s="153"/>
      <c r="N213" s="153"/>
      <c r="O213" s="153"/>
      <c r="P213" s="153"/>
      <c r="Q213" s="157"/>
      <c r="R213" s="221"/>
      <c r="S213" s="157"/>
      <c r="T213" s="157"/>
      <c r="U213" s="157"/>
      <c r="V213" s="157"/>
      <c r="W213" s="157"/>
    </row>
    <row r="214" spans="2:23" s="14" customFormat="1" x14ac:dyDescent="0.25">
      <c r="B214" s="76"/>
      <c r="C214" s="153"/>
      <c r="D214" s="153"/>
      <c r="E214" s="153"/>
      <c r="F214" s="153"/>
      <c r="G214" s="153"/>
      <c r="H214" s="153"/>
      <c r="I214" s="153"/>
      <c r="J214" s="153"/>
      <c r="K214" s="153"/>
      <c r="L214" s="153"/>
      <c r="M214" s="153"/>
      <c r="N214" s="153"/>
      <c r="O214" s="153"/>
      <c r="P214" s="153"/>
      <c r="Q214" s="157"/>
      <c r="R214" s="221"/>
      <c r="S214" s="157"/>
      <c r="T214" s="157"/>
      <c r="U214" s="157"/>
      <c r="V214" s="157"/>
      <c r="W214" s="157"/>
    </row>
    <row r="215" spans="2:23" s="14" customFormat="1" x14ac:dyDescent="0.25">
      <c r="B215" s="76"/>
      <c r="C215" s="153"/>
      <c r="D215" s="153"/>
      <c r="E215" s="153"/>
      <c r="F215" s="153"/>
      <c r="G215" s="153"/>
      <c r="H215" s="153"/>
      <c r="I215" s="153"/>
      <c r="J215" s="153"/>
      <c r="K215" s="153"/>
      <c r="L215" s="153"/>
      <c r="M215" s="153"/>
      <c r="N215" s="153"/>
      <c r="O215" s="153"/>
      <c r="P215" s="153"/>
      <c r="Q215" s="157"/>
      <c r="R215" s="221"/>
      <c r="S215" s="157"/>
      <c r="T215" s="157"/>
      <c r="U215" s="157"/>
      <c r="V215" s="157"/>
      <c r="W215" s="157"/>
    </row>
    <row r="216" spans="2:23" s="14" customFormat="1" x14ac:dyDescent="0.25">
      <c r="B216" s="76"/>
      <c r="C216" s="153"/>
      <c r="D216" s="153"/>
      <c r="E216" s="153"/>
      <c r="F216" s="153"/>
      <c r="G216" s="153"/>
      <c r="H216" s="153"/>
      <c r="I216" s="153"/>
      <c r="J216" s="153"/>
      <c r="K216" s="153"/>
      <c r="L216" s="153"/>
      <c r="M216" s="153"/>
      <c r="N216" s="153"/>
      <c r="O216" s="153"/>
      <c r="P216" s="153"/>
      <c r="Q216" s="157"/>
      <c r="R216" s="221"/>
      <c r="S216" s="157"/>
      <c r="T216" s="157"/>
      <c r="U216" s="157"/>
      <c r="V216" s="157"/>
      <c r="W216" s="157"/>
    </row>
    <row r="217" spans="2:23" s="14" customFormat="1" x14ac:dyDescent="0.25">
      <c r="B217" s="76"/>
      <c r="C217" s="153"/>
      <c r="D217" s="153"/>
      <c r="E217" s="153"/>
      <c r="F217" s="153"/>
      <c r="G217" s="153"/>
      <c r="H217" s="153"/>
      <c r="I217" s="153"/>
      <c r="J217" s="153"/>
      <c r="K217" s="153"/>
      <c r="L217" s="153"/>
      <c r="M217" s="153"/>
      <c r="N217" s="153"/>
      <c r="O217" s="153"/>
      <c r="P217" s="153"/>
      <c r="Q217" s="157"/>
      <c r="R217" s="221"/>
      <c r="S217" s="157"/>
      <c r="T217" s="157"/>
      <c r="U217" s="157"/>
      <c r="V217" s="157"/>
      <c r="W217" s="157"/>
    </row>
    <row r="218" spans="2:23" s="14" customFormat="1" x14ac:dyDescent="0.25">
      <c r="B218" s="76"/>
      <c r="C218" s="153"/>
      <c r="D218" s="153"/>
      <c r="E218" s="153"/>
      <c r="F218" s="153"/>
      <c r="G218" s="153"/>
      <c r="H218" s="153"/>
      <c r="I218" s="153"/>
      <c r="J218" s="153"/>
      <c r="K218" s="153"/>
      <c r="L218" s="153"/>
      <c r="M218" s="153"/>
      <c r="N218" s="153"/>
      <c r="O218" s="153"/>
      <c r="P218" s="153"/>
      <c r="Q218" s="157"/>
      <c r="R218" s="221"/>
      <c r="S218" s="157"/>
      <c r="T218" s="157"/>
      <c r="U218" s="157"/>
      <c r="V218" s="157"/>
      <c r="W218" s="157"/>
    </row>
    <row r="219" spans="2:23" s="14" customFormat="1" x14ac:dyDescent="0.25">
      <c r="B219" s="76"/>
      <c r="C219" s="153"/>
      <c r="D219" s="153"/>
      <c r="E219" s="153"/>
      <c r="F219" s="153"/>
      <c r="G219" s="153"/>
      <c r="H219" s="153"/>
      <c r="I219" s="153"/>
      <c r="J219" s="153"/>
      <c r="K219" s="153"/>
      <c r="L219" s="153"/>
      <c r="M219" s="153"/>
      <c r="N219" s="153"/>
      <c r="O219" s="153"/>
      <c r="P219" s="153"/>
      <c r="Q219" s="157"/>
      <c r="R219" s="221"/>
      <c r="S219" s="157"/>
      <c r="T219" s="157"/>
      <c r="U219" s="157"/>
      <c r="V219" s="157"/>
      <c r="W219" s="157"/>
    </row>
    <row r="220" spans="2:23" s="14" customFormat="1" x14ac:dyDescent="0.25">
      <c r="B220" s="76"/>
      <c r="C220" s="153"/>
      <c r="D220" s="153"/>
      <c r="E220" s="153"/>
      <c r="F220" s="153"/>
      <c r="G220" s="153"/>
      <c r="H220" s="153"/>
      <c r="I220" s="153"/>
      <c r="J220" s="153"/>
      <c r="K220" s="153"/>
      <c r="L220" s="153"/>
      <c r="M220" s="153"/>
      <c r="N220" s="153"/>
      <c r="O220" s="153"/>
      <c r="P220" s="153"/>
      <c r="Q220" s="157"/>
      <c r="R220" s="221"/>
      <c r="S220" s="157"/>
      <c r="T220" s="157"/>
      <c r="U220" s="157"/>
      <c r="V220" s="157"/>
      <c r="W220" s="157"/>
    </row>
    <row r="221" spans="2:23" s="14" customFormat="1" x14ac:dyDescent="0.25">
      <c r="B221" s="76"/>
      <c r="C221" s="153"/>
      <c r="D221" s="153"/>
      <c r="E221" s="153"/>
      <c r="F221" s="153"/>
      <c r="G221" s="153"/>
      <c r="H221" s="153"/>
      <c r="I221" s="153"/>
      <c r="J221" s="153"/>
      <c r="K221" s="153"/>
      <c r="L221" s="153"/>
      <c r="M221" s="153"/>
      <c r="N221" s="153"/>
      <c r="O221" s="153"/>
      <c r="P221" s="153"/>
      <c r="Q221" s="157"/>
      <c r="R221" s="221"/>
      <c r="S221" s="157"/>
      <c r="T221" s="157"/>
      <c r="U221" s="157"/>
      <c r="V221" s="157"/>
      <c r="W221" s="157"/>
    </row>
    <row r="222" spans="2:23" s="14" customFormat="1" x14ac:dyDescent="0.25">
      <c r="B222" s="76"/>
      <c r="C222" s="153"/>
      <c r="D222" s="153"/>
      <c r="E222" s="153"/>
      <c r="F222" s="153"/>
      <c r="G222" s="153"/>
      <c r="H222" s="153"/>
      <c r="I222" s="153"/>
      <c r="J222" s="153"/>
      <c r="K222" s="153"/>
      <c r="L222" s="153"/>
      <c r="M222" s="153"/>
      <c r="N222" s="153"/>
      <c r="O222" s="153"/>
      <c r="P222" s="153"/>
      <c r="Q222" s="157"/>
      <c r="R222" s="221"/>
      <c r="S222" s="157"/>
      <c r="T222" s="157"/>
      <c r="U222" s="157"/>
      <c r="V222" s="157"/>
      <c r="W222" s="157"/>
    </row>
    <row r="223" spans="2:23" s="14" customFormat="1" x14ac:dyDescent="0.25">
      <c r="B223" s="76"/>
      <c r="C223" s="153"/>
      <c r="D223" s="153"/>
      <c r="E223" s="153"/>
      <c r="F223" s="153"/>
      <c r="G223" s="153"/>
      <c r="H223" s="153"/>
      <c r="I223" s="153"/>
      <c r="J223" s="153"/>
      <c r="K223" s="153"/>
      <c r="L223" s="153"/>
      <c r="M223" s="153"/>
      <c r="N223" s="153"/>
      <c r="O223" s="153"/>
      <c r="P223" s="153"/>
      <c r="Q223" s="157"/>
      <c r="R223" s="221"/>
      <c r="S223" s="157"/>
      <c r="T223" s="157"/>
      <c r="U223" s="157"/>
      <c r="V223" s="157"/>
      <c r="W223" s="157"/>
    </row>
    <row r="224" spans="2:23" s="14" customFormat="1" x14ac:dyDescent="0.25">
      <c r="B224" s="76"/>
      <c r="C224" s="153"/>
      <c r="D224" s="153"/>
      <c r="E224" s="153"/>
      <c r="F224" s="153"/>
      <c r="G224" s="153"/>
      <c r="H224" s="153"/>
      <c r="I224" s="153"/>
      <c r="J224" s="153"/>
      <c r="K224" s="153"/>
      <c r="L224" s="153"/>
      <c r="M224" s="153"/>
      <c r="N224" s="153"/>
      <c r="O224" s="153"/>
      <c r="P224" s="153"/>
      <c r="Q224" s="157"/>
      <c r="R224" s="221"/>
      <c r="S224" s="157"/>
      <c r="T224" s="157"/>
      <c r="U224" s="157"/>
      <c r="V224" s="157"/>
      <c r="W224" s="157"/>
    </row>
    <row r="225" spans="2:23" s="14" customFormat="1" x14ac:dyDescent="0.25">
      <c r="B225" s="76"/>
      <c r="C225" s="153"/>
      <c r="D225" s="153"/>
      <c r="E225" s="153"/>
      <c r="F225" s="153"/>
      <c r="G225" s="153"/>
      <c r="H225" s="153"/>
      <c r="I225" s="153"/>
      <c r="J225" s="153"/>
      <c r="K225" s="153"/>
      <c r="L225" s="153"/>
      <c r="M225" s="153"/>
      <c r="N225" s="153"/>
      <c r="O225" s="153"/>
      <c r="P225" s="153"/>
      <c r="Q225" s="157"/>
      <c r="R225" s="221"/>
      <c r="S225" s="157"/>
      <c r="T225" s="157"/>
      <c r="U225" s="157"/>
      <c r="V225" s="157"/>
      <c r="W225" s="157"/>
    </row>
    <row r="226" spans="2:23" s="14" customFormat="1" x14ac:dyDescent="0.25">
      <c r="B226" s="76"/>
      <c r="C226" s="153"/>
      <c r="D226" s="153"/>
      <c r="E226" s="153"/>
      <c r="F226" s="153"/>
      <c r="G226" s="153"/>
      <c r="H226" s="153"/>
      <c r="I226" s="153"/>
      <c r="J226" s="153"/>
      <c r="K226" s="153"/>
      <c r="L226" s="153"/>
      <c r="M226" s="153"/>
      <c r="N226" s="153"/>
      <c r="O226" s="153"/>
      <c r="P226" s="153"/>
      <c r="Q226" s="157"/>
      <c r="R226" s="221"/>
      <c r="S226" s="157"/>
      <c r="T226" s="157"/>
      <c r="U226" s="157"/>
      <c r="V226" s="157"/>
      <c r="W226" s="157"/>
    </row>
    <row r="227" spans="2:23" s="14" customFormat="1" x14ac:dyDescent="0.25">
      <c r="B227" s="76"/>
      <c r="C227" s="153"/>
      <c r="D227" s="153"/>
      <c r="E227" s="153"/>
      <c r="F227" s="153"/>
      <c r="G227" s="153"/>
      <c r="H227" s="153"/>
      <c r="I227" s="153"/>
      <c r="J227" s="153"/>
      <c r="K227" s="153"/>
      <c r="L227" s="153"/>
      <c r="M227" s="153"/>
      <c r="N227" s="153"/>
      <c r="O227" s="153"/>
      <c r="P227" s="153"/>
      <c r="Q227" s="157"/>
      <c r="R227" s="221"/>
      <c r="S227" s="157"/>
      <c r="T227" s="157"/>
      <c r="U227" s="157"/>
      <c r="V227" s="157"/>
      <c r="W227" s="157"/>
    </row>
    <row r="228" spans="2:23" s="14" customFormat="1" x14ac:dyDescent="0.25">
      <c r="B228" s="76"/>
      <c r="C228" s="153"/>
      <c r="D228" s="153"/>
      <c r="E228" s="153"/>
      <c r="F228" s="153"/>
      <c r="G228" s="153"/>
      <c r="H228" s="153"/>
      <c r="I228" s="153"/>
      <c r="J228" s="153"/>
      <c r="K228" s="153"/>
      <c r="L228" s="153"/>
      <c r="M228" s="153"/>
      <c r="N228" s="153"/>
      <c r="O228" s="153"/>
      <c r="P228" s="153"/>
      <c r="Q228" s="157"/>
      <c r="R228" s="221"/>
      <c r="S228" s="157"/>
      <c r="T228" s="157"/>
      <c r="U228" s="157"/>
      <c r="V228" s="157"/>
      <c r="W228" s="157"/>
    </row>
    <row r="229" spans="2:23" s="14" customFormat="1" x14ac:dyDescent="0.25">
      <c r="B229" s="76"/>
      <c r="C229" s="153"/>
      <c r="D229" s="153"/>
      <c r="E229" s="153"/>
      <c r="F229" s="153"/>
      <c r="G229" s="153"/>
      <c r="H229" s="153"/>
      <c r="I229" s="153"/>
      <c r="J229" s="153"/>
      <c r="K229" s="153"/>
      <c r="L229" s="153"/>
      <c r="M229" s="153"/>
      <c r="N229" s="153"/>
      <c r="O229" s="153"/>
      <c r="P229" s="153"/>
      <c r="Q229" s="157"/>
      <c r="R229" s="221"/>
      <c r="S229" s="157"/>
      <c r="T229" s="157"/>
      <c r="U229" s="157"/>
      <c r="V229" s="157"/>
      <c r="W229" s="157"/>
    </row>
    <row r="230" spans="2:23" s="14" customFormat="1" x14ac:dyDescent="0.25">
      <c r="B230" s="76"/>
      <c r="C230" s="153"/>
      <c r="D230" s="153"/>
      <c r="E230" s="153"/>
      <c r="F230" s="153"/>
      <c r="G230" s="153"/>
      <c r="H230" s="153"/>
      <c r="I230" s="153"/>
      <c r="J230" s="153"/>
      <c r="K230" s="153"/>
      <c r="L230" s="153"/>
      <c r="M230" s="153"/>
      <c r="N230" s="153"/>
      <c r="O230" s="153"/>
      <c r="P230" s="153"/>
      <c r="Q230" s="157"/>
      <c r="R230" s="221"/>
      <c r="S230" s="157"/>
      <c r="T230" s="157"/>
      <c r="U230" s="157"/>
      <c r="V230" s="157"/>
      <c r="W230" s="157"/>
    </row>
    <row r="231" spans="2:23" s="14" customFormat="1" x14ac:dyDescent="0.25">
      <c r="B231" s="76"/>
      <c r="C231" s="153"/>
      <c r="D231" s="153"/>
      <c r="E231" s="153"/>
      <c r="F231" s="153"/>
      <c r="G231" s="153"/>
      <c r="H231" s="153"/>
      <c r="I231" s="153"/>
      <c r="J231" s="153"/>
      <c r="K231" s="153"/>
      <c r="L231" s="153"/>
      <c r="M231" s="153"/>
      <c r="N231" s="153"/>
      <c r="O231" s="153"/>
      <c r="P231" s="153"/>
      <c r="Q231" s="157"/>
      <c r="R231" s="221"/>
      <c r="S231" s="157"/>
      <c r="T231" s="157"/>
      <c r="U231" s="157"/>
      <c r="V231" s="157"/>
      <c r="W231" s="157"/>
    </row>
    <row r="232" spans="2:23" s="14" customFormat="1" x14ac:dyDescent="0.25">
      <c r="B232" s="76"/>
      <c r="C232" s="153"/>
      <c r="D232" s="153"/>
      <c r="E232" s="153"/>
      <c r="F232" s="153"/>
      <c r="G232" s="153"/>
      <c r="H232" s="153"/>
      <c r="I232" s="153"/>
      <c r="J232" s="153"/>
      <c r="K232" s="153"/>
      <c r="L232" s="153"/>
      <c r="M232" s="153"/>
      <c r="N232" s="153"/>
      <c r="O232" s="153"/>
      <c r="P232" s="153"/>
      <c r="Q232" s="157"/>
      <c r="R232" s="221"/>
      <c r="S232" s="157"/>
      <c r="T232" s="157"/>
      <c r="U232" s="157"/>
      <c r="V232" s="157"/>
      <c r="W232" s="157"/>
    </row>
    <row r="233" spans="2:23" s="14" customFormat="1" x14ac:dyDescent="0.25">
      <c r="B233" s="76"/>
      <c r="C233" s="153"/>
      <c r="D233" s="153"/>
      <c r="E233" s="153"/>
      <c r="F233" s="153"/>
      <c r="G233" s="153"/>
      <c r="H233" s="153"/>
      <c r="I233" s="153"/>
      <c r="J233" s="153"/>
      <c r="K233" s="153"/>
      <c r="L233" s="153"/>
      <c r="M233" s="153"/>
      <c r="N233" s="153"/>
      <c r="O233" s="153"/>
      <c r="P233" s="153"/>
      <c r="Q233" s="157"/>
      <c r="R233" s="221"/>
      <c r="S233" s="157"/>
      <c r="T233" s="157"/>
      <c r="U233" s="157"/>
      <c r="V233" s="157"/>
      <c r="W233" s="157"/>
    </row>
    <row r="234" spans="2:23" s="14" customFormat="1" x14ac:dyDescent="0.25">
      <c r="B234" s="76"/>
      <c r="C234" s="153"/>
      <c r="D234" s="153"/>
      <c r="E234" s="153"/>
      <c r="F234" s="153"/>
      <c r="G234" s="153"/>
      <c r="H234" s="153"/>
      <c r="I234" s="153"/>
      <c r="J234" s="153"/>
      <c r="K234" s="153"/>
      <c r="L234" s="153"/>
      <c r="M234" s="153"/>
      <c r="N234" s="153"/>
      <c r="O234" s="153"/>
      <c r="P234" s="153"/>
      <c r="Q234" s="157"/>
      <c r="R234" s="221"/>
      <c r="S234" s="157"/>
      <c r="T234" s="157"/>
      <c r="U234" s="157"/>
      <c r="V234" s="157"/>
      <c r="W234" s="157"/>
    </row>
    <row r="235" spans="2:23" s="14" customFormat="1" x14ac:dyDescent="0.25">
      <c r="B235" s="76"/>
      <c r="C235" s="153"/>
      <c r="D235" s="153"/>
      <c r="E235" s="153"/>
      <c r="F235" s="153"/>
      <c r="G235" s="153"/>
      <c r="H235" s="153"/>
      <c r="I235" s="153"/>
      <c r="J235" s="153"/>
      <c r="K235" s="153"/>
      <c r="L235" s="153"/>
      <c r="M235" s="153"/>
      <c r="N235" s="153"/>
      <c r="O235" s="153"/>
      <c r="P235" s="153"/>
      <c r="Q235" s="157"/>
      <c r="R235" s="221"/>
      <c r="S235" s="157"/>
      <c r="T235" s="157"/>
      <c r="U235" s="157"/>
      <c r="V235" s="157"/>
      <c r="W235" s="157"/>
    </row>
    <row r="236" spans="2:23" s="14" customFormat="1" x14ac:dyDescent="0.25">
      <c r="B236" s="76"/>
      <c r="C236" s="153"/>
      <c r="D236" s="153"/>
      <c r="E236" s="153"/>
      <c r="F236" s="153"/>
      <c r="G236" s="153"/>
      <c r="H236" s="153"/>
      <c r="I236" s="153"/>
      <c r="J236" s="153"/>
      <c r="K236" s="153"/>
      <c r="L236" s="153"/>
      <c r="M236" s="153"/>
      <c r="N236" s="153"/>
      <c r="O236" s="153"/>
      <c r="P236" s="153"/>
      <c r="Q236" s="157"/>
      <c r="R236" s="221"/>
      <c r="S236" s="157"/>
      <c r="T236" s="157"/>
      <c r="U236" s="157"/>
      <c r="V236" s="157"/>
      <c r="W236" s="157"/>
    </row>
    <row r="237" spans="2:23" s="14" customFormat="1" x14ac:dyDescent="0.25">
      <c r="B237" s="76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7"/>
      <c r="R237" s="221"/>
      <c r="S237" s="157"/>
      <c r="T237" s="157"/>
      <c r="U237" s="157"/>
      <c r="V237" s="157"/>
      <c r="W237" s="157"/>
    </row>
    <row r="238" spans="2:23" s="14" customFormat="1" x14ac:dyDescent="0.25">
      <c r="B238" s="76"/>
      <c r="C238" s="153"/>
      <c r="D238" s="153"/>
      <c r="E238" s="153"/>
      <c r="F238" s="153"/>
      <c r="G238" s="153"/>
      <c r="H238" s="153"/>
      <c r="I238" s="153"/>
      <c r="J238" s="153"/>
      <c r="K238" s="153"/>
      <c r="L238" s="153"/>
      <c r="M238" s="153"/>
      <c r="N238" s="153"/>
      <c r="O238" s="153"/>
      <c r="P238" s="153"/>
      <c r="Q238" s="157"/>
      <c r="R238" s="221"/>
      <c r="S238" s="157"/>
      <c r="T238" s="157"/>
      <c r="U238" s="157"/>
      <c r="V238" s="157"/>
      <c r="W238" s="157"/>
    </row>
    <row r="239" spans="2:23" s="14" customFormat="1" x14ac:dyDescent="0.25">
      <c r="B239" s="76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7"/>
      <c r="R239" s="221"/>
      <c r="S239" s="157"/>
      <c r="T239" s="157"/>
      <c r="U239" s="157"/>
      <c r="V239" s="157"/>
      <c r="W239" s="157"/>
    </row>
    <row r="240" spans="2:23" s="14" customFormat="1" x14ac:dyDescent="0.25">
      <c r="B240" s="76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7"/>
      <c r="R240" s="221"/>
      <c r="S240" s="157"/>
      <c r="T240" s="157"/>
      <c r="U240" s="157"/>
      <c r="V240" s="157"/>
      <c r="W240" s="157"/>
    </row>
    <row r="241" spans="2:23" s="14" customFormat="1" x14ac:dyDescent="0.25">
      <c r="B241" s="76"/>
      <c r="C241" s="153"/>
      <c r="D241" s="153"/>
      <c r="E241" s="153"/>
      <c r="F241" s="153"/>
      <c r="G241" s="153"/>
      <c r="H241" s="153"/>
      <c r="I241" s="153"/>
      <c r="J241" s="153"/>
      <c r="K241" s="153"/>
      <c r="L241" s="153"/>
      <c r="M241" s="153"/>
      <c r="N241" s="153"/>
      <c r="O241" s="153"/>
      <c r="P241" s="153"/>
      <c r="Q241" s="157"/>
      <c r="R241" s="221"/>
      <c r="S241" s="157"/>
      <c r="T241" s="157"/>
      <c r="U241" s="157"/>
      <c r="V241" s="157"/>
      <c r="W241" s="157"/>
    </row>
    <row r="242" spans="2:23" s="14" customFormat="1" x14ac:dyDescent="0.25">
      <c r="B242" s="76"/>
      <c r="C242" s="153"/>
      <c r="D242" s="153"/>
      <c r="E242" s="153"/>
      <c r="F242" s="153"/>
      <c r="G242" s="153"/>
      <c r="H242" s="153"/>
      <c r="I242" s="153"/>
      <c r="J242" s="153"/>
      <c r="K242" s="153"/>
      <c r="L242" s="153"/>
      <c r="M242" s="153"/>
      <c r="N242" s="153"/>
      <c r="O242" s="153"/>
      <c r="P242" s="153"/>
      <c r="Q242" s="157"/>
      <c r="R242" s="221"/>
      <c r="S242" s="157"/>
      <c r="T242" s="157"/>
      <c r="U242" s="157"/>
      <c r="V242" s="157"/>
      <c r="W242" s="157"/>
    </row>
    <row r="243" spans="2:23" s="14" customFormat="1" x14ac:dyDescent="0.25">
      <c r="B243" s="76"/>
      <c r="C243" s="153"/>
      <c r="D243" s="153"/>
      <c r="E243" s="153"/>
      <c r="F243" s="153"/>
      <c r="G243" s="153"/>
      <c r="H243" s="153"/>
      <c r="I243" s="153"/>
      <c r="J243" s="153"/>
      <c r="K243" s="153"/>
      <c r="L243" s="153"/>
      <c r="M243" s="153"/>
      <c r="N243" s="153"/>
      <c r="O243" s="153"/>
      <c r="P243" s="153"/>
      <c r="Q243" s="157"/>
      <c r="R243" s="221"/>
      <c r="S243" s="157"/>
      <c r="T243" s="157"/>
      <c r="U243" s="157"/>
      <c r="V243" s="157"/>
      <c r="W243" s="157"/>
    </row>
    <row r="244" spans="2:23" s="14" customFormat="1" x14ac:dyDescent="0.25">
      <c r="B244" s="76"/>
      <c r="C244" s="153"/>
      <c r="D244" s="153"/>
      <c r="E244" s="153"/>
      <c r="F244" s="153"/>
      <c r="G244" s="153"/>
      <c r="H244" s="153"/>
      <c r="I244" s="153"/>
      <c r="J244" s="153"/>
      <c r="K244" s="153"/>
      <c r="L244" s="153"/>
      <c r="M244" s="153"/>
      <c r="N244" s="153"/>
      <c r="O244" s="153"/>
      <c r="P244" s="153"/>
      <c r="Q244" s="157"/>
      <c r="R244" s="221"/>
      <c r="S244" s="157"/>
      <c r="T244" s="157"/>
      <c r="U244" s="157"/>
      <c r="V244" s="157"/>
      <c r="W244" s="157"/>
    </row>
    <row r="245" spans="2:23" s="14" customFormat="1" x14ac:dyDescent="0.25">
      <c r="B245" s="76"/>
      <c r="C245" s="153"/>
      <c r="D245" s="153"/>
      <c r="E245" s="153"/>
      <c r="F245" s="153"/>
      <c r="G245" s="153"/>
      <c r="H245" s="153"/>
      <c r="I245" s="153"/>
      <c r="J245" s="153"/>
      <c r="K245" s="153"/>
      <c r="L245" s="153"/>
      <c r="M245" s="153"/>
      <c r="N245" s="153"/>
      <c r="O245" s="153"/>
      <c r="P245" s="153"/>
      <c r="Q245" s="157"/>
      <c r="R245" s="221"/>
      <c r="S245" s="157"/>
      <c r="T245" s="157"/>
      <c r="U245" s="157"/>
      <c r="V245" s="157"/>
      <c r="W245" s="157"/>
    </row>
    <row r="246" spans="2:23" s="14" customFormat="1" x14ac:dyDescent="0.25">
      <c r="B246" s="76"/>
      <c r="C246" s="153"/>
      <c r="D246" s="153"/>
      <c r="E246" s="153"/>
      <c r="F246" s="153"/>
      <c r="G246" s="153"/>
      <c r="H246" s="153"/>
      <c r="I246" s="153"/>
      <c r="J246" s="153"/>
      <c r="K246" s="153"/>
      <c r="L246" s="153"/>
      <c r="M246" s="153"/>
      <c r="N246" s="153"/>
      <c r="O246" s="153"/>
      <c r="P246" s="153"/>
      <c r="Q246" s="157"/>
      <c r="R246" s="221"/>
      <c r="S246" s="157"/>
      <c r="T246" s="157"/>
      <c r="U246" s="157"/>
      <c r="V246" s="157"/>
      <c r="W246" s="157"/>
    </row>
    <row r="247" spans="2:23" s="14" customFormat="1" x14ac:dyDescent="0.25">
      <c r="B247" s="76"/>
      <c r="C247" s="153"/>
      <c r="D247" s="153"/>
      <c r="E247" s="153"/>
      <c r="F247" s="153"/>
      <c r="G247" s="153"/>
      <c r="H247" s="153"/>
      <c r="I247" s="153"/>
      <c r="J247" s="153"/>
      <c r="K247" s="153"/>
      <c r="L247" s="153"/>
      <c r="M247" s="153"/>
      <c r="N247" s="153"/>
      <c r="O247" s="153"/>
      <c r="P247" s="153"/>
      <c r="Q247" s="157"/>
      <c r="R247" s="221"/>
      <c r="S247" s="157"/>
      <c r="T247" s="157"/>
      <c r="U247" s="157"/>
      <c r="V247" s="157"/>
      <c r="W247" s="157"/>
    </row>
    <row r="248" spans="2:23" s="14" customFormat="1" x14ac:dyDescent="0.25">
      <c r="B248" s="76"/>
      <c r="Q248" s="30"/>
      <c r="R248" s="31"/>
      <c r="S248" s="30"/>
      <c r="T248" s="30"/>
      <c r="U248" s="30"/>
      <c r="V248" s="30"/>
      <c r="W248" s="30"/>
    </row>
    <row r="249" spans="2:23" s="14" customFormat="1" x14ac:dyDescent="0.25">
      <c r="B249" s="76"/>
      <c r="Q249" s="30"/>
      <c r="R249" s="31"/>
      <c r="S249" s="30"/>
      <c r="T249" s="30"/>
      <c r="U249" s="30"/>
      <c r="V249" s="30"/>
      <c r="W249" s="30"/>
    </row>
    <row r="250" spans="2:23" s="14" customFormat="1" x14ac:dyDescent="0.25">
      <c r="B250" s="76"/>
      <c r="Q250" s="30"/>
      <c r="R250" s="31"/>
      <c r="S250" s="30"/>
      <c r="T250" s="30"/>
      <c r="U250" s="30"/>
      <c r="V250" s="30"/>
      <c r="W250" s="30"/>
    </row>
    <row r="251" spans="2:23" s="14" customFormat="1" x14ac:dyDescent="0.25">
      <c r="B251" s="76"/>
      <c r="Q251" s="30"/>
      <c r="R251" s="31"/>
      <c r="S251" s="30"/>
      <c r="T251" s="30"/>
      <c r="U251" s="30"/>
      <c r="V251" s="30"/>
      <c r="W251" s="30"/>
    </row>
    <row r="252" spans="2:23" s="14" customFormat="1" x14ac:dyDescent="0.25">
      <c r="B252" s="76"/>
      <c r="Q252" s="30"/>
      <c r="R252" s="31"/>
      <c r="S252" s="30"/>
      <c r="T252" s="30"/>
      <c r="U252" s="30"/>
      <c r="V252" s="30"/>
      <c r="W252" s="30"/>
    </row>
    <row r="253" spans="2:23" s="14" customFormat="1" x14ac:dyDescent="0.25">
      <c r="B253" s="76"/>
      <c r="Q253" s="30"/>
      <c r="R253" s="31"/>
      <c r="S253" s="30"/>
      <c r="T253" s="30"/>
      <c r="U253" s="30"/>
      <c r="V253" s="30"/>
      <c r="W253" s="30"/>
    </row>
    <row r="254" spans="2:23" s="14" customFormat="1" x14ac:dyDescent="0.25">
      <c r="B254" s="76"/>
      <c r="Q254" s="30"/>
      <c r="R254" s="31"/>
      <c r="S254" s="30"/>
      <c r="T254" s="30"/>
      <c r="U254" s="30"/>
      <c r="V254" s="30"/>
      <c r="W254" s="30"/>
    </row>
    <row r="255" spans="2:23" s="14" customFormat="1" x14ac:dyDescent="0.25">
      <c r="B255" s="76"/>
      <c r="Q255" s="30"/>
      <c r="R255" s="31"/>
      <c r="S255" s="30"/>
      <c r="T255" s="30"/>
      <c r="U255" s="30"/>
      <c r="V255" s="30"/>
      <c r="W255" s="30"/>
    </row>
    <row r="256" spans="2:23" s="14" customFormat="1" x14ac:dyDescent="0.25">
      <c r="B256" s="76"/>
      <c r="Q256" s="30"/>
      <c r="R256" s="31"/>
      <c r="S256" s="30"/>
      <c r="T256" s="30"/>
      <c r="U256" s="30"/>
      <c r="V256" s="30"/>
      <c r="W256" s="30"/>
    </row>
    <row r="257" spans="2:23" s="14" customFormat="1" x14ac:dyDescent="0.25">
      <c r="B257" s="76"/>
      <c r="Q257" s="30"/>
      <c r="R257" s="31"/>
      <c r="S257" s="30"/>
      <c r="T257" s="30"/>
      <c r="U257" s="30"/>
      <c r="V257" s="30"/>
      <c r="W257" s="30"/>
    </row>
    <row r="258" spans="2:23" s="14" customFormat="1" x14ac:dyDescent="0.25">
      <c r="B258" s="76"/>
      <c r="Q258" s="30"/>
      <c r="R258" s="31"/>
      <c r="S258" s="30"/>
      <c r="T258" s="30"/>
      <c r="U258" s="30"/>
      <c r="V258" s="30"/>
      <c r="W258" s="30"/>
    </row>
    <row r="259" spans="2:23" s="14" customFormat="1" x14ac:dyDescent="0.25">
      <c r="B259" s="76"/>
      <c r="Q259" s="30"/>
      <c r="R259" s="31"/>
      <c r="S259" s="30"/>
      <c r="T259" s="30"/>
      <c r="U259" s="30"/>
      <c r="V259" s="30"/>
      <c r="W259" s="30"/>
    </row>
    <row r="260" spans="2:23" s="14" customFormat="1" x14ac:dyDescent="0.25">
      <c r="B260" s="76"/>
      <c r="Q260" s="30"/>
      <c r="R260" s="31"/>
      <c r="S260" s="30"/>
      <c r="T260" s="30"/>
      <c r="U260" s="30"/>
      <c r="V260" s="30"/>
      <c r="W260" s="30"/>
    </row>
    <row r="261" spans="2:23" s="14" customFormat="1" x14ac:dyDescent="0.25">
      <c r="B261" s="76"/>
      <c r="Q261" s="30"/>
      <c r="R261" s="31"/>
      <c r="S261" s="30"/>
      <c r="T261" s="30"/>
      <c r="U261" s="30"/>
      <c r="V261" s="30"/>
      <c r="W261" s="30"/>
    </row>
    <row r="262" spans="2:23" s="14" customFormat="1" x14ac:dyDescent="0.25">
      <c r="B262" s="76"/>
      <c r="Q262" s="30"/>
      <c r="R262" s="31"/>
      <c r="S262" s="30"/>
      <c r="T262" s="30"/>
      <c r="U262" s="30"/>
      <c r="V262" s="30"/>
      <c r="W262" s="30"/>
    </row>
    <row r="263" spans="2:23" s="14" customFormat="1" x14ac:dyDescent="0.25">
      <c r="B263" s="76"/>
      <c r="Q263" s="30"/>
      <c r="R263" s="31"/>
      <c r="S263" s="30"/>
      <c r="T263" s="30"/>
      <c r="U263" s="30"/>
      <c r="V263" s="30"/>
      <c r="W263" s="30"/>
    </row>
    <row r="264" spans="2:23" s="14" customFormat="1" x14ac:dyDescent="0.25">
      <c r="B264" s="76"/>
      <c r="Q264" s="30"/>
      <c r="R264" s="31"/>
      <c r="S264" s="30"/>
      <c r="T264" s="30"/>
      <c r="U264" s="30"/>
      <c r="V264" s="30"/>
      <c r="W264" s="30"/>
    </row>
    <row r="265" spans="2:23" s="14" customFormat="1" x14ac:dyDescent="0.25">
      <c r="B265" s="76"/>
      <c r="Q265" s="30"/>
      <c r="R265" s="31"/>
      <c r="S265" s="30"/>
      <c r="T265" s="30"/>
      <c r="U265" s="30"/>
      <c r="V265" s="30"/>
      <c r="W265" s="30"/>
    </row>
    <row r="266" spans="2:23" s="14" customFormat="1" x14ac:dyDescent="0.25">
      <c r="B266" s="76"/>
      <c r="Q266" s="30"/>
      <c r="R266" s="31"/>
      <c r="S266" s="30"/>
      <c r="T266" s="30"/>
      <c r="U266" s="30"/>
      <c r="V266" s="30"/>
      <c r="W266" s="30"/>
    </row>
    <row r="267" spans="2:23" s="14" customFormat="1" x14ac:dyDescent="0.25">
      <c r="B267" s="76"/>
      <c r="Q267" s="30"/>
      <c r="R267" s="31"/>
      <c r="S267" s="30"/>
      <c r="T267" s="30"/>
      <c r="U267" s="30"/>
      <c r="V267" s="30"/>
      <c r="W267" s="30"/>
    </row>
    <row r="268" spans="2:23" s="14" customFormat="1" x14ac:dyDescent="0.25">
      <c r="B268" s="76"/>
      <c r="Q268" s="30"/>
      <c r="R268" s="31"/>
      <c r="S268" s="30"/>
      <c r="T268" s="30"/>
      <c r="U268" s="30"/>
      <c r="V268" s="30"/>
      <c r="W268" s="30"/>
    </row>
    <row r="269" spans="2:23" s="14" customFormat="1" x14ac:dyDescent="0.25">
      <c r="B269" s="76"/>
      <c r="Q269" s="30"/>
      <c r="R269" s="31"/>
      <c r="S269" s="30"/>
      <c r="T269" s="30"/>
      <c r="U269" s="30"/>
      <c r="V269" s="30"/>
      <c r="W269" s="30"/>
    </row>
    <row r="270" spans="2:23" s="14" customFormat="1" x14ac:dyDescent="0.25">
      <c r="B270" s="76"/>
      <c r="Q270" s="30"/>
      <c r="R270" s="31"/>
      <c r="S270" s="30"/>
      <c r="T270" s="30"/>
      <c r="U270" s="30"/>
      <c r="V270" s="30"/>
      <c r="W270" s="30"/>
    </row>
    <row r="271" spans="2:23" s="14" customFormat="1" x14ac:dyDescent="0.25">
      <c r="B271" s="76"/>
      <c r="Q271" s="30"/>
      <c r="R271" s="31"/>
      <c r="S271" s="30"/>
      <c r="T271" s="30"/>
      <c r="U271" s="30"/>
      <c r="V271" s="30"/>
      <c r="W271" s="30"/>
    </row>
    <row r="272" spans="2:23" s="14" customFormat="1" x14ac:dyDescent="0.25">
      <c r="B272" s="76"/>
      <c r="Q272" s="30"/>
      <c r="R272" s="31"/>
      <c r="S272" s="30"/>
      <c r="T272" s="30"/>
      <c r="U272" s="30"/>
      <c r="V272" s="30"/>
      <c r="W272" s="30"/>
    </row>
    <row r="273" spans="2:23" s="14" customFormat="1" x14ac:dyDescent="0.25">
      <c r="B273" s="76"/>
      <c r="Q273" s="30"/>
      <c r="R273" s="31"/>
      <c r="S273" s="30"/>
      <c r="T273" s="30"/>
      <c r="U273" s="30"/>
      <c r="V273" s="30"/>
      <c r="W273" s="30"/>
    </row>
    <row r="274" spans="2:23" s="14" customFormat="1" x14ac:dyDescent="0.25">
      <c r="B274" s="76"/>
      <c r="Q274" s="30"/>
      <c r="R274" s="31"/>
      <c r="S274" s="30"/>
      <c r="T274" s="30"/>
      <c r="U274" s="30"/>
      <c r="V274" s="30"/>
      <c r="W274" s="30"/>
    </row>
    <row r="275" spans="2:23" s="14" customFormat="1" x14ac:dyDescent="0.25">
      <c r="B275" s="76"/>
      <c r="Q275" s="30"/>
      <c r="R275" s="31"/>
      <c r="S275" s="30"/>
      <c r="T275" s="30"/>
      <c r="U275" s="30"/>
      <c r="V275" s="30"/>
      <c r="W275" s="30"/>
    </row>
    <row r="276" spans="2:23" s="14" customFormat="1" x14ac:dyDescent="0.25">
      <c r="B276" s="76"/>
      <c r="Q276" s="30"/>
      <c r="R276" s="31"/>
      <c r="S276" s="30"/>
      <c r="T276" s="30"/>
      <c r="U276" s="30"/>
      <c r="V276" s="30"/>
      <c r="W276" s="30"/>
    </row>
    <row r="277" spans="2:23" s="14" customFormat="1" x14ac:dyDescent="0.25">
      <c r="B277" s="76"/>
      <c r="Q277" s="30"/>
      <c r="R277" s="31"/>
      <c r="S277" s="30"/>
      <c r="T277" s="30"/>
      <c r="U277" s="30"/>
      <c r="V277" s="30"/>
      <c r="W277" s="30"/>
    </row>
    <row r="278" spans="2:23" s="14" customFormat="1" x14ac:dyDescent="0.25">
      <c r="B278" s="76"/>
      <c r="Q278" s="30"/>
      <c r="R278" s="31"/>
      <c r="S278" s="30"/>
      <c r="T278" s="30"/>
      <c r="U278" s="30"/>
      <c r="V278" s="30"/>
      <c r="W278" s="30"/>
    </row>
    <row r="279" spans="2:23" s="14" customFormat="1" x14ac:dyDescent="0.25">
      <c r="B279" s="76"/>
      <c r="Q279" s="30"/>
      <c r="R279" s="31"/>
      <c r="S279" s="30"/>
      <c r="T279" s="30"/>
      <c r="U279" s="30"/>
      <c r="V279" s="30"/>
      <c r="W279" s="30"/>
    </row>
    <row r="280" spans="2:23" s="14" customFormat="1" x14ac:dyDescent="0.25">
      <c r="B280" s="76"/>
      <c r="Q280" s="30"/>
      <c r="R280" s="31"/>
      <c r="S280" s="30"/>
      <c r="T280" s="30"/>
      <c r="U280" s="30"/>
      <c r="V280" s="30"/>
      <c r="W280" s="30"/>
    </row>
    <row r="281" spans="2:23" s="14" customFormat="1" x14ac:dyDescent="0.25">
      <c r="B281" s="76"/>
      <c r="Q281" s="30"/>
      <c r="R281" s="31"/>
      <c r="S281" s="30"/>
      <c r="T281" s="30"/>
      <c r="U281" s="30"/>
      <c r="V281" s="30"/>
      <c r="W281" s="30"/>
    </row>
    <row r="282" spans="2:23" s="14" customFormat="1" x14ac:dyDescent="0.25">
      <c r="B282" s="76"/>
      <c r="Q282" s="30"/>
      <c r="R282" s="31"/>
      <c r="S282" s="30"/>
      <c r="T282" s="30"/>
      <c r="U282" s="30"/>
      <c r="V282" s="30"/>
      <c r="W282" s="30"/>
    </row>
    <row r="283" spans="2:23" s="14" customFormat="1" x14ac:dyDescent="0.25">
      <c r="B283" s="76"/>
      <c r="Q283" s="30"/>
      <c r="R283" s="31"/>
      <c r="S283" s="30"/>
      <c r="T283" s="30"/>
      <c r="U283" s="30"/>
      <c r="V283" s="30"/>
      <c r="W283" s="30"/>
    </row>
    <row r="284" spans="2:23" s="14" customFormat="1" x14ac:dyDescent="0.25">
      <c r="B284" s="76"/>
      <c r="Q284" s="30"/>
      <c r="R284" s="31"/>
      <c r="S284" s="30"/>
      <c r="T284" s="30"/>
      <c r="U284" s="30"/>
      <c r="V284" s="30"/>
      <c r="W284" s="30"/>
    </row>
    <row r="285" spans="2:23" s="14" customFormat="1" x14ac:dyDescent="0.25">
      <c r="B285" s="76"/>
      <c r="Q285" s="30"/>
      <c r="R285" s="31"/>
      <c r="S285" s="30"/>
      <c r="T285" s="30"/>
      <c r="U285" s="30"/>
      <c r="V285" s="30"/>
      <c r="W285" s="30"/>
    </row>
    <row r="286" spans="2:23" s="14" customFormat="1" x14ac:dyDescent="0.25">
      <c r="B286" s="76"/>
      <c r="Q286" s="30"/>
      <c r="R286" s="31"/>
      <c r="S286" s="30"/>
      <c r="T286" s="30"/>
      <c r="U286" s="30"/>
      <c r="V286" s="30"/>
      <c r="W286" s="30"/>
    </row>
    <row r="287" spans="2:23" s="14" customFormat="1" x14ac:dyDescent="0.25">
      <c r="B287" s="76"/>
      <c r="Q287" s="30"/>
      <c r="R287" s="31"/>
      <c r="S287" s="30"/>
      <c r="T287" s="30"/>
      <c r="U287" s="30"/>
      <c r="V287" s="30"/>
      <c r="W287" s="30"/>
    </row>
    <row r="288" spans="2:23" s="14" customFormat="1" x14ac:dyDescent="0.25">
      <c r="B288" s="76"/>
      <c r="Q288" s="30"/>
      <c r="R288" s="31"/>
      <c r="S288" s="30"/>
      <c r="T288" s="30"/>
      <c r="U288" s="30"/>
      <c r="V288" s="30"/>
      <c r="W288" s="30"/>
    </row>
    <row r="289" spans="2:23" s="14" customFormat="1" x14ac:dyDescent="0.25">
      <c r="B289" s="76"/>
      <c r="Q289" s="30"/>
      <c r="R289" s="31"/>
      <c r="S289" s="30"/>
      <c r="T289" s="30"/>
      <c r="U289" s="30"/>
      <c r="V289" s="30"/>
      <c r="W289" s="30"/>
    </row>
    <row r="290" spans="2:23" s="14" customFormat="1" x14ac:dyDescent="0.25">
      <c r="B290" s="76"/>
      <c r="Q290" s="30"/>
      <c r="R290" s="31"/>
      <c r="S290" s="30"/>
      <c r="T290" s="30"/>
      <c r="U290" s="30"/>
      <c r="V290" s="30"/>
      <c r="W290" s="30"/>
    </row>
    <row r="291" spans="2:23" s="14" customFormat="1" x14ac:dyDescent="0.25">
      <c r="B291" s="76"/>
      <c r="Q291" s="30"/>
      <c r="R291" s="31"/>
      <c r="S291" s="30"/>
      <c r="T291" s="30"/>
      <c r="U291" s="30"/>
      <c r="V291" s="30"/>
      <c r="W291" s="30"/>
    </row>
    <row r="292" spans="2:23" s="14" customFormat="1" x14ac:dyDescent="0.25">
      <c r="B292" s="76"/>
      <c r="Q292" s="30"/>
      <c r="R292" s="31"/>
      <c r="S292" s="30"/>
      <c r="T292" s="30"/>
      <c r="U292" s="30"/>
      <c r="V292" s="30"/>
      <c r="W292" s="30"/>
    </row>
    <row r="293" spans="2:23" s="14" customFormat="1" x14ac:dyDescent="0.25">
      <c r="B293" s="76"/>
      <c r="Q293" s="30"/>
      <c r="R293" s="31"/>
      <c r="S293" s="30"/>
      <c r="T293" s="30"/>
      <c r="U293" s="30"/>
      <c r="V293" s="30"/>
      <c r="W293" s="30"/>
    </row>
    <row r="294" spans="2:23" s="14" customFormat="1" x14ac:dyDescent="0.25">
      <c r="B294" s="76"/>
      <c r="Q294" s="30"/>
      <c r="R294" s="31"/>
      <c r="S294" s="30"/>
      <c r="T294" s="30"/>
      <c r="U294" s="30"/>
      <c r="V294" s="30"/>
      <c r="W294" s="30"/>
    </row>
    <row r="295" spans="2:23" s="14" customFormat="1" x14ac:dyDescent="0.25">
      <c r="B295" s="76"/>
      <c r="Q295" s="30"/>
      <c r="R295" s="31"/>
      <c r="S295" s="30"/>
      <c r="T295" s="30"/>
      <c r="U295" s="30"/>
      <c r="V295" s="30"/>
      <c r="W295" s="30"/>
    </row>
    <row r="296" spans="2:23" s="14" customFormat="1" x14ac:dyDescent="0.25">
      <c r="B296" s="76"/>
      <c r="Q296" s="30"/>
      <c r="R296" s="31"/>
      <c r="S296" s="30"/>
      <c r="T296" s="30"/>
      <c r="U296" s="30"/>
      <c r="V296" s="30"/>
      <c r="W296" s="30"/>
    </row>
    <row r="297" spans="2:23" s="14" customFormat="1" x14ac:dyDescent="0.25">
      <c r="B297" s="76"/>
      <c r="Q297" s="30"/>
      <c r="R297" s="31"/>
      <c r="S297" s="30"/>
      <c r="T297" s="30"/>
      <c r="U297" s="30"/>
      <c r="V297" s="30"/>
      <c r="W297" s="30"/>
    </row>
    <row r="298" spans="2:23" s="14" customFormat="1" x14ac:dyDescent="0.25">
      <c r="B298" s="76"/>
      <c r="Q298" s="30"/>
      <c r="R298" s="31"/>
      <c r="S298" s="30"/>
      <c r="T298" s="30"/>
      <c r="U298" s="30"/>
      <c r="V298" s="30"/>
      <c r="W298" s="30"/>
    </row>
    <row r="299" spans="2:23" s="14" customFormat="1" x14ac:dyDescent="0.25">
      <c r="B299" s="76"/>
      <c r="Q299" s="30"/>
      <c r="R299" s="31"/>
      <c r="S299" s="30"/>
      <c r="T299" s="30"/>
      <c r="U299" s="30"/>
      <c r="V299" s="30"/>
      <c r="W299" s="30"/>
    </row>
    <row r="300" spans="2:23" s="14" customFormat="1" x14ac:dyDescent="0.25">
      <c r="B300" s="76"/>
      <c r="Q300" s="30"/>
      <c r="R300" s="31"/>
      <c r="S300" s="30"/>
      <c r="T300" s="30"/>
      <c r="U300" s="30"/>
      <c r="V300" s="30"/>
      <c r="W300" s="30"/>
    </row>
    <row r="301" spans="2:23" s="14" customFormat="1" x14ac:dyDescent="0.25">
      <c r="B301" s="76"/>
      <c r="Q301" s="30"/>
      <c r="R301" s="31"/>
      <c r="S301" s="30"/>
      <c r="T301" s="30"/>
      <c r="U301" s="30"/>
      <c r="V301" s="30"/>
      <c r="W301" s="30"/>
    </row>
    <row r="302" spans="2:23" s="14" customFormat="1" x14ac:dyDescent="0.25">
      <c r="B302" s="76"/>
      <c r="Q302" s="30"/>
      <c r="R302" s="31"/>
      <c r="S302" s="30"/>
      <c r="T302" s="30"/>
      <c r="U302" s="30"/>
      <c r="V302" s="30"/>
      <c r="W302" s="30"/>
    </row>
    <row r="303" spans="2:23" s="14" customFormat="1" x14ac:dyDescent="0.25">
      <c r="B303" s="76"/>
      <c r="Q303" s="30"/>
      <c r="R303" s="31"/>
      <c r="S303" s="30"/>
      <c r="T303" s="30"/>
      <c r="U303" s="30"/>
      <c r="V303" s="30"/>
      <c r="W303" s="30"/>
    </row>
    <row r="304" spans="2:23" s="14" customFormat="1" x14ac:dyDescent="0.25">
      <c r="B304" s="76"/>
      <c r="Q304" s="30"/>
      <c r="R304" s="31"/>
      <c r="S304" s="30"/>
      <c r="T304" s="30"/>
      <c r="U304" s="30"/>
      <c r="V304" s="30"/>
      <c r="W304" s="30"/>
    </row>
    <row r="305" spans="2:23" s="14" customFormat="1" x14ac:dyDescent="0.25">
      <c r="B305" s="76"/>
      <c r="Q305" s="30"/>
      <c r="R305" s="31"/>
      <c r="S305" s="30"/>
      <c r="T305" s="30"/>
      <c r="U305" s="30"/>
      <c r="V305" s="30"/>
      <c r="W305" s="30"/>
    </row>
    <row r="306" spans="2:23" s="14" customFormat="1" x14ac:dyDescent="0.25">
      <c r="B306" s="76"/>
      <c r="Q306" s="30"/>
      <c r="R306" s="31"/>
      <c r="S306" s="30"/>
      <c r="T306" s="30"/>
      <c r="U306" s="30"/>
      <c r="V306" s="30"/>
      <c r="W306" s="30"/>
    </row>
    <row r="307" spans="2:23" s="14" customFormat="1" x14ac:dyDescent="0.25">
      <c r="B307" s="76"/>
      <c r="Q307" s="30"/>
      <c r="R307" s="31"/>
      <c r="S307" s="30"/>
      <c r="T307" s="30"/>
      <c r="U307" s="30"/>
      <c r="V307" s="30"/>
      <c r="W307" s="30"/>
    </row>
    <row r="308" spans="2:23" s="14" customFormat="1" x14ac:dyDescent="0.25">
      <c r="B308" s="76"/>
      <c r="Q308" s="30"/>
      <c r="R308" s="31"/>
      <c r="S308" s="30"/>
      <c r="T308" s="30"/>
      <c r="U308" s="30"/>
      <c r="V308" s="30"/>
      <c r="W308" s="30"/>
    </row>
    <row r="309" spans="2:23" s="14" customFormat="1" x14ac:dyDescent="0.25">
      <c r="B309" s="76"/>
      <c r="Q309" s="30"/>
      <c r="R309" s="31"/>
      <c r="S309" s="30"/>
      <c r="T309" s="30"/>
      <c r="U309" s="30"/>
      <c r="V309" s="30"/>
      <c r="W309" s="30"/>
    </row>
    <row r="310" spans="2:23" s="14" customFormat="1" x14ac:dyDescent="0.25">
      <c r="B310" s="76"/>
      <c r="Q310" s="30"/>
      <c r="R310" s="31"/>
      <c r="S310" s="30"/>
      <c r="T310" s="30"/>
      <c r="U310" s="30"/>
      <c r="V310" s="30"/>
      <c r="W310" s="30"/>
    </row>
    <row r="311" spans="2:23" s="14" customFormat="1" x14ac:dyDescent="0.25">
      <c r="B311" s="76"/>
      <c r="Q311" s="30"/>
      <c r="R311" s="31"/>
      <c r="S311" s="30"/>
      <c r="T311" s="30"/>
      <c r="U311" s="30"/>
      <c r="V311" s="30"/>
      <c r="W311" s="30"/>
    </row>
    <row r="312" spans="2:23" s="14" customFormat="1" x14ac:dyDescent="0.25">
      <c r="B312" s="76"/>
      <c r="Q312" s="30"/>
      <c r="R312" s="31"/>
      <c r="S312" s="30"/>
      <c r="T312" s="30"/>
      <c r="U312" s="30"/>
      <c r="V312" s="30"/>
      <c r="W312" s="30"/>
    </row>
    <row r="313" spans="2:23" s="14" customFormat="1" x14ac:dyDescent="0.25">
      <c r="B313" s="76"/>
      <c r="Q313" s="30"/>
      <c r="R313" s="31"/>
      <c r="S313" s="30"/>
      <c r="T313" s="30"/>
      <c r="U313" s="30"/>
      <c r="V313" s="30"/>
      <c r="W313" s="30"/>
    </row>
    <row r="314" spans="2:23" s="14" customFormat="1" x14ac:dyDescent="0.25">
      <c r="B314" s="76"/>
      <c r="Q314" s="30"/>
      <c r="R314" s="31"/>
      <c r="S314" s="30"/>
      <c r="T314" s="30"/>
      <c r="U314" s="30"/>
      <c r="V314" s="30"/>
      <c r="W314" s="30"/>
    </row>
    <row r="315" spans="2:23" s="14" customFormat="1" x14ac:dyDescent="0.25">
      <c r="B315" s="76"/>
      <c r="Q315" s="30"/>
      <c r="R315" s="31"/>
      <c r="S315" s="30"/>
      <c r="T315" s="30"/>
      <c r="U315" s="30"/>
      <c r="V315" s="30"/>
      <c r="W315" s="30"/>
    </row>
    <row r="316" spans="2:23" s="14" customFormat="1" x14ac:dyDescent="0.25">
      <c r="B316" s="76"/>
      <c r="Q316" s="30"/>
      <c r="R316" s="31"/>
      <c r="S316" s="30"/>
      <c r="T316" s="30"/>
      <c r="U316" s="30"/>
      <c r="V316" s="30"/>
      <c r="W316" s="30"/>
    </row>
    <row r="317" spans="2:23" s="14" customFormat="1" x14ac:dyDescent="0.25">
      <c r="B317" s="76"/>
      <c r="Q317" s="30"/>
      <c r="R317" s="31"/>
      <c r="S317" s="30"/>
      <c r="T317" s="30"/>
      <c r="U317" s="30"/>
      <c r="V317" s="30"/>
      <c r="W317" s="30"/>
    </row>
    <row r="318" spans="2:23" s="14" customFormat="1" x14ac:dyDescent="0.25">
      <c r="B318" s="76"/>
      <c r="Q318" s="30"/>
      <c r="R318" s="31"/>
      <c r="S318" s="30"/>
      <c r="T318" s="30"/>
      <c r="U318" s="30"/>
      <c r="V318" s="30"/>
      <c r="W318" s="30"/>
    </row>
    <row r="319" spans="2:23" s="14" customFormat="1" x14ac:dyDescent="0.25">
      <c r="B319" s="76"/>
      <c r="Q319" s="30"/>
      <c r="R319" s="31"/>
      <c r="S319" s="30"/>
      <c r="T319" s="30"/>
      <c r="U319" s="30"/>
      <c r="V319" s="30"/>
      <c r="W319" s="30"/>
    </row>
    <row r="320" spans="2:23" s="14" customFormat="1" x14ac:dyDescent="0.25">
      <c r="B320" s="76"/>
      <c r="Q320" s="30"/>
      <c r="R320" s="31"/>
      <c r="S320" s="30"/>
      <c r="T320" s="30"/>
      <c r="U320" s="30"/>
      <c r="V320" s="30"/>
      <c r="W320" s="30"/>
    </row>
    <row r="321" spans="2:23" s="14" customFormat="1" x14ac:dyDescent="0.25">
      <c r="B321" s="76"/>
      <c r="Q321" s="30"/>
      <c r="R321" s="31"/>
      <c r="S321" s="30"/>
      <c r="T321" s="30"/>
      <c r="U321" s="30"/>
      <c r="V321" s="30"/>
      <c r="W321" s="30"/>
    </row>
    <row r="322" spans="2:23" s="14" customFormat="1" x14ac:dyDescent="0.25">
      <c r="B322" s="76"/>
      <c r="Q322" s="30"/>
      <c r="R322" s="31"/>
      <c r="S322" s="30"/>
      <c r="T322" s="30"/>
      <c r="U322" s="30"/>
      <c r="V322" s="30"/>
      <c r="W322" s="30"/>
    </row>
    <row r="323" spans="2:23" s="14" customFormat="1" x14ac:dyDescent="0.25">
      <c r="B323" s="76"/>
      <c r="Q323" s="30"/>
      <c r="R323" s="31"/>
      <c r="S323" s="30"/>
      <c r="T323" s="30"/>
      <c r="U323" s="30"/>
      <c r="V323" s="30"/>
      <c r="W323" s="30"/>
    </row>
    <row r="324" spans="2:23" s="14" customFormat="1" x14ac:dyDescent="0.25">
      <c r="B324" s="76"/>
      <c r="Q324" s="30"/>
      <c r="R324" s="31"/>
      <c r="S324" s="30"/>
      <c r="T324" s="30"/>
      <c r="U324" s="30"/>
      <c r="V324" s="30"/>
      <c r="W324" s="30"/>
    </row>
    <row r="325" spans="2:23" s="14" customFormat="1" x14ac:dyDescent="0.25">
      <c r="B325" s="76"/>
      <c r="Q325" s="30"/>
      <c r="R325" s="31"/>
      <c r="S325" s="30"/>
      <c r="T325" s="30"/>
      <c r="U325" s="30"/>
      <c r="V325" s="30"/>
      <c r="W325" s="30"/>
    </row>
    <row r="326" spans="2:23" s="14" customFormat="1" x14ac:dyDescent="0.25">
      <c r="B326" s="76"/>
      <c r="Q326" s="30"/>
      <c r="R326" s="31"/>
      <c r="S326" s="30"/>
      <c r="T326" s="30"/>
      <c r="U326" s="30"/>
      <c r="V326" s="30"/>
      <c r="W326" s="30"/>
    </row>
    <row r="327" spans="2:23" s="14" customFormat="1" x14ac:dyDescent="0.25">
      <c r="B327" s="76"/>
      <c r="Q327" s="30"/>
      <c r="R327" s="31"/>
      <c r="S327" s="30"/>
      <c r="T327" s="30"/>
      <c r="U327" s="30"/>
      <c r="V327" s="30"/>
      <c r="W327" s="30"/>
    </row>
    <row r="328" spans="2:23" s="14" customFormat="1" x14ac:dyDescent="0.25">
      <c r="B328" s="76"/>
      <c r="Q328" s="30"/>
      <c r="R328" s="31"/>
      <c r="S328" s="30"/>
      <c r="T328" s="30"/>
      <c r="U328" s="30"/>
      <c r="V328" s="30"/>
      <c r="W328" s="30"/>
    </row>
    <row r="329" spans="2:23" s="14" customFormat="1" x14ac:dyDescent="0.25">
      <c r="B329" s="76"/>
      <c r="Q329" s="30"/>
      <c r="R329" s="31"/>
      <c r="S329" s="30"/>
      <c r="T329" s="30"/>
      <c r="U329" s="30"/>
      <c r="V329" s="30"/>
      <c r="W329" s="30"/>
    </row>
    <row r="330" spans="2:23" s="14" customFormat="1" x14ac:dyDescent="0.25">
      <c r="B330" s="76"/>
      <c r="Q330" s="30"/>
      <c r="R330" s="31"/>
      <c r="S330" s="30"/>
      <c r="T330" s="30"/>
      <c r="U330" s="30"/>
      <c r="V330" s="30"/>
      <c r="W330" s="30"/>
    </row>
    <row r="331" spans="2:23" s="14" customFormat="1" x14ac:dyDescent="0.25">
      <c r="B331" s="76"/>
      <c r="Q331" s="30"/>
      <c r="R331" s="31"/>
      <c r="S331" s="30"/>
      <c r="T331" s="30"/>
      <c r="U331" s="30"/>
      <c r="V331" s="30"/>
      <c r="W331" s="30"/>
    </row>
    <row r="332" spans="2:23" s="14" customFormat="1" x14ac:dyDescent="0.25">
      <c r="B332" s="76"/>
      <c r="Q332" s="30"/>
      <c r="R332" s="31"/>
      <c r="S332" s="30"/>
      <c r="T332" s="30"/>
      <c r="U332" s="30"/>
      <c r="V332" s="30"/>
      <c r="W332" s="30"/>
    </row>
    <row r="333" spans="2:23" s="14" customFormat="1" x14ac:dyDescent="0.25">
      <c r="B333" s="76"/>
      <c r="Q333" s="30"/>
      <c r="R333" s="31"/>
      <c r="S333" s="30"/>
      <c r="T333" s="30"/>
      <c r="U333" s="30"/>
      <c r="V333" s="30"/>
      <c r="W333" s="30"/>
    </row>
    <row r="334" spans="2:23" s="14" customFormat="1" x14ac:dyDescent="0.25">
      <c r="B334" s="76"/>
      <c r="Q334" s="30"/>
      <c r="R334" s="31"/>
      <c r="S334" s="30"/>
      <c r="T334" s="30"/>
      <c r="U334" s="30"/>
      <c r="V334" s="30"/>
      <c r="W334" s="30"/>
    </row>
    <row r="335" spans="2:23" s="14" customFormat="1" x14ac:dyDescent="0.25">
      <c r="B335" s="76"/>
      <c r="Q335" s="30"/>
      <c r="R335" s="31"/>
      <c r="S335" s="30"/>
      <c r="T335" s="30"/>
      <c r="U335" s="30"/>
      <c r="V335" s="30"/>
      <c r="W335" s="30"/>
    </row>
    <row r="336" spans="2:23" s="14" customFormat="1" x14ac:dyDescent="0.25">
      <c r="B336" s="76"/>
      <c r="Q336" s="30"/>
      <c r="R336" s="31"/>
      <c r="S336" s="30"/>
      <c r="T336" s="30"/>
      <c r="U336" s="30"/>
      <c r="V336" s="30"/>
      <c r="W336" s="30"/>
    </row>
    <row r="337" spans="2:23" s="14" customFormat="1" x14ac:dyDescent="0.25">
      <c r="B337" s="76"/>
      <c r="Q337" s="30"/>
      <c r="R337" s="31"/>
      <c r="S337" s="30"/>
      <c r="T337" s="30"/>
      <c r="U337" s="30"/>
      <c r="V337" s="30"/>
      <c r="W337" s="30"/>
    </row>
    <row r="338" spans="2:23" s="14" customFormat="1" x14ac:dyDescent="0.25">
      <c r="B338" s="76"/>
      <c r="Q338" s="30"/>
      <c r="R338" s="31"/>
      <c r="S338" s="30"/>
      <c r="T338" s="30"/>
      <c r="U338" s="30"/>
      <c r="V338" s="30"/>
      <c r="W338" s="30"/>
    </row>
    <row r="339" spans="2:23" s="14" customFormat="1" x14ac:dyDescent="0.25">
      <c r="B339" s="76"/>
      <c r="Q339" s="30"/>
      <c r="R339" s="31"/>
      <c r="S339" s="30"/>
      <c r="T339" s="30"/>
      <c r="U339" s="30"/>
      <c r="V339" s="30"/>
      <c r="W339" s="30"/>
    </row>
    <row r="340" spans="2:23" s="14" customFormat="1" x14ac:dyDescent="0.25">
      <c r="B340" s="76"/>
      <c r="Q340" s="30"/>
      <c r="R340" s="31"/>
      <c r="S340" s="30"/>
      <c r="T340" s="30"/>
      <c r="U340" s="30"/>
      <c r="V340" s="30"/>
      <c r="W340" s="30"/>
    </row>
    <row r="341" spans="2:23" s="14" customFormat="1" x14ac:dyDescent="0.25">
      <c r="B341" s="76"/>
      <c r="Q341" s="30"/>
      <c r="R341" s="31"/>
      <c r="S341" s="30"/>
      <c r="T341" s="30"/>
      <c r="U341" s="30"/>
      <c r="V341" s="30"/>
      <c r="W341" s="30"/>
    </row>
    <row r="342" spans="2:23" s="14" customFormat="1" x14ac:dyDescent="0.25">
      <c r="B342" s="76"/>
      <c r="Q342" s="30"/>
      <c r="R342" s="31"/>
      <c r="S342" s="30"/>
      <c r="T342" s="30"/>
      <c r="U342" s="30"/>
      <c r="V342" s="30"/>
      <c r="W342" s="30"/>
    </row>
    <row r="343" spans="2:23" s="14" customFormat="1" x14ac:dyDescent="0.25">
      <c r="B343" s="76"/>
      <c r="Q343" s="30"/>
      <c r="R343" s="31"/>
      <c r="S343" s="30"/>
      <c r="T343" s="30"/>
      <c r="U343" s="30"/>
      <c r="V343" s="30"/>
      <c r="W343" s="30"/>
    </row>
    <row r="344" spans="2:23" s="14" customFormat="1" x14ac:dyDescent="0.25">
      <c r="B344" s="76"/>
      <c r="Q344" s="30"/>
      <c r="R344" s="31"/>
      <c r="S344" s="30"/>
      <c r="T344" s="30"/>
      <c r="U344" s="30"/>
      <c r="V344" s="30"/>
      <c r="W344" s="30"/>
    </row>
    <row r="345" spans="2:23" s="14" customFormat="1" x14ac:dyDescent="0.25">
      <c r="B345" s="76"/>
      <c r="Q345" s="30"/>
      <c r="R345" s="31"/>
      <c r="S345" s="30"/>
      <c r="T345" s="30"/>
      <c r="U345" s="30"/>
      <c r="V345" s="30"/>
      <c r="W345" s="30"/>
    </row>
    <row r="346" spans="2:23" s="14" customFormat="1" x14ac:dyDescent="0.25">
      <c r="B346" s="76"/>
      <c r="Q346" s="30"/>
      <c r="R346" s="31"/>
      <c r="S346" s="30"/>
      <c r="T346" s="30"/>
      <c r="U346" s="30"/>
      <c r="V346" s="30"/>
      <c r="W346" s="30"/>
    </row>
    <row r="347" spans="2:23" s="14" customFormat="1" x14ac:dyDescent="0.25">
      <c r="B347" s="76"/>
      <c r="Q347" s="30"/>
      <c r="R347" s="31"/>
      <c r="S347" s="30"/>
      <c r="T347" s="30"/>
      <c r="U347" s="30"/>
      <c r="V347" s="30"/>
      <c r="W347" s="30"/>
    </row>
    <row r="348" spans="2:23" s="14" customFormat="1" x14ac:dyDescent="0.25">
      <c r="B348" s="76"/>
      <c r="Q348" s="30"/>
      <c r="R348" s="31"/>
      <c r="S348" s="30"/>
      <c r="T348" s="30"/>
      <c r="U348" s="30"/>
      <c r="V348" s="30"/>
      <c r="W348" s="30"/>
    </row>
    <row r="349" spans="2:23" s="14" customFormat="1" x14ac:dyDescent="0.25">
      <c r="B349" s="76"/>
      <c r="Q349" s="30"/>
      <c r="R349" s="31"/>
      <c r="S349" s="30"/>
      <c r="T349" s="30"/>
      <c r="U349" s="30"/>
      <c r="V349" s="30"/>
      <c r="W349" s="30"/>
    </row>
    <row r="350" spans="2:23" s="14" customFormat="1" x14ac:dyDescent="0.25">
      <c r="B350" s="76"/>
      <c r="Q350" s="30"/>
      <c r="R350" s="31"/>
      <c r="S350" s="30"/>
      <c r="T350" s="30"/>
      <c r="U350" s="30"/>
      <c r="V350" s="30"/>
      <c r="W350" s="30"/>
    </row>
    <row r="351" spans="2:23" s="14" customFormat="1" x14ac:dyDescent="0.25">
      <c r="B351" s="76"/>
      <c r="Q351" s="30"/>
      <c r="R351" s="31"/>
      <c r="S351" s="30"/>
      <c r="T351" s="30"/>
      <c r="U351" s="30"/>
      <c r="V351" s="30"/>
      <c r="W351" s="30"/>
    </row>
    <row r="352" spans="2:23" s="14" customFormat="1" x14ac:dyDescent="0.25">
      <c r="B352" s="76"/>
      <c r="Q352" s="30"/>
      <c r="R352" s="31"/>
      <c r="S352" s="30"/>
      <c r="T352" s="30"/>
      <c r="U352" s="30"/>
      <c r="V352" s="30"/>
      <c r="W352" s="30"/>
    </row>
    <row r="353" spans="2:23" s="14" customFormat="1" x14ac:dyDescent="0.25">
      <c r="B353" s="76"/>
      <c r="Q353" s="30"/>
      <c r="R353" s="31"/>
      <c r="S353" s="30"/>
      <c r="T353" s="30"/>
      <c r="U353" s="30"/>
      <c r="V353" s="30"/>
      <c r="W353" s="30"/>
    </row>
    <row r="354" spans="2:23" s="14" customFormat="1" x14ac:dyDescent="0.25">
      <c r="B354" s="76"/>
      <c r="Q354" s="30"/>
      <c r="R354" s="31"/>
      <c r="S354" s="30"/>
      <c r="T354" s="30"/>
      <c r="U354" s="30"/>
      <c r="V354" s="30"/>
      <c r="W354" s="30"/>
    </row>
    <row r="355" spans="2:23" s="14" customFormat="1" x14ac:dyDescent="0.25">
      <c r="B355" s="76"/>
      <c r="Q355" s="30"/>
      <c r="R355" s="31"/>
      <c r="S355" s="30"/>
      <c r="T355" s="30"/>
      <c r="U355" s="30"/>
      <c r="V355" s="30"/>
      <c r="W355" s="30"/>
    </row>
    <row r="356" spans="2:23" s="14" customFormat="1" x14ac:dyDescent="0.25">
      <c r="B356" s="76"/>
      <c r="Q356" s="30"/>
      <c r="R356" s="31"/>
      <c r="S356" s="30"/>
      <c r="T356" s="30"/>
      <c r="U356" s="30"/>
      <c r="V356" s="30"/>
      <c r="W356" s="30"/>
    </row>
    <row r="357" spans="2:23" s="14" customFormat="1" x14ac:dyDescent="0.25">
      <c r="B357" s="76"/>
      <c r="Q357" s="30"/>
      <c r="R357" s="31"/>
      <c r="S357" s="30"/>
      <c r="T357" s="30"/>
      <c r="U357" s="30"/>
      <c r="V357" s="30"/>
      <c r="W357" s="30"/>
    </row>
    <row r="358" spans="2:23" s="14" customFormat="1" x14ac:dyDescent="0.25">
      <c r="B358" s="76"/>
      <c r="Q358" s="30"/>
      <c r="R358" s="31"/>
      <c r="S358" s="30"/>
      <c r="T358" s="30"/>
      <c r="U358" s="30"/>
      <c r="V358" s="30"/>
      <c r="W358" s="30"/>
    </row>
    <row r="359" spans="2:23" s="14" customFormat="1" x14ac:dyDescent="0.25">
      <c r="B359" s="76"/>
      <c r="Q359" s="30"/>
      <c r="R359" s="31"/>
      <c r="S359" s="30"/>
      <c r="T359" s="30"/>
      <c r="U359" s="30"/>
      <c r="V359" s="30"/>
      <c r="W359" s="30"/>
    </row>
    <row r="360" spans="2:23" s="14" customFormat="1" x14ac:dyDescent="0.25">
      <c r="B360" s="76"/>
      <c r="Q360" s="30"/>
      <c r="R360" s="31"/>
      <c r="S360" s="30"/>
      <c r="T360" s="30"/>
      <c r="U360" s="30"/>
      <c r="V360" s="30"/>
      <c r="W360" s="30"/>
    </row>
    <row r="361" spans="2:23" s="14" customFormat="1" x14ac:dyDescent="0.25">
      <c r="B361" s="76"/>
      <c r="Q361" s="30"/>
      <c r="R361" s="31"/>
      <c r="S361" s="30"/>
      <c r="T361" s="30"/>
      <c r="U361" s="30"/>
      <c r="V361" s="30"/>
      <c r="W361" s="30"/>
    </row>
    <row r="362" spans="2:23" s="14" customFormat="1" x14ac:dyDescent="0.25">
      <c r="B362" s="76"/>
      <c r="Q362" s="30"/>
      <c r="R362" s="31"/>
      <c r="S362" s="30"/>
      <c r="T362" s="30"/>
      <c r="U362" s="30"/>
      <c r="V362" s="30"/>
      <c r="W362" s="30"/>
    </row>
    <row r="363" spans="2:23" s="14" customFormat="1" x14ac:dyDescent="0.25">
      <c r="B363" s="76"/>
      <c r="Q363" s="30"/>
      <c r="R363" s="31"/>
      <c r="S363" s="30"/>
      <c r="T363" s="30"/>
      <c r="U363" s="30"/>
      <c r="V363" s="30"/>
      <c r="W363" s="30"/>
    </row>
    <row r="364" spans="2:23" s="14" customFormat="1" x14ac:dyDescent="0.25">
      <c r="B364" s="76"/>
      <c r="Q364" s="30"/>
      <c r="R364" s="31"/>
      <c r="S364" s="30"/>
      <c r="T364" s="30"/>
      <c r="U364" s="30"/>
      <c r="V364" s="30"/>
      <c r="W364" s="30"/>
    </row>
    <row r="365" spans="2:23" s="14" customFormat="1" x14ac:dyDescent="0.25">
      <c r="B365" s="76"/>
      <c r="Q365" s="30"/>
      <c r="R365" s="31"/>
      <c r="S365" s="30"/>
      <c r="T365" s="30"/>
      <c r="U365" s="30"/>
      <c r="V365" s="30"/>
      <c r="W365" s="30"/>
    </row>
    <row r="366" spans="2:23" s="14" customFormat="1" x14ac:dyDescent="0.25">
      <c r="B366" s="76"/>
      <c r="Q366" s="30"/>
      <c r="R366" s="31"/>
      <c r="S366" s="30"/>
      <c r="T366" s="30"/>
      <c r="U366" s="30"/>
      <c r="V366" s="30"/>
      <c r="W366" s="30"/>
    </row>
    <row r="367" spans="2:23" s="14" customFormat="1" x14ac:dyDescent="0.25">
      <c r="B367" s="76"/>
      <c r="Q367" s="30"/>
      <c r="R367" s="31"/>
      <c r="S367" s="30"/>
      <c r="T367" s="30"/>
      <c r="U367" s="30"/>
      <c r="V367" s="30"/>
      <c r="W367" s="30"/>
    </row>
    <row r="368" spans="2:23" s="14" customFormat="1" x14ac:dyDescent="0.25">
      <c r="B368" s="76"/>
      <c r="Q368" s="30"/>
      <c r="R368" s="31"/>
      <c r="S368" s="30"/>
      <c r="T368" s="30"/>
      <c r="U368" s="30"/>
      <c r="V368" s="30"/>
      <c r="W368" s="30"/>
    </row>
    <row r="369" spans="2:23" s="14" customFormat="1" x14ac:dyDescent="0.25">
      <c r="B369" s="76"/>
      <c r="Q369" s="30"/>
      <c r="R369" s="31"/>
      <c r="S369" s="30"/>
      <c r="T369" s="30"/>
      <c r="U369" s="30"/>
      <c r="V369" s="30"/>
      <c r="W369" s="30"/>
    </row>
    <row r="370" spans="2:23" s="14" customFormat="1" x14ac:dyDescent="0.25">
      <c r="B370" s="76"/>
      <c r="Q370" s="30"/>
      <c r="R370" s="31"/>
      <c r="S370" s="30"/>
      <c r="T370" s="30"/>
      <c r="U370" s="30"/>
      <c r="V370" s="30"/>
      <c r="W370" s="30"/>
    </row>
    <row r="371" spans="2:23" s="14" customFormat="1" x14ac:dyDescent="0.25">
      <c r="B371" s="76"/>
      <c r="Q371" s="30"/>
      <c r="R371" s="31"/>
      <c r="S371" s="30"/>
      <c r="T371" s="30"/>
      <c r="U371" s="30"/>
      <c r="V371" s="30"/>
      <c r="W371" s="30"/>
    </row>
    <row r="372" spans="2:23" s="14" customFormat="1" x14ac:dyDescent="0.25">
      <c r="B372" s="76"/>
      <c r="Q372" s="30"/>
      <c r="R372" s="31"/>
      <c r="S372" s="30"/>
      <c r="T372" s="30"/>
      <c r="U372" s="30"/>
      <c r="V372" s="30"/>
      <c r="W372" s="30"/>
    </row>
    <row r="373" spans="2:23" s="14" customFormat="1" x14ac:dyDescent="0.25">
      <c r="B373" s="76"/>
      <c r="Q373" s="30"/>
      <c r="R373" s="31"/>
      <c r="S373" s="30"/>
      <c r="T373" s="30"/>
      <c r="U373" s="30"/>
      <c r="V373" s="30"/>
      <c r="W373" s="30"/>
    </row>
    <row r="374" spans="2:23" s="14" customFormat="1" x14ac:dyDescent="0.25">
      <c r="B374" s="76"/>
      <c r="Q374" s="30"/>
      <c r="R374" s="31"/>
      <c r="S374" s="30"/>
      <c r="T374" s="30"/>
      <c r="U374" s="30"/>
      <c r="V374" s="30"/>
      <c r="W374" s="30"/>
    </row>
    <row r="375" spans="2:23" s="14" customFormat="1" x14ac:dyDescent="0.25">
      <c r="B375" s="76"/>
      <c r="Q375" s="30"/>
      <c r="R375" s="31"/>
      <c r="S375" s="30"/>
      <c r="T375" s="30"/>
      <c r="U375" s="30"/>
      <c r="V375" s="30"/>
      <c r="W375" s="30"/>
    </row>
    <row r="376" spans="2:23" s="14" customFormat="1" x14ac:dyDescent="0.25">
      <c r="B376" s="76"/>
      <c r="Q376" s="30"/>
      <c r="R376" s="31"/>
      <c r="S376" s="30"/>
      <c r="T376" s="30"/>
      <c r="U376" s="30"/>
      <c r="V376" s="30"/>
      <c r="W376" s="30"/>
    </row>
    <row r="377" spans="2:23" s="14" customFormat="1" x14ac:dyDescent="0.25">
      <c r="B377" s="76"/>
      <c r="Q377" s="30"/>
      <c r="R377" s="31"/>
      <c r="S377" s="30"/>
      <c r="T377" s="30"/>
      <c r="U377" s="30"/>
      <c r="V377" s="30"/>
      <c r="W377" s="30"/>
    </row>
    <row r="378" spans="2:23" s="14" customFormat="1" x14ac:dyDescent="0.25">
      <c r="B378" s="76"/>
      <c r="Q378" s="30"/>
      <c r="R378" s="31"/>
      <c r="S378" s="30"/>
      <c r="T378" s="30"/>
      <c r="U378" s="30"/>
      <c r="V378" s="30"/>
      <c r="W378" s="30"/>
    </row>
    <row r="379" spans="2:23" s="14" customFormat="1" x14ac:dyDescent="0.25">
      <c r="B379" s="76"/>
      <c r="Q379" s="30"/>
      <c r="R379" s="31"/>
      <c r="S379" s="30"/>
      <c r="T379" s="30"/>
      <c r="U379" s="30"/>
      <c r="V379" s="30"/>
      <c r="W379" s="30"/>
    </row>
    <row r="380" spans="2:23" s="14" customFormat="1" x14ac:dyDescent="0.25">
      <c r="B380" s="76"/>
      <c r="Q380" s="30"/>
      <c r="R380" s="31"/>
      <c r="S380" s="30"/>
      <c r="T380" s="30"/>
      <c r="U380" s="30"/>
      <c r="V380" s="30"/>
      <c r="W380" s="30"/>
    </row>
    <row r="381" spans="2:23" s="14" customFormat="1" x14ac:dyDescent="0.25">
      <c r="B381" s="76"/>
      <c r="Q381" s="30"/>
      <c r="R381" s="31"/>
      <c r="S381" s="30"/>
      <c r="T381" s="30"/>
      <c r="U381" s="30"/>
      <c r="V381" s="30"/>
      <c r="W381" s="30"/>
    </row>
    <row r="382" spans="2:23" s="14" customFormat="1" x14ac:dyDescent="0.25">
      <c r="B382" s="76"/>
      <c r="Q382" s="30"/>
      <c r="R382" s="31"/>
      <c r="S382" s="30"/>
      <c r="T382" s="30"/>
      <c r="U382" s="30"/>
      <c r="V382" s="30"/>
      <c r="W382" s="30"/>
    </row>
    <row r="383" spans="2:23" s="14" customFormat="1" x14ac:dyDescent="0.25">
      <c r="B383" s="76"/>
      <c r="Q383" s="30"/>
      <c r="R383" s="31"/>
      <c r="S383" s="30"/>
      <c r="T383" s="30"/>
      <c r="U383" s="30"/>
      <c r="V383" s="30"/>
      <c r="W383" s="30"/>
    </row>
    <row r="384" spans="2:23" s="14" customFormat="1" x14ac:dyDescent="0.25">
      <c r="B384" s="76"/>
      <c r="Q384" s="30"/>
      <c r="R384" s="31"/>
      <c r="S384" s="30"/>
      <c r="T384" s="30"/>
      <c r="U384" s="30"/>
      <c r="V384" s="30"/>
      <c r="W384" s="30"/>
    </row>
    <row r="385" spans="2:23" s="14" customFormat="1" x14ac:dyDescent="0.25">
      <c r="B385" s="76"/>
      <c r="Q385" s="30"/>
      <c r="R385" s="31"/>
      <c r="S385" s="30"/>
      <c r="T385" s="30"/>
      <c r="U385" s="30"/>
      <c r="V385" s="30"/>
      <c r="W385" s="30"/>
    </row>
    <row r="386" spans="2:23" s="14" customFormat="1" x14ac:dyDescent="0.25">
      <c r="B386" s="76"/>
      <c r="Q386" s="30"/>
      <c r="R386" s="31"/>
      <c r="S386" s="30"/>
      <c r="T386" s="30"/>
      <c r="U386" s="30"/>
      <c r="V386" s="30"/>
      <c r="W386" s="30"/>
    </row>
    <row r="387" spans="2:23" s="14" customFormat="1" x14ac:dyDescent="0.25">
      <c r="B387" s="76"/>
      <c r="Q387" s="30"/>
      <c r="R387" s="31"/>
      <c r="S387" s="30"/>
      <c r="T387" s="30"/>
      <c r="U387" s="30"/>
      <c r="V387" s="30"/>
      <c r="W387" s="30"/>
    </row>
    <row r="388" spans="2:23" s="14" customFormat="1" x14ac:dyDescent="0.25">
      <c r="B388" s="76"/>
      <c r="Q388" s="30"/>
      <c r="R388" s="31"/>
      <c r="S388" s="30"/>
      <c r="T388" s="30"/>
      <c r="U388" s="30"/>
      <c r="V388" s="30"/>
      <c r="W388" s="30"/>
    </row>
    <row r="389" spans="2:23" s="14" customFormat="1" x14ac:dyDescent="0.25">
      <c r="B389" s="76"/>
      <c r="Q389" s="30"/>
      <c r="R389" s="31"/>
      <c r="S389" s="30"/>
      <c r="T389" s="30"/>
      <c r="U389" s="30"/>
      <c r="V389" s="30"/>
      <c r="W389" s="30"/>
    </row>
    <row r="390" spans="2:23" s="14" customFormat="1" x14ac:dyDescent="0.25">
      <c r="B390" s="76"/>
      <c r="Q390" s="30"/>
      <c r="R390" s="31"/>
      <c r="S390" s="30"/>
      <c r="T390" s="30"/>
      <c r="U390" s="30"/>
      <c r="V390" s="30"/>
      <c r="W390" s="30"/>
    </row>
    <row r="391" spans="2:23" s="14" customFormat="1" x14ac:dyDescent="0.25">
      <c r="B391" s="76"/>
      <c r="Q391" s="30"/>
      <c r="R391" s="31"/>
      <c r="S391" s="30"/>
      <c r="T391" s="30"/>
      <c r="U391" s="30"/>
      <c r="V391" s="30"/>
      <c r="W391" s="30"/>
    </row>
    <row r="392" spans="2:23" s="14" customFormat="1" x14ac:dyDescent="0.25">
      <c r="B392" s="76"/>
      <c r="Q392" s="30"/>
      <c r="R392" s="31"/>
      <c r="S392" s="30"/>
      <c r="T392" s="30"/>
      <c r="U392" s="30"/>
      <c r="V392" s="30"/>
      <c r="W392" s="30"/>
    </row>
    <row r="393" spans="2:23" s="14" customFormat="1" x14ac:dyDescent="0.25">
      <c r="B393" s="76"/>
      <c r="Q393" s="30"/>
      <c r="R393" s="31"/>
      <c r="S393" s="30"/>
      <c r="T393" s="30"/>
      <c r="U393" s="30"/>
      <c r="V393" s="30"/>
      <c r="W393" s="30"/>
    </row>
    <row r="394" spans="2:23" s="14" customFormat="1" x14ac:dyDescent="0.25">
      <c r="B394" s="76"/>
      <c r="Q394" s="30"/>
      <c r="R394" s="31"/>
      <c r="S394" s="30"/>
      <c r="T394" s="30"/>
      <c r="U394" s="30"/>
      <c r="V394" s="30"/>
      <c r="W394" s="30"/>
    </row>
    <row r="395" spans="2:23" s="14" customFormat="1" x14ac:dyDescent="0.25">
      <c r="B395" s="76"/>
      <c r="Q395" s="30"/>
      <c r="R395" s="31"/>
      <c r="S395" s="30"/>
      <c r="T395" s="30"/>
      <c r="U395" s="30"/>
      <c r="V395" s="30"/>
      <c r="W395" s="30"/>
    </row>
    <row r="396" spans="2:23" s="14" customFormat="1" x14ac:dyDescent="0.25">
      <c r="B396" s="76"/>
      <c r="Q396" s="30"/>
      <c r="R396" s="31"/>
      <c r="S396" s="30"/>
      <c r="T396" s="30"/>
      <c r="U396" s="30"/>
      <c r="V396" s="30"/>
      <c r="W396" s="30"/>
    </row>
    <row r="397" spans="2:23" s="14" customFormat="1" x14ac:dyDescent="0.25">
      <c r="B397" s="76"/>
      <c r="Q397" s="30"/>
      <c r="R397" s="31"/>
      <c r="S397" s="30"/>
      <c r="T397" s="30"/>
      <c r="U397" s="30"/>
      <c r="V397" s="30"/>
      <c r="W397" s="30"/>
    </row>
    <row r="398" spans="2:23" s="14" customFormat="1" x14ac:dyDescent="0.25">
      <c r="B398" s="76"/>
      <c r="Q398" s="30"/>
      <c r="R398" s="31"/>
      <c r="S398" s="30"/>
      <c r="T398" s="30"/>
      <c r="U398" s="30"/>
      <c r="V398" s="30"/>
      <c r="W398" s="30"/>
    </row>
    <row r="399" spans="2:23" s="14" customFormat="1" x14ac:dyDescent="0.25">
      <c r="B399" s="76"/>
      <c r="Q399" s="30"/>
      <c r="R399" s="31"/>
      <c r="S399" s="30"/>
      <c r="T399" s="30"/>
      <c r="U399" s="30"/>
      <c r="V399" s="30"/>
      <c r="W399" s="30"/>
    </row>
    <row r="400" spans="2:23" s="14" customFormat="1" x14ac:dyDescent="0.25">
      <c r="B400" s="76"/>
      <c r="Q400" s="30"/>
      <c r="R400" s="31"/>
      <c r="S400" s="30"/>
      <c r="T400" s="30"/>
      <c r="U400" s="30"/>
      <c r="V400" s="30"/>
      <c r="W400" s="30"/>
    </row>
    <row r="401" spans="2:23" s="14" customFormat="1" x14ac:dyDescent="0.25">
      <c r="B401" s="76"/>
      <c r="Q401" s="30"/>
      <c r="R401" s="31"/>
      <c r="S401" s="30"/>
      <c r="T401" s="30"/>
      <c r="U401" s="30"/>
      <c r="V401" s="30"/>
      <c r="W401" s="30"/>
    </row>
    <row r="402" spans="2:23" s="14" customFormat="1" x14ac:dyDescent="0.25">
      <c r="B402" s="76"/>
      <c r="Q402" s="30"/>
      <c r="R402" s="31"/>
      <c r="S402" s="30"/>
      <c r="T402" s="30"/>
      <c r="U402" s="30"/>
      <c r="V402" s="30"/>
      <c r="W402" s="30"/>
    </row>
    <row r="403" spans="2:23" s="14" customFormat="1" x14ac:dyDescent="0.25">
      <c r="B403" s="76"/>
      <c r="Q403" s="30"/>
      <c r="R403" s="31"/>
      <c r="S403" s="30"/>
      <c r="T403" s="30"/>
      <c r="U403" s="30"/>
      <c r="V403" s="30"/>
      <c r="W403" s="30"/>
    </row>
    <row r="404" spans="2:23" s="14" customFormat="1" x14ac:dyDescent="0.25">
      <c r="B404" s="76"/>
      <c r="Q404" s="30"/>
      <c r="R404" s="31"/>
      <c r="S404" s="30"/>
      <c r="T404" s="30"/>
      <c r="U404" s="30"/>
      <c r="V404" s="30"/>
      <c r="W404" s="30"/>
    </row>
    <row r="405" spans="2:23" s="14" customFormat="1" x14ac:dyDescent="0.25">
      <c r="B405" s="76"/>
      <c r="Q405" s="30"/>
      <c r="R405" s="31"/>
      <c r="S405" s="30"/>
      <c r="T405" s="30"/>
      <c r="U405" s="30"/>
      <c r="V405" s="30"/>
      <c r="W405" s="30"/>
    </row>
    <row r="406" spans="2:23" s="14" customFormat="1" x14ac:dyDescent="0.25">
      <c r="B406" s="76"/>
      <c r="Q406" s="30"/>
      <c r="R406" s="31"/>
      <c r="S406" s="30"/>
      <c r="T406" s="30"/>
      <c r="U406" s="30"/>
      <c r="V406" s="30"/>
      <c r="W406" s="30"/>
    </row>
    <row r="407" spans="2:23" s="14" customFormat="1" x14ac:dyDescent="0.25">
      <c r="B407" s="76"/>
      <c r="Q407" s="30"/>
      <c r="R407" s="31"/>
      <c r="S407" s="30"/>
      <c r="T407" s="30"/>
      <c r="U407" s="30"/>
      <c r="V407" s="30"/>
      <c r="W407" s="30"/>
    </row>
    <row r="408" spans="2:23" s="14" customFormat="1" x14ac:dyDescent="0.25">
      <c r="B408" s="76"/>
      <c r="Q408" s="30"/>
      <c r="R408" s="31"/>
      <c r="S408" s="30"/>
      <c r="T408" s="30"/>
      <c r="U408" s="30"/>
      <c r="V408" s="30"/>
      <c r="W408" s="30"/>
    </row>
    <row r="409" spans="2:23" s="14" customFormat="1" x14ac:dyDescent="0.25">
      <c r="B409" s="76"/>
      <c r="Q409" s="30"/>
      <c r="R409" s="31"/>
      <c r="S409" s="30"/>
      <c r="T409" s="30"/>
      <c r="U409" s="30"/>
      <c r="V409" s="30"/>
      <c r="W409" s="30"/>
    </row>
    <row r="410" spans="2:23" s="14" customFormat="1" x14ac:dyDescent="0.25">
      <c r="B410" s="76"/>
      <c r="Q410" s="30"/>
      <c r="R410" s="31"/>
      <c r="S410" s="30"/>
      <c r="T410" s="30"/>
      <c r="U410" s="30"/>
      <c r="V410" s="30"/>
      <c r="W410" s="30"/>
    </row>
    <row r="411" spans="2:23" s="14" customFormat="1" x14ac:dyDescent="0.25">
      <c r="B411" s="76"/>
      <c r="Q411" s="30"/>
      <c r="R411" s="31"/>
      <c r="S411" s="30"/>
      <c r="T411" s="30"/>
      <c r="U411" s="30"/>
      <c r="V411" s="30"/>
      <c r="W411" s="30"/>
    </row>
    <row r="412" spans="2:23" s="14" customFormat="1" x14ac:dyDescent="0.25">
      <c r="B412" s="76"/>
      <c r="Q412" s="30"/>
      <c r="R412" s="31"/>
      <c r="S412" s="30"/>
      <c r="T412" s="30"/>
      <c r="U412" s="30"/>
      <c r="V412" s="30"/>
      <c r="W412" s="30"/>
    </row>
    <row r="413" spans="2:23" s="14" customFormat="1" x14ac:dyDescent="0.25">
      <c r="B413" s="76"/>
      <c r="Q413" s="30"/>
      <c r="R413" s="31"/>
      <c r="S413" s="30"/>
      <c r="T413" s="30"/>
      <c r="U413" s="30"/>
      <c r="V413" s="30"/>
      <c r="W413" s="30"/>
    </row>
    <row r="414" spans="2:23" s="14" customFormat="1" x14ac:dyDescent="0.25">
      <c r="B414" s="76"/>
      <c r="Q414" s="30"/>
      <c r="R414" s="31"/>
      <c r="S414" s="30"/>
      <c r="T414" s="30"/>
      <c r="U414" s="30"/>
      <c r="V414" s="30"/>
      <c r="W414" s="30"/>
    </row>
    <row r="415" spans="2:23" s="14" customFormat="1" x14ac:dyDescent="0.25">
      <c r="B415" s="76"/>
      <c r="Q415" s="30"/>
      <c r="R415" s="31"/>
      <c r="S415" s="30"/>
      <c r="T415" s="30"/>
      <c r="U415" s="30"/>
      <c r="V415" s="30"/>
      <c r="W415" s="30"/>
    </row>
    <row r="416" spans="2:23" s="14" customFormat="1" x14ac:dyDescent="0.25">
      <c r="B416" s="76"/>
      <c r="Q416" s="30"/>
      <c r="R416" s="31"/>
      <c r="S416" s="30"/>
      <c r="T416" s="30"/>
      <c r="U416" s="30"/>
      <c r="V416" s="30"/>
      <c r="W416" s="30"/>
    </row>
    <row r="417" spans="2:23" s="14" customFormat="1" x14ac:dyDescent="0.25">
      <c r="B417" s="76"/>
      <c r="Q417" s="30"/>
      <c r="R417" s="31"/>
      <c r="S417" s="30"/>
      <c r="T417" s="30"/>
      <c r="U417" s="30"/>
      <c r="V417" s="30"/>
      <c r="W417" s="30"/>
    </row>
    <row r="418" spans="2:23" s="14" customFormat="1" x14ac:dyDescent="0.25">
      <c r="B418" s="76"/>
      <c r="Q418" s="30"/>
      <c r="R418" s="31"/>
      <c r="S418" s="30"/>
      <c r="T418" s="30"/>
      <c r="U418" s="30"/>
      <c r="V418" s="30"/>
      <c r="W418" s="30"/>
    </row>
    <row r="419" spans="2:23" s="14" customFormat="1" x14ac:dyDescent="0.25">
      <c r="B419" s="76"/>
      <c r="Q419" s="30"/>
      <c r="R419" s="31"/>
      <c r="S419" s="30"/>
      <c r="T419" s="30"/>
      <c r="U419" s="30"/>
      <c r="V419" s="30"/>
      <c r="W419" s="30"/>
    </row>
    <row r="420" spans="2:23" s="14" customFormat="1" x14ac:dyDescent="0.25">
      <c r="B420" s="76"/>
      <c r="Q420" s="30"/>
      <c r="R420" s="31"/>
      <c r="S420" s="30"/>
      <c r="T420" s="30"/>
      <c r="U420" s="30"/>
      <c r="V420" s="30"/>
      <c r="W420" s="30"/>
    </row>
    <row r="421" spans="2:23" s="14" customFormat="1" x14ac:dyDescent="0.25">
      <c r="B421" s="76"/>
      <c r="Q421" s="30"/>
      <c r="R421" s="31"/>
      <c r="S421" s="30"/>
      <c r="T421" s="30"/>
      <c r="U421" s="30"/>
      <c r="V421" s="30"/>
      <c r="W421" s="30"/>
    </row>
    <row r="422" spans="2:23" s="14" customFormat="1" x14ac:dyDescent="0.25">
      <c r="B422" s="76"/>
      <c r="Q422" s="30"/>
      <c r="R422" s="31"/>
      <c r="S422" s="30"/>
      <c r="T422" s="30"/>
      <c r="U422" s="30"/>
      <c r="V422" s="30"/>
      <c r="W422" s="30"/>
    </row>
    <row r="423" spans="2:23" s="14" customFormat="1" x14ac:dyDescent="0.25">
      <c r="B423" s="76"/>
      <c r="Q423" s="30"/>
      <c r="R423" s="31"/>
      <c r="S423" s="30"/>
      <c r="T423" s="30"/>
      <c r="U423" s="30"/>
      <c r="V423" s="30"/>
      <c r="W423" s="30"/>
    </row>
    <row r="424" spans="2:23" s="14" customFormat="1" x14ac:dyDescent="0.25">
      <c r="B424" s="76"/>
      <c r="Q424" s="30"/>
      <c r="R424" s="31"/>
      <c r="S424" s="30"/>
      <c r="T424" s="30"/>
      <c r="U424" s="30"/>
      <c r="V424" s="30"/>
      <c r="W424" s="30"/>
    </row>
    <row r="425" spans="2:23" s="14" customFormat="1" x14ac:dyDescent="0.25">
      <c r="B425" s="76"/>
      <c r="Q425" s="30"/>
      <c r="R425" s="31"/>
      <c r="S425" s="30"/>
      <c r="T425" s="30"/>
      <c r="U425" s="30"/>
      <c r="V425" s="30"/>
      <c r="W425" s="30"/>
    </row>
    <row r="426" spans="2:23" s="14" customFormat="1" x14ac:dyDescent="0.25">
      <c r="B426" s="76"/>
      <c r="Q426" s="30"/>
      <c r="R426" s="31"/>
      <c r="S426" s="30"/>
      <c r="T426" s="30"/>
      <c r="U426" s="30"/>
      <c r="V426" s="30"/>
      <c r="W426" s="30"/>
    </row>
    <row r="427" spans="2:23" s="14" customFormat="1" x14ac:dyDescent="0.25">
      <c r="B427" s="76"/>
      <c r="Q427" s="30"/>
      <c r="R427" s="31"/>
      <c r="S427" s="30"/>
      <c r="T427" s="30"/>
      <c r="U427" s="30"/>
      <c r="V427" s="30"/>
      <c r="W427" s="30"/>
    </row>
    <row r="428" spans="2:23" s="14" customFormat="1" x14ac:dyDescent="0.25">
      <c r="B428" s="76"/>
      <c r="Q428" s="30"/>
      <c r="R428" s="31"/>
      <c r="S428" s="30"/>
      <c r="T428" s="30"/>
      <c r="U428" s="30"/>
      <c r="V428" s="30"/>
      <c r="W428" s="30"/>
    </row>
    <row r="429" spans="2:23" s="14" customFormat="1" x14ac:dyDescent="0.25">
      <c r="B429" s="76"/>
      <c r="Q429" s="30"/>
      <c r="R429" s="31"/>
      <c r="S429" s="30"/>
      <c r="T429" s="30"/>
      <c r="U429" s="30"/>
      <c r="V429" s="30"/>
      <c r="W429" s="30"/>
    </row>
    <row r="430" spans="2:23" s="14" customFormat="1" x14ac:dyDescent="0.25">
      <c r="B430" s="76"/>
      <c r="Q430" s="30"/>
      <c r="R430" s="31"/>
      <c r="S430" s="30"/>
      <c r="T430" s="30"/>
      <c r="U430" s="30"/>
      <c r="V430" s="30"/>
      <c r="W430" s="30"/>
    </row>
    <row r="431" spans="2:23" s="14" customFormat="1" x14ac:dyDescent="0.25">
      <c r="B431" s="76"/>
      <c r="Q431" s="30"/>
      <c r="R431" s="31"/>
      <c r="S431" s="30"/>
      <c r="T431" s="30"/>
      <c r="U431" s="30"/>
      <c r="V431" s="30"/>
      <c r="W431" s="30"/>
    </row>
    <row r="432" spans="2:23" s="14" customFormat="1" x14ac:dyDescent="0.25">
      <c r="B432" s="76"/>
      <c r="Q432" s="30"/>
      <c r="R432" s="31"/>
      <c r="S432" s="30"/>
      <c r="T432" s="30"/>
      <c r="U432" s="30"/>
      <c r="V432" s="30"/>
      <c r="W432" s="30"/>
    </row>
    <row r="433" spans="2:23" s="14" customFormat="1" x14ac:dyDescent="0.25">
      <c r="B433" s="76"/>
      <c r="Q433" s="30"/>
      <c r="R433" s="31"/>
      <c r="S433" s="30"/>
      <c r="T433" s="30"/>
      <c r="U433" s="30"/>
      <c r="V433" s="30"/>
      <c r="W433" s="30"/>
    </row>
    <row r="434" spans="2:23" s="14" customFormat="1" x14ac:dyDescent="0.25">
      <c r="B434" s="76"/>
      <c r="Q434" s="30"/>
      <c r="R434" s="31"/>
      <c r="S434" s="30"/>
      <c r="T434" s="30"/>
      <c r="U434" s="30"/>
      <c r="V434" s="30"/>
      <c r="W434" s="30"/>
    </row>
    <row r="435" spans="2:23" s="14" customFormat="1" x14ac:dyDescent="0.25">
      <c r="B435" s="76"/>
      <c r="Q435" s="30"/>
      <c r="R435" s="31"/>
      <c r="S435" s="30"/>
      <c r="T435" s="30"/>
      <c r="U435" s="30"/>
      <c r="V435" s="30"/>
      <c r="W435" s="30"/>
    </row>
    <row r="436" spans="2:23" s="14" customFormat="1" x14ac:dyDescent="0.25">
      <c r="B436" s="76"/>
      <c r="Q436" s="30"/>
      <c r="R436" s="31"/>
      <c r="S436" s="30"/>
      <c r="T436" s="30"/>
      <c r="U436" s="30"/>
      <c r="V436" s="30"/>
      <c r="W436" s="30"/>
    </row>
    <row r="437" spans="2:23" s="14" customFormat="1" x14ac:dyDescent="0.25">
      <c r="B437" s="76"/>
      <c r="Q437" s="30"/>
      <c r="R437" s="31"/>
      <c r="S437" s="30"/>
      <c r="T437" s="30"/>
      <c r="U437" s="30"/>
      <c r="V437" s="30"/>
      <c r="W437" s="30"/>
    </row>
    <row r="438" spans="2:23" s="14" customFormat="1" x14ac:dyDescent="0.25">
      <c r="B438" s="76"/>
      <c r="Q438" s="30"/>
      <c r="R438" s="31"/>
      <c r="S438" s="30"/>
      <c r="T438" s="30"/>
      <c r="U438" s="30"/>
      <c r="V438" s="30"/>
      <c r="W438" s="30"/>
    </row>
    <row r="439" spans="2:23" s="14" customFormat="1" x14ac:dyDescent="0.25">
      <c r="B439" s="76"/>
      <c r="Q439" s="30"/>
      <c r="R439" s="31"/>
      <c r="S439" s="30"/>
      <c r="T439" s="30"/>
      <c r="U439" s="30"/>
      <c r="V439" s="30"/>
      <c r="W439" s="30"/>
    </row>
    <row r="440" spans="2:23" s="14" customFormat="1" x14ac:dyDescent="0.25">
      <c r="B440" s="76"/>
      <c r="Q440" s="30"/>
      <c r="R440" s="31"/>
      <c r="S440" s="30"/>
      <c r="T440" s="30"/>
      <c r="U440" s="30"/>
      <c r="V440" s="30"/>
      <c r="W440" s="30"/>
    </row>
    <row r="441" spans="2:23" s="14" customFormat="1" x14ac:dyDescent="0.25">
      <c r="B441" s="76"/>
      <c r="Q441" s="30"/>
      <c r="R441" s="31"/>
      <c r="S441" s="30"/>
      <c r="T441" s="30"/>
      <c r="U441" s="30"/>
      <c r="V441" s="30"/>
      <c r="W441" s="30"/>
    </row>
    <row r="442" spans="2:23" s="14" customFormat="1" x14ac:dyDescent="0.25">
      <c r="B442" s="76"/>
      <c r="Q442" s="30"/>
      <c r="R442" s="31"/>
      <c r="S442" s="30"/>
      <c r="T442" s="30"/>
      <c r="U442" s="30"/>
      <c r="V442" s="30"/>
      <c r="W442" s="30"/>
    </row>
    <row r="443" spans="2:23" s="14" customFormat="1" x14ac:dyDescent="0.25">
      <c r="B443" s="76"/>
      <c r="Q443" s="30"/>
      <c r="R443" s="31"/>
      <c r="S443" s="30"/>
      <c r="T443" s="30"/>
      <c r="U443" s="30"/>
      <c r="V443" s="30"/>
      <c r="W443" s="30"/>
    </row>
    <row r="444" spans="2:23" s="14" customFormat="1" x14ac:dyDescent="0.25">
      <c r="B444" s="76"/>
      <c r="Q444" s="30"/>
      <c r="R444" s="31"/>
      <c r="S444" s="30"/>
      <c r="T444" s="30"/>
      <c r="U444" s="30"/>
      <c r="V444" s="30"/>
      <c r="W444" s="30"/>
    </row>
    <row r="445" spans="2:23" s="14" customFormat="1" x14ac:dyDescent="0.25">
      <c r="B445" s="76"/>
      <c r="Q445" s="30"/>
      <c r="R445" s="31"/>
      <c r="S445" s="30"/>
      <c r="T445" s="30"/>
      <c r="U445" s="30"/>
      <c r="V445" s="30"/>
      <c r="W445" s="30"/>
    </row>
    <row r="446" spans="2:23" s="14" customFormat="1" x14ac:dyDescent="0.25">
      <c r="B446" s="76"/>
      <c r="Q446" s="30"/>
      <c r="R446" s="31"/>
      <c r="S446" s="30"/>
      <c r="T446" s="30"/>
      <c r="U446" s="30"/>
      <c r="V446" s="30"/>
      <c r="W446" s="30"/>
    </row>
    <row r="447" spans="2:23" s="14" customFormat="1" x14ac:dyDescent="0.25">
      <c r="B447" s="76"/>
      <c r="Q447" s="30"/>
      <c r="R447" s="31"/>
      <c r="S447" s="30"/>
      <c r="T447" s="30"/>
      <c r="U447" s="30"/>
      <c r="V447" s="30"/>
      <c r="W447" s="30"/>
    </row>
    <row r="448" spans="2:23" s="14" customFormat="1" x14ac:dyDescent="0.25">
      <c r="B448" s="76"/>
      <c r="Q448" s="30"/>
      <c r="R448" s="31"/>
      <c r="S448" s="30"/>
      <c r="T448" s="30"/>
      <c r="U448" s="30"/>
      <c r="V448" s="30"/>
      <c r="W448" s="30"/>
    </row>
    <row r="449" spans="2:23" s="14" customFormat="1" x14ac:dyDescent="0.25">
      <c r="B449" s="76"/>
      <c r="Q449" s="30"/>
      <c r="R449" s="31"/>
      <c r="S449" s="30"/>
      <c r="T449" s="30"/>
      <c r="U449" s="30"/>
      <c r="V449" s="30"/>
      <c r="W449" s="30"/>
    </row>
    <row r="450" spans="2:23" s="14" customFormat="1" x14ac:dyDescent="0.25">
      <c r="B450" s="76"/>
      <c r="Q450" s="30"/>
      <c r="R450" s="31"/>
      <c r="S450" s="30"/>
      <c r="T450" s="30"/>
      <c r="U450" s="30"/>
      <c r="V450" s="30"/>
      <c r="W450" s="30"/>
    </row>
    <row r="451" spans="2:23" s="14" customFormat="1" x14ac:dyDescent="0.25">
      <c r="B451" s="76"/>
      <c r="Q451" s="30"/>
      <c r="R451" s="31"/>
      <c r="S451" s="30"/>
      <c r="T451" s="30"/>
      <c r="U451" s="30"/>
      <c r="V451" s="30"/>
      <c r="W451" s="30"/>
    </row>
    <row r="452" spans="2:23" s="14" customFormat="1" x14ac:dyDescent="0.25">
      <c r="B452" s="76"/>
      <c r="Q452" s="30"/>
      <c r="R452" s="31"/>
      <c r="S452" s="30"/>
      <c r="T452" s="30"/>
      <c r="U452" s="30"/>
      <c r="V452" s="30"/>
      <c r="W452" s="30"/>
    </row>
    <row r="453" spans="2:23" s="14" customFormat="1" x14ac:dyDescent="0.25">
      <c r="B453" s="76"/>
      <c r="Q453" s="30"/>
      <c r="R453" s="31"/>
      <c r="S453" s="30"/>
      <c r="T453" s="30"/>
      <c r="U453" s="30"/>
      <c r="V453" s="30"/>
      <c r="W453" s="30"/>
    </row>
    <row r="454" spans="2:23" s="14" customFormat="1" x14ac:dyDescent="0.25">
      <c r="B454" s="76"/>
      <c r="Q454" s="30"/>
      <c r="R454" s="31"/>
      <c r="S454" s="30"/>
      <c r="T454" s="30"/>
      <c r="U454" s="30"/>
      <c r="V454" s="30"/>
      <c r="W454" s="30"/>
    </row>
    <row r="455" spans="2:23" s="14" customFormat="1" x14ac:dyDescent="0.25">
      <c r="B455" s="76"/>
      <c r="Q455" s="30"/>
      <c r="R455" s="31"/>
      <c r="S455" s="30"/>
      <c r="T455" s="30"/>
      <c r="U455" s="30"/>
      <c r="V455" s="30"/>
      <c r="W455" s="30"/>
    </row>
    <row r="456" spans="2:23" s="14" customFormat="1" x14ac:dyDescent="0.25">
      <c r="B456" s="76"/>
      <c r="Q456" s="30"/>
      <c r="R456" s="31"/>
      <c r="S456" s="30"/>
      <c r="T456" s="30"/>
      <c r="U456" s="30"/>
      <c r="V456" s="30"/>
      <c r="W456" s="30"/>
    </row>
    <row r="457" spans="2:23" s="14" customFormat="1" x14ac:dyDescent="0.25">
      <c r="B457" s="76"/>
      <c r="Q457" s="30"/>
      <c r="R457" s="31"/>
      <c r="S457" s="30"/>
      <c r="T457" s="30"/>
      <c r="U457" s="30"/>
      <c r="V457" s="30"/>
      <c r="W457" s="30"/>
    </row>
    <row r="458" spans="2:23" s="14" customFormat="1" x14ac:dyDescent="0.25">
      <c r="B458" s="76"/>
      <c r="Q458" s="30"/>
      <c r="R458" s="31"/>
      <c r="S458" s="30"/>
      <c r="T458" s="30"/>
      <c r="U458" s="30"/>
      <c r="V458" s="30"/>
      <c r="W458" s="30"/>
    </row>
    <row r="459" spans="2:23" s="14" customFormat="1" x14ac:dyDescent="0.25">
      <c r="B459" s="76"/>
      <c r="Q459" s="30"/>
      <c r="R459" s="31"/>
      <c r="S459" s="30"/>
      <c r="T459" s="30"/>
      <c r="U459" s="30"/>
      <c r="V459" s="30"/>
      <c r="W459" s="30"/>
    </row>
    <row r="460" spans="2:23" s="14" customFormat="1" x14ac:dyDescent="0.25">
      <c r="B460" s="76"/>
      <c r="Q460" s="30"/>
      <c r="R460" s="31"/>
      <c r="S460" s="30"/>
      <c r="T460" s="30"/>
      <c r="U460" s="30"/>
      <c r="V460" s="30"/>
      <c r="W460" s="30"/>
    </row>
    <row r="461" spans="2:23" s="14" customFormat="1" x14ac:dyDescent="0.25">
      <c r="B461" s="76"/>
      <c r="Q461" s="30"/>
      <c r="R461" s="31"/>
      <c r="S461" s="30"/>
      <c r="T461" s="30"/>
      <c r="U461" s="30"/>
      <c r="V461" s="30"/>
      <c r="W461" s="30"/>
    </row>
    <row r="462" spans="2:23" s="14" customFormat="1" x14ac:dyDescent="0.25">
      <c r="B462" s="76"/>
      <c r="Q462" s="30"/>
      <c r="R462" s="31"/>
      <c r="S462" s="30"/>
      <c r="T462" s="30"/>
      <c r="U462" s="30"/>
      <c r="V462" s="30"/>
      <c r="W462" s="30"/>
    </row>
    <row r="463" spans="2:23" s="14" customFormat="1" x14ac:dyDescent="0.25">
      <c r="B463" s="76"/>
      <c r="Q463" s="30"/>
      <c r="R463" s="31"/>
      <c r="S463" s="30"/>
      <c r="T463" s="30"/>
      <c r="U463" s="30"/>
      <c r="V463" s="30"/>
      <c r="W463" s="30"/>
    </row>
    <row r="464" spans="2:23" s="14" customFormat="1" x14ac:dyDescent="0.25">
      <c r="B464" s="76"/>
      <c r="Q464" s="30"/>
      <c r="R464" s="31"/>
      <c r="S464" s="30"/>
      <c r="T464" s="30"/>
      <c r="U464" s="30"/>
      <c r="V464" s="30"/>
      <c r="W464" s="30"/>
    </row>
    <row r="465" spans="2:23" s="14" customFormat="1" x14ac:dyDescent="0.25">
      <c r="B465" s="76"/>
      <c r="Q465" s="30"/>
      <c r="R465" s="31"/>
      <c r="S465" s="30"/>
      <c r="T465" s="30"/>
      <c r="U465" s="30"/>
      <c r="V465" s="30"/>
      <c r="W465" s="30"/>
    </row>
    <row r="466" spans="2:23" s="14" customFormat="1" x14ac:dyDescent="0.25">
      <c r="B466" s="76"/>
      <c r="Q466" s="30"/>
      <c r="R466" s="31"/>
      <c r="S466" s="30"/>
      <c r="T466" s="30"/>
      <c r="U466" s="30"/>
      <c r="V466" s="30"/>
      <c r="W466" s="30"/>
    </row>
    <row r="467" spans="2:23" s="14" customFormat="1" x14ac:dyDescent="0.25">
      <c r="B467" s="76"/>
      <c r="Q467" s="30"/>
      <c r="R467" s="31"/>
      <c r="S467" s="30"/>
      <c r="T467" s="30"/>
      <c r="U467" s="30"/>
      <c r="V467" s="30"/>
      <c r="W467" s="30"/>
    </row>
    <row r="468" spans="2:23" s="14" customFormat="1" x14ac:dyDescent="0.25">
      <c r="B468" s="76"/>
      <c r="Q468" s="30"/>
      <c r="R468" s="31"/>
      <c r="S468" s="30"/>
      <c r="T468" s="30"/>
      <c r="U468" s="30"/>
      <c r="V468" s="30"/>
      <c r="W468" s="30"/>
    </row>
    <row r="469" spans="2:23" s="14" customFormat="1" x14ac:dyDescent="0.25">
      <c r="B469" s="76"/>
      <c r="Q469" s="30"/>
      <c r="R469" s="31"/>
      <c r="S469" s="30"/>
      <c r="T469" s="30"/>
      <c r="U469" s="30"/>
      <c r="V469" s="30"/>
      <c r="W469" s="30"/>
    </row>
    <row r="470" spans="2:23" s="14" customFormat="1" x14ac:dyDescent="0.25">
      <c r="B470" s="76"/>
      <c r="Q470" s="30"/>
      <c r="R470" s="31"/>
      <c r="S470" s="30"/>
      <c r="T470" s="30"/>
      <c r="U470" s="30"/>
      <c r="V470" s="30"/>
      <c r="W470" s="30"/>
    </row>
    <row r="471" spans="2:23" s="14" customFormat="1" x14ac:dyDescent="0.25">
      <c r="B471" s="76"/>
      <c r="Q471" s="30"/>
      <c r="R471" s="31"/>
      <c r="S471" s="30"/>
      <c r="T471" s="30"/>
      <c r="U471" s="30"/>
      <c r="V471" s="30"/>
      <c r="W471" s="30"/>
    </row>
    <row r="472" spans="2:23" s="14" customFormat="1" x14ac:dyDescent="0.25">
      <c r="B472" s="76"/>
      <c r="Q472" s="30"/>
      <c r="R472" s="31"/>
      <c r="S472" s="30"/>
      <c r="T472" s="30"/>
      <c r="U472" s="30"/>
      <c r="V472" s="30"/>
      <c r="W472" s="30"/>
    </row>
    <row r="473" spans="2:23" s="14" customFormat="1" x14ac:dyDescent="0.25">
      <c r="B473" s="76"/>
      <c r="Q473" s="30"/>
      <c r="R473" s="31"/>
      <c r="S473" s="30"/>
      <c r="T473" s="30"/>
      <c r="U473" s="30"/>
      <c r="V473" s="30"/>
      <c r="W473" s="30"/>
    </row>
    <row r="474" spans="2:23" s="14" customFormat="1" x14ac:dyDescent="0.25">
      <c r="B474" s="76"/>
      <c r="Q474" s="30"/>
      <c r="R474" s="31"/>
      <c r="S474" s="30"/>
      <c r="T474" s="30"/>
      <c r="U474" s="30"/>
      <c r="V474" s="30"/>
      <c r="W474" s="30"/>
    </row>
    <row r="475" spans="2:23" s="14" customFormat="1" x14ac:dyDescent="0.25">
      <c r="B475" s="76"/>
      <c r="Q475" s="30"/>
      <c r="R475" s="31"/>
      <c r="S475" s="30"/>
      <c r="T475" s="30"/>
      <c r="U475" s="30"/>
      <c r="V475" s="30"/>
      <c r="W475" s="30"/>
    </row>
    <row r="476" spans="2:23" s="14" customFormat="1" x14ac:dyDescent="0.25">
      <c r="B476" s="76"/>
      <c r="Q476" s="30"/>
      <c r="R476" s="31"/>
      <c r="S476" s="30"/>
      <c r="T476" s="30"/>
      <c r="U476" s="30"/>
      <c r="V476" s="30"/>
      <c r="W476" s="30"/>
    </row>
    <row r="477" spans="2:23" s="14" customFormat="1" x14ac:dyDescent="0.25">
      <c r="B477" s="76"/>
      <c r="Q477" s="30"/>
      <c r="R477" s="31"/>
      <c r="S477" s="30"/>
      <c r="T477" s="30"/>
      <c r="U477" s="30"/>
      <c r="V477" s="30"/>
      <c r="W477" s="30"/>
    </row>
    <row r="478" spans="2:23" s="14" customFormat="1" x14ac:dyDescent="0.25">
      <c r="B478" s="76"/>
      <c r="Q478" s="30"/>
      <c r="R478" s="31"/>
      <c r="S478" s="30"/>
      <c r="T478" s="30"/>
      <c r="U478" s="30"/>
      <c r="V478" s="30"/>
      <c r="W478" s="30"/>
    </row>
    <row r="479" spans="2:23" s="14" customFormat="1" x14ac:dyDescent="0.25">
      <c r="B479" s="76"/>
      <c r="Q479" s="30"/>
      <c r="R479" s="31"/>
      <c r="S479" s="30"/>
      <c r="T479" s="30"/>
      <c r="U479" s="30"/>
      <c r="V479" s="30"/>
      <c r="W479" s="30"/>
    </row>
    <row r="480" spans="2:23" s="14" customFormat="1" x14ac:dyDescent="0.25">
      <c r="B480" s="76"/>
      <c r="Q480" s="30"/>
      <c r="R480" s="31"/>
      <c r="S480" s="30"/>
      <c r="T480" s="30"/>
      <c r="U480" s="30"/>
      <c r="V480" s="30"/>
      <c r="W480" s="30"/>
    </row>
    <row r="481" spans="2:23" s="14" customFormat="1" x14ac:dyDescent="0.25">
      <c r="B481" s="76"/>
      <c r="Q481" s="30"/>
      <c r="R481" s="31"/>
      <c r="S481" s="30"/>
      <c r="T481" s="30"/>
      <c r="U481" s="30"/>
      <c r="V481" s="30"/>
      <c r="W481" s="30"/>
    </row>
    <row r="482" spans="2:23" s="14" customFormat="1" x14ac:dyDescent="0.25">
      <c r="B482" s="76"/>
      <c r="Q482" s="30"/>
      <c r="R482" s="31"/>
      <c r="S482" s="30"/>
      <c r="T482" s="30"/>
      <c r="U482" s="30"/>
      <c r="V482" s="30"/>
      <c r="W482" s="30"/>
    </row>
    <row r="483" spans="2:23" s="14" customFormat="1" x14ac:dyDescent="0.25">
      <c r="B483" s="76"/>
      <c r="Q483" s="30"/>
      <c r="R483" s="31"/>
      <c r="S483" s="30"/>
      <c r="T483" s="30"/>
      <c r="U483" s="30"/>
      <c r="V483" s="30"/>
      <c r="W483" s="30"/>
    </row>
    <row r="484" spans="2:23" s="14" customFormat="1" x14ac:dyDescent="0.25">
      <c r="B484" s="76"/>
      <c r="Q484" s="30"/>
      <c r="R484" s="31"/>
      <c r="S484" s="30"/>
      <c r="T484" s="30"/>
      <c r="U484" s="30"/>
      <c r="V484" s="30"/>
      <c r="W484" s="30"/>
    </row>
    <row r="485" spans="2:23" s="14" customFormat="1" x14ac:dyDescent="0.25">
      <c r="B485" s="76"/>
      <c r="Q485" s="30"/>
      <c r="R485" s="31"/>
      <c r="S485" s="30"/>
      <c r="T485" s="30"/>
      <c r="U485" s="30"/>
      <c r="V485" s="30"/>
      <c r="W485" s="30"/>
    </row>
    <row r="486" spans="2:23" s="14" customFormat="1" x14ac:dyDescent="0.25">
      <c r="B486" s="76"/>
      <c r="Q486" s="30"/>
      <c r="R486" s="31"/>
      <c r="S486" s="30"/>
      <c r="T486" s="30"/>
      <c r="U486" s="30"/>
      <c r="V486" s="30"/>
      <c r="W486" s="30"/>
    </row>
    <row r="487" spans="2:23" s="14" customFormat="1" x14ac:dyDescent="0.25">
      <c r="B487" s="76"/>
      <c r="Q487" s="30"/>
      <c r="R487" s="31"/>
      <c r="S487" s="30"/>
      <c r="T487" s="30"/>
      <c r="U487" s="30"/>
      <c r="V487" s="30"/>
      <c r="W487" s="30"/>
    </row>
    <row r="488" spans="2:23" s="14" customFormat="1" x14ac:dyDescent="0.25">
      <c r="B488" s="76"/>
      <c r="Q488" s="30"/>
      <c r="R488" s="31"/>
      <c r="S488" s="30"/>
      <c r="T488" s="30"/>
      <c r="U488" s="30"/>
      <c r="V488" s="30"/>
      <c r="W488" s="30"/>
    </row>
    <row r="489" spans="2:23" s="14" customFormat="1" x14ac:dyDescent="0.25">
      <c r="B489" s="76"/>
      <c r="Q489" s="30"/>
      <c r="R489" s="31"/>
      <c r="S489" s="30"/>
      <c r="T489" s="30"/>
      <c r="U489" s="30"/>
      <c r="V489" s="30"/>
      <c r="W489" s="30"/>
    </row>
    <row r="490" spans="2:23" s="14" customFormat="1" x14ac:dyDescent="0.25">
      <c r="B490" s="76"/>
      <c r="Q490" s="30"/>
      <c r="R490" s="31"/>
      <c r="S490" s="30"/>
      <c r="T490" s="30"/>
      <c r="U490" s="30"/>
      <c r="V490" s="30"/>
      <c r="W490" s="30"/>
    </row>
    <row r="491" spans="2:23" s="14" customFormat="1" x14ac:dyDescent="0.25">
      <c r="B491" s="76"/>
      <c r="Q491" s="30"/>
      <c r="R491" s="31"/>
      <c r="S491" s="30"/>
      <c r="T491" s="30"/>
      <c r="U491" s="30"/>
      <c r="V491" s="30"/>
      <c r="W491" s="30"/>
    </row>
    <row r="492" spans="2:23" s="14" customFormat="1" x14ac:dyDescent="0.25">
      <c r="B492" s="76"/>
      <c r="Q492" s="30"/>
      <c r="R492" s="31"/>
      <c r="S492" s="30"/>
      <c r="T492" s="30"/>
      <c r="U492" s="30"/>
      <c r="V492" s="30"/>
      <c r="W492" s="30"/>
    </row>
    <row r="493" spans="2:23" s="14" customFormat="1" x14ac:dyDescent="0.25">
      <c r="B493" s="76"/>
      <c r="Q493" s="30"/>
      <c r="R493" s="31"/>
      <c r="S493" s="30"/>
      <c r="T493" s="30"/>
      <c r="U493" s="30"/>
      <c r="V493" s="30"/>
      <c r="W493" s="30"/>
    </row>
    <row r="494" spans="2:23" s="14" customFormat="1" x14ac:dyDescent="0.25">
      <c r="B494" s="76"/>
      <c r="Q494" s="30"/>
      <c r="R494" s="31"/>
      <c r="S494" s="30"/>
      <c r="T494" s="30"/>
      <c r="U494" s="30"/>
      <c r="V494" s="30"/>
      <c r="W494" s="30"/>
    </row>
    <row r="495" spans="2:23" s="14" customFormat="1" x14ac:dyDescent="0.25">
      <c r="B495" s="76"/>
      <c r="Q495" s="30"/>
      <c r="R495" s="31"/>
      <c r="S495" s="30"/>
      <c r="T495" s="30"/>
      <c r="U495" s="30"/>
      <c r="V495" s="30"/>
      <c r="W495" s="30"/>
    </row>
    <row r="496" spans="2:23" s="14" customFormat="1" x14ac:dyDescent="0.25">
      <c r="B496" s="76"/>
      <c r="Q496" s="30"/>
      <c r="R496" s="31"/>
      <c r="S496" s="30"/>
      <c r="T496" s="30"/>
      <c r="U496" s="30"/>
      <c r="V496" s="30"/>
      <c r="W496" s="30"/>
    </row>
    <row r="497" spans="2:23" s="14" customFormat="1" x14ac:dyDescent="0.25">
      <c r="B497" s="76"/>
      <c r="Q497" s="30"/>
      <c r="R497" s="31"/>
      <c r="S497" s="30"/>
      <c r="T497" s="30"/>
      <c r="U497" s="30"/>
      <c r="V497" s="30"/>
      <c r="W497" s="30"/>
    </row>
    <row r="498" spans="2:23" s="14" customFormat="1" x14ac:dyDescent="0.25">
      <c r="B498" s="76"/>
      <c r="Q498" s="30"/>
      <c r="R498" s="31"/>
      <c r="S498" s="30"/>
      <c r="T498" s="30"/>
      <c r="U498" s="30"/>
      <c r="V498" s="30"/>
      <c r="W498" s="30"/>
    </row>
    <row r="499" spans="2:23" s="14" customFormat="1" x14ac:dyDescent="0.25">
      <c r="B499" s="76"/>
      <c r="Q499" s="30"/>
      <c r="R499" s="31"/>
      <c r="S499" s="30"/>
      <c r="T499" s="30"/>
      <c r="U499" s="30"/>
      <c r="V499" s="30"/>
      <c r="W499" s="30"/>
    </row>
    <row r="500" spans="2:23" s="14" customFormat="1" x14ac:dyDescent="0.25">
      <c r="B500" s="76"/>
      <c r="Q500" s="30"/>
      <c r="R500" s="31"/>
      <c r="S500" s="30"/>
      <c r="T500" s="30"/>
      <c r="U500" s="30"/>
      <c r="V500" s="30"/>
      <c r="W500" s="30"/>
    </row>
    <row r="501" spans="2:23" s="14" customFormat="1" x14ac:dyDescent="0.25">
      <c r="B501" s="76"/>
      <c r="Q501" s="30"/>
      <c r="R501" s="31"/>
      <c r="S501" s="30"/>
      <c r="T501" s="30"/>
      <c r="U501" s="30"/>
      <c r="V501" s="30"/>
      <c r="W501" s="30"/>
    </row>
    <row r="502" spans="2:23" s="14" customFormat="1" x14ac:dyDescent="0.25">
      <c r="B502" s="76"/>
      <c r="Q502" s="30"/>
      <c r="R502" s="31"/>
      <c r="S502" s="30"/>
      <c r="T502" s="30"/>
      <c r="U502" s="30"/>
      <c r="V502" s="30"/>
      <c r="W502" s="30"/>
    </row>
    <row r="503" spans="2:23" s="14" customFormat="1" x14ac:dyDescent="0.25">
      <c r="B503" s="76"/>
      <c r="Q503" s="30"/>
      <c r="R503" s="31"/>
      <c r="S503" s="30"/>
      <c r="T503" s="30"/>
      <c r="U503" s="30"/>
      <c r="V503" s="30"/>
      <c r="W503" s="30"/>
    </row>
    <row r="504" spans="2:23" s="14" customFormat="1" x14ac:dyDescent="0.25">
      <c r="B504" s="76"/>
      <c r="Q504" s="30"/>
      <c r="R504" s="31"/>
      <c r="S504" s="30"/>
      <c r="T504" s="30"/>
      <c r="U504" s="30"/>
      <c r="V504" s="30"/>
      <c r="W504" s="30"/>
    </row>
    <row r="505" spans="2:23" s="14" customFormat="1" x14ac:dyDescent="0.25">
      <c r="B505" s="76"/>
      <c r="Q505" s="30"/>
      <c r="R505" s="31"/>
      <c r="S505" s="30"/>
      <c r="T505" s="30"/>
      <c r="U505" s="30"/>
      <c r="V505" s="30"/>
      <c r="W505" s="30"/>
    </row>
    <row r="506" spans="2:23" s="14" customFormat="1" x14ac:dyDescent="0.25">
      <c r="B506" s="76"/>
      <c r="Q506" s="30"/>
      <c r="R506" s="31"/>
      <c r="S506" s="30"/>
      <c r="T506" s="30"/>
      <c r="U506" s="30"/>
      <c r="V506" s="30"/>
      <c r="W506" s="30"/>
    </row>
    <row r="507" spans="2:23" s="14" customFormat="1" x14ac:dyDescent="0.25">
      <c r="B507" s="76"/>
      <c r="Q507" s="30"/>
      <c r="R507" s="31"/>
      <c r="S507" s="30"/>
      <c r="T507" s="30"/>
      <c r="U507" s="30"/>
      <c r="V507" s="30"/>
      <c r="W507" s="30"/>
    </row>
    <row r="508" spans="2:23" s="14" customFormat="1" x14ac:dyDescent="0.25">
      <c r="B508" s="76"/>
      <c r="Q508" s="30"/>
      <c r="R508" s="31"/>
      <c r="S508" s="30"/>
      <c r="T508" s="30"/>
      <c r="U508" s="30"/>
      <c r="V508" s="30"/>
      <c r="W508" s="30"/>
    </row>
    <row r="509" spans="2:23" s="14" customFormat="1" x14ac:dyDescent="0.25">
      <c r="B509" s="76"/>
      <c r="Q509" s="30"/>
      <c r="R509" s="31"/>
      <c r="S509" s="30"/>
      <c r="T509" s="30"/>
      <c r="U509" s="30"/>
      <c r="V509" s="30"/>
      <c r="W509" s="30"/>
    </row>
    <row r="510" spans="2:23" s="14" customFormat="1" x14ac:dyDescent="0.25">
      <c r="B510" s="76"/>
      <c r="Q510" s="30"/>
      <c r="R510" s="31"/>
      <c r="S510" s="30"/>
      <c r="T510" s="30"/>
      <c r="U510" s="30"/>
      <c r="V510" s="30"/>
      <c r="W510" s="30"/>
    </row>
    <row r="511" spans="2:23" s="14" customFormat="1" x14ac:dyDescent="0.25">
      <c r="B511" s="76"/>
      <c r="Q511" s="30"/>
      <c r="R511" s="31"/>
      <c r="S511" s="30"/>
      <c r="T511" s="30"/>
      <c r="U511" s="30"/>
      <c r="V511" s="30"/>
      <c r="W511" s="30"/>
    </row>
    <row r="512" spans="2:23" s="14" customFormat="1" x14ac:dyDescent="0.25">
      <c r="B512" s="76"/>
      <c r="Q512" s="30"/>
      <c r="R512" s="31"/>
      <c r="S512" s="30"/>
      <c r="T512" s="30"/>
      <c r="U512" s="30"/>
      <c r="V512" s="30"/>
      <c r="W512" s="30"/>
    </row>
    <row r="513" spans="2:23" s="14" customFormat="1" x14ac:dyDescent="0.25">
      <c r="B513" s="76"/>
      <c r="Q513" s="30"/>
      <c r="R513" s="31"/>
      <c r="S513" s="30"/>
      <c r="T513" s="30"/>
      <c r="U513" s="30"/>
      <c r="V513" s="30"/>
      <c r="W513" s="30"/>
    </row>
    <row r="514" spans="2:23" s="14" customFormat="1" x14ac:dyDescent="0.25">
      <c r="B514" s="76"/>
      <c r="Q514" s="30"/>
      <c r="R514" s="31"/>
      <c r="S514" s="30"/>
      <c r="T514" s="30"/>
      <c r="U514" s="30"/>
      <c r="V514" s="30"/>
      <c r="W514" s="30"/>
    </row>
    <row r="515" spans="2:23" s="14" customFormat="1" x14ac:dyDescent="0.25">
      <c r="B515" s="76"/>
      <c r="Q515" s="30"/>
      <c r="R515" s="31"/>
      <c r="S515" s="30"/>
      <c r="T515" s="30"/>
      <c r="U515" s="30"/>
      <c r="V515" s="30"/>
      <c r="W515" s="30"/>
    </row>
    <row r="516" spans="2:23" s="14" customFormat="1" x14ac:dyDescent="0.25">
      <c r="B516" s="76"/>
      <c r="Q516" s="30"/>
      <c r="R516" s="31"/>
      <c r="S516" s="30"/>
      <c r="T516" s="30"/>
      <c r="U516" s="30"/>
      <c r="V516" s="30"/>
      <c r="W516" s="30"/>
    </row>
    <row r="517" spans="2:23" s="14" customFormat="1" x14ac:dyDescent="0.25">
      <c r="B517" s="76"/>
      <c r="Q517" s="30"/>
      <c r="R517" s="31"/>
      <c r="S517" s="30"/>
      <c r="T517" s="30"/>
      <c r="U517" s="30"/>
      <c r="V517" s="30"/>
      <c r="W517" s="30"/>
    </row>
    <row r="518" spans="2:23" s="14" customFormat="1" x14ac:dyDescent="0.25">
      <c r="B518" s="76"/>
      <c r="Q518" s="30"/>
      <c r="R518" s="31"/>
      <c r="S518" s="30"/>
      <c r="T518" s="30"/>
      <c r="U518" s="30"/>
      <c r="V518" s="30"/>
      <c r="W518" s="30"/>
    </row>
    <row r="519" spans="2:23" s="14" customFormat="1" x14ac:dyDescent="0.25">
      <c r="B519" s="76"/>
      <c r="Q519" s="30"/>
      <c r="R519" s="31"/>
      <c r="S519" s="30"/>
      <c r="T519" s="30"/>
      <c r="U519" s="30"/>
      <c r="V519" s="30"/>
      <c r="W519" s="30"/>
    </row>
    <row r="520" spans="2:23" s="14" customFormat="1" x14ac:dyDescent="0.25">
      <c r="B520" s="76"/>
      <c r="Q520" s="30"/>
      <c r="R520" s="31"/>
      <c r="S520" s="30"/>
      <c r="T520" s="30"/>
      <c r="U520" s="30"/>
      <c r="V520" s="30"/>
      <c r="W520" s="30"/>
    </row>
    <row r="521" spans="2:23" s="14" customFormat="1" x14ac:dyDescent="0.25">
      <c r="B521" s="76"/>
      <c r="Q521" s="30"/>
      <c r="R521" s="31"/>
      <c r="S521" s="30"/>
      <c r="T521" s="30"/>
      <c r="U521" s="30"/>
      <c r="V521" s="30"/>
      <c r="W521" s="30"/>
    </row>
    <row r="522" spans="2:23" s="14" customFormat="1" x14ac:dyDescent="0.25">
      <c r="B522" s="76"/>
      <c r="Q522" s="30"/>
      <c r="R522" s="31"/>
      <c r="S522" s="30"/>
      <c r="T522" s="30"/>
      <c r="U522" s="30"/>
      <c r="V522" s="30"/>
      <c r="W522" s="30"/>
    </row>
    <row r="523" spans="2:23" s="14" customFormat="1" x14ac:dyDescent="0.25">
      <c r="B523" s="76"/>
      <c r="Q523" s="30"/>
      <c r="R523" s="31"/>
      <c r="S523" s="30"/>
      <c r="T523" s="30"/>
      <c r="U523" s="30"/>
      <c r="V523" s="30"/>
      <c r="W523" s="30"/>
    </row>
    <row r="524" spans="2:23" s="14" customFormat="1" x14ac:dyDescent="0.25">
      <c r="B524" s="76"/>
      <c r="Q524" s="30"/>
      <c r="R524" s="31"/>
      <c r="S524" s="30"/>
      <c r="T524" s="30"/>
      <c r="U524" s="30"/>
      <c r="V524" s="30"/>
      <c r="W524" s="30"/>
    </row>
    <row r="525" spans="2:23" s="14" customFormat="1" x14ac:dyDescent="0.25">
      <c r="B525" s="76"/>
      <c r="Q525" s="30"/>
      <c r="R525" s="31"/>
      <c r="S525" s="30"/>
      <c r="T525" s="30"/>
      <c r="U525" s="30"/>
      <c r="V525" s="30"/>
      <c r="W525" s="30"/>
    </row>
    <row r="526" spans="2:23" s="14" customFormat="1" x14ac:dyDescent="0.25">
      <c r="B526" s="76"/>
      <c r="Q526" s="30"/>
      <c r="R526" s="31"/>
      <c r="S526" s="30"/>
      <c r="T526" s="30"/>
      <c r="U526" s="30"/>
      <c r="V526" s="30"/>
      <c r="W526" s="30"/>
    </row>
    <row r="527" spans="2:23" s="14" customFormat="1" x14ac:dyDescent="0.25">
      <c r="B527" s="76"/>
      <c r="Q527" s="30"/>
      <c r="R527" s="31"/>
      <c r="S527" s="30"/>
      <c r="T527" s="30"/>
      <c r="U527" s="30"/>
      <c r="V527" s="30"/>
      <c r="W527" s="30"/>
    </row>
    <row r="528" spans="2:23" s="14" customFormat="1" x14ac:dyDescent="0.25">
      <c r="B528" s="76"/>
      <c r="Q528" s="30"/>
      <c r="R528" s="31"/>
      <c r="S528" s="30"/>
      <c r="T528" s="30"/>
      <c r="U528" s="30"/>
      <c r="V528" s="30"/>
      <c r="W528" s="30"/>
    </row>
    <row r="529" spans="2:23" s="14" customFormat="1" x14ac:dyDescent="0.25">
      <c r="B529" s="76"/>
      <c r="Q529" s="30"/>
      <c r="R529" s="31"/>
      <c r="S529" s="30"/>
      <c r="T529" s="30"/>
      <c r="U529" s="30"/>
      <c r="V529" s="30"/>
      <c r="W529" s="30"/>
    </row>
    <row r="530" spans="2:23" s="14" customFormat="1" x14ac:dyDescent="0.25">
      <c r="B530" s="76"/>
      <c r="Q530" s="30"/>
      <c r="R530" s="31"/>
      <c r="S530" s="30"/>
      <c r="T530" s="30"/>
      <c r="U530" s="30"/>
      <c r="V530" s="30"/>
      <c r="W530" s="30"/>
    </row>
    <row r="531" spans="2:23" s="14" customFormat="1" x14ac:dyDescent="0.25">
      <c r="B531" s="76"/>
      <c r="Q531" s="30"/>
      <c r="R531" s="31"/>
      <c r="S531" s="30"/>
      <c r="T531" s="30"/>
      <c r="U531" s="30"/>
      <c r="V531" s="30"/>
      <c r="W531" s="30"/>
    </row>
    <row r="532" spans="2:23" s="14" customFormat="1" x14ac:dyDescent="0.25">
      <c r="B532" s="76"/>
      <c r="Q532" s="30"/>
      <c r="R532" s="31"/>
      <c r="S532" s="30"/>
      <c r="T532" s="30"/>
      <c r="U532" s="30"/>
      <c r="V532" s="30"/>
      <c r="W532" s="30"/>
    </row>
    <row r="533" spans="2:23" s="14" customFormat="1" x14ac:dyDescent="0.25">
      <c r="B533" s="76"/>
      <c r="Q533" s="30"/>
      <c r="R533" s="31"/>
      <c r="S533" s="30"/>
      <c r="T533" s="30"/>
      <c r="U533" s="30"/>
      <c r="V533" s="30"/>
      <c r="W533" s="30"/>
    </row>
    <row r="534" spans="2:23" s="14" customFormat="1" x14ac:dyDescent="0.25">
      <c r="B534" s="76"/>
      <c r="Q534" s="30"/>
      <c r="R534" s="31"/>
      <c r="S534" s="30"/>
      <c r="T534" s="30"/>
      <c r="U534" s="30"/>
      <c r="V534" s="30"/>
      <c r="W534" s="30"/>
    </row>
    <row r="535" spans="2:23" s="14" customFormat="1" x14ac:dyDescent="0.25">
      <c r="B535" s="76"/>
      <c r="Q535" s="30"/>
      <c r="R535" s="31"/>
      <c r="S535" s="30"/>
      <c r="T535" s="30"/>
      <c r="U535" s="30"/>
      <c r="V535" s="30"/>
      <c r="W535" s="30"/>
    </row>
    <row r="536" spans="2:23" s="14" customFormat="1" x14ac:dyDescent="0.25">
      <c r="B536" s="76"/>
      <c r="Q536" s="30"/>
      <c r="R536" s="31"/>
      <c r="S536" s="30"/>
      <c r="T536" s="30"/>
      <c r="U536" s="30"/>
      <c r="V536" s="30"/>
      <c r="W536" s="30"/>
    </row>
    <row r="537" spans="2:23" s="14" customFormat="1" x14ac:dyDescent="0.25">
      <c r="B537" s="76"/>
      <c r="Q537" s="30"/>
      <c r="R537" s="31"/>
      <c r="S537" s="30"/>
      <c r="T537" s="30"/>
      <c r="U537" s="30"/>
      <c r="V537" s="30"/>
      <c r="W537" s="30"/>
    </row>
    <row r="538" spans="2:23" s="14" customFormat="1" x14ac:dyDescent="0.25">
      <c r="B538" s="76"/>
      <c r="Q538" s="30"/>
      <c r="R538" s="31"/>
      <c r="S538" s="30"/>
      <c r="T538" s="30"/>
      <c r="U538" s="30"/>
      <c r="V538" s="30"/>
      <c r="W538" s="30"/>
    </row>
    <row r="539" spans="2:23" s="14" customFormat="1" x14ac:dyDescent="0.25">
      <c r="B539" s="76"/>
      <c r="Q539" s="30"/>
      <c r="R539" s="31"/>
      <c r="S539" s="30"/>
      <c r="T539" s="30"/>
      <c r="U539" s="30"/>
      <c r="V539" s="30"/>
      <c r="W539" s="30"/>
    </row>
    <row r="540" spans="2:23" s="14" customFormat="1" x14ac:dyDescent="0.25">
      <c r="B540" s="76"/>
      <c r="Q540" s="30"/>
      <c r="R540" s="31"/>
      <c r="S540" s="30"/>
      <c r="T540" s="30"/>
      <c r="U540" s="30"/>
      <c r="V540" s="30"/>
      <c r="W540" s="30"/>
    </row>
    <row r="541" spans="2:23" s="14" customFormat="1" x14ac:dyDescent="0.25">
      <c r="B541" s="76"/>
      <c r="Q541" s="30"/>
      <c r="R541" s="31"/>
      <c r="S541" s="30"/>
      <c r="T541" s="30"/>
      <c r="U541" s="30"/>
      <c r="V541" s="30"/>
      <c r="W541" s="30"/>
    </row>
    <row r="542" spans="2:23" s="14" customFormat="1" x14ac:dyDescent="0.25">
      <c r="B542" s="76"/>
      <c r="Q542" s="30"/>
      <c r="R542" s="31"/>
      <c r="S542" s="30"/>
      <c r="T542" s="30"/>
      <c r="U542" s="30"/>
      <c r="V542" s="30"/>
      <c r="W542" s="30"/>
    </row>
    <row r="543" spans="2:23" s="14" customFormat="1" x14ac:dyDescent="0.25">
      <c r="B543" s="76"/>
      <c r="Q543" s="30"/>
      <c r="R543" s="31"/>
      <c r="S543" s="30"/>
      <c r="T543" s="30"/>
      <c r="U543" s="30"/>
      <c r="V543" s="30"/>
      <c r="W543" s="30"/>
    </row>
    <row r="544" spans="2:23" s="14" customFormat="1" x14ac:dyDescent="0.25">
      <c r="B544" s="76"/>
      <c r="Q544" s="30"/>
      <c r="R544" s="31"/>
      <c r="S544" s="30"/>
      <c r="T544" s="30"/>
      <c r="U544" s="30"/>
      <c r="V544" s="30"/>
      <c r="W544" s="30"/>
    </row>
    <row r="545" spans="2:23" s="14" customFormat="1" x14ac:dyDescent="0.25">
      <c r="B545" s="76"/>
      <c r="Q545" s="30"/>
      <c r="R545" s="31"/>
      <c r="S545" s="30"/>
      <c r="T545" s="30"/>
      <c r="U545" s="30"/>
      <c r="V545" s="30"/>
      <c r="W545" s="30"/>
    </row>
    <row r="546" spans="2:23" s="14" customFormat="1" x14ac:dyDescent="0.25">
      <c r="B546" s="76"/>
      <c r="Q546" s="30"/>
      <c r="R546" s="31"/>
      <c r="S546" s="30"/>
      <c r="T546" s="30"/>
      <c r="U546" s="30"/>
      <c r="V546" s="30"/>
      <c r="W546" s="30"/>
    </row>
    <row r="547" spans="2:23" s="14" customFormat="1" x14ac:dyDescent="0.25">
      <c r="B547" s="76"/>
      <c r="Q547" s="30"/>
      <c r="R547" s="31"/>
      <c r="S547" s="30"/>
      <c r="T547" s="30"/>
      <c r="U547" s="30"/>
      <c r="V547" s="30"/>
      <c r="W547" s="30"/>
    </row>
    <row r="548" spans="2:23" s="14" customFormat="1" x14ac:dyDescent="0.25">
      <c r="B548" s="76"/>
      <c r="Q548" s="30"/>
      <c r="R548" s="31"/>
      <c r="S548" s="30"/>
      <c r="T548" s="30"/>
      <c r="U548" s="30"/>
      <c r="V548" s="30"/>
      <c r="W548" s="30"/>
    </row>
    <row r="549" spans="2:23" s="14" customFormat="1" x14ac:dyDescent="0.25">
      <c r="B549" s="76"/>
      <c r="Q549" s="30"/>
      <c r="R549" s="31"/>
      <c r="S549" s="30"/>
      <c r="T549" s="30"/>
      <c r="U549" s="30"/>
      <c r="V549" s="30"/>
      <c r="W549" s="30"/>
    </row>
    <row r="550" spans="2:23" s="14" customFormat="1" x14ac:dyDescent="0.25">
      <c r="B550" s="76"/>
      <c r="Q550" s="30"/>
      <c r="R550" s="31"/>
      <c r="S550" s="30"/>
      <c r="T550" s="30"/>
      <c r="U550" s="30"/>
      <c r="V550" s="30"/>
      <c r="W550" s="30"/>
    </row>
    <row r="551" spans="2:23" s="14" customFormat="1" x14ac:dyDescent="0.25">
      <c r="B551" s="76"/>
      <c r="Q551" s="30"/>
      <c r="R551" s="31"/>
      <c r="S551" s="30"/>
      <c r="T551" s="30"/>
      <c r="U551" s="30"/>
      <c r="V551" s="30"/>
      <c r="W551" s="30"/>
    </row>
    <row r="552" spans="2:23" s="14" customFormat="1" x14ac:dyDescent="0.25">
      <c r="B552" s="76"/>
      <c r="Q552" s="30"/>
      <c r="R552" s="31"/>
      <c r="S552" s="30"/>
      <c r="T552" s="30"/>
      <c r="U552" s="30"/>
      <c r="V552" s="30"/>
      <c r="W552" s="30"/>
    </row>
    <row r="553" spans="2:23" s="14" customFormat="1" x14ac:dyDescent="0.25">
      <c r="B553" s="76"/>
      <c r="Q553" s="30"/>
      <c r="R553" s="31"/>
      <c r="S553" s="30"/>
      <c r="T553" s="30"/>
      <c r="U553" s="30"/>
      <c r="V553" s="30"/>
      <c r="W553" s="30"/>
    </row>
    <row r="554" spans="2:23" s="14" customFormat="1" x14ac:dyDescent="0.25">
      <c r="B554" s="76"/>
      <c r="Q554" s="30"/>
      <c r="R554" s="31"/>
      <c r="S554" s="30"/>
      <c r="T554" s="30"/>
      <c r="U554" s="30"/>
      <c r="V554" s="30"/>
      <c r="W554" s="30"/>
    </row>
    <row r="555" spans="2:23" s="14" customFormat="1" x14ac:dyDescent="0.25">
      <c r="B555" s="76"/>
      <c r="Q555" s="30"/>
      <c r="R555" s="31"/>
      <c r="S555" s="30"/>
      <c r="T555" s="30"/>
      <c r="U555" s="30"/>
      <c r="V555" s="30"/>
      <c r="W555" s="30"/>
    </row>
    <row r="556" spans="2:23" s="14" customFormat="1" x14ac:dyDescent="0.25">
      <c r="B556" s="76"/>
      <c r="Q556" s="30"/>
      <c r="R556" s="31"/>
      <c r="S556" s="30"/>
      <c r="T556" s="30"/>
      <c r="U556" s="30"/>
      <c r="V556" s="30"/>
      <c r="W556" s="30"/>
    </row>
    <row r="557" spans="2:23" s="14" customFormat="1" x14ac:dyDescent="0.25">
      <c r="B557" s="76"/>
      <c r="Q557" s="30"/>
      <c r="R557" s="31"/>
      <c r="S557" s="30"/>
      <c r="T557" s="30"/>
      <c r="U557" s="30"/>
      <c r="V557" s="30"/>
      <c r="W557" s="30"/>
    </row>
    <row r="558" spans="2:23" s="14" customFormat="1" x14ac:dyDescent="0.25">
      <c r="B558" s="76"/>
      <c r="Q558" s="30"/>
      <c r="R558" s="31"/>
      <c r="S558" s="30"/>
      <c r="T558" s="30"/>
      <c r="U558" s="30"/>
      <c r="V558" s="30"/>
      <c r="W558" s="30"/>
    </row>
    <row r="559" spans="2:23" s="14" customFormat="1" x14ac:dyDescent="0.25">
      <c r="B559" s="76"/>
      <c r="Q559" s="30"/>
      <c r="R559" s="31"/>
      <c r="S559" s="30"/>
      <c r="T559" s="30"/>
      <c r="U559" s="30"/>
      <c r="V559" s="30"/>
      <c r="W559" s="30"/>
    </row>
    <row r="560" spans="2:23" s="14" customFormat="1" x14ac:dyDescent="0.25">
      <c r="B560" s="76"/>
      <c r="Q560" s="30"/>
      <c r="R560" s="31"/>
      <c r="S560" s="30"/>
      <c r="T560" s="30"/>
      <c r="U560" s="30"/>
      <c r="V560" s="30"/>
      <c r="W560" s="30"/>
    </row>
    <row r="561" spans="2:23" s="14" customFormat="1" x14ac:dyDescent="0.25">
      <c r="B561" s="76"/>
      <c r="Q561" s="30"/>
      <c r="R561" s="31"/>
      <c r="S561" s="30"/>
      <c r="T561" s="30"/>
      <c r="U561" s="30"/>
      <c r="V561" s="30"/>
      <c r="W561" s="30"/>
    </row>
    <row r="562" spans="2:23" s="14" customFormat="1" x14ac:dyDescent="0.25">
      <c r="B562" s="76"/>
      <c r="Q562" s="30"/>
      <c r="R562" s="31"/>
      <c r="S562" s="30"/>
      <c r="T562" s="30"/>
      <c r="U562" s="30"/>
      <c r="V562" s="30"/>
      <c r="W562" s="30"/>
    </row>
    <row r="563" spans="2:23" s="14" customFormat="1" x14ac:dyDescent="0.25">
      <c r="B563" s="76"/>
      <c r="Q563" s="30"/>
      <c r="R563" s="31"/>
      <c r="S563" s="30"/>
      <c r="T563" s="30"/>
      <c r="U563" s="30"/>
      <c r="V563" s="30"/>
      <c r="W563" s="30"/>
    </row>
    <row r="564" spans="2:23" s="14" customFormat="1" x14ac:dyDescent="0.25">
      <c r="B564" s="76"/>
      <c r="Q564" s="30"/>
      <c r="R564" s="31"/>
      <c r="S564" s="30"/>
      <c r="T564" s="30"/>
      <c r="U564" s="30"/>
      <c r="V564" s="30"/>
      <c r="W564" s="30"/>
    </row>
    <row r="565" spans="2:23" s="14" customFormat="1" x14ac:dyDescent="0.25">
      <c r="B565" s="76"/>
      <c r="Q565" s="30"/>
      <c r="R565" s="31"/>
      <c r="S565" s="30"/>
      <c r="T565" s="30"/>
      <c r="U565" s="30"/>
      <c r="V565" s="30"/>
      <c r="W565" s="30"/>
    </row>
    <row r="566" spans="2:23" s="14" customFormat="1" x14ac:dyDescent="0.25">
      <c r="B566" s="76"/>
      <c r="Q566" s="30"/>
      <c r="R566" s="31"/>
      <c r="S566" s="30"/>
      <c r="T566" s="30"/>
      <c r="U566" s="30"/>
      <c r="V566" s="30"/>
      <c r="W566" s="30"/>
    </row>
    <row r="567" spans="2:23" s="14" customFormat="1" x14ac:dyDescent="0.25">
      <c r="B567" s="76"/>
      <c r="Q567" s="30"/>
      <c r="R567" s="31"/>
      <c r="S567" s="30"/>
      <c r="T567" s="30"/>
      <c r="U567" s="30"/>
      <c r="V567" s="30"/>
      <c r="W567" s="30"/>
    </row>
    <row r="568" spans="2:23" s="14" customFormat="1" x14ac:dyDescent="0.25">
      <c r="B568" s="76"/>
      <c r="Q568" s="30"/>
      <c r="R568" s="31"/>
      <c r="S568" s="30"/>
      <c r="T568" s="30"/>
      <c r="U568" s="30"/>
      <c r="V568" s="30"/>
      <c r="W568" s="30"/>
    </row>
    <row r="569" spans="2:23" s="14" customFormat="1" x14ac:dyDescent="0.25">
      <c r="B569" s="76"/>
      <c r="Q569" s="30"/>
      <c r="R569" s="31"/>
      <c r="S569" s="30"/>
      <c r="T569" s="30"/>
      <c r="U569" s="30"/>
      <c r="V569" s="30"/>
      <c r="W569" s="30"/>
    </row>
    <row r="570" spans="2:23" s="14" customFormat="1" x14ac:dyDescent="0.25">
      <c r="B570" s="76"/>
      <c r="Q570" s="30"/>
      <c r="R570" s="31"/>
      <c r="S570" s="30"/>
      <c r="T570" s="30"/>
      <c r="U570" s="30"/>
      <c r="V570" s="30"/>
      <c r="W570" s="30"/>
    </row>
    <row r="571" spans="2:23" s="14" customFormat="1" x14ac:dyDescent="0.25">
      <c r="B571" s="76"/>
      <c r="Q571" s="30"/>
      <c r="R571" s="31"/>
      <c r="S571" s="30"/>
      <c r="T571" s="30"/>
      <c r="U571" s="30"/>
      <c r="V571" s="30"/>
      <c r="W571" s="30"/>
    </row>
    <row r="572" spans="2:23" s="14" customFormat="1" x14ac:dyDescent="0.25">
      <c r="B572" s="76"/>
      <c r="Q572" s="30"/>
      <c r="R572" s="31"/>
      <c r="S572" s="30"/>
      <c r="T572" s="30"/>
      <c r="U572" s="30"/>
      <c r="V572" s="30"/>
      <c r="W572" s="30"/>
    </row>
    <row r="573" spans="2:23" s="14" customFormat="1" x14ac:dyDescent="0.25">
      <c r="B573" s="76"/>
      <c r="Q573" s="30"/>
      <c r="R573" s="31"/>
      <c r="S573" s="30"/>
      <c r="T573" s="30"/>
      <c r="U573" s="30"/>
      <c r="V573" s="30"/>
      <c r="W573" s="30"/>
    </row>
    <row r="574" spans="2:23" s="14" customFormat="1" x14ac:dyDescent="0.25">
      <c r="B574" s="76"/>
      <c r="Q574" s="30"/>
      <c r="R574" s="31"/>
      <c r="S574" s="30"/>
      <c r="T574" s="30"/>
      <c r="U574" s="30"/>
      <c r="V574" s="30"/>
      <c r="W574" s="30"/>
    </row>
    <row r="575" spans="2:23" s="14" customFormat="1" x14ac:dyDescent="0.25">
      <c r="B575" s="76"/>
      <c r="Q575" s="30"/>
      <c r="R575" s="31"/>
      <c r="S575" s="30"/>
      <c r="T575" s="30"/>
      <c r="U575" s="30"/>
      <c r="V575" s="30"/>
      <c r="W575" s="30"/>
    </row>
    <row r="576" spans="2:23" s="14" customFormat="1" x14ac:dyDescent="0.25">
      <c r="B576" s="76"/>
      <c r="Q576" s="30"/>
      <c r="R576" s="31"/>
      <c r="S576" s="30"/>
      <c r="T576" s="30"/>
      <c r="U576" s="30"/>
      <c r="V576" s="30"/>
      <c r="W576" s="30"/>
    </row>
    <row r="577" spans="2:23" s="14" customFormat="1" x14ac:dyDescent="0.25">
      <c r="B577" s="76"/>
      <c r="Q577" s="30"/>
      <c r="R577" s="31"/>
      <c r="S577" s="30"/>
      <c r="T577" s="30"/>
      <c r="U577" s="30"/>
      <c r="V577" s="30"/>
      <c r="W577" s="30"/>
    </row>
    <row r="578" spans="2:23" s="14" customFormat="1" x14ac:dyDescent="0.25">
      <c r="B578" s="76"/>
      <c r="Q578" s="30"/>
      <c r="R578" s="31"/>
      <c r="S578" s="30"/>
      <c r="T578" s="30"/>
      <c r="U578" s="30"/>
      <c r="V578" s="30"/>
      <c r="W578" s="30"/>
    </row>
    <row r="579" spans="2:23" s="14" customFormat="1" x14ac:dyDescent="0.25">
      <c r="B579" s="76"/>
      <c r="Q579" s="30"/>
      <c r="R579" s="31"/>
      <c r="S579" s="30"/>
      <c r="T579" s="30"/>
      <c r="U579" s="30"/>
      <c r="V579" s="30"/>
      <c r="W579" s="30"/>
    </row>
    <row r="580" spans="2:23" s="14" customFormat="1" x14ac:dyDescent="0.25">
      <c r="B580" s="76"/>
      <c r="Q580" s="30"/>
      <c r="R580" s="31"/>
      <c r="S580" s="30"/>
      <c r="T580" s="30"/>
      <c r="U580" s="30"/>
      <c r="V580" s="30"/>
      <c r="W580" s="30"/>
    </row>
    <row r="581" spans="2:23" s="14" customFormat="1" x14ac:dyDescent="0.25">
      <c r="B581" s="76"/>
      <c r="Q581" s="30"/>
      <c r="R581" s="31"/>
      <c r="S581" s="30"/>
      <c r="T581" s="30"/>
      <c r="U581" s="30"/>
      <c r="V581" s="30"/>
      <c r="W581" s="30"/>
    </row>
    <row r="582" spans="2:23" s="14" customFormat="1" x14ac:dyDescent="0.25">
      <c r="B582" s="76"/>
      <c r="Q582" s="30"/>
      <c r="R582" s="31"/>
      <c r="S582" s="30"/>
      <c r="T582" s="30"/>
      <c r="U582" s="30"/>
      <c r="V582" s="30"/>
      <c r="W582" s="30"/>
    </row>
    <row r="583" spans="2:23" s="14" customFormat="1" x14ac:dyDescent="0.25">
      <c r="B583" s="76"/>
      <c r="Q583" s="30"/>
      <c r="R583" s="31"/>
      <c r="S583" s="30"/>
      <c r="T583" s="30"/>
      <c r="U583" s="30"/>
      <c r="V583" s="30"/>
      <c r="W583" s="30"/>
    </row>
    <row r="584" spans="2:23" s="14" customFormat="1" x14ac:dyDescent="0.25">
      <c r="B584" s="76"/>
      <c r="Q584" s="30"/>
      <c r="R584" s="31"/>
      <c r="S584" s="30"/>
      <c r="T584" s="30"/>
      <c r="U584" s="30"/>
      <c r="V584" s="30"/>
      <c r="W584" s="30"/>
    </row>
    <row r="585" spans="2:23" s="14" customFormat="1" x14ac:dyDescent="0.25">
      <c r="B585" s="76"/>
      <c r="Q585" s="30"/>
      <c r="R585" s="31"/>
      <c r="S585" s="30"/>
      <c r="T585" s="30"/>
      <c r="U585" s="30"/>
      <c r="V585" s="30"/>
      <c r="W585" s="30"/>
    </row>
    <row r="586" spans="2:23" s="14" customFormat="1" x14ac:dyDescent="0.25">
      <c r="B586" s="76"/>
      <c r="Q586" s="30"/>
      <c r="R586" s="31"/>
      <c r="S586" s="30"/>
      <c r="T586" s="30"/>
      <c r="U586" s="30"/>
      <c r="V586" s="30"/>
      <c r="W586" s="30"/>
    </row>
    <row r="587" spans="2:23" s="14" customFormat="1" x14ac:dyDescent="0.25">
      <c r="B587" s="76"/>
      <c r="Q587" s="30"/>
      <c r="R587" s="31"/>
      <c r="S587" s="30"/>
      <c r="T587" s="30"/>
      <c r="U587" s="30"/>
      <c r="V587" s="30"/>
      <c r="W587" s="30"/>
    </row>
    <row r="588" spans="2:23" s="14" customFormat="1" x14ac:dyDescent="0.25">
      <c r="B588" s="76"/>
      <c r="Q588" s="30"/>
      <c r="R588" s="31"/>
      <c r="S588" s="30"/>
      <c r="T588" s="30"/>
      <c r="U588" s="30"/>
      <c r="V588" s="30"/>
      <c r="W588" s="30"/>
    </row>
    <row r="589" spans="2:23" s="14" customFormat="1" x14ac:dyDescent="0.25">
      <c r="B589" s="76"/>
      <c r="Q589" s="30"/>
      <c r="R589" s="31"/>
      <c r="S589" s="30"/>
      <c r="T589" s="30"/>
      <c r="U589" s="30"/>
      <c r="V589" s="30"/>
      <c r="W589" s="30"/>
    </row>
    <row r="590" spans="2:23" s="14" customFormat="1" x14ac:dyDescent="0.25">
      <c r="B590" s="76"/>
      <c r="Q590" s="30"/>
      <c r="R590" s="31"/>
      <c r="S590" s="30"/>
      <c r="T590" s="30"/>
      <c r="U590" s="30"/>
      <c r="V590" s="30"/>
      <c r="W590" s="30"/>
    </row>
    <row r="591" spans="2:23" s="14" customFormat="1" x14ac:dyDescent="0.25">
      <c r="B591" s="76"/>
      <c r="Q591" s="30"/>
      <c r="R591" s="31"/>
      <c r="S591" s="30"/>
      <c r="T591" s="30"/>
      <c r="U591" s="30"/>
      <c r="V591" s="30"/>
      <c r="W591" s="30"/>
    </row>
    <row r="592" spans="2:23" s="14" customFormat="1" x14ac:dyDescent="0.25">
      <c r="B592" s="76"/>
      <c r="Q592" s="30"/>
      <c r="R592" s="31"/>
      <c r="S592" s="30"/>
      <c r="T592" s="30"/>
      <c r="U592" s="30"/>
      <c r="V592" s="30"/>
      <c r="W592" s="30"/>
    </row>
    <row r="593" spans="2:23" s="14" customFormat="1" x14ac:dyDescent="0.25">
      <c r="B593" s="76"/>
      <c r="Q593" s="30"/>
      <c r="R593" s="31"/>
      <c r="S593" s="30"/>
      <c r="T593" s="30"/>
      <c r="U593" s="30"/>
      <c r="V593" s="30"/>
      <c r="W593" s="30"/>
    </row>
    <row r="594" spans="2:23" s="14" customFormat="1" x14ac:dyDescent="0.25">
      <c r="B594" s="76"/>
      <c r="Q594" s="30"/>
      <c r="R594" s="31"/>
      <c r="S594" s="30"/>
      <c r="T594" s="30"/>
      <c r="U594" s="30"/>
      <c r="V594" s="30"/>
      <c r="W594" s="30"/>
    </row>
    <row r="595" spans="2:23" s="14" customFormat="1" x14ac:dyDescent="0.25">
      <c r="B595" s="76"/>
      <c r="Q595" s="30"/>
      <c r="R595" s="31"/>
      <c r="S595" s="30"/>
      <c r="T595" s="30"/>
      <c r="U595" s="30"/>
      <c r="V595" s="30"/>
      <c r="W595" s="30"/>
    </row>
    <row r="596" spans="2:23" s="14" customFormat="1" x14ac:dyDescent="0.25">
      <c r="B596" s="76"/>
      <c r="Q596" s="30"/>
      <c r="R596" s="31"/>
      <c r="S596" s="30"/>
      <c r="T596" s="30"/>
      <c r="U596" s="30"/>
      <c r="V596" s="30"/>
      <c r="W596" s="30"/>
    </row>
    <row r="597" spans="2:23" s="14" customFormat="1" x14ac:dyDescent="0.25">
      <c r="B597" s="76"/>
      <c r="Q597" s="30"/>
      <c r="R597" s="31"/>
      <c r="S597" s="30"/>
      <c r="T597" s="30"/>
      <c r="U597" s="30"/>
      <c r="V597" s="30"/>
      <c r="W597" s="30"/>
    </row>
    <row r="598" spans="2:23" s="14" customFormat="1" x14ac:dyDescent="0.25">
      <c r="B598" s="76"/>
      <c r="Q598" s="30"/>
      <c r="R598" s="31"/>
      <c r="S598" s="30"/>
      <c r="T598" s="30"/>
      <c r="U598" s="30"/>
      <c r="V598" s="30"/>
      <c r="W598" s="30"/>
    </row>
    <row r="599" spans="2:23" s="14" customFormat="1" x14ac:dyDescent="0.25">
      <c r="B599" s="76"/>
      <c r="Q599" s="30"/>
      <c r="R599" s="31"/>
      <c r="S599" s="30"/>
      <c r="T599" s="30"/>
      <c r="U599" s="30"/>
      <c r="V599" s="30"/>
      <c r="W599" s="30"/>
    </row>
    <row r="600" spans="2:23" s="14" customFormat="1" x14ac:dyDescent="0.25">
      <c r="B600" s="76"/>
      <c r="Q600" s="30"/>
      <c r="R600" s="31"/>
      <c r="S600" s="30"/>
      <c r="T600" s="30"/>
      <c r="U600" s="30"/>
      <c r="V600" s="30"/>
      <c r="W600" s="30"/>
    </row>
    <row r="601" spans="2:23" s="14" customFormat="1" x14ac:dyDescent="0.25">
      <c r="B601" s="76"/>
      <c r="Q601" s="30"/>
      <c r="R601" s="31"/>
      <c r="S601" s="30"/>
      <c r="T601" s="30"/>
      <c r="U601" s="30"/>
      <c r="V601" s="30"/>
      <c r="W601" s="30"/>
    </row>
    <row r="602" spans="2:23" s="14" customFormat="1" x14ac:dyDescent="0.25">
      <c r="B602" s="76"/>
      <c r="Q602" s="30"/>
      <c r="R602" s="31"/>
      <c r="S602" s="30"/>
      <c r="T602" s="30"/>
      <c r="U602" s="30"/>
      <c r="V602" s="30"/>
      <c r="W602" s="30"/>
    </row>
    <row r="603" spans="2:23" s="14" customFormat="1" x14ac:dyDescent="0.25">
      <c r="B603" s="76"/>
      <c r="Q603" s="30"/>
      <c r="R603" s="31"/>
      <c r="S603" s="30"/>
      <c r="T603" s="30"/>
      <c r="U603" s="30"/>
      <c r="V603" s="30"/>
      <c r="W603" s="30"/>
    </row>
    <row r="604" spans="2:23" s="14" customFormat="1" x14ac:dyDescent="0.25">
      <c r="B604" s="76"/>
      <c r="Q604" s="30"/>
      <c r="R604" s="31"/>
      <c r="S604" s="30"/>
      <c r="T604" s="30"/>
      <c r="U604" s="30"/>
      <c r="V604" s="30"/>
      <c r="W604" s="30"/>
    </row>
    <row r="605" spans="2:23" s="14" customFormat="1" x14ac:dyDescent="0.25">
      <c r="B605" s="76"/>
      <c r="Q605" s="30"/>
      <c r="R605" s="31"/>
      <c r="S605" s="30"/>
      <c r="T605" s="30"/>
      <c r="U605" s="30"/>
      <c r="V605" s="30"/>
      <c r="W605" s="30"/>
    </row>
    <row r="606" spans="2:23" s="14" customFormat="1" x14ac:dyDescent="0.25">
      <c r="B606" s="76"/>
      <c r="Q606" s="30"/>
      <c r="R606" s="31"/>
      <c r="S606" s="30"/>
      <c r="T606" s="30"/>
      <c r="U606" s="30"/>
      <c r="V606" s="30"/>
      <c r="W606" s="30"/>
    </row>
    <row r="607" spans="2:23" s="14" customFormat="1" x14ac:dyDescent="0.25">
      <c r="B607" s="76"/>
      <c r="Q607" s="30"/>
      <c r="R607" s="31"/>
      <c r="S607" s="30"/>
      <c r="T607" s="30"/>
      <c r="U607" s="30"/>
      <c r="V607" s="30"/>
      <c r="W607" s="30"/>
    </row>
    <row r="608" spans="2:23" s="14" customFormat="1" x14ac:dyDescent="0.25">
      <c r="B608" s="76"/>
      <c r="Q608" s="30"/>
      <c r="R608" s="31"/>
      <c r="S608" s="30"/>
      <c r="T608" s="30"/>
      <c r="U608" s="30"/>
      <c r="V608" s="30"/>
      <c r="W608" s="30"/>
    </row>
    <row r="609" spans="2:23" s="14" customFormat="1" x14ac:dyDescent="0.25">
      <c r="B609" s="76"/>
      <c r="Q609" s="30"/>
      <c r="R609" s="31"/>
      <c r="S609" s="30"/>
      <c r="T609" s="30"/>
      <c r="U609" s="30"/>
      <c r="V609" s="30"/>
      <c r="W609" s="30"/>
    </row>
    <row r="610" spans="2:23" s="14" customFormat="1" x14ac:dyDescent="0.25">
      <c r="B610" s="76"/>
      <c r="Q610" s="30"/>
      <c r="R610" s="31"/>
      <c r="S610" s="30"/>
      <c r="T610" s="30"/>
      <c r="U610" s="30"/>
      <c r="V610" s="30"/>
      <c r="W610" s="30"/>
    </row>
    <row r="611" spans="2:23" s="14" customFormat="1" x14ac:dyDescent="0.25">
      <c r="B611" s="76"/>
      <c r="Q611" s="30"/>
      <c r="R611" s="31"/>
      <c r="S611" s="30"/>
      <c r="T611" s="30"/>
      <c r="U611" s="30"/>
      <c r="V611" s="30"/>
      <c r="W611" s="30"/>
    </row>
    <row r="612" spans="2:23" s="14" customFormat="1" x14ac:dyDescent="0.25">
      <c r="B612" s="76"/>
      <c r="Q612" s="30"/>
      <c r="R612" s="31"/>
      <c r="S612" s="30"/>
      <c r="T612" s="30"/>
      <c r="U612" s="30"/>
      <c r="V612" s="30"/>
      <c r="W612" s="30"/>
    </row>
    <row r="613" spans="2:23" s="14" customFormat="1" x14ac:dyDescent="0.25">
      <c r="B613" s="76"/>
      <c r="Q613" s="30"/>
      <c r="R613" s="31"/>
      <c r="S613" s="30"/>
      <c r="T613" s="30"/>
      <c r="U613" s="30"/>
      <c r="V613" s="30"/>
      <c r="W613" s="30"/>
    </row>
    <row r="614" spans="2:23" s="14" customFormat="1" x14ac:dyDescent="0.25">
      <c r="B614" s="76"/>
      <c r="Q614" s="30"/>
      <c r="R614" s="31"/>
      <c r="S614" s="30"/>
      <c r="T614" s="30"/>
      <c r="U614" s="30"/>
      <c r="V614" s="30"/>
      <c r="W614" s="30"/>
    </row>
    <row r="615" spans="2:23" s="14" customFormat="1" x14ac:dyDescent="0.25">
      <c r="B615" s="76"/>
      <c r="Q615" s="30"/>
      <c r="R615" s="31"/>
      <c r="S615" s="30"/>
      <c r="T615" s="30"/>
      <c r="U615" s="30"/>
      <c r="V615" s="30"/>
      <c r="W615" s="30"/>
    </row>
    <row r="616" spans="2:23" s="14" customFormat="1" x14ac:dyDescent="0.25">
      <c r="B616" s="76"/>
      <c r="Q616" s="30"/>
      <c r="R616" s="31"/>
      <c r="S616" s="30"/>
      <c r="T616" s="30"/>
      <c r="U616" s="30"/>
      <c r="V616" s="30"/>
      <c r="W616" s="30"/>
    </row>
    <row r="617" spans="2:23" s="14" customFormat="1" x14ac:dyDescent="0.25">
      <c r="B617" s="76"/>
      <c r="Q617" s="30"/>
      <c r="R617" s="31"/>
      <c r="S617" s="30"/>
      <c r="T617" s="30"/>
      <c r="U617" s="30"/>
      <c r="V617" s="30"/>
      <c r="W617" s="30"/>
    </row>
    <row r="618" spans="2:23" s="14" customFormat="1" x14ac:dyDescent="0.25">
      <c r="B618" s="76"/>
      <c r="Q618" s="30"/>
      <c r="R618" s="31"/>
      <c r="S618" s="30"/>
      <c r="T618" s="30"/>
      <c r="U618" s="30"/>
      <c r="V618" s="30"/>
      <c r="W618" s="30"/>
    </row>
    <row r="619" spans="2:23" s="14" customFormat="1" x14ac:dyDescent="0.25">
      <c r="B619" s="76"/>
      <c r="Q619" s="30"/>
      <c r="R619" s="31"/>
      <c r="S619" s="30"/>
      <c r="T619" s="30"/>
      <c r="U619" s="30"/>
      <c r="V619" s="30"/>
      <c r="W619" s="30"/>
    </row>
    <row r="620" spans="2:23" s="14" customFormat="1" x14ac:dyDescent="0.25">
      <c r="B620" s="76"/>
      <c r="Q620" s="30"/>
      <c r="R620" s="31"/>
      <c r="S620" s="30"/>
      <c r="T620" s="30"/>
      <c r="U620" s="30"/>
      <c r="V620" s="30"/>
      <c r="W620" s="30"/>
    </row>
    <row r="621" spans="2:23" s="14" customFormat="1" x14ac:dyDescent="0.25">
      <c r="B621" s="76"/>
      <c r="Q621" s="30"/>
      <c r="R621" s="31"/>
      <c r="S621" s="30"/>
      <c r="T621" s="30"/>
      <c r="U621" s="30"/>
      <c r="V621" s="30"/>
      <c r="W621" s="30"/>
    </row>
    <row r="622" spans="2:23" s="14" customFormat="1" x14ac:dyDescent="0.25">
      <c r="B622" s="76"/>
      <c r="Q622" s="30"/>
      <c r="R622" s="31"/>
      <c r="S622" s="30"/>
      <c r="T622" s="30"/>
      <c r="U622" s="30"/>
      <c r="V622" s="30"/>
      <c r="W622" s="30"/>
    </row>
    <row r="623" spans="2:23" s="14" customFormat="1" x14ac:dyDescent="0.25">
      <c r="B623" s="76"/>
      <c r="Q623" s="30"/>
      <c r="R623" s="31"/>
      <c r="S623" s="30"/>
      <c r="T623" s="30"/>
      <c r="U623" s="30"/>
      <c r="V623" s="30"/>
      <c r="W623" s="30"/>
    </row>
    <row r="624" spans="2:23" s="14" customFormat="1" x14ac:dyDescent="0.25">
      <c r="B624" s="76"/>
      <c r="Q624" s="30"/>
      <c r="R624" s="31"/>
      <c r="S624" s="30"/>
      <c r="T624" s="30"/>
      <c r="U624" s="30"/>
      <c r="V624" s="30"/>
      <c r="W624" s="30"/>
    </row>
    <row r="625" spans="2:23" s="14" customFormat="1" x14ac:dyDescent="0.25">
      <c r="B625" s="76"/>
      <c r="Q625" s="30"/>
      <c r="R625" s="31"/>
      <c r="S625" s="30"/>
      <c r="T625" s="30"/>
      <c r="U625" s="30"/>
      <c r="V625" s="30"/>
      <c r="W625" s="30"/>
    </row>
    <row r="626" spans="2:23" s="14" customFormat="1" x14ac:dyDescent="0.25">
      <c r="B626" s="76"/>
      <c r="Q626" s="30"/>
      <c r="R626" s="31"/>
      <c r="S626" s="30"/>
      <c r="T626" s="30"/>
      <c r="U626" s="30"/>
      <c r="V626" s="30"/>
      <c r="W626" s="30"/>
    </row>
    <row r="627" spans="2:23" s="14" customFormat="1" x14ac:dyDescent="0.25">
      <c r="B627" s="76"/>
      <c r="Q627" s="30"/>
      <c r="R627" s="31"/>
      <c r="S627" s="30"/>
      <c r="T627" s="30"/>
      <c r="U627" s="30"/>
      <c r="V627" s="30"/>
      <c r="W627" s="30"/>
    </row>
    <row r="628" spans="2:23" s="14" customFormat="1" x14ac:dyDescent="0.25">
      <c r="B628" s="76"/>
      <c r="Q628" s="30"/>
      <c r="R628" s="31"/>
      <c r="S628" s="30"/>
      <c r="T628" s="30"/>
      <c r="U628" s="30"/>
      <c r="V628" s="30"/>
      <c r="W628" s="30"/>
    </row>
    <row r="629" spans="2:23" s="14" customFormat="1" x14ac:dyDescent="0.25">
      <c r="B629" s="76"/>
      <c r="Q629" s="30"/>
      <c r="R629" s="31"/>
      <c r="S629" s="30"/>
      <c r="T629" s="30"/>
      <c r="U629" s="30"/>
      <c r="V629" s="30"/>
      <c r="W629" s="30"/>
    </row>
    <row r="630" spans="2:23" s="14" customFormat="1" x14ac:dyDescent="0.25">
      <c r="B630" s="76"/>
      <c r="Q630" s="30"/>
      <c r="R630" s="31"/>
      <c r="S630" s="30"/>
      <c r="T630" s="30"/>
      <c r="U630" s="30"/>
      <c r="V630" s="30"/>
      <c r="W630" s="30"/>
    </row>
    <row r="631" spans="2:23" s="14" customFormat="1" x14ac:dyDescent="0.25">
      <c r="B631" s="76"/>
      <c r="Q631" s="30"/>
      <c r="R631" s="31"/>
      <c r="S631" s="30"/>
      <c r="T631" s="30"/>
      <c r="U631" s="30"/>
      <c r="V631" s="30"/>
      <c r="W631" s="30"/>
    </row>
    <row r="632" spans="2:23" s="14" customFormat="1" x14ac:dyDescent="0.25">
      <c r="B632" s="76"/>
      <c r="Q632" s="30"/>
      <c r="R632" s="31"/>
      <c r="S632" s="30"/>
      <c r="T632" s="30"/>
      <c r="U632" s="30"/>
      <c r="V632" s="30"/>
      <c r="W632" s="30"/>
    </row>
    <row r="633" spans="2:23" s="14" customFormat="1" x14ac:dyDescent="0.25">
      <c r="B633" s="76"/>
      <c r="Q633" s="30"/>
      <c r="R633" s="31"/>
      <c r="S633" s="30"/>
      <c r="T633" s="30"/>
      <c r="U633" s="30"/>
      <c r="V633" s="30"/>
      <c r="W633" s="30"/>
    </row>
    <row r="634" spans="2:23" s="14" customFormat="1" x14ac:dyDescent="0.25">
      <c r="B634" s="76"/>
      <c r="Q634" s="30"/>
      <c r="R634" s="31"/>
      <c r="S634" s="30"/>
      <c r="T634" s="30"/>
      <c r="U634" s="30"/>
      <c r="V634" s="30"/>
      <c r="W634" s="30"/>
    </row>
    <row r="635" spans="2:23" s="14" customFormat="1" x14ac:dyDescent="0.25">
      <c r="B635" s="76"/>
      <c r="Q635" s="30"/>
      <c r="R635" s="31"/>
      <c r="S635" s="30"/>
      <c r="T635" s="30"/>
      <c r="U635" s="30"/>
      <c r="V635" s="30"/>
      <c r="W635" s="30"/>
    </row>
    <row r="636" spans="2:23" s="14" customFormat="1" x14ac:dyDescent="0.25">
      <c r="B636" s="76"/>
      <c r="Q636" s="30"/>
      <c r="R636" s="31"/>
      <c r="S636" s="30"/>
      <c r="T636" s="30"/>
      <c r="U636" s="30"/>
      <c r="V636" s="30"/>
      <c r="W636" s="30"/>
    </row>
    <row r="637" spans="2:23" s="14" customFormat="1" x14ac:dyDescent="0.25">
      <c r="B637" s="76"/>
      <c r="Q637" s="30"/>
      <c r="R637" s="31"/>
      <c r="S637" s="30"/>
      <c r="T637" s="30"/>
      <c r="U637" s="30"/>
      <c r="V637" s="30"/>
      <c r="W637" s="30"/>
    </row>
    <row r="638" spans="2:23" s="14" customFormat="1" x14ac:dyDescent="0.25">
      <c r="B638" s="76"/>
      <c r="Q638" s="30"/>
      <c r="R638" s="31"/>
      <c r="S638" s="30"/>
      <c r="T638" s="30"/>
      <c r="U638" s="30"/>
      <c r="V638" s="30"/>
      <c r="W638" s="30"/>
    </row>
    <row r="639" spans="2:23" s="14" customFormat="1" x14ac:dyDescent="0.25">
      <c r="B639" s="76"/>
      <c r="Q639" s="30"/>
      <c r="R639" s="31"/>
      <c r="S639" s="30"/>
      <c r="T639" s="30"/>
      <c r="U639" s="30"/>
      <c r="V639" s="30"/>
      <c r="W639" s="30"/>
    </row>
    <row r="640" spans="2:23" s="14" customFormat="1" x14ac:dyDescent="0.25">
      <c r="B640" s="76"/>
      <c r="Q640" s="30"/>
      <c r="R640" s="31"/>
      <c r="S640" s="30"/>
      <c r="T640" s="30"/>
      <c r="U640" s="30"/>
      <c r="V640" s="30"/>
      <c r="W640" s="30"/>
    </row>
    <row r="641" spans="2:23" s="14" customFormat="1" x14ac:dyDescent="0.25">
      <c r="B641" s="76"/>
      <c r="Q641" s="30"/>
      <c r="R641" s="31"/>
      <c r="S641" s="30"/>
      <c r="T641" s="30"/>
      <c r="U641" s="30"/>
      <c r="V641" s="30"/>
      <c r="W641" s="30"/>
    </row>
    <row r="642" spans="2:23" s="14" customFormat="1" x14ac:dyDescent="0.25">
      <c r="B642" s="76"/>
      <c r="Q642" s="30"/>
      <c r="R642" s="31"/>
      <c r="S642" s="30"/>
      <c r="T642" s="30"/>
      <c r="U642" s="30"/>
      <c r="V642" s="30"/>
      <c r="W642" s="30"/>
    </row>
    <row r="643" spans="2:23" s="14" customFormat="1" x14ac:dyDescent="0.25">
      <c r="B643" s="76"/>
      <c r="Q643" s="30"/>
      <c r="R643" s="31"/>
      <c r="S643" s="30"/>
      <c r="T643" s="30"/>
      <c r="U643" s="30"/>
      <c r="V643" s="30"/>
      <c r="W643" s="30"/>
    </row>
    <row r="644" spans="2:23" s="14" customFormat="1" x14ac:dyDescent="0.25">
      <c r="B644" s="76"/>
      <c r="Q644" s="30"/>
      <c r="R644" s="31"/>
      <c r="S644" s="30"/>
      <c r="T644" s="30"/>
      <c r="U644" s="30"/>
      <c r="V644" s="30"/>
      <c r="W644" s="30"/>
    </row>
    <row r="645" spans="2:23" s="14" customFormat="1" x14ac:dyDescent="0.25">
      <c r="B645" s="76"/>
      <c r="Q645" s="30"/>
      <c r="R645" s="31"/>
      <c r="S645" s="30"/>
      <c r="T645" s="30"/>
      <c r="U645" s="30"/>
      <c r="V645" s="30"/>
      <c r="W645" s="30"/>
    </row>
    <row r="646" spans="2:23" s="14" customFormat="1" x14ac:dyDescent="0.25">
      <c r="B646" s="76"/>
      <c r="Q646" s="30"/>
      <c r="R646" s="31"/>
      <c r="S646" s="30"/>
      <c r="T646" s="30"/>
      <c r="U646" s="30"/>
      <c r="V646" s="30"/>
      <c r="W646" s="30"/>
    </row>
    <row r="647" spans="2:23" s="14" customFormat="1" x14ac:dyDescent="0.25">
      <c r="B647" s="76"/>
      <c r="Q647" s="30"/>
      <c r="R647" s="31"/>
      <c r="S647" s="30"/>
      <c r="T647" s="30"/>
      <c r="U647" s="30"/>
      <c r="V647" s="30"/>
      <c r="W647" s="30"/>
    </row>
    <row r="648" spans="2:23" s="14" customFormat="1" x14ac:dyDescent="0.25">
      <c r="B648" s="76"/>
      <c r="Q648" s="30"/>
      <c r="R648" s="31"/>
      <c r="S648" s="30"/>
      <c r="T648" s="30"/>
      <c r="U648" s="30"/>
      <c r="V648" s="30"/>
      <c r="W648" s="30"/>
    </row>
    <row r="649" spans="2:23" s="14" customFormat="1" x14ac:dyDescent="0.25">
      <c r="B649" s="76"/>
      <c r="Q649" s="30"/>
      <c r="R649" s="31"/>
      <c r="S649" s="30"/>
      <c r="T649" s="30"/>
      <c r="U649" s="30"/>
      <c r="V649" s="30"/>
      <c r="W649" s="30"/>
    </row>
    <row r="650" spans="2:23" s="14" customFormat="1" x14ac:dyDescent="0.25">
      <c r="B650" s="76"/>
      <c r="Q650" s="30"/>
      <c r="R650" s="31"/>
      <c r="S650" s="30"/>
      <c r="T650" s="30"/>
      <c r="U650" s="30"/>
      <c r="V650" s="30"/>
      <c r="W650" s="30"/>
    </row>
    <row r="651" spans="2:23" s="14" customFormat="1" x14ac:dyDescent="0.25">
      <c r="B651" s="76"/>
      <c r="Q651" s="30"/>
      <c r="R651" s="31"/>
      <c r="S651" s="30"/>
      <c r="T651" s="30"/>
      <c r="U651" s="30"/>
      <c r="V651" s="30"/>
      <c r="W651" s="30"/>
    </row>
    <row r="652" spans="2:23" s="14" customFormat="1" x14ac:dyDescent="0.25">
      <c r="B652" s="76"/>
      <c r="Q652" s="30"/>
      <c r="R652" s="31"/>
      <c r="S652" s="30"/>
      <c r="T652" s="30"/>
      <c r="U652" s="30"/>
      <c r="V652" s="30"/>
      <c r="W652" s="30"/>
    </row>
    <row r="653" spans="2:23" s="14" customFormat="1" x14ac:dyDescent="0.25">
      <c r="B653" s="76"/>
      <c r="Q653" s="30"/>
      <c r="R653" s="31"/>
      <c r="S653" s="30"/>
      <c r="T653" s="30"/>
      <c r="U653" s="30"/>
      <c r="V653" s="30"/>
      <c r="W653" s="30"/>
    </row>
    <row r="654" spans="2:23" s="14" customFormat="1" x14ac:dyDescent="0.25">
      <c r="B654" s="76"/>
      <c r="Q654" s="30"/>
      <c r="R654" s="31"/>
      <c r="S654" s="30"/>
      <c r="T654" s="30"/>
      <c r="U654" s="30"/>
      <c r="V654" s="30"/>
      <c r="W654" s="30"/>
    </row>
    <row r="655" spans="2:23" s="14" customFormat="1" x14ac:dyDescent="0.25">
      <c r="B655" s="76"/>
      <c r="Q655" s="30"/>
      <c r="R655" s="31"/>
      <c r="S655" s="30"/>
      <c r="T655" s="30"/>
      <c r="U655" s="30"/>
      <c r="V655" s="30"/>
      <c r="W655" s="30"/>
    </row>
    <row r="656" spans="2:23" s="14" customFormat="1" x14ac:dyDescent="0.25">
      <c r="B656" s="76"/>
      <c r="Q656" s="30"/>
      <c r="R656" s="31"/>
      <c r="S656" s="30"/>
      <c r="T656" s="30"/>
      <c r="U656" s="30"/>
      <c r="V656" s="30"/>
      <c r="W656" s="30"/>
    </row>
    <row r="657" spans="2:23" s="14" customFormat="1" x14ac:dyDescent="0.25">
      <c r="B657" s="76"/>
      <c r="Q657" s="30"/>
      <c r="R657" s="31"/>
      <c r="S657" s="30"/>
      <c r="T657" s="30"/>
      <c r="U657" s="30"/>
      <c r="V657" s="30"/>
      <c r="W657" s="30"/>
    </row>
    <row r="658" spans="2:23" s="14" customFormat="1" x14ac:dyDescent="0.25">
      <c r="B658" s="76"/>
      <c r="Q658" s="30"/>
      <c r="R658" s="31"/>
      <c r="S658" s="30"/>
      <c r="T658" s="30"/>
      <c r="U658" s="30"/>
      <c r="V658" s="30"/>
      <c r="W658" s="30"/>
    </row>
    <row r="659" spans="2:23" s="14" customFormat="1" x14ac:dyDescent="0.25">
      <c r="B659" s="76"/>
      <c r="Q659" s="30"/>
      <c r="R659" s="31"/>
      <c r="S659" s="30"/>
      <c r="T659" s="30"/>
      <c r="U659" s="30"/>
      <c r="V659" s="30"/>
      <c r="W659" s="30"/>
    </row>
    <row r="660" spans="2:23" s="14" customFormat="1" x14ac:dyDescent="0.25">
      <c r="B660" s="76"/>
      <c r="Q660" s="30"/>
      <c r="R660" s="31"/>
      <c r="S660" s="30"/>
      <c r="T660" s="30"/>
      <c r="U660" s="30"/>
      <c r="V660" s="30"/>
      <c r="W660" s="30"/>
    </row>
    <row r="661" spans="2:23" s="14" customFormat="1" x14ac:dyDescent="0.25">
      <c r="B661" s="76"/>
      <c r="Q661" s="30"/>
      <c r="R661" s="31"/>
      <c r="S661" s="30"/>
      <c r="T661" s="30"/>
      <c r="U661" s="30"/>
      <c r="V661" s="30"/>
      <c r="W661" s="30"/>
    </row>
    <row r="662" spans="2:23" s="14" customFormat="1" x14ac:dyDescent="0.25">
      <c r="B662" s="76"/>
      <c r="Q662" s="30"/>
      <c r="R662" s="31"/>
      <c r="S662" s="30"/>
      <c r="T662" s="30"/>
      <c r="U662" s="30"/>
      <c r="V662" s="30"/>
      <c r="W662" s="30"/>
    </row>
    <row r="663" spans="2:23" s="14" customFormat="1" x14ac:dyDescent="0.25">
      <c r="B663" s="76"/>
      <c r="Q663" s="30"/>
      <c r="R663" s="31"/>
      <c r="S663" s="30"/>
      <c r="T663" s="30"/>
      <c r="U663" s="30"/>
      <c r="V663" s="30"/>
      <c r="W663" s="30"/>
    </row>
    <row r="664" spans="2:23" s="14" customFormat="1" x14ac:dyDescent="0.25">
      <c r="B664" s="76"/>
      <c r="Q664" s="30"/>
      <c r="R664" s="31"/>
      <c r="S664" s="30"/>
      <c r="T664" s="30"/>
      <c r="U664" s="30"/>
      <c r="V664" s="30"/>
      <c r="W664" s="30"/>
    </row>
    <row r="665" spans="2:23" s="14" customFormat="1" x14ac:dyDescent="0.25">
      <c r="B665" s="76"/>
      <c r="Q665" s="30"/>
      <c r="R665" s="31"/>
      <c r="S665" s="30"/>
      <c r="T665" s="30"/>
      <c r="U665" s="30"/>
      <c r="V665" s="30"/>
      <c r="W665" s="30"/>
    </row>
    <row r="666" spans="2:23" s="14" customFormat="1" x14ac:dyDescent="0.25">
      <c r="B666" s="76"/>
      <c r="Q666" s="30"/>
      <c r="R666" s="31"/>
      <c r="S666" s="30"/>
      <c r="T666" s="30"/>
      <c r="U666" s="30"/>
      <c r="V666" s="30"/>
      <c r="W666" s="30"/>
    </row>
    <row r="667" spans="2:23" s="14" customFormat="1" x14ac:dyDescent="0.25">
      <c r="B667" s="76"/>
      <c r="Q667" s="30"/>
      <c r="R667" s="31"/>
      <c r="S667" s="30"/>
      <c r="T667" s="30"/>
      <c r="U667" s="30"/>
      <c r="V667" s="30"/>
      <c r="W667" s="30"/>
    </row>
    <row r="668" spans="2:23" s="14" customFormat="1" x14ac:dyDescent="0.25">
      <c r="B668" s="76"/>
      <c r="Q668" s="30"/>
      <c r="R668" s="31"/>
      <c r="S668" s="30"/>
      <c r="T668" s="30"/>
      <c r="U668" s="30"/>
      <c r="V668" s="30"/>
      <c r="W668" s="30"/>
    </row>
    <row r="669" spans="2:23" s="14" customFormat="1" x14ac:dyDescent="0.25">
      <c r="B669" s="76"/>
      <c r="Q669" s="30"/>
      <c r="R669" s="31"/>
      <c r="S669" s="30"/>
      <c r="T669" s="30"/>
      <c r="U669" s="30"/>
      <c r="V669" s="30"/>
      <c r="W669" s="30"/>
    </row>
    <row r="670" spans="2:23" s="14" customFormat="1" x14ac:dyDescent="0.25">
      <c r="B670" s="76"/>
      <c r="Q670" s="30"/>
      <c r="R670" s="31"/>
      <c r="S670" s="30"/>
      <c r="T670" s="30"/>
      <c r="U670" s="30"/>
      <c r="V670" s="30"/>
      <c r="W670" s="30"/>
    </row>
    <row r="671" spans="2:23" s="14" customFormat="1" x14ac:dyDescent="0.25">
      <c r="B671" s="76"/>
      <c r="Q671" s="30"/>
      <c r="R671" s="31"/>
      <c r="S671" s="30"/>
      <c r="T671" s="30"/>
      <c r="U671" s="30"/>
      <c r="V671" s="30"/>
      <c r="W671" s="30"/>
    </row>
    <row r="672" spans="2:23" s="14" customFormat="1" x14ac:dyDescent="0.25">
      <c r="B672" s="76"/>
      <c r="Q672" s="30"/>
      <c r="R672" s="31"/>
      <c r="S672" s="30"/>
      <c r="T672" s="30"/>
      <c r="U672" s="30"/>
      <c r="V672" s="30"/>
      <c r="W672" s="30"/>
    </row>
    <row r="673" spans="2:23" s="14" customFormat="1" x14ac:dyDescent="0.25">
      <c r="B673" s="76"/>
      <c r="Q673" s="30"/>
      <c r="R673" s="31"/>
      <c r="S673" s="30"/>
      <c r="T673" s="30"/>
      <c r="U673" s="30"/>
      <c r="V673" s="30"/>
      <c r="W673" s="30"/>
    </row>
    <row r="674" spans="2:23" s="14" customFormat="1" x14ac:dyDescent="0.25">
      <c r="B674" s="76"/>
      <c r="Q674" s="30"/>
      <c r="R674" s="31"/>
      <c r="S674" s="30"/>
      <c r="T674" s="30"/>
      <c r="U674" s="30"/>
      <c r="V674" s="30"/>
      <c r="W674" s="30"/>
    </row>
    <row r="675" spans="2:23" s="14" customFormat="1" x14ac:dyDescent="0.25">
      <c r="B675" s="76"/>
      <c r="Q675" s="30"/>
      <c r="R675" s="31"/>
      <c r="S675" s="30"/>
      <c r="T675" s="30"/>
      <c r="U675" s="30"/>
      <c r="V675" s="30"/>
      <c r="W675" s="30"/>
    </row>
    <row r="676" spans="2:23" s="14" customFormat="1" x14ac:dyDescent="0.25">
      <c r="B676" s="76"/>
      <c r="Q676" s="30"/>
      <c r="R676" s="31"/>
      <c r="S676" s="30"/>
      <c r="T676" s="30"/>
      <c r="U676" s="30"/>
      <c r="V676" s="30"/>
      <c r="W676" s="30"/>
    </row>
    <row r="677" spans="2:23" s="14" customFormat="1" x14ac:dyDescent="0.25">
      <c r="B677" s="76"/>
      <c r="Q677" s="30"/>
      <c r="R677" s="31"/>
      <c r="S677" s="30"/>
      <c r="T677" s="30"/>
      <c r="U677" s="30"/>
      <c r="V677" s="30"/>
      <c r="W677" s="30"/>
    </row>
    <row r="678" spans="2:23" s="14" customFormat="1" x14ac:dyDescent="0.25">
      <c r="B678" s="76"/>
      <c r="Q678" s="30"/>
      <c r="R678" s="31"/>
      <c r="S678" s="30"/>
      <c r="T678" s="30"/>
      <c r="U678" s="30"/>
      <c r="V678" s="30"/>
      <c r="W678" s="30"/>
    </row>
    <row r="679" spans="2:23" s="14" customFormat="1" x14ac:dyDescent="0.25">
      <c r="B679" s="76"/>
      <c r="Q679" s="30"/>
      <c r="R679" s="31"/>
      <c r="S679" s="30"/>
      <c r="T679" s="30"/>
      <c r="U679" s="30"/>
      <c r="V679" s="30"/>
      <c r="W679" s="30"/>
    </row>
    <row r="680" spans="2:23" s="14" customFormat="1" x14ac:dyDescent="0.25">
      <c r="B680" s="76"/>
      <c r="Q680" s="30"/>
      <c r="R680" s="31"/>
      <c r="S680" s="30"/>
      <c r="T680" s="30"/>
      <c r="U680" s="30"/>
      <c r="V680" s="30"/>
      <c r="W680" s="30"/>
    </row>
    <row r="681" spans="2:23" s="14" customFormat="1" x14ac:dyDescent="0.25">
      <c r="B681" s="76"/>
      <c r="Q681" s="30"/>
      <c r="R681" s="31"/>
      <c r="S681" s="30"/>
      <c r="T681" s="30"/>
      <c r="U681" s="30"/>
      <c r="V681" s="30"/>
      <c r="W681" s="30"/>
    </row>
    <row r="682" spans="2:23" s="14" customFormat="1" x14ac:dyDescent="0.25">
      <c r="B682" s="76"/>
      <c r="Q682" s="30"/>
      <c r="R682" s="31"/>
      <c r="S682" s="30"/>
      <c r="T682" s="30"/>
      <c r="U682" s="30"/>
      <c r="V682" s="30"/>
      <c r="W682" s="30"/>
    </row>
    <row r="683" spans="2:23" s="14" customFormat="1" x14ac:dyDescent="0.25">
      <c r="B683" s="76"/>
      <c r="Q683" s="30"/>
      <c r="R683" s="31"/>
      <c r="S683" s="30"/>
      <c r="T683" s="30"/>
      <c r="U683" s="30"/>
      <c r="V683" s="30"/>
      <c r="W683" s="30"/>
    </row>
    <row r="684" spans="2:23" s="14" customFormat="1" x14ac:dyDescent="0.25">
      <c r="B684" s="76"/>
      <c r="Q684" s="30"/>
      <c r="R684" s="31"/>
      <c r="S684" s="30"/>
      <c r="T684" s="30"/>
      <c r="U684" s="30"/>
      <c r="V684" s="30"/>
      <c r="W684" s="30"/>
    </row>
    <row r="685" spans="2:23" s="14" customFormat="1" x14ac:dyDescent="0.25">
      <c r="B685" s="76"/>
      <c r="Q685" s="30"/>
      <c r="R685" s="31"/>
      <c r="S685" s="30"/>
      <c r="T685" s="30"/>
      <c r="U685" s="30"/>
      <c r="V685" s="30"/>
      <c r="W685" s="30"/>
    </row>
    <row r="686" spans="2:23" s="14" customFormat="1" x14ac:dyDescent="0.25">
      <c r="B686" s="76"/>
      <c r="Q686" s="30"/>
      <c r="R686" s="31"/>
      <c r="S686" s="30"/>
      <c r="T686" s="30"/>
      <c r="U686" s="30"/>
      <c r="V686" s="30"/>
      <c r="W686" s="30"/>
    </row>
    <row r="687" spans="2:23" s="14" customFormat="1" x14ac:dyDescent="0.25">
      <c r="B687" s="76"/>
      <c r="Q687" s="30"/>
      <c r="R687" s="31"/>
      <c r="S687" s="30"/>
      <c r="T687" s="30"/>
      <c r="U687" s="30"/>
      <c r="V687" s="30"/>
      <c r="W687" s="30"/>
    </row>
    <row r="688" spans="2:23" s="14" customFormat="1" x14ac:dyDescent="0.25">
      <c r="B688" s="76"/>
      <c r="Q688" s="30"/>
      <c r="R688" s="31"/>
      <c r="S688" s="30"/>
      <c r="T688" s="30"/>
      <c r="U688" s="30"/>
      <c r="V688" s="30"/>
      <c r="W688" s="30"/>
    </row>
    <row r="689" spans="2:23" s="14" customFormat="1" x14ac:dyDescent="0.25">
      <c r="B689" s="76"/>
      <c r="Q689" s="30"/>
      <c r="R689" s="31"/>
      <c r="S689" s="30"/>
      <c r="T689" s="30"/>
      <c r="U689" s="30"/>
      <c r="V689" s="30"/>
      <c r="W689" s="30"/>
    </row>
    <row r="690" spans="2:23" s="14" customFormat="1" x14ac:dyDescent="0.25">
      <c r="B690" s="76"/>
      <c r="Q690" s="30"/>
      <c r="R690" s="31"/>
      <c r="S690" s="30"/>
      <c r="T690" s="30"/>
      <c r="U690" s="30"/>
      <c r="V690" s="30"/>
      <c r="W690" s="30"/>
    </row>
    <row r="691" spans="2:23" s="14" customFormat="1" x14ac:dyDescent="0.25">
      <c r="B691" s="76"/>
      <c r="Q691" s="30"/>
      <c r="R691" s="31"/>
      <c r="S691" s="30"/>
      <c r="T691" s="30"/>
      <c r="U691" s="30"/>
      <c r="V691" s="30"/>
      <c r="W691" s="30"/>
    </row>
    <row r="692" spans="2:23" s="14" customFormat="1" x14ac:dyDescent="0.25">
      <c r="B692" s="76"/>
      <c r="Q692" s="30"/>
      <c r="R692" s="31"/>
      <c r="S692" s="30"/>
      <c r="T692" s="30"/>
      <c r="U692" s="30"/>
      <c r="V692" s="30"/>
      <c r="W692" s="30"/>
    </row>
    <row r="693" spans="2:23" s="14" customFormat="1" x14ac:dyDescent="0.25">
      <c r="B693" s="76"/>
      <c r="Q693" s="30"/>
      <c r="R693" s="31"/>
      <c r="S693" s="30"/>
      <c r="T693" s="30"/>
      <c r="U693" s="30"/>
      <c r="V693" s="30"/>
      <c r="W693" s="30"/>
    </row>
    <row r="694" spans="2:23" s="14" customFormat="1" x14ac:dyDescent="0.25">
      <c r="B694" s="76"/>
      <c r="Q694" s="30"/>
      <c r="R694" s="31"/>
      <c r="S694" s="30"/>
      <c r="T694" s="30"/>
      <c r="U694" s="30"/>
      <c r="V694" s="30"/>
      <c r="W694" s="30"/>
    </row>
    <row r="695" spans="2:23" s="14" customFormat="1" x14ac:dyDescent="0.25">
      <c r="B695" s="76"/>
      <c r="Q695" s="30"/>
      <c r="R695" s="31"/>
      <c r="S695" s="30"/>
      <c r="T695" s="30"/>
      <c r="U695" s="30"/>
      <c r="V695" s="30"/>
      <c r="W695" s="30"/>
    </row>
    <row r="696" spans="2:23" s="14" customFormat="1" x14ac:dyDescent="0.25">
      <c r="B696" s="76"/>
      <c r="Q696" s="30"/>
      <c r="R696" s="31"/>
      <c r="S696" s="30"/>
      <c r="T696" s="30"/>
      <c r="U696" s="30"/>
      <c r="V696" s="30"/>
      <c r="W696" s="30"/>
    </row>
    <row r="697" spans="2:23" s="14" customFormat="1" x14ac:dyDescent="0.25">
      <c r="B697" s="76"/>
      <c r="Q697" s="30"/>
      <c r="R697" s="31"/>
      <c r="S697" s="30"/>
      <c r="T697" s="30"/>
      <c r="U697" s="30"/>
      <c r="V697" s="30"/>
      <c r="W697" s="30"/>
    </row>
    <row r="698" spans="2:23" s="14" customFormat="1" x14ac:dyDescent="0.25">
      <c r="B698" s="76"/>
      <c r="Q698" s="30"/>
      <c r="R698" s="31"/>
      <c r="S698" s="30"/>
      <c r="T698" s="30"/>
      <c r="U698" s="30"/>
      <c r="V698" s="30"/>
      <c r="W698" s="30"/>
    </row>
    <row r="699" spans="2:23" s="14" customFormat="1" x14ac:dyDescent="0.25">
      <c r="B699" s="76"/>
      <c r="Q699" s="30"/>
      <c r="R699" s="31"/>
      <c r="S699" s="30"/>
      <c r="T699" s="30"/>
      <c r="U699" s="30"/>
      <c r="V699" s="30"/>
      <c r="W699" s="30"/>
    </row>
    <row r="700" spans="2:23" s="14" customFormat="1" x14ac:dyDescent="0.25">
      <c r="B700" s="76"/>
      <c r="Q700" s="30"/>
      <c r="R700" s="31"/>
      <c r="S700" s="30"/>
      <c r="T700" s="30"/>
      <c r="U700" s="30"/>
      <c r="V700" s="30"/>
      <c r="W700" s="30"/>
    </row>
    <row r="701" spans="2:23" s="14" customFormat="1" x14ac:dyDescent="0.25">
      <c r="B701" s="76"/>
      <c r="Q701" s="30"/>
      <c r="R701" s="31"/>
      <c r="S701" s="30"/>
      <c r="T701" s="30"/>
      <c r="U701" s="30"/>
      <c r="V701" s="30"/>
      <c r="W701" s="30"/>
    </row>
    <row r="702" spans="2:23" s="14" customFormat="1" x14ac:dyDescent="0.25">
      <c r="B702" s="76"/>
      <c r="Q702" s="30"/>
      <c r="R702" s="31"/>
      <c r="S702" s="30"/>
      <c r="T702" s="30"/>
      <c r="U702" s="30"/>
      <c r="V702" s="30"/>
      <c r="W702" s="30"/>
    </row>
    <row r="703" spans="2:23" s="14" customFormat="1" x14ac:dyDescent="0.25">
      <c r="B703" s="76"/>
      <c r="Q703" s="30"/>
      <c r="R703" s="31"/>
      <c r="S703" s="30"/>
      <c r="T703" s="30"/>
      <c r="U703" s="30"/>
      <c r="V703" s="30"/>
      <c r="W703" s="30"/>
    </row>
    <row r="704" spans="2:23" s="14" customFormat="1" x14ac:dyDescent="0.25">
      <c r="B704" s="76"/>
      <c r="Q704" s="30"/>
      <c r="R704" s="31"/>
      <c r="S704" s="30"/>
      <c r="T704" s="30"/>
      <c r="U704" s="30"/>
      <c r="V704" s="30"/>
      <c r="W704" s="30"/>
    </row>
    <row r="705" spans="2:23" s="14" customFormat="1" x14ac:dyDescent="0.25">
      <c r="B705" s="76"/>
      <c r="Q705" s="30"/>
      <c r="R705" s="31"/>
      <c r="S705" s="30"/>
      <c r="T705" s="30"/>
      <c r="U705" s="30"/>
      <c r="V705" s="30"/>
      <c r="W705" s="30"/>
    </row>
    <row r="706" spans="2:23" s="14" customFormat="1" x14ac:dyDescent="0.25">
      <c r="B706" s="76"/>
      <c r="Q706" s="30"/>
      <c r="R706" s="31"/>
      <c r="S706" s="30"/>
      <c r="T706" s="30"/>
      <c r="U706" s="30"/>
      <c r="V706" s="30"/>
      <c r="W706" s="30"/>
    </row>
    <row r="707" spans="2:23" s="14" customFormat="1" x14ac:dyDescent="0.25">
      <c r="B707" s="76"/>
      <c r="Q707" s="30"/>
      <c r="R707" s="31"/>
      <c r="S707" s="30"/>
      <c r="T707" s="30"/>
      <c r="U707" s="30"/>
      <c r="V707" s="30"/>
      <c r="W707" s="30"/>
    </row>
    <row r="708" spans="2:23" s="14" customFormat="1" x14ac:dyDescent="0.25">
      <c r="B708" s="76"/>
      <c r="Q708" s="30"/>
      <c r="R708" s="31"/>
      <c r="S708" s="30"/>
      <c r="T708" s="30"/>
      <c r="U708" s="30"/>
      <c r="V708" s="30"/>
      <c r="W708" s="30"/>
    </row>
    <row r="709" spans="2:23" s="14" customFormat="1" x14ac:dyDescent="0.25">
      <c r="B709" s="76"/>
      <c r="Q709" s="30"/>
      <c r="R709" s="31"/>
      <c r="S709" s="30"/>
      <c r="T709" s="30"/>
      <c r="U709" s="30"/>
      <c r="V709" s="30"/>
      <c r="W709" s="30"/>
    </row>
    <row r="710" spans="2:23" s="14" customFormat="1" x14ac:dyDescent="0.25">
      <c r="B710" s="76"/>
      <c r="Q710" s="30"/>
      <c r="R710" s="31"/>
      <c r="S710" s="30"/>
      <c r="T710" s="30"/>
      <c r="U710" s="30"/>
      <c r="V710" s="30"/>
      <c r="W710" s="30"/>
    </row>
    <row r="711" spans="2:23" s="14" customFormat="1" x14ac:dyDescent="0.25">
      <c r="B711" s="76"/>
      <c r="Q711" s="30"/>
      <c r="R711" s="31"/>
      <c r="S711" s="30"/>
      <c r="T711" s="30"/>
      <c r="U711" s="30"/>
      <c r="V711" s="30"/>
      <c r="W711" s="30"/>
    </row>
    <row r="712" spans="2:23" s="14" customFormat="1" x14ac:dyDescent="0.25">
      <c r="B712" s="76"/>
      <c r="Q712" s="30"/>
      <c r="R712" s="31"/>
      <c r="S712" s="30"/>
      <c r="T712" s="30"/>
      <c r="U712" s="30"/>
      <c r="V712" s="30"/>
      <c r="W712" s="30"/>
    </row>
    <row r="713" spans="2:23" s="14" customFormat="1" x14ac:dyDescent="0.25">
      <c r="B713" s="76"/>
      <c r="Q713" s="30"/>
      <c r="R713" s="31"/>
      <c r="S713" s="30"/>
      <c r="T713" s="30"/>
      <c r="U713" s="30"/>
      <c r="V713" s="30"/>
      <c r="W713" s="30"/>
    </row>
    <row r="714" spans="2:23" s="14" customFormat="1" x14ac:dyDescent="0.25">
      <c r="B714" s="76"/>
      <c r="Q714" s="30"/>
      <c r="R714" s="31"/>
      <c r="S714" s="30"/>
      <c r="T714" s="30"/>
      <c r="U714" s="30"/>
      <c r="V714" s="30"/>
      <c r="W714" s="30"/>
    </row>
    <row r="715" spans="2:23" s="14" customFormat="1" x14ac:dyDescent="0.25">
      <c r="B715" s="76"/>
      <c r="Q715" s="30"/>
      <c r="R715" s="31"/>
      <c r="S715" s="30"/>
      <c r="T715" s="30"/>
      <c r="U715" s="30"/>
      <c r="V715" s="30"/>
      <c r="W715" s="30"/>
    </row>
    <row r="716" spans="2:23" s="14" customFormat="1" x14ac:dyDescent="0.25">
      <c r="B716" s="76"/>
      <c r="Q716" s="30"/>
      <c r="R716" s="31"/>
      <c r="S716" s="30"/>
      <c r="T716" s="30"/>
      <c r="U716" s="30"/>
      <c r="V716" s="30"/>
      <c r="W716" s="30"/>
    </row>
    <row r="717" spans="2:23" s="14" customFormat="1" x14ac:dyDescent="0.25">
      <c r="B717" s="76"/>
      <c r="Q717" s="30"/>
      <c r="R717" s="31"/>
      <c r="S717" s="30"/>
      <c r="T717" s="30"/>
      <c r="U717" s="30"/>
      <c r="V717" s="30"/>
      <c r="W717" s="30"/>
    </row>
    <row r="718" spans="2:23" s="14" customFormat="1" x14ac:dyDescent="0.25">
      <c r="B718" s="76"/>
      <c r="Q718" s="30"/>
      <c r="R718" s="31"/>
      <c r="S718" s="30"/>
      <c r="T718" s="30"/>
      <c r="U718" s="30"/>
      <c r="V718" s="30"/>
      <c r="W718" s="30"/>
    </row>
    <row r="719" spans="2:23" s="14" customFormat="1" x14ac:dyDescent="0.25">
      <c r="B719" s="76"/>
      <c r="Q719" s="30"/>
      <c r="R719" s="31"/>
      <c r="S719" s="30"/>
      <c r="T719" s="30"/>
      <c r="U719" s="30"/>
      <c r="V719" s="30"/>
      <c r="W719" s="30"/>
    </row>
    <row r="720" spans="2:23" s="14" customFormat="1" x14ac:dyDescent="0.25">
      <c r="B720" s="76"/>
      <c r="Q720" s="30"/>
      <c r="R720" s="31"/>
      <c r="S720" s="30"/>
      <c r="T720" s="30"/>
      <c r="U720" s="30"/>
      <c r="V720" s="30"/>
      <c r="W720" s="30"/>
    </row>
    <row r="721" spans="2:23" s="14" customFormat="1" x14ac:dyDescent="0.25">
      <c r="B721" s="76"/>
      <c r="Q721" s="30"/>
      <c r="R721" s="31"/>
      <c r="S721" s="30"/>
      <c r="T721" s="30"/>
      <c r="U721" s="30"/>
      <c r="V721" s="30"/>
      <c r="W721" s="30"/>
    </row>
    <row r="722" spans="2:23" s="14" customFormat="1" x14ac:dyDescent="0.25">
      <c r="B722" s="76"/>
      <c r="Q722" s="30"/>
      <c r="R722" s="31"/>
      <c r="S722" s="30"/>
      <c r="T722" s="30"/>
      <c r="U722" s="30"/>
      <c r="V722" s="30"/>
      <c r="W722" s="30"/>
    </row>
    <row r="723" spans="2:23" s="14" customFormat="1" x14ac:dyDescent="0.25">
      <c r="B723" s="76"/>
      <c r="Q723" s="30"/>
      <c r="R723" s="31"/>
      <c r="S723" s="30"/>
      <c r="T723" s="30"/>
      <c r="U723" s="30"/>
      <c r="V723" s="30"/>
      <c r="W723" s="30"/>
    </row>
    <row r="724" spans="2:23" s="14" customFormat="1" x14ac:dyDescent="0.25">
      <c r="B724" s="76"/>
      <c r="Q724" s="30"/>
      <c r="R724" s="31"/>
      <c r="S724" s="30"/>
      <c r="T724" s="30"/>
      <c r="U724" s="30"/>
      <c r="V724" s="30"/>
      <c r="W724" s="30"/>
    </row>
    <row r="725" spans="2:23" s="14" customFormat="1" x14ac:dyDescent="0.25">
      <c r="B725" s="76"/>
      <c r="Q725" s="30"/>
      <c r="R725" s="31"/>
      <c r="S725" s="30"/>
      <c r="T725" s="30"/>
      <c r="U725" s="30"/>
      <c r="V725" s="30"/>
      <c r="W725" s="30"/>
    </row>
    <row r="726" spans="2:23" s="14" customFormat="1" x14ac:dyDescent="0.25">
      <c r="B726" s="76"/>
      <c r="Q726" s="30"/>
      <c r="R726" s="31"/>
      <c r="S726" s="30"/>
      <c r="T726" s="30"/>
      <c r="U726" s="30"/>
      <c r="V726" s="30"/>
      <c r="W726" s="30"/>
    </row>
    <row r="727" spans="2:23" s="14" customFormat="1" x14ac:dyDescent="0.25">
      <c r="B727" s="76"/>
      <c r="Q727" s="30"/>
      <c r="R727" s="31"/>
      <c r="S727" s="30"/>
      <c r="T727" s="30"/>
      <c r="U727" s="30"/>
      <c r="V727" s="30"/>
      <c r="W727" s="30"/>
    </row>
    <row r="728" spans="2:23" s="14" customFormat="1" x14ac:dyDescent="0.25">
      <c r="B728" s="76"/>
      <c r="Q728" s="30"/>
      <c r="R728" s="31"/>
      <c r="S728" s="30"/>
      <c r="T728" s="30"/>
      <c r="U728" s="30"/>
      <c r="V728" s="30"/>
      <c r="W728" s="30"/>
    </row>
    <row r="729" spans="2:23" s="14" customFormat="1" x14ac:dyDescent="0.25">
      <c r="B729" s="76"/>
      <c r="Q729" s="30"/>
      <c r="R729" s="31"/>
      <c r="S729" s="30"/>
      <c r="T729" s="30"/>
      <c r="U729" s="30"/>
      <c r="V729" s="30"/>
      <c r="W729" s="30"/>
    </row>
    <row r="730" spans="2:23" s="14" customFormat="1" x14ac:dyDescent="0.25">
      <c r="B730" s="76"/>
      <c r="Q730" s="30"/>
      <c r="R730" s="31"/>
      <c r="S730" s="30"/>
      <c r="T730" s="30"/>
      <c r="U730" s="30"/>
      <c r="V730" s="30"/>
      <c r="W730" s="30"/>
    </row>
    <row r="731" spans="2:23" s="14" customFormat="1" x14ac:dyDescent="0.25">
      <c r="B731" s="76"/>
      <c r="Q731" s="30"/>
      <c r="R731" s="31"/>
      <c r="S731" s="30"/>
      <c r="T731" s="30"/>
      <c r="U731" s="30"/>
      <c r="V731" s="30"/>
      <c r="W731" s="30"/>
    </row>
    <row r="732" spans="2:23" s="14" customFormat="1" x14ac:dyDescent="0.25">
      <c r="B732" s="76"/>
      <c r="Q732" s="30"/>
      <c r="R732" s="31"/>
      <c r="S732" s="30"/>
      <c r="T732" s="30"/>
      <c r="U732" s="30"/>
      <c r="V732" s="30"/>
      <c r="W732" s="30"/>
    </row>
    <row r="733" spans="2:23" s="14" customFormat="1" x14ac:dyDescent="0.25">
      <c r="B733" s="76"/>
      <c r="Q733" s="30"/>
      <c r="R733" s="31"/>
      <c r="S733" s="30"/>
      <c r="T733" s="30"/>
      <c r="U733" s="30"/>
      <c r="V733" s="30"/>
      <c r="W733" s="30"/>
    </row>
    <row r="734" spans="2:23" s="14" customFormat="1" x14ac:dyDescent="0.25">
      <c r="B734" s="76"/>
      <c r="Q734" s="30"/>
      <c r="R734" s="31"/>
      <c r="S734" s="30"/>
      <c r="T734" s="30"/>
      <c r="U734" s="30"/>
      <c r="V734" s="30"/>
      <c r="W734" s="30"/>
    </row>
    <row r="735" spans="2:23" s="14" customFormat="1" x14ac:dyDescent="0.25">
      <c r="B735" s="76"/>
      <c r="Q735" s="30"/>
      <c r="R735" s="31"/>
      <c r="S735" s="30"/>
      <c r="T735" s="30"/>
      <c r="U735" s="30"/>
      <c r="V735" s="30"/>
      <c r="W735" s="30"/>
    </row>
    <row r="736" spans="2:23" s="14" customFormat="1" x14ac:dyDescent="0.25">
      <c r="B736" s="76"/>
      <c r="Q736" s="30"/>
      <c r="R736" s="31"/>
      <c r="S736" s="30"/>
      <c r="T736" s="30"/>
      <c r="U736" s="30"/>
      <c r="V736" s="30"/>
      <c r="W736" s="30"/>
    </row>
    <row r="737" spans="2:23" s="14" customFormat="1" x14ac:dyDescent="0.25">
      <c r="B737" s="76"/>
      <c r="Q737" s="30"/>
      <c r="R737" s="31"/>
      <c r="S737" s="30"/>
      <c r="T737" s="30"/>
      <c r="U737" s="30"/>
      <c r="V737" s="30"/>
      <c r="W737" s="30"/>
    </row>
    <row r="738" spans="2:23" s="14" customFormat="1" x14ac:dyDescent="0.25">
      <c r="B738" s="76"/>
      <c r="Q738" s="30"/>
      <c r="R738" s="31"/>
      <c r="S738" s="30"/>
      <c r="T738" s="30"/>
      <c r="U738" s="30"/>
      <c r="V738" s="30"/>
      <c r="W738" s="30"/>
    </row>
    <row r="739" spans="2:23" s="14" customFormat="1" x14ac:dyDescent="0.25">
      <c r="B739" s="76"/>
      <c r="Q739" s="30"/>
      <c r="R739" s="31"/>
      <c r="S739" s="30"/>
      <c r="T739" s="30"/>
      <c r="U739" s="30"/>
      <c r="V739" s="30"/>
      <c r="W739" s="30"/>
    </row>
    <row r="740" spans="2:23" s="14" customFormat="1" x14ac:dyDescent="0.25">
      <c r="B740" s="76"/>
      <c r="Q740" s="30"/>
      <c r="R740" s="31"/>
      <c r="S740" s="30"/>
      <c r="T740" s="30"/>
      <c r="U740" s="30"/>
      <c r="V740" s="30"/>
      <c r="W740" s="30"/>
    </row>
    <row r="741" spans="2:23" s="14" customFormat="1" x14ac:dyDescent="0.25">
      <c r="B741" s="76"/>
      <c r="Q741" s="30"/>
      <c r="R741" s="31"/>
      <c r="S741" s="30"/>
      <c r="T741" s="30"/>
      <c r="U741" s="30"/>
      <c r="V741" s="30"/>
      <c r="W741" s="30"/>
    </row>
    <row r="742" spans="2:23" s="14" customFormat="1" x14ac:dyDescent="0.25">
      <c r="B742" s="76"/>
      <c r="Q742" s="30"/>
      <c r="R742" s="31"/>
      <c r="S742" s="30"/>
      <c r="T742" s="30"/>
      <c r="U742" s="30"/>
      <c r="V742" s="30"/>
      <c r="W742" s="30"/>
    </row>
    <row r="743" spans="2:23" s="14" customFormat="1" x14ac:dyDescent="0.25">
      <c r="B743" s="76"/>
      <c r="Q743" s="30"/>
      <c r="R743" s="31"/>
      <c r="S743" s="30"/>
      <c r="T743" s="30"/>
      <c r="U743" s="30"/>
      <c r="V743" s="30"/>
      <c r="W743" s="30"/>
    </row>
    <row r="744" spans="2:23" s="14" customFormat="1" x14ac:dyDescent="0.25">
      <c r="B744" s="76"/>
      <c r="Q744" s="30"/>
      <c r="R744" s="31"/>
      <c r="S744" s="30"/>
      <c r="T744" s="30"/>
      <c r="U744" s="30"/>
      <c r="V744" s="30"/>
      <c r="W744" s="30"/>
    </row>
    <row r="745" spans="2:23" s="14" customFormat="1" x14ac:dyDescent="0.25">
      <c r="B745" s="76"/>
      <c r="Q745" s="30"/>
      <c r="R745" s="31"/>
      <c r="S745" s="30"/>
      <c r="T745" s="30"/>
      <c r="U745" s="30"/>
      <c r="V745" s="30"/>
      <c r="W745" s="30"/>
    </row>
    <row r="746" spans="2:23" s="14" customFormat="1" x14ac:dyDescent="0.25">
      <c r="B746" s="76"/>
      <c r="Q746" s="30"/>
      <c r="R746" s="31"/>
      <c r="S746" s="30"/>
      <c r="T746" s="30"/>
      <c r="U746" s="30"/>
      <c r="V746" s="30"/>
      <c r="W746" s="30"/>
    </row>
    <row r="747" spans="2:23" s="14" customFormat="1" x14ac:dyDescent="0.25">
      <c r="B747" s="76"/>
      <c r="Q747" s="30"/>
      <c r="R747" s="31"/>
      <c r="S747" s="30"/>
      <c r="T747" s="30"/>
      <c r="U747" s="30"/>
      <c r="V747" s="30"/>
      <c r="W747" s="30"/>
    </row>
    <row r="748" spans="2:23" s="14" customFormat="1" x14ac:dyDescent="0.25">
      <c r="B748" s="76"/>
      <c r="Q748" s="30"/>
      <c r="R748" s="31"/>
      <c r="S748" s="30"/>
      <c r="T748" s="30"/>
      <c r="U748" s="30"/>
      <c r="V748" s="30"/>
      <c r="W748" s="30"/>
    </row>
    <row r="749" spans="2:23" s="14" customFormat="1" x14ac:dyDescent="0.25">
      <c r="B749" s="76"/>
      <c r="Q749" s="30"/>
      <c r="R749" s="31"/>
      <c r="S749" s="30"/>
      <c r="T749" s="30"/>
      <c r="U749" s="30"/>
      <c r="V749" s="30"/>
      <c r="W749" s="30"/>
    </row>
    <row r="750" spans="2:23" s="14" customFormat="1" x14ac:dyDescent="0.25">
      <c r="B750" s="76"/>
      <c r="Q750" s="30"/>
      <c r="R750" s="31"/>
      <c r="S750" s="30"/>
      <c r="T750" s="30"/>
      <c r="U750" s="30"/>
      <c r="V750" s="30"/>
      <c r="W750" s="30"/>
    </row>
    <row r="751" spans="2:23" s="14" customFormat="1" x14ac:dyDescent="0.25">
      <c r="B751" s="76"/>
      <c r="Q751" s="30"/>
      <c r="R751" s="31"/>
      <c r="S751" s="30"/>
      <c r="T751" s="30"/>
      <c r="U751" s="30"/>
      <c r="V751" s="30"/>
      <c r="W751" s="30"/>
    </row>
    <row r="752" spans="2:23" s="14" customFormat="1" x14ac:dyDescent="0.25">
      <c r="B752" s="76"/>
      <c r="Q752" s="30"/>
      <c r="R752" s="31"/>
      <c r="S752" s="30"/>
      <c r="T752" s="30"/>
      <c r="U752" s="30"/>
      <c r="V752" s="30"/>
      <c r="W752" s="30"/>
    </row>
    <row r="753" spans="2:23" s="14" customFormat="1" x14ac:dyDescent="0.25">
      <c r="B753" s="76"/>
      <c r="Q753" s="30"/>
      <c r="R753" s="31"/>
      <c r="S753" s="30"/>
      <c r="T753" s="30"/>
      <c r="U753" s="30"/>
      <c r="V753" s="30"/>
      <c r="W753" s="30"/>
    </row>
    <row r="754" spans="2:23" s="14" customFormat="1" x14ac:dyDescent="0.25">
      <c r="B754" s="76"/>
      <c r="Q754" s="30"/>
      <c r="R754" s="31"/>
      <c r="S754" s="30"/>
      <c r="T754" s="30"/>
      <c r="U754" s="30"/>
      <c r="V754" s="30"/>
      <c r="W754" s="30"/>
    </row>
    <row r="755" spans="2:23" s="14" customFormat="1" x14ac:dyDescent="0.25">
      <c r="B755" s="76"/>
      <c r="Q755" s="30"/>
      <c r="R755" s="31"/>
      <c r="S755" s="30"/>
      <c r="T755" s="30"/>
      <c r="U755" s="30"/>
      <c r="V755" s="30"/>
      <c r="W755" s="30"/>
    </row>
    <row r="756" spans="2:23" s="14" customFormat="1" x14ac:dyDescent="0.25">
      <c r="B756" s="76"/>
      <c r="Q756" s="30"/>
      <c r="R756" s="31"/>
      <c r="S756" s="30"/>
      <c r="T756" s="30"/>
      <c r="U756" s="30"/>
      <c r="V756" s="30"/>
      <c r="W756" s="30"/>
    </row>
    <row r="757" spans="2:23" s="14" customFormat="1" x14ac:dyDescent="0.25">
      <c r="B757" s="76"/>
      <c r="Q757" s="30"/>
      <c r="R757" s="31"/>
      <c r="S757" s="30"/>
      <c r="T757" s="30"/>
      <c r="U757" s="30"/>
      <c r="V757" s="30"/>
      <c r="W757" s="30"/>
    </row>
    <row r="758" spans="2:23" s="14" customFormat="1" x14ac:dyDescent="0.25">
      <c r="B758" s="76"/>
      <c r="Q758" s="30"/>
      <c r="R758" s="31"/>
      <c r="S758" s="30"/>
      <c r="T758" s="30"/>
      <c r="U758" s="30"/>
      <c r="V758" s="30"/>
      <c r="W758" s="30"/>
    </row>
    <row r="759" spans="2:23" s="14" customFormat="1" x14ac:dyDescent="0.25">
      <c r="B759" s="76"/>
      <c r="Q759" s="30"/>
      <c r="R759" s="31"/>
      <c r="S759" s="30"/>
      <c r="T759" s="30"/>
      <c r="U759" s="30"/>
      <c r="V759" s="30"/>
      <c r="W759" s="30"/>
    </row>
    <row r="760" spans="2:23" s="14" customFormat="1" x14ac:dyDescent="0.25">
      <c r="B760" s="76"/>
      <c r="Q760" s="30"/>
      <c r="R760" s="31"/>
      <c r="S760" s="30"/>
      <c r="T760" s="30"/>
      <c r="U760" s="30"/>
      <c r="V760" s="30"/>
      <c r="W760" s="30"/>
    </row>
    <row r="761" spans="2:23" s="14" customFormat="1" x14ac:dyDescent="0.25">
      <c r="B761" s="76"/>
      <c r="Q761" s="30"/>
      <c r="R761" s="31"/>
      <c r="S761" s="30"/>
      <c r="T761" s="30"/>
      <c r="U761" s="30"/>
      <c r="V761" s="30"/>
      <c r="W761" s="30"/>
    </row>
    <row r="762" spans="2:23" s="14" customFormat="1" x14ac:dyDescent="0.25">
      <c r="B762" s="76"/>
      <c r="Q762" s="30"/>
      <c r="R762" s="31"/>
      <c r="S762" s="30"/>
      <c r="T762" s="30"/>
      <c r="U762" s="30"/>
      <c r="V762" s="30"/>
      <c r="W762" s="30"/>
    </row>
    <row r="763" spans="2:23" s="14" customFormat="1" x14ac:dyDescent="0.25">
      <c r="B763" s="76"/>
      <c r="Q763" s="30"/>
      <c r="R763" s="31"/>
      <c r="S763" s="30"/>
      <c r="T763" s="30"/>
      <c r="U763" s="30"/>
      <c r="V763" s="30"/>
      <c r="W763" s="30"/>
    </row>
    <row r="764" spans="2:23" s="14" customFormat="1" x14ac:dyDescent="0.25">
      <c r="B764" s="76"/>
      <c r="Q764" s="30"/>
      <c r="R764" s="31"/>
      <c r="S764" s="30"/>
      <c r="T764" s="30"/>
      <c r="U764" s="30"/>
      <c r="V764" s="30"/>
      <c r="W764" s="30"/>
    </row>
    <row r="765" spans="2:23" s="14" customFormat="1" x14ac:dyDescent="0.25">
      <c r="B765" s="76"/>
      <c r="Q765" s="30"/>
      <c r="R765" s="31"/>
      <c r="S765" s="30"/>
      <c r="T765" s="30"/>
      <c r="U765" s="30"/>
      <c r="V765" s="30"/>
      <c r="W765" s="30"/>
    </row>
    <row r="766" spans="2:23" s="14" customFormat="1" x14ac:dyDescent="0.25">
      <c r="B766" s="76"/>
      <c r="Q766" s="30"/>
      <c r="R766" s="31"/>
      <c r="S766" s="30"/>
      <c r="T766" s="30"/>
      <c r="U766" s="30"/>
      <c r="V766" s="30"/>
      <c r="W766" s="30"/>
    </row>
    <row r="767" spans="2:23" s="14" customFormat="1" x14ac:dyDescent="0.25">
      <c r="B767" s="76"/>
      <c r="Q767" s="30"/>
      <c r="R767" s="31"/>
      <c r="S767" s="30"/>
      <c r="T767" s="30"/>
      <c r="U767" s="30"/>
      <c r="V767" s="30"/>
      <c r="W767" s="30"/>
    </row>
    <row r="768" spans="2:23" s="14" customFormat="1" x14ac:dyDescent="0.25">
      <c r="B768" s="76"/>
      <c r="Q768" s="30"/>
      <c r="R768" s="31"/>
      <c r="S768" s="30"/>
      <c r="T768" s="30"/>
      <c r="U768" s="30"/>
      <c r="V768" s="30"/>
      <c r="W768" s="30"/>
    </row>
    <row r="769" spans="2:23" s="14" customFormat="1" x14ac:dyDescent="0.25">
      <c r="B769" s="76"/>
      <c r="Q769" s="30"/>
      <c r="R769" s="31"/>
      <c r="S769" s="30"/>
      <c r="T769" s="30"/>
      <c r="U769" s="30"/>
      <c r="V769" s="30"/>
      <c r="W769" s="30"/>
    </row>
    <row r="770" spans="2:23" s="14" customFormat="1" x14ac:dyDescent="0.25">
      <c r="B770" s="76"/>
      <c r="Q770" s="30"/>
      <c r="R770" s="31"/>
      <c r="S770" s="30"/>
      <c r="T770" s="30"/>
      <c r="U770" s="30"/>
      <c r="V770" s="30"/>
      <c r="W770" s="30"/>
    </row>
    <row r="771" spans="2:23" s="14" customFormat="1" x14ac:dyDescent="0.25">
      <c r="B771" s="76"/>
      <c r="Q771" s="30"/>
      <c r="R771" s="31"/>
      <c r="S771" s="30"/>
      <c r="T771" s="30"/>
      <c r="U771" s="30"/>
      <c r="V771" s="30"/>
      <c r="W771" s="30"/>
    </row>
    <row r="772" spans="2:23" s="14" customFormat="1" x14ac:dyDescent="0.25">
      <c r="B772" s="76"/>
      <c r="Q772" s="30"/>
      <c r="R772" s="31"/>
      <c r="S772" s="30"/>
      <c r="T772" s="30"/>
      <c r="U772" s="30"/>
      <c r="V772" s="30"/>
      <c r="W772" s="30"/>
    </row>
    <row r="773" spans="2:23" s="14" customFormat="1" x14ac:dyDescent="0.25">
      <c r="B773" s="76"/>
      <c r="Q773" s="30"/>
      <c r="R773" s="31"/>
      <c r="S773" s="30"/>
      <c r="T773" s="30"/>
      <c r="U773" s="30"/>
      <c r="V773" s="30"/>
      <c r="W773" s="30"/>
    </row>
    <row r="774" spans="2:23" s="14" customFormat="1" x14ac:dyDescent="0.25">
      <c r="B774" s="76"/>
      <c r="Q774" s="30"/>
      <c r="R774" s="31"/>
      <c r="S774" s="30"/>
      <c r="T774" s="30"/>
      <c r="U774" s="30"/>
      <c r="V774" s="30"/>
      <c r="W774" s="30"/>
    </row>
    <row r="775" spans="2:23" s="14" customFormat="1" x14ac:dyDescent="0.25">
      <c r="B775" s="76"/>
      <c r="Q775" s="30"/>
      <c r="R775" s="31"/>
      <c r="S775" s="30"/>
      <c r="T775" s="30"/>
      <c r="U775" s="30"/>
      <c r="V775" s="30"/>
      <c r="W775" s="30"/>
    </row>
    <row r="776" spans="2:23" s="14" customFormat="1" x14ac:dyDescent="0.25">
      <c r="B776" s="76"/>
      <c r="Q776" s="30"/>
      <c r="R776" s="31"/>
      <c r="S776" s="30"/>
      <c r="T776" s="30"/>
      <c r="U776" s="30"/>
      <c r="V776" s="30"/>
      <c r="W776" s="30"/>
    </row>
    <row r="777" spans="2:23" s="14" customFormat="1" x14ac:dyDescent="0.25">
      <c r="B777" s="76"/>
      <c r="Q777" s="30"/>
      <c r="R777" s="31"/>
      <c r="S777" s="30"/>
      <c r="T777" s="30"/>
      <c r="U777" s="30"/>
      <c r="V777" s="30"/>
      <c r="W777" s="30"/>
    </row>
    <row r="778" spans="2:23" s="14" customFormat="1" x14ac:dyDescent="0.25">
      <c r="B778" s="76"/>
      <c r="Q778" s="30"/>
      <c r="R778" s="31"/>
      <c r="S778" s="30"/>
      <c r="T778" s="30"/>
      <c r="U778" s="30"/>
      <c r="V778" s="30"/>
      <c r="W778" s="30"/>
    </row>
    <row r="779" spans="2:23" s="14" customFormat="1" x14ac:dyDescent="0.25">
      <c r="B779" s="76"/>
      <c r="Q779" s="30"/>
      <c r="R779" s="31"/>
      <c r="S779" s="30"/>
      <c r="T779" s="30"/>
      <c r="U779" s="30"/>
      <c r="V779" s="30"/>
      <c r="W779" s="30"/>
    </row>
    <row r="780" spans="2:23" s="14" customFormat="1" x14ac:dyDescent="0.25">
      <c r="B780" s="76"/>
      <c r="Q780" s="30"/>
      <c r="R780" s="31"/>
      <c r="S780" s="30"/>
      <c r="T780" s="30"/>
      <c r="U780" s="30"/>
      <c r="V780" s="30"/>
      <c r="W780" s="30"/>
    </row>
    <row r="781" spans="2:23" s="14" customFormat="1" x14ac:dyDescent="0.25">
      <c r="B781" s="76"/>
      <c r="Q781" s="30"/>
      <c r="R781" s="31"/>
      <c r="S781" s="30"/>
      <c r="T781" s="30"/>
      <c r="U781" s="30"/>
      <c r="V781" s="30"/>
      <c r="W781" s="30"/>
    </row>
    <row r="782" spans="2:23" s="14" customFormat="1" x14ac:dyDescent="0.25">
      <c r="B782" s="76"/>
      <c r="Q782" s="30"/>
      <c r="R782" s="31"/>
      <c r="S782" s="30"/>
      <c r="T782" s="30"/>
      <c r="U782" s="30"/>
      <c r="V782" s="30"/>
      <c r="W782" s="30"/>
    </row>
    <row r="783" spans="2:23" s="14" customFormat="1" x14ac:dyDescent="0.25">
      <c r="B783" s="76"/>
      <c r="Q783" s="30"/>
      <c r="R783" s="31"/>
      <c r="S783" s="30"/>
      <c r="T783" s="30"/>
      <c r="U783" s="30"/>
      <c r="V783" s="30"/>
      <c r="W783" s="30"/>
    </row>
    <row r="784" spans="2:23" s="14" customFormat="1" x14ac:dyDescent="0.25">
      <c r="B784" s="76"/>
      <c r="Q784" s="30"/>
      <c r="R784" s="31"/>
      <c r="S784" s="30"/>
      <c r="T784" s="30"/>
      <c r="U784" s="30"/>
      <c r="V784" s="30"/>
      <c r="W784" s="30"/>
    </row>
    <row r="785" spans="2:23" s="14" customFormat="1" x14ac:dyDescent="0.25">
      <c r="B785" s="76"/>
      <c r="Q785" s="30"/>
      <c r="R785" s="31"/>
      <c r="S785" s="30"/>
      <c r="T785" s="30"/>
      <c r="U785" s="30"/>
      <c r="V785" s="30"/>
      <c r="W785" s="30"/>
    </row>
    <row r="786" spans="2:23" s="14" customFormat="1" x14ac:dyDescent="0.25">
      <c r="B786" s="76"/>
      <c r="Q786" s="30"/>
      <c r="R786" s="31"/>
      <c r="S786" s="30"/>
      <c r="T786" s="30"/>
      <c r="U786" s="30"/>
      <c r="V786" s="30"/>
      <c r="W786" s="30"/>
    </row>
    <row r="787" spans="2:23" s="14" customFormat="1" x14ac:dyDescent="0.25">
      <c r="B787" s="76"/>
      <c r="Q787" s="30"/>
      <c r="R787" s="31"/>
      <c r="S787" s="30"/>
      <c r="T787" s="30"/>
      <c r="U787" s="30"/>
      <c r="V787" s="30"/>
      <c r="W787" s="30"/>
    </row>
    <row r="788" spans="2:23" s="14" customFormat="1" x14ac:dyDescent="0.25">
      <c r="B788" s="76"/>
      <c r="Q788" s="30"/>
      <c r="R788" s="31"/>
      <c r="S788" s="30"/>
      <c r="T788" s="30"/>
      <c r="U788" s="30"/>
      <c r="V788" s="30"/>
      <c r="W788" s="30"/>
    </row>
    <row r="789" spans="2:23" s="14" customFormat="1" x14ac:dyDescent="0.25">
      <c r="B789" s="76"/>
      <c r="Q789" s="30"/>
      <c r="R789" s="31"/>
      <c r="S789" s="30"/>
      <c r="T789" s="30"/>
      <c r="U789" s="30"/>
      <c r="V789" s="30"/>
      <c r="W789" s="30"/>
    </row>
    <row r="790" spans="2:23" s="14" customFormat="1" x14ac:dyDescent="0.25">
      <c r="B790" s="76"/>
      <c r="Q790" s="30"/>
      <c r="R790" s="31"/>
      <c r="S790" s="30"/>
      <c r="T790" s="30"/>
      <c r="U790" s="30"/>
      <c r="V790" s="30"/>
      <c r="W790" s="30"/>
    </row>
    <row r="791" spans="2:23" s="14" customFormat="1" x14ac:dyDescent="0.25">
      <c r="B791" s="76"/>
      <c r="Q791" s="30"/>
      <c r="R791" s="31"/>
      <c r="S791" s="30"/>
      <c r="T791" s="30"/>
      <c r="U791" s="30"/>
      <c r="V791" s="30"/>
      <c r="W791" s="30"/>
    </row>
    <row r="792" spans="2:23" s="14" customFormat="1" x14ac:dyDescent="0.25">
      <c r="B792" s="76"/>
      <c r="Q792" s="30"/>
      <c r="R792" s="31"/>
      <c r="S792" s="30"/>
      <c r="T792" s="30"/>
      <c r="U792" s="30"/>
      <c r="V792" s="30"/>
      <c r="W792" s="30"/>
    </row>
    <row r="793" spans="2:23" s="14" customFormat="1" x14ac:dyDescent="0.25">
      <c r="B793" s="76"/>
      <c r="Q793" s="30"/>
      <c r="R793" s="31"/>
      <c r="S793" s="30"/>
      <c r="T793" s="30"/>
      <c r="U793" s="30"/>
      <c r="V793" s="30"/>
      <c r="W793" s="30"/>
    </row>
    <row r="794" spans="2:23" s="14" customFormat="1" x14ac:dyDescent="0.25">
      <c r="B794" s="76"/>
      <c r="Q794" s="30"/>
      <c r="R794" s="31"/>
      <c r="S794" s="30"/>
      <c r="T794" s="30"/>
      <c r="U794" s="30"/>
      <c r="V794" s="30"/>
      <c r="W794" s="30"/>
    </row>
    <row r="795" spans="2:23" s="14" customFormat="1" x14ac:dyDescent="0.25">
      <c r="B795" s="76"/>
      <c r="Q795" s="30"/>
      <c r="R795" s="31"/>
      <c r="S795" s="30"/>
      <c r="T795" s="30"/>
      <c r="U795" s="30"/>
      <c r="V795" s="30"/>
      <c r="W795" s="30"/>
    </row>
    <row r="796" spans="2:23" s="14" customFormat="1" x14ac:dyDescent="0.25">
      <c r="B796" s="76"/>
      <c r="Q796" s="30"/>
      <c r="R796" s="31"/>
      <c r="S796" s="30"/>
      <c r="T796" s="30"/>
      <c r="U796" s="30"/>
      <c r="V796" s="30"/>
      <c r="W796" s="30"/>
    </row>
    <row r="797" spans="2:23" s="14" customFormat="1" x14ac:dyDescent="0.25">
      <c r="B797" s="76"/>
      <c r="Q797" s="30"/>
      <c r="R797" s="31"/>
      <c r="S797" s="30"/>
      <c r="T797" s="30"/>
      <c r="U797" s="30"/>
      <c r="V797" s="30"/>
      <c r="W797" s="30"/>
    </row>
    <row r="798" spans="2:23" s="14" customFormat="1" x14ac:dyDescent="0.25">
      <c r="B798" s="76"/>
      <c r="Q798" s="30"/>
      <c r="R798" s="31"/>
      <c r="S798" s="30"/>
      <c r="T798" s="30"/>
      <c r="U798" s="30"/>
      <c r="V798" s="30"/>
      <c r="W798" s="30"/>
    </row>
    <row r="799" spans="2:23" s="14" customFormat="1" x14ac:dyDescent="0.25">
      <c r="B799" s="76"/>
      <c r="Q799" s="30"/>
      <c r="R799" s="31"/>
      <c r="S799" s="30"/>
      <c r="T799" s="30"/>
      <c r="U799" s="30"/>
      <c r="V799" s="30"/>
      <c r="W799" s="30"/>
    </row>
    <row r="800" spans="2:23" s="14" customFormat="1" x14ac:dyDescent="0.25">
      <c r="B800" s="76"/>
      <c r="Q800" s="30"/>
      <c r="R800" s="31"/>
      <c r="S800" s="30"/>
      <c r="T800" s="30"/>
      <c r="U800" s="30"/>
      <c r="V800" s="30"/>
      <c r="W800" s="30"/>
    </row>
    <row r="801" spans="2:23" s="14" customFormat="1" x14ac:dyDescent="0.25">
      <c r="B801" s="76"/>
      <c r="Q801" s="30"/>
      <c r="R801" s="31"/>
      <c r="S801" s="30"/>
      <c r="T801" s="30"/>
      <c r="U801" s="30"/>
      <c r="V801" s="30"/>
      <c r="W801" s="30"/>
    </row>
    <row r="802" spans="2:23" s="14" customFormat="1" x14ac:dyDescent="0.25">
      <c r="B802" s="76"/>
      <c r="Q802" s="30"/>
      <c r="R802" s="31"/>
      <c r="S802" s="30"/>
      <c r="T802" s="30"/>
      <c r="U802" s="30"/>
      <c r="V802" s="30"/>
      <c r="W802" s="30"/>
    </row>
    <row r="803" spans="2:23" s="14" customFormat="1" x14ac:dyDescent="0.25">
      <c r="B803" s="76"/>
      <c r="Q803" s="30"/>
      <c r="R803" s="31"/>
      <c r="S803" s="30"/>
      <c r="T803" s="30"/>
      <c r="U803" s="30"/>
      <c r="V803" s="30"/>
      <c r="W803" s="30"/>
    </row>
    <row r="804" spans="2:23" s="14" customFormat="1" x14ac:dyDescent="0.25">
      <c r="B804" s="76"/>
      <c r="Q804" s="30"/>
      <c r="R804" s="31"/>
      <c r="S804" s="30"/>
      <c r="T804" s="30"/>
      <c r="U804" s="30"/>
      <c r="V804" s="30"/>
      <c r="W804" s="30"/>
    </row>
    <row r="805" spans="2:23" s="14" customFormat="1" x14ac:dyDescent="0.25">
      <c r="B805" s="76"/>
      <c r="Q805" s="30"/>
      <c r="R805" s="31"/>
      <c r="S805" s="30"/>
      <c r="T805" s="30"/>
      <c r="U805" s="30"/>
      <c r="V805" s="30"/>
      <c r="W805" s="30"/>
    </row>
    <row r="806" spans="2:23" s="14" customFormat="1" x14ac:dyDescent="0.25">
      <c r="B806" s="76"/>
      <c r="Q806" s="30"/>
      <c r="R806" s="31"/>
      <c r="S806" s="30"/>
      <c r="T806" s="30"/>
      <c r="U806" s="30"/>
      <c r="V806" s="30"/>
      <c r="W806" s="30"/>
    </row>
    <row r="807" spans="2:23" s="14" customFormat="1" x14ac:dyDescent="0.25">
      <c r="B807" s="76"/>
      <c r="Q807" s="30"/>
      <c r="R807" s="31"/>
      <c r="S807" s="30"/>
      <c r="T807" s="30"/>
      <c r="U807" s="30"/>
      <c r="V807" s="30"/>
      <c r="W807" s="30"/>
    </row>
    <row r="808" spans="2:23" s="14" customFormat="1" x14ac:dyDescent="0.25">
      <c r="B808" s="76"/>
      <c r="Q808" s="30"/>
      <c r="R808" s="31"/>
      <c r="S808" s="30"/>
      <c r="T808" s="30"/>
      <c r="U808" s="30"/>
      <c r="V808" s="30"/>
      <c r="W808" s="30"/>
    </row>
    <row r="809" spans="2:23" s="14" customFormat="1" x14ac:dyDescent="0.25">
      <c r="B809" s="76"/>
      <c r="Q809" s="30"/>
      <c r="R809" s="31"/>
      <c r="S809" s="30"/>
      <c r="T809" s="30"/>
      <c r="U809" s="30"/>
      <c r="V809" s="30"/>
      <c r="W809" s="30"/>
    </row>
    <row r="810" spans="2:23" s="14" customFormat="1" x14ac:dyDescent="0.25">
      <c r="B810" s="76"/>
      <c r="Q810" s="30"/>
      <c r="R810" s="31"/>
      <c r="S810" s="30"/>
      <c r="T810" s="30"/>
      <c r="U810" s="30"/>
      <c r="V810" s="30"/>
      <c r="W810" s="30"/>
    </row>
    <row r="811" spans="2:23" s="14" customFormat="1" x14ac:dyDescent="0.25">
      <c r="B811" s="76"/>
      <c r="Q811" s="30"/>
      <c r="R811" s="31"/>
      <c r="S811" s="30"/>
      <c r="T811" s="30"/>
      <c r="U811" s="30"/>
      <c r="V811" s="30"/>
      <c r="W811" s="30"/>
    </row>
    <row r="812" spans="2:23" s="14" customFormat="1" x14ac:dyDescent="0.25">
      <c r="B812" s="76"/>
      <c r="Q812" s="30"/>
      <c r="R812" s="31"/>
      <c r="S812" s="30"/>
      <c r="T812" s="30"/>
      <c r="U812" s="30"/>
      <c r="V812" s="30"/>
      <c r="W812" s="30"/>
    </row>
    <row r="813" spans="2:23" s="14" customFormat="1" x14ac:dyDescent="0.25">
      <c r="B813" s="76"/>
      <c r="Q813" s="30"/>
      <c r="R813" s="31"/>
      <c r="S813" s="30"/>
      <c r="T813" s="30"/>
      <c r="U813" s="30"/>
      <c r="V813" s="30"/>
      <c r="W813" s="30"/>
    </row>
    <row r="814" spans="2:23" s="14" customFormat="1" x14ac:dyDescent="0.25">
      <c r="B814" s="76"/>
      <c r="Q814" s="30"/>
      <c r="R814" s="31"/>
      <c r="S814" s="30"/>
      <c r="T814" s="30"/>
      <c r="U814" s="30"/>
      <c r="V814" s="30"/>
      <c r="W814" s="30"/>
    </row>
    <row r="815" spans="2:23" s="14" customFormat="1" x14ac:dyDescent="0.25">
      <c r="B815" s="76"/>
      <c r="Q815" s="30"/>
      <c r="R815" s="31"/>
      <c r="S815" s="30"/>
      <c r="T815" s="30"/>
      <c r="U815" s="30"/>
      <c r="V815" s="30"/>
      <c r="W815" s="30"/>
    </row>
    <row r="816" spans="2:23" s="14" customFormat="1" x14ac:dyDescent="0.25">
      <c r="B816" s="76"/>
      <c r="Q816" s="30"/>
      <c r="R816" s="31"/>
      <c r="S816" s="30"/>
      <c r="T816" s="30"/>
      <c r="U816" s="30"/>
      <c r="V816" s="30"/>
      <c r="W816" s="30"/>
    </row>
    <row r="817" spans="2:23" s="14" customFormat="1" x14ac:dyDescent="0.25">
      <c r="B817" s="76"/>
      <c r="Q817" s="30"/>
      <c r="R817" s="31"/>
      <c r="S817" s="30"/>
      <c r="T817" s="30"/>
      <c r="U817" s="30"/>
      <c r="V817" s="30"/>
      <c r="W817" s="30"/>
    </row>
    <row r="818" spans="2:23" s="14" customFormat="1" x14ac:dyDescent="0.25">
      <c r="B818" s="76"/>
      <c r="Q818" s="30"/>
      <c r="R818" s="31"/>
      <c r="S818" s="30"/>
      <c r="T818" s="30"/>
      <c r="U818" s="30"/>
      <c r="V818" s="30"/>
      <c r="W818" s="30"/>
    </row>
    <row r="819" spans="2:23" s="14" customFormat="1" x14ac:dyDescent="0.25">
      <c r="B819" s="76"/>
      <c r="Q819" s="30"/>
      <c r="R819" s="31"/>
      <c r="S819" s="30"/>
      <c r="T819" s="30"/>
      <c r="U819" s="30"/>
      <c r="V819" s="30"/>
      <c r="W819" s="30"/>
    </row>
    <row r="820" spans="2:23" s="14" customFormat="1" x14ac:dyDescent="0.25">
      <c r="B820" s="76"/>
      <c r="Q820" s="30"/>
      <c r="R820" s="31"/>
      <c r="S820" s="30"/>
      <c r="T820" s="30"/>
      <c r="U820" s="30"/>
      <c r="V820" s="30"/>
      <c r="W820" s="30"/>
    </row>
    <row r="821" spans="2:23" s="14" customFormat="1" x14ac:dyDescent="0.25">
      <c r="B821" s="76"/>
      <c r="Q821" s="30"/>
      <c r="R821" s="31"/>
      <c r="S821" s="30"/>
      <c r="T821" s="30"/>
      <c r="U821" s="30"/>
      <c r="V821" s="30"/>
      <c r="W821" s="30"/>
    </row>
    <row r="822" spans="2:23" s="14" customFormat="1" x14ac:dyDescent="0.25">
      <c r="B822" s="76"/>
      <c r="Q822" s="30"/>
      <c r="R822" s="31"/>
      <c r="S822" s="30"/>
      <c r="T822" s="30"/>
      <c r="U822" s="30"/>
      <c r="V822" s="30"/>
      <c r="W822" s="30"/>
    </row>
    <row r="823" spans="2:23" s="14" customFormat="1" x14ac:dyDescent="0.25">
      <c r="B823" s="76"/>
      <c r="Q823" s="30"/>
      <c r="R823" s="31"/>
      <c r="S823" s="30"/>
      <c r="T823" s="30"/>
      <c r="U823" s="30"/>
      <c r="V823" s="30"/>
      <c r="W823" s="30"/>
    </row>
    <row r="824" spans="2:23" s="14" customFormat="1" x14ac:dyDescent="0.25">
      <c r="B824" s="76"/>
      <c r="Q824" s="30"/>
      <c r="R824" s="31"/>
      <c r="S824" s="30"/>
      <c r="T824" s="30"/>
      <c r="U824" s="30"/>
      <c r="V824" s="30"/>
      <c r="W824" s="30"/>
    </row>
    <row r="825" spans="2:23" s="14" customFormat="1" x14ac:dyDescent="0.25">
      <c r="B825" s="76"/>
      <c r="Q825" s="30"/>
      <c r="R825" s="31"/>
      <c r="S825" s="30"/>
      <c r="T825" s="30"/>
      <c r="U825" s="30"/>
      <c r="V825" s="30"/>
      <c r="W825" s="30"/>
    </row>
    <row r="826" spans="2:23" s="14" customFormat="1" x14ac:dyDescent="0.25">
      <c r="B826" s="76"/>
      <c r="Q826" s="30"/>
      <c r="R826" s="31"/>
      <c r="S826" s="30"/>
      <c r="T826" s="30"/>
      <c r="U826" s="30"/>
      <c r="V826" s="30"/>
      <c r="W826" s="30"/>
    </row>
    <row r="827" spans="2:23" s="14" customFormat="1" x14ac:dyDescent="0.25">
      <c r="B827" s="76"/>
      <c r="Q827" s="30"/>
      <c r="R827" s="31"/>
      <c r="S827" s="30"/>
      <c r="T827" s="30"/>
      <c r="U827" s="30"/>
      <c r="V827" s="30"/>
      <c r="W827" s="30"/>
    </row>
    <row r="828" spans="2:23" s="14" customFormat="1" x14ac:dyDescent="0.25">
      <c r="B828" s="76"/>
      <c r="Q828" s="30"/>
      <c r="R828" s="31"/>
      <c r="S828" s="30"/>
      <c r="T828" s="30"/>
      <c r="U828" s="30"/>
      <c r="V828" s="30"/>
      <c r="W828" s="30"/>
    </row>
    <row r="829" spans="2:23" s="14" customFormat="1" x14ac:dyDescent="0.25">
      <c r="B829" s="76"/>
      <c r="Q829" s="30"/>
      <c r="R829" s="31"/>
      <c r="S829" s="30"/>
      <c r="T829" s="30"/>
      <c r="U829" s="30"/>
      <c r="V829" s="30"/>
      <c r="W829" s="30"/>
    </row>
    <row r="830" spans="2:23" s="14" customFormat="1" x14ac:dyDescent="0.25">
      <c r="B830" s="76"/>
      <c r="Q830" s="30"/>
      <c r="R830" s="31"/>
      <c r="S830" s="30"/>
      <c r="T830" s="30"/>
      <c r="U830" s="30"/>
      <c r="V830" s="30"/>
      <c r="W830" s="30"/>
    </row>
    <row r="831" spans="2:23" s="14" customFormat="1" x14ac:dyDescent="0.25">
      <c r="B831" s="76"/>
      <c r="Q831" s="30"/>
      <c r="R831" s="31"/>
      <c r="S831" s="30"/>
      <c r="T831" s="30"/>
      <c r="U831" s="30"/>
      <c r="V831" s="30"/>
      <c r="W831" s="30"/>
    </row>
    <row r="832" spans="2:23" s="14" customFormat="1" x14ac:dyDescent="0.25">
      <c r="B832" s="76"/>
      <c r="Q832" s="30"/>
      <c r="R832" s="31"/>
      <c r="S832" s="30"/>
      <c r="T832" s="30"/>
      <c r="U832" s="30"/>
      <c r="V832" s="30"/>
      <c r="W832" s="30"/>
    </row>
    <row r="833" spans="2:23" s="14" customFormat="1" x14ac:dyDescent="0.25">
      <c r="B833" s="76"/>
      <c r="Q833" s="30"/>
      <c r="R833" s="31"/>
      <c r="S833" s="30"/>
      <c r="T833" s="30"/>
      <c r="U833" s="30"/>
      <c r="V833" s="30"/>
      <c r="W833" s="30"/>
    </row>
    <row r="834" spans="2:23" s="14" customFormat="1" x14ac:dyDescent="0.25">
      <c r="B834" s="76"/>
      <c r="Q834" s="30"/>
      <c r="R834" s="31"/>
      <c r="S834" s="30"/>
      <c r="T834" s="30"/>
      <c r="U834" s="30"/>
      <c r="V834" s="30"/>
      <c r="W834" s="30"/>
    </row>
    <row r="835" spans="2:23" s="14" customFormat="1" x14ac:dyDescent="0.25">
      <c r="B835" s="76"/>
      <c r="Q835" s="30"/>
      <c r="R835" s="31"/>
      <c r="S835" s="30"/>
      <c r="T835" s="30"/>
      <c r="U835" s="30"/>
      <c r="V835" s="30"/>
      <c r="W835" s="30"/>
    </row>
    <row r="836" spans="2:23" s="14" customFormat="1" x14ac:dyDescent="0.25">
      <c r="B836" s="76"/>
      <c r="Q836" s="30"/>
      <c r="R836" s="31"/>
      <c r="S836" s="30"/>
      <c r="T836" s="30"/>
      <c r="U836" s="30"/>
      <c r="V836" s="30"/>
      <c r="W836" s="30"/>
    </row>
    <row r="837" spans="2:23" s="14" customFormat="1" x14ac:dyDescent="0.25">
      <c r="B837" s="76"/>
      <c r="Q837" s="30"/>
      <c r="R837" s="31"/>
      <c r="S837" s="30"/>
      <c r="T837" s="30"/>
      <c r="U837" s="30"/>
      <c r="V837" s="30"/>
      <c r="W837" s="30"/>
    </row>
    <row r="838" spans="2:23" s="14" customFormat="1" x14ac:dyDescent="0.25">
      <c r="B838" s="76"/>
      <c r="Q838" s="30"/>
      <c r="R838" s="31"/>
      <c r="S838" s="30"/>
      <c r="T838" s="30"/>
      <c r="U838" s="30"/>
      <c r="V838" s="30"/>
      <c r="W838" s="30"/>
    </row>
    <row r="839" spans="2:23" s="14" customFormat="1" x14ac:dyDescent="0.25">
      <c r="B839" s="76"/>
      <c r="Q839" s="30"/>
      <c r="R839" s="31"/>
      <c r="S839" s="30"/>
      <c r="T839" s="30"/>
      <c r="U839" s="30"/>
      <c r="V839" s="30"/>
      <c r="W839" s="30"/>
    </row>
    <row r="840" spans="2:23" s="14" customFormat="1" x14ac:dyDescent="0.25">
      <c r="B840" s="76"/>
      <c r="Q840" s="30"/>
      <c r="R840" s="31"/>
      <c r="S840" s="30"/>
      <c r="T840" s="30"/>
      <c r="U840" s="30"/>
      <c r="V840" s="30"/>
      <c r="W840" s="30"/>
    </row>
    <row r="841" spans="2:23" s="14" customFormat="1" x14ac:dyDescent="0.25">
      <c r="B841" s="76"/>
      <c r="Q841" s="30"/>
      <c r="R841" s="31"/>
      <c r="S841" s="30"/>
      <c r="T841" s="30"/>
      <c r="U841" s="30"/>
      <c r="V841" s="30"/>
      <c r="W841" s="30"/>
    </row>
    <row r="842" spans="2:23" s="14" customFormat="1" x14ac:dyDescent="0.25">
      <c r="B842" s="76"/>
      <c r="Q842" s="30"/>
      <c r="R842" s="31"/>
      <c r="S842" s="30"/>
      <c r="T842" s="30"/>
      <c r="U842" s="30"/>
      <c r="V842" s="30"/>
      <c r="W842" s="30"/>
    </row>
    <row r="843" spans="2:23" s="14" customFormat="1" x14ac:dyDescent="0.25">
      <c r="B843" s="76"/>
      <c r="Q843" s="30"/>
      <c r="R843" s="31"/>
      <c r="S843" s="30"/>
      <c r="T843" s="30"/>
      <c r="U843" s="30"/>
      <c r="V843" s="30"/>
      <c r="W843" s="30"/>
    </row>
    <row r="844" spans="2:23" s="14" customFormat="1" x14ac:dyDescent="0.25">
      <c r="B844" s="76"/>
      <c r="Q844" s="30"/>
      <c r="R844" s="31"/>
      <c r="S844" s="30"/>
      <c r="T844" s="30"/>
      <c r="U844" s="30"/>
      <c r="V844" s="30"/>
      <c r="W844" s="30"/>
    </row>
    <row r="845" spans="2:23" s="14" customFormat="1" x14ac:dyDescent="0.25">
      <c r="B845" s="76"/>
      <c r="Q845" s="30"/>
      <c r="R845" s="31"/>
      <c r="S845" s="30"/>
      <c r="T845" s="30"/>
      <c r="U845" s="30"/>
      <c r="V845" s="30"/>
      <c r="W845" s="30"/>
    </row>
    <row r="846" spans="2:23" s="14" customFormat="1" x14ac:dyDescent="0.25">
      <c r="B846" s="76"/>
      <c r="Q846" s="30"/>
      <c r="R846" s="31"/>
      <c r="S846" s="30"/>
      <c r="T846" s="30"/>
      <c r="U846" s="30"/>
      <c r="V846" s="30"/>
      <c r="W846" s="30"/>
    </row>
    <row r="847" spans="2:23" s="14" customFormat="1" x14ac:dyDescent="0.25">
      <c r="B847" s="76"/>
      <c r="Q847" s="30"/>
      <c r="R847" s="31"/>
      <c r="S847" s="30"/>
      <c r="T847" s="30"/>
      <c r="U847" s="30"/>
      <c r="V847" s="30"/>
      <c r="W847" s="30"/>
    </row>
    <row r="848" spans="2:23" s="14" customFormat="1" x14ac:dyDescent="0.25">
      <c r="B848" s="76"/>
      <c r="Q848" s="30"/>
      <c r="R848" s="31"/>
      <c r="S848" s="30"/>
      <c r="T848" s="30"/>
      <c r="U848" s="30"/>
      <c r="V848" s="30"/>
      <c r="W848" s="30"/>
    </row>
    <row r="849" spans="2:23" s="14" customFormat="1" x14ac:dyDescent="0.25">
      <c r="B849" s="76"/>
      <c r="Q849" s="30"/>
      <c r="R849" s="31"/>
      <c r="S849" s="30"/>
      <c r="T849" s="30"/>
      <c r="U849" s="30"/>
      <c r="V849" s="30"/>
      <c r="W849" s="30"/>
    </row>
    <row r="850" spans="2:23" s="14" customFormat="1" x14ac:dyDescent="0.25">
      <c r="B850" s="76"/>
      <c r="Q850" s="30"/>
      <c r="R850" s="31"/>
      <c r="S850" s="30"/>
      <c r="T850" s="30"/>
      <c r="U850" s="30"/>
      <c r="V850" s="30"/>
      <c r="W850" s="30"/>
    </row>
    <row r="851" spans="2:23" s="14" customFormat="1" x14ac:dyDescent="0.25">
      <c r="B851" s="76"/>
      <c r="Q851" s="30"/>
      <c r="R851" s="31"/>
      <c r="S851" s="30"/>
      <c r="T851" s="30"/>
      <c r="U851" s="30"/>
      <c r="V851" s="30"/>
      <c r="W851" s="30"/>
    </row>
    <row r="852" spans="2:23" s="14" customFormat="1" x14ac:dyDescent="0.25">
      <c r="B852" s="76"/>
      <c r="Q852" s="30"/>
      <c r="R852" s="31"/>
      <c r="S852" s="30"/>
      <c r="T852" s="30"/>
      <c r="U852" s="30"/>
      <c r="V852" s="30"/>
      <c r="W852" s="30"/>
    </row>
    <row r="853" spans="2:23" s="14" customFormat="1" x14ac:dyDescent="0.25">
      <c r="B853" s="76"/>
      <c r="Q853" s="30"/>
      <c r="R853" s="31"/>
      <c r="S853" s="30"/>
      <c r="T853" s="30"/>
      <c r="U853" s="30"/>
      <c r="V853" s="30"/>
      <c r="W853" s="30"/>
    </row>
    <row r="854" spans="2:23" s="14" customFormat="1" x14ac:dyDescent="0.25">
      <c r="B854" s="76"/>
      <c r="Q854" s="30"/>
      <c r="R854" s="31"/>
      <c r="S854" s="30"/>
      <c r="T854" s="30"/>
      <c r="U854" s="30"/>
      <c r="V854" s="30"/>
      <c r="W854" s="30"/>
    </row>
    <row r="855" spans="2:23" s="14" customFormat="1" x14ac:dyDescent="0.25">
      <c r="B855" s="76"/>
      <c r="Q855" s="30"/>
      <c r="R855" s="31"/>
      <c r="S855" s="30"/>
      <c r="T855" s="30"/>
      <c r="U855" s="30"/>
      <c r="V855" s="30"/>
      <c r="W855" s="30"/>
    </row>
    <row r="856" spans="2:23" s="14" customFormat="1" x14ac:dyDescent="0.25">
      <c r="B856" s="76"/>
      <c r="Q856" s="30"/>
      <c r="R856" s="31"/>
      <c r="S856" s="30"/>
      <c r="T856" s="30"/>
      <c r="U856" s="30"/>
      <c r="V856" s="30"/>
      <c r="W856" s="30"/>
    </row>
    <row r="857" spans="2:23" s="14" customFormat="1" x14ac:dyDescent="0.25">
      <c r="B857" s="76"/>
      <c r="Q857" s="30"/>
      <c r="R857" s="31"/>
      <c r="S857" s="30"/>
      <c r="T857" s="30"/>
      <c r="U857" s="30"/>
      <c r="V857" s="30"/>
      <c r="W857" s="30"/>
    </row>
    <row r="858" spans="2:23" s="14" customFormat="1" x14ac:dyDescent="0.25">
      <c r="B858" s="76"/>
      <c r="Q858" s="30"/>
      <c r="R858" s="31"/>
      <c r="S858" s="30"/>
      <c r="T858" s="30"/>
      <c r="U858" s="30"/>
      <c r="V858" s="30"/>
      <c r="W858" s="30"/>
    </row>
    <row r="859" spans="2:23" s="14" customFormat="1" x14ac:dyDescent="0.25">
      <c r="B859" s="76"/>
      <c r="Q859" s="30"/>
      <c r="R859" s="31"/>
      <c r="S859" s="30"/>
      <c r="T859" s="30"/>
      <c r="U859" s="30"/>
      <c r="V859" s="30"/>
      <c r="W859" s="30"/>
    </row>
    <row r="860" spans="2:23" s="14" customFormat="1" x14ac:dyDescent="0.25">
      <c r="B860" s="76"/>
      <c r="Q860" s="30"/>
      <c r="R860" s="31"/>
      <c r="S860" s="30"/>
      <c r="T860" s="30"/>
      <c r="U860" s="30"/>
      <c r="V860" s="30"/>
      <c r="W860" s="30"/>
    </row>
    <row r="861" spans="2:23" s="14" customFormat="1" x14ac:dyDescent="0.25">
      <c r="B861" s="76"/>
      <c r="Q861" s="30"/>
      <c r="R861" s="31"/>
      <c r="S861" s="30"/>
      <c r="T861" s="30"/>
      <c r="U861" s="30"/>
      <c r="V861" s="30"/>
      <c r="W861" s="30"/>
    </row>
    <row r="862" spans="2:23" s="14" customFormat="1" x14ac:dyDescent="0.25">
      <c r="B862" s="76"/>
      <c r="Q862" s="30"/>
      <c r="R862" s="31"/>
      <c r="S862" s="30"/>
      <c r="T862" s="30"/>
      <c r="U862" s="30"/>
      <c r="V862" s="30"/>
      <c r="W862" s="30"/>
    </row>
    <row r="863" spans="2:23" s="14" customFormat="1" x14ac:dyDescent="0.25">
      <c r="B863" s="76"/>
      <c r="Q863" s="30"/>
      <c r="R863" s="31"/>
      <c r="S863" s="30"/>
      <c r="T863" s="30"/>
      <c r="U863" s="30"/>
      <c r="V863" s="30"/>
      <c r="W863" s="30"/>
    </row>
    <row r="864" spans="2:23" s="14" customFormat="1" x14ac:dyDescent="0.25">
      <c r="B864" s="76"/>
      <c r="Q864" s="30"/>
      <c r="R864" s="31"/>
      <c r="S864" s="30"/>
      <c r="T864" s="30"/>
      <c r="U864" s="30"/>
      <c r="V864" s="30"/>
      <c r="W864" s="30"/>
    </row>
    <row r="865" spans="2:23" s="14" customFormat="1" x14ac:dyDescent="0.25">
      <c r="B865" s="76"/>
      <c r="Q865" s="30"/>
      <c r="R865" s="31"/>
      <c r="S865" s="30"/>
      <c r="T865" s="30"/>
      <c r="U865" s="30"/>
      <c r="V865" s="30"/>
      <c r="W865" s="30"/>
    </row>
    <row r="866" spans="2:23" s="14" customFormat="1" x14ac:dyDescent="0.25">
      <c r="B866" s="76"/>
      <c r="Q866" s="30"/>
      <c r="R866" s="31"/>
      <c r="S866" s="30"/>
      <c r="T866" s="30"/>
      <c r="U866" s="30"/>
      <c r="V866" s="30"/>
      <c r="W866" s="30"/>
    </row>
    <row r="867" spans="2:23" s="14" customFormat="1" x14ac:dyDescent="0.25">
      <c r="B867" s="76"/>
      <c r="Q867" s="30"/>
      <c r="R867" s="31"/>
      <c r="S867" s="30"/>
      <c r="T867" s="30"/>
      <c r="U867" s="30"/>
      <c r="V867" s="30"/>
      <c r="W867" s="30"/>
    </row>
    <row r="868" spans="2:23" s="14" customFormat="1" x14ac:dyDescent="0.25">
      <c r="B868" s="76"/>
      <c r="Q868" s="30"/>
      <c r="R868" s="31"/>
      <c r="S868" s="30"/>
      <c r="T868" s="30"/>
      <c r="U868" s="30"/>
      <c r="V868" s="30"/>
      <c r="W868" s="30"/>
    </row>
    <row r="869" spans="2:23" s="14" customFormat="1" x14ac:dyDescent="0.25">
      <c r="B869" s="76"/>
      <c r="Q869" s="30"/>
      <c r="R869" s="31"/>
      <c r="S869" s="30"/>
      <c r="T869" s="30"/>
      <c r="U869" s="30"/>
      <c r="V869" s="30"/>
      <c r="W869" s="30"/>
    </row>
    <row r="870" spans="2:23" s="14" customFormat="1" x14ac:dyDescent="0.25">
      <c r="B870" s="76"/>
      <c r="Q870" s="30"/>
      <c r="R870" s="31"/>
      <c r="S870" s="30"/>
      <c r="T870" s="30"/>
      <c r="U870" s="30"/>
      <c r="V870" s="30"/>
      <c r="W870" s="30"/>
    </row>
    <row r="871" spans="2:23" s="14" customFormat="1" x14ac:dyDescent="0.25">
      <c r="B871" s="76"/>
      <c r="Q871" s="30"/>
      <c r="R871" s="31"/>
      <c r="S871" s="30"/>
      <c r="T871" s="30"/>
      <c r="U871" s="30"/>
      <c r="V871" s="30"/>
      <c r="W871" s="30"/>
    </row>
    <row r="872" spans="2:23" s="14" customFormat="1" x14ac:dyDescent="0.25">
      <c r="B872" s="76"/>
      <c r="Q872" s="30"/>
      <c r="R872" s="31"/>
      <c r="S872" s="30"/>
      <c r="T872" s="30"/>
      <c r="U872" s="30"/>
      <c r="V872" s="30"/>
      <c r="W872" s="30"/>
    </row>
    <row r="873" spans="2:23" s="14" customFormat="1" x14ac:dyDescent="0.25">
      <c r="B873" s="76"/>
      <c r="Q873" s="30"/>
      <c r="R873" s="31"/>
      <c r="S873" s="30"/>
      <c r="T873" s="30"/>
      <c r="U873" s="30"/>
      <c r="V873" s="30"/>
      <c r="W873" s="30"/>
    </row>
    <row r="874" spans="2:23" s="14" customFormat="1" x14ac:dyDescent="0.25">
      <c r="B874" s="76"/>
      <c r="Q874" s="30"/>
      <c r="R874" s="31"/>
      <c r="S874" s="30"/>
      <c r="T874" s="30"/>
      <c r="U874" s="30"/>
      <c r="V874" s="30"/>
      <c r="W874" s="30"/>
    </row>
    <row r="875" spans="2:23" s="14" customFormat="1" x14ac:dyDescent="0.25">
      <c r="B875" s="76"/>
      <c r="Q875" s="30"/>
      <c r="R875" s="31"/>
      <c r="S875" s="30"/>
      <c r="T875" s="30"/>
      <c r="U875" s="30"/>
      <c r="V875" s="30"/>
      <c r="W875" s="30"/>
    </row>
    <row r="876" spans="2:23" s="14" customFormat="1" x14ac:dyDescent="0.25">
      <c r="B876" s="76"/>
      <c r="Q876" s="30"/>
      <c r="R876" s="31"/>
      <c r="S876" s="30"/>
      <c r="T876" s="30"/>
      <c r="U876" s="30"/>
      <c r="V876" s="30"/>
      <c r="W876" s="30"/>
    </row>
    <row r="877" spans="2:23" s="14" customFormat="1" x14ac:dyDescent="0.25">
      <c r="B877" s="76"/>
      <c r="Q877" s="30"/>
      <c r="R877" s="31"/>
      <c r="S877" s="30"/>
      <c r="T877" s="30"/>
      <c r="U877" s="30"/>
      <c r="V877" s="30"/>
      <c r="W877" s="30"/>
    </row>
    <row r="878" spans="2:23" s="14" customFormat="1" x14ac:dyDescent="0.25">
      <c r="B878" s="76"/>
      <c r="Q878" s="30"/>
      <c r="R878" s="31"/>
      <c r="S878" s="30"/>
      <c r="T878" s="30"/>
      <c r="U878" s="30"/>
      <c r="V878" s="30"/>
      <c r="W878" s="30"/>
    </row>
    <row r="879" spans="2:23" s="14" customFormat="1" x14ac:dyDescent="0.25">
      <c r="B879" s="76"/>
      <c r="Q879" s="30"/>
      <c r="R879" s="31"/>
      <c r="S879" s="30"/>
      <c r="T879" s="30"/>
      <c r="U879" s="30"/>
      <c r="V879" s="30"/>
      <c r="W879" s="30"/>
    </row>
    <row r="880" spans="2:23" s="14" customFormat="1" x14ac:dyDescent="0.25">
      <c r="B880" s="76"/>
      <c r="Q880" s="30"/>
      <c r="R880" s="31"/>
      <c r="S880" s="30"/>
      <c r="T880" s="30"/>
      <c r="U880" s="30"/>
      <c r="V880" s="30"/>
      <c r="W880" s="30"/>
    </row>
    <row r="881" spans="2:23" s="14" customFormat="1" x14ac:dyDescent="0.25">
      <c r="B881" s="76"/>
      <c r="Q881" s="30"/>
      <c r="R881" s="31"/>
      <c r="S881" s="30"/>
      <c r="T881" s="30"/>
      <c r="U881" s="30"/>
      <c r="V881" s="30"/>
      <c r="W881" s="30"/>
    </row>
    <row r="882" spans="2:23" s="14" customFormat="1" x14ac:dyDescent="0.25">
      <c r="B882" s="76"/>
      <c r="Q882" s="30"/>
      <c r="R882" s="31"/>
      <c r="S882" s="30"/>
      <c r="T882" s="30"/>
      <c r="U882" s="30"/>
      <c r="V882" s="30"/>
      <c r="W882" s="30"/>
    </row>
    <row r="883" spans="2:23" s="14" customFormat="1" x14ac:dyDescent="0.25">
      <c r="B883" s="76"/>
      <c r="Q883" s="30"/>
      <c r="R883" s="31"/>
      <c r="S883" s="30"/>
      <c r="T883" s="30"/>
      <c r="U883" s="30"/>
      <c r="V883" s="30"/>
      <c r="W883" s="30"/>
    </row>
    <row r="884" spans="2:23" s="14" customFormat="1" x14ac:dyDescent="0.25">
      <c r="B884" s="76"/>
      <c r="Q884" s="30"/>
      <c r="R884" s="31"/>
      <c r="S884" s="30"/>
      <c r="T884" s="30"/>
      <c r="U884" s="30"/>
      <c r="V884" s="30"/>
      <c r="W884" s="30"/>
    </row>
    <row r="885" spans="2:23" s="14" customFormat="1" x14ac:dyDescent="0.25">
      <c r="B885" s="76"/>
      <c r="Q885" s="30"/>
      <c r="R885" s="31"/>
      <c r="S885" s="30"/>
      <c r="T885" s="30"/>
      <c r="U885" s="30"/>
      <c r="V885" s="30"/>
      <c r="W885" s="30"/>
    </row>
    <row r="886" spans="2:23" s="14" customFormat="1" x14ac:dyDescent="0.25">
      <c r="B886" s="76"/>
      <c r="Q886" s="30"/>
      <c r="R886" s="31"/>
      <c r="S886" s="30"/>
      <c r="T886" s="30"/>
      <c r="U886" s="30"/>
      <c r="V886" s="30"/>
      <c r="W886" s="30"/>
    </row>
    <row r="887" spans="2:23" s="14" customFormat="1" x14ac:dyDescent="0.25">
      <c r="B887" s="76"/>
      <c r="Q887" s="30"/>
      <c r="R887" s="31"/>
      <c r="S887" s="30"/>
      <c r="T887" s="30"/>
      <c r="U887" s="30"/>
      <c r="V887" s="30"/>
      <c r="W887" s="30"/>
    </row>
    <row r="888" spans="2:23" s="14" customFormat="1" x14ac:dyDescent="0.25">
      <c r="B888" s="76"/>
      <c r="Q888" s="30"/>
      <c r="R888" s="31"/>
      <c r="S888" s="30"/>
      <c r="T888" s="30"/>
      <c r="U888" s="30"/>
      <c r="V888" s="30"/>
      <c r="W888" s="30"/>
    </row>
    <row r="889" spans="2:23" s="14" customFormat="1" x14ac:dyDescent="0.25">
      <c r="B889" s="76"/>
      <c r="Q889" s="30"/>
      <c r="R889" s="31"/>
      <c r="S889" s="30"/>
      <c r="T889" s="30"/>
      <c r="U889" s="30"/>
      <c r="V889" s="30"/>
      <c r="W889" s="30"/>
    </row>
    <row r="890" spans="2:23" s="14" customFormat="1" x14ac:dyDescent="0.25">
      <c r="B890" s="76"/>
      <c r="Q890" s="30"/>
      <c r="R890" s="31"/>
      <c r="S890" s="30"/>
      <c r="T890" s="30"/>
      <c r="U890" s="30"/>
      <c r="V890" s="30"/>
      <c r="W890" s="30"/>
    </row>
    <row r="891" spans="2:23" s="14" customFormat="1" x14ac:dyDescent="0.25">
      <c r="B891" s="76"/>
      <c r="Q891" s="30"/>
      <c r="R891" s="31"/>
      <c r="S891" s="30"/>
      <c r="T891" s="30"/>
      <c r="U891" s="30"/>
      <c r="V891" s="30"/>
      <c r="W891" s="30"/>
    </row>
    <row r="892" spans="2:23" s="14" customFormat="1" x14ac:dyDescent="0.25">
      <c r="B892" s="76"/>
      <c r="Q892" s="30"/>
      <c r="R892" s="31"/>
      <c r="S892" s="30"/>
      <c r="T892" s="30"/>
      <c r="U892" s="30"/>
      <c r="V892" s="30"/>
      <c r="W892" s="30"/>
    </row>
    <row r="893" spans="2:23" s="14" customFormat="1" x14ac:dyDescent="0.25">
      <c r="B893" s="76"/>
      <c r="Q893" s="30"/>
      <c r="R893" s="31"/>
      <c r="S893" s="30"/>
      <c r="T893" s="30"/>
      <c r="U893" s="30"/>
      <c r="V893" s="30"/>
      <c r="W893" s="30"/>
    </row>
    <row r="894" spans="2:23" s="14" customFormat="1" x14ac:dyDescent="0.25">
      <c r="B894" s="76"/>
      <c r="Q894" s="30"/>
      <c r="R894" s="31"/>
      <c r="S894" s="30"/>
      <c r="T894" s="30"/>
      <c r="U894" s="30"/>
      <c r="V894" s="30"/>
      <c r="W894" s="30"/>
    </row>
    <row r="895" spans="2:23" s="14" customFormat="1" x14ac:dyDescent="0.25">
      <c r="B895" s="76"/>
      <c r="Q895" s="30"/>
      <c r="R895" s="31"/>
      <c r="S895" s="30"/>
      <c r="T895" s="30"/>
      <c r="U895" s="30"/>
      <c r="V895" s="30"/>
      <c r="W895" s="30"/>
    </row>
    <row r="896" spans="2:23" s="14" customFormat="1" x14ac:dyDescent="0.25">
      <c r="B896" s="76"/>
      <c r="Q896" s="30"/>
      <c r="R896" s="31"/>
      <c r="S896" s="30"/>
      <c r="T896" s="30"/>
      <c r="U896" s="30"/>
      <c r="V896" s="30"/>
      <c r="W896" s="30"/>
    </row>
    <row r="897" spans="2:23" s="14" customFormat="1" x14ac:dyDescent="0.25">
      <c r="B897" s="76"/>
      <c r="Q897" s="30"/>
      <c r="R897" s="31"/>
      <c r="S897" s="30"/>
      <c r="T897" s="30"/>
      <c r="U897" s="30"/>
      <c r="V897" s="30"/>
      <c r="W897" s="30"/>
    </row>
    <row r="898" spans="2:23" s="14" customFormat="1" x14ac:dyDescent="0.25">
      <c r="B898" s="76"/>
      <c r="Q898" s="30"/>
      <c r="R898" s="31"/>
      <c r="S898" s="30"/>
      <c r="T898" s="30"/>
      <c r="U898" s="30"/>
      <c r="V898" s="30"/>
      <c r="W898" s="30"/>
    </row>
    <row r="899" spans="2:23" s="14" customFormat="1" x14ac:dyDescent="0.25">
      <c r="B899" s="76"/>
      <c r="Q899" s="30"/>
      <c r="R899" s="31"/>
      <c r="S899" s="30"/>
      <c r="T899" s="30"/>
      <c r="U899" s="30"/>
      <c r="V899" s="30"/>
      <c r="W899" s="30"/>
    </row>
    <row r="900" spans="2:23" s="14" customFormat="1" x14ac:dyDescent="0.25">
      <c r="B900" s="76"/>
      <c r="Q900" s="30"/>
      <c r="R900" s="31"/>
      <c r="S900" s="30"/>
      <c r="T900" s="30"/>
      <c r="U900" s="30"/>
      <c r="V900" s="30"/>
      <c r="W900" s="30"/>
    </row>
    <row r="901" spans="2:23" s="14" customFormat="1" x14ac:dyDescent="0.25">
      <c r="B901" s="76"/>
      <c r="Q901" s="30"/>
      <c r="R901" s="31"/>
      <c r="S901" s="30"/>
      <c r="T901" s="30"/>
      <c r="U901" s="30"/>
      <c r="V901" s="30"/>
      <c r="W901" s="30"/>
    </row>
    <row r="902" spans="2:23" s="14" customFormat="1" x14ac:dyDescent="0.25">
      <c r="B902" s="76"/>
      <c r="Q902" s="30"/>
      <c r="R902" s="31"/>
      <c r="S902" s="30"/>
      <c r="T902" s="30"/>
      <c r="U902" s="30"/>
      <c r="V902" s="30"/>
      <c r="W902" s="30"/>
    </row>
    <row r="903" spans="2:23" s="14" customFormat="1" x14ac:dyDescent="0.25">
      <c r="B903" s="76"/>
      <c r="Q903" s="30"/>
      <c r="R903" s="31"/>
      <c r="S903" s="30"/>
      <c r="T903" s="30"/>
      <c r="U903" s="30"/>
      <c r="V903" s="30"/>
      <c r="W903" s="30"/>
    </row>
    <row r="904" spans="2:23" s="14" customFormat="1" x14ac:dyDescent="0.25">
      <c r="B904" s="76"/>
      <c r="Q904" s="30"/>
      <c r="R904" s="31"/>
      <c r="S904" s="30"/>
      <c r="T904" s="30"/>
      <c r="U904" s="30"/>
      <c r="V904" s="30"/>
      <c r="W904" s="30"/>
    </row>
    <row r="905" spans="2:23" s="14" customFormat="1" x14ac:dyDescent="0.25">
      <c r="B905" s="76"/>
      <c r="Q905" s="30"/>
      <c r="R905" s="31"/>
      <c r="S905" s="30"/>
      <c r="T905" s="30"/>
      <c r="U905" s="30"/>
      <c r="V905" s="30"/>
      <c r="W905" s="30"/>
    </row>
    <row r="906" spans="2:23" s="14" customFormat="1" x14ac:dyDescent="0.25">
      <c r="B906" s="76"/>
      <c r="Q906" s="30"/>
      <c r="R906" s="31"/>
      <c r="S906" s="30"/>
      <c r="T906" s="30"/>
      <c r="U906" s="30"/>
      <c r="V906" s="30"/>
      <c r="W906" s="30"/>
    </row>
    <row r="907" spans="2:23" s="14" customFormat="1" x14ac:dyDescent="0.25">
      <c r="B907" s="76"/>
      <c r="Q907" s="30"/>
      <c r="R907" s="31"/>
      <c r="S907" s="30"/>
      <c r="T907" s="30"/>
      <c r="U907" s="30"/>
      <c r="V907" s="30"/>
      <c r="W907" s="30"/>
    </row>
    <row r="908" spans="2:23" s="14" customFormat="1" x14ac:dyDescent="0.25">
      <c r="B908" s="76"/>
      <c r="Q908" s="30"/>
      <c r="R908" s="31"/>
      <c r="S908" s="30"/>
      <c r="T908" s="30"/>
      <c r="U908" s="30"/>
      <c r="V908" s="30"/>
      <c r="W908" s="30"/>
    </row>
    <row r="909" spans="2:23" s="14" customFormat="1" x14ac:dyDescent="0.25">
      <c r="B909" s="76"/>
      <c r="Q909" s="30"/>
      <c r="R909" s="31"/>
      <c r="S909" s="30"/>
      <c r="T909" s="30"/>
      <c r="U909" s="30"/>
      <c r="V909" s="30"/>
      <c r="W909" s="30"/>
    </row>
    <row r="910" spans="2:23" s="14" customFormat="1" x14ac:dyDescent="0.25">
      <c r="B910" s="76"/>
      <c r="Q910" s="30"/>
      <c r="R910" s="31"/>
      <c r="S910" s="30"/>
      <c r="T910" s="30"/>
      <c r="U910" s="30"/>
      <c r="V910" s="30"/>
      <c r="W910" s="30"/>
    </row>
    <row r="911" spans="2:23" s="14" customFormat="1" x14ac:dyDescent="0.25">
      <c r="B911" s="76"/>
      <c r="Q911" s="30"/>
      <c r="R911" s="31"/>
      <c r="S911" s="30"/>
      <c r="T911" s="30"/>
      <c r="U911" s="30"/>
      <c r="V911" s="30"/>
      <c r="W911" s="30"/>
    </row>
    <row r="912" spans="2:23" s="14" customFormat="1" x14ac:dyDescent="0.25">
      <c r="B912" s="76"/>
      <c r="Q912" s="30"/>
      <c r="R912" s="31"/>
      <c r="S912" s="30"/>
      <c r="T912" s="30"/>
      <c r="U912" s="30"/>
      <c r="V912" s="30"/>
      <c r="W912" s="30"/>
    </row>
    <row r="913" spans="2:23" s="14" customFormat="1" x14ac:dyDescent="0.25">
      <c r="B913" s="76"/>
      <c r="Q913" s="30"/>
      <c r="R913" s="31"/>
      <c r="S913" s="30"/>
      <c r="T913" s="30"/>
      <c r="U913" s="30"/>
      <c r="V913" s="30"/>
      <c r="W913" s="30"/>
    </row>
    <row r="914" spans="2:23" s="14" customFormat="1" x14ac:dyDescent="0.25">
      <c r="B914" s="76"/>
      <c r="Q914" s="30"/>
      <c r="R914" s="31"/>
      <c r="S914" s="30"/>
      <c r="T914" s="30"/>
      <c r="U914" s="30"/>
      <c r="V914" s="30"/>
      <c r="W914" s="30"/>
    </row>
    <row r="915" spans="2:23" s="14" customFormat="1" x14ac:dyDescent="0.25">
      <c r="B915" s="76"/>
      <c r="Q915" s="30"/>
      <c r="R915" s="31"/>
      <c r="S915" s="30"/>
      <c r="T915" s="30"/>
      <c r="U915" s="30"/>
      <c r="V915" s="30"/>
      <c r="W915" s="30"/>
    </row>
    <row r="916" spans="2:23" s="14" customFormat="1" x14ac:dyDescent="0.25">
      <c r="B916" s="76"/>
      <c r="Q916" s="30"/>
      <c r="R916" s="31"/>
      <c r="S916" s="30"/>
      <c r="T916" s="30"/>
      <c r="U916" s="30"/>
      <c r="V916" s="30"/>
      <c r="W916" s="30"/>
    </row>
    <row r="917" spans="2:23" s="14" customFormat="1" x14ac:dyDescent="0.25">
      <c r="B917" s="76"/>
      <c r="Q917" s="30"/>
      <c r="R917" s="31"/>
      <c r="S917" s="30"/>
      <c r="T917" s="30"/>
      <c r="U917" s="30"/>
      <c r="V917" s="30"/>
      <c r="W917" s="30"/>
    </row>
    <row r="918" spans="2:23" s="14" customFormat="1" x14ac:dyDescent="0.25">
      <c r="B918" s="76"/>
      <c r="Q918" s="30"/>
      <c r="R918" s="31"/>
      <c r="S918" s="30"/>
      <c r="T918" s="30"/>
      <c r="U918" s="30"/>
      <c r="V918" s="30"/>
      <c r="W918" s="30"/>
    </row>
    <row r="919" spans="2:23" s="14" customFormat="1" x14ac:dyDescent="0.25">
      <c r="B919" s="76"/>
      <c r="Q919" s="30"/>
      <c r="R919" s="31"/>
      <c r="S919" s="30"/>
      <c r="T919" s="30"/>
      <c r="U919" s="30"/>
      <c r="V919" s="30"/>
      <c r="W919" s="30"/>
    </row>
    <row r="920" spans="2:23" s="14" customFormat="1" x14ac:dyDescent="0.25">
      <c r="B920" s="76"/>
      <c r="Q920" s="30"/>
      <c r="R920" s="31"/>
      <c r="S920" s="30"/>
      <c r="T920" s="30"/>
      <c r="U920" s="30"/>
      <c r="V920" s="30"/>
      <c r="W920" s="30"/>
    </row>
    <row r="921" spans="2:23" s="14" customFormat="1" x14ac:dyDescent="0.25">
      <c r="B921" s="76"/>
      <c r="Q921" s="30"/>
      <c r="R921" s="31"/>
      <c r="S921" s="30"/>
      <c r="T921" s="30"/>
      <c r="U921" s="30"/>
      <c r="V921" s="30"/>
      <c r="W921" s="30"/>
    </row>
    <row r="922" spans="2:23" s="14" customFormat="1" x14ac:dyDescent="0.25">
      <c r="B922" s="76"/>
      <c r="Q922" s="30"/>
      <c r="R922" s="31"/>
      <c r="S922" s="30"/>
      <c r="T922" s="30"/>
      <c r="U922" s="30"/>
      <c r="V922" s="30"/>
      <c r="W922" s="30"/>
    </row>
    <row r="923" spans="2:23" s="14" customFormat="1" x14ac:dyDescent="0.25">
      <c r="B923" s="76"/>
      <c r="Q923" s="30"/>
      <c r="R923" s="31"/>
      <c r="S923" s="30"/>
      <c r="T923" s="30"/>
      <c r="U923" s="30"/>
      <c r="V923" s="30"/>
      <c r="W923" s="30"/>
    </row>
    <row r="924" spans="2:23" s="14" customFormat="1" x14ac:dyDescent="0.25">
      <c r="B924" s="76"/>
      <c r="Q924" s="30"/>
      <c r="R924" s="31"/>
      <c r="S924" s="30"/>
      <c r="T924" s="30"/>
      <c r="U924" s="30"/>
      <c r="V924" s="30"/>
      <c r="W924" s="30"/>
    </row>
    <row r="925" spans="2:23" s="14" customFormat="1" x14ac:dyDescent="0.25">
      <c r="B925" s="76"/>
      <c r="Q925" s="30"/>
      <c r="R925" s="31"/>
      <c r="S925" s="30"/>
      <c r="T925" s="30"/>
      <c r="U925" s="30"/>
      <c r="V925" s="30"/>
      <c r="W925" s="30"/>
    </row>
    <row r="926" spans="2:23" s="14" customFormat="1" x14ac:dyDescent="0.25">
      <c r="B926" s="76"/>
      <c r="Q926" s="30"/>
      <c r="R926" s="31"/>
      <c r="S926" s="30"/>
      <c r="T926" s="30"/>
      <c r="U926" s="30"/>
      <c r="V926" s="30"/>
      <c r="W926" s="30"/>
    </row>
    <row r="927" spans="2:23" s="14" customFormat="1" x14ac:dyDescent="0.25">
      <c r="B927" s="76"/>
      <c r="Q927" s="30"/>
      <c r="R927" s="31"/>
      <c r="S927" s="30"/>
      <c r="T927" s="30"/>
      <c r="U927" s="30"/>
      <c r="V927" s="30"/>
      <c r="W927" s="30"/>
    </row>
    <row r="928" spans="2:23" s="14" customFormat="1" x14ac:dyDescent="0.25">
      <c r="B928" s="76"/>
      <c r="Q928" s="30"/>
      <c r="R928" s="31"/>
      <c r="S928" s="30"/>
      <c r="T928" s="30"/>
      <c r="U928" s="30"/>
      <c r="V928" s="30"/>
      <c r="W928" s="30"/>
    </row>
    <row r="929" spans="2:23" s="14" customFormat="1" x14ac:dyDescent="0.25">
      <c r="B929" s="76"/>
      <c r="Q929" s="30"/>
      <c r="R929" s="31"/>
      <c r="S929" s="30"/>
      <c r="T929" s="30"/>
      <c r="U929" s="30"/>
      <c r="V929" s="30"/>
      <c r="W929" s="30"/>
    </row>
    <row r="930" spans="2:23" s="14" customFormat="1" x14ac:dyDescent="0.25">
      <c r="B930" s="76"/>
      <c r="Q930" s="30"/>
      <c r="R930" s="31"/>
      <c r="S930" s="30"/>
      <c r="T930" s="30"/>
      <c r="U930" s="30"/>
      <c r="V930" s="30"/>
      <c r="W930" s="30"/>
    </row>
    <row r="931" spans="2:23" s="14" customFormat="1" x14ac:dyDescent="0.25">
      <c r="B931" s="76"/>
      <c r="Q931" s="30"/>
      <c r="R931" s="31"/>
      <c r="S931" s="30"/>
      <c r="T931" s="30"/>
      <c r="U931" s="30"/>
      <c r="V931" s="30"/>
      <c r="W931" s="30"/>
    </row>
    <row r="932" spans="2:23" s="14" customFormat="1" x14ac:dyDescent="0.25">
      <c r="B932" s="76"/>
      <c r="Q932" s="30"/>
      <c r="R932" s="31"/>
      <c r="S932" s="30"/>
      <c r="T932" s="30"/>
      <c r="U932" s="30"/>
      <c r="V932" s="30"/>
      <c r="W932" s="30"/>
    </row>
    <row r="933" spans="2:23" s="14" customFormat="1" x14ac:dyDescent="0.25">
      <c r="B933" s="76"/>
      <c r="Q933" s="30"/>
      <c r="R933" s="31"/>
      <c r="S933" s="30"/>
      <c r="T933" s="30"/>
      <c r="U933" s="30"/>
      <c r="V933" s="30"/>
      <c r="W933" s="30"/>
    </row>
    <row r="934" spans="2:23" s="14" customFormat="1" x14ac:dyDescent="0.25">
      <c r="B934" s="76"/>
      <c r="Q934" s="30"/>
      <c r="R934" s="31"/>
      <c r="S934" s="30"/>
      <c r="T934" s="30"/>
      <c r="U934" s="30"/>
      <c r="V934" s="30"/>
      <c r="W934" s="30"/>
    </row>
    <row r="935" spans="2:23" s="14" customFormat="1" x14ac:dyDescent="0.25">
      <c r="B935" s="76"/>
      <c r="Q935" s="30"/>
      <c r="R935" s="31"/>
      <c r="S935" s="30"/>
      <c r="T935" s="30"/>
      <c r="U935" s="30"/>
      <c r="V935" s="30"/>
      <c r="W935" s="30"/>
    </row>
    <row r="936" spans="2:23" s="14" customFormat="1" x14ac:dyDescent="0.25">
      <c r="B936" s="76"/>
      <c r="Q936" s="30"/>
      <c r="R936" s="31"/>
      <c r="S936" s="30"/>
      <c r="T936" s="30"/>
      <c r="U936" s="30"/>
      <c r="V936" s="30"/>
      <c r="W936" s="30"/>
    </row>
    <row r="937" spans="2:23" s="14" customFormat="1" x14ac:dyDescent="0.25">
      <c r="B937" s="76"/>
      <c r="Q937" s="30"/>
      <c r="R937" s="31"/>
      <c r="S937" s="30"/>
      <c r="T937" s="30"/>
      <c r="U937" s="30"/>
      <c r="V937" s="30"/>
      <c r="W937" s="30"/>
    </row>
    <row r="938" spans="2:23" s="14" customFormat="1" x14ac:dyDescent="0.25">
      <c r="B938" s="76"/>
      <c r="Q938" s="30"/>
      <c r="R938" s="31"/>
      <c r="S938" s="30"/>
      <c r="T938" s="30"/>
      <c r="U938" s="30"/>
      <c r="V938" s="30"/>
      <c r="W938" s="30"/>
    </row>
    <row r="939" spans="2:23" s="14" customFormat="1" x14ac:dyDescent="0.25">
      <c r="B939" s="76"/>
      <c r="Q939" s="30"/>
      <c r="R939" s="31"/>
      <c r="S939" s="30"/>
      <c r="T939" s="30"/>
      <c r="U939" s="30"/>
      <c r="V939" s="30"/>
      <c r="W939" s="30"/>
    </row>
    <row r="940" spans="2:23" s="14" customFormat="1" x14ac:dyDescent="0.25">
      <c r="B940" s="76"/>
      <c r="Q940" s="30"/>
      <c r="R940" s="31"/>
      <c r="S940" s="30"/>
      <c r="T940" s="30"/>
      <c r="U940" s="30"/>
      <c r="V940" s="30"/>
      <c r="W940" s="30"/>
    </row>
    <row r="941" spans="2:23" s="14" customFormat="1" x14ac:dyDescent="0.25">
      <c r="B941" s="76"/>
      <c r="Q941" s="30"/>
      <c r="R941" s="31"/>
      <c r="S941" s="30"/>
      <c r="T941" s="30"/>
      <c r="U941" s="30"/>
      <c r="V941" s="30"/>
      <c r="W941" s="30"/>
    </row>
    <row r="942" spans="2:23" s="14" customFormat="1" x14ac:dyDescent="0.25">
      <c r="B942" s="76"/>
      <c r="Q942" s="30"/>
      <c r="R942" s="31"/>
      <c r="S942" s="30"/>
      <c r="T942" s="30"/>
      <c r="U942" s="30"/>
      <c r="V942" s="30"/>
      <c r="W942" s="30"/>
    </row>
    <row r="943" spans="2:23" s="14" customFormat="1" x14ac:dyDescent="0.25">
      <c r="B943" s="76"/>
      <c r="Q943" s="30"/>
      <c r="R943" s="31"/>
      <c r="S943" s="30"/>
      <c r="T943" s="30"/>
      <c r="U943" s="30"/>
      <c r="V943" s="30"/>
      <c r="W943" s="30"/>
    </row>
    <row r="944" spans="2:23" s="14" customFormat="1" x14ac:dyDescent="0.25">
      <c r="B944" s="76"/>
      <c r="Q944" s="30"/>
      <c r="R944" s="31"/>
      <c r="S944" s="30"/>
      <c r="T944" s="30"/>
      <c r="U944" s="30"/>
      <c r="V944" s="30"/>
      <c r="W944" s="30"/>
    </row>
    <row r="945" spans="2:23" s="14" customFormat="1" x14ac:dyDescent="0.25">
      <c r="B945" s="76"/>
      <c r="Q945" s="30"/>
      <c r="R945" s="31"/>
      <c r="S945" s="30"/>
      <c r="T945" s="30"/>
      <c r="U945" s="30"/>
      <c r="V945" s="30"/>
      <c r="W945" s="30"/>
    </row>
    <row r="946" spans="2:23" s="14" customFormat="1" x14ac:dyDescent="0.25">
      <c r="B946" s="76"/>
      <c r="Q946" s="30"/>
      <c r="R946" s="31"/>
      <c r="S946" s="30"/>
      <c r="T946" s="30"/>
      <c r="U946" s="30"/>
      <c r="V946" s="30"/>
      <c r="W946" s="30"/>
    </row>
    <row r="947" spans="2:23" s="14" customFormat="1" x14ac:dyDescent="0.25">
      <c r="B947" s="76"/>
      <c r="Q947" s="30"/>
      <c r="R947" s="31"/>
      <c r="S947" s="30"/>
      <c r="T947" s="30"/>
      <c r="U947" s="30"/>
      <c r="V947" s="30"/>
      <c r="W947" s="30"/>
    </row>
    <row r="948" spans="2:23" s="14" customFormat="1" x14ac:dyDescent="0.25">
      <c r="B948" s="76"/>
      <c r="Q948" s="30"/>
      <c r="R948" s="31"/>
      <c r="S948" s="30"/>
      <c r="T948" s="30"/>
      <c r="U948" s="30"/>
      <c r="V948" s="30"/>
      <c r="W948" s="30"/>
    </row>
    <row r="949" spans="2:23" s="14" customFormat="1" x14ac:dyDescent="0.25">
      <c r="B949" s="76"/>
      <c r="Q949" s="30"/>
      <c r="R949" s="31"/>
      <c r="S949" s="30"/>
      <c r="T949" s="30"/>
      <c r="U949" s="30"/>
      <c r="V949" s="30"/>
      <c r="W949" s="30"/>
    </row>
    <row r="950" spans="2:23" s="14" customFormat="1" x14ac:dyDescent="0.25">
      <c r="B950" s="76"/>
      <c r="Q950" s="30"/>
      <c r="R950" s="31"/>
      <c r="S950" s="30"/>
      <c r="T950" s="30"/>
      <c r="U950" s="30"/>
      <c r="V950" s="30"/>
      <c r="W950" s="30"/>
    </row>
    <row r="951" spans="2:23" s="14" customFormat="1" x14ac:dyDescent="0.25">
      <c r="B951" s="76"/>
      <c r="Q951" s="30"/>
      <c r="R951" s="31"/>
      <c r="S951" s="30"/>
      <c r="T951" s="30"/>
      <c r="U951" s="30"/>
      <c r="V951" s="30"/>
      <c r="W951" s="30"/>
    </row>
    <row r="952" spans="2:23" s="14" customFormat="1" x14ac:dyDescent="0.25">
      <c r="B952" s="76"/>
      <c r="Q952" s="30"/>
      <c r="R952" s="31"/>
      <c r="S952" s="30"/>
      <c r="T952" s="30"/>
      <c r="U952" s="30"/>
      <c r="V952" s="30"/>
      <c r="W952" s="30"/>
    </row>
    <row r="953" spans="2:23" s="14" customFormat="1" x14ac:dyDescent="0.25">
      <c r="B953" s="76"/>
      <c r="Q953" s="30"/>
      <c r="R953" s="31"/>
      <c r="S953" s="30"/>
      <c r="T953" s="30"/>
      <c r="U953" s="30"/>
      <c r="V953" s="30"/>
      <c r="W953" s="30"/>
    </row>
    <row r="954" spans="2:23" s="14" customFormat="1" x14ac:dyDescent="0.25">
      <c r="B954" s="76"/>
      <c r="Q954" s="30"/>
      <c r="R954" s="31"/>
      <c r="S954" s="30"/>
      <c r="T954" s="30"/>
      <c r="U954" s="30"/>
      <c r="V954" s="30"/>
      <c r="W954" s="30"/>
    </row>
    <row r="955" spans="2:23" s="14" customFormat="1" x14ac:dyDescent="0.25">
      <c r="B955" s="76"/>
      <c r="Q955" s="30"/>
      <c r="R955" s="31"/>
      <c r="S955" s="30"/>
      <c r="T955" s="30"/>
      <c r="U955" s="30"/>
      <c r="V955" s="30"/>
      <c r="W955" s="30"/>
    </row>
    <row r="956" spans="2:23" s="14" customFormat="1" x14ac:dyDescent="0.25">
      <c r="B956" s="76"/>
      <c r="Q956" s="30"/>
      <c r="R956" s="31"/>
      <c r="S956" s="30"/>
      <c r="T956" s="30"/>
      <c r="U956" s="30"/>
      <c r="V956" s="30"/>
      <c r="W956" s="30"/>
    </row>
    <row r="957" spans="2:23" s="14" customFormat="1" x14ac:dyDescent="0.25">
      <c r="B957" s="76"/>
      <c r="Q957" s="30"/>
      <c r="R957" s="31"/>
      <c r="S957" s="30"/>
      <c r="T957" s="30"/>
      <c r="U957" s="30"/>
      <c r="V957" s="30"/>
      <c r="W957" s="30"/>
    </row>
    <row r="958" spans="2:23" s="14" customFormat="1" x14ac:dyDescent="0.25">
      <c r="B958" s="76"/>
      <c r="Q958" s="30"/>
      <c r="R958" s="31"/>
      <c r="S958" s="30"/>
      <c r="T958" s="30"/>
      <c r="U958" s="30"/>
      <c r="V958" s="30"/>
      <c r="W958" s="30"/>
    </row>
    <row r="959" spans="2:23" s="14" customFormat="1" x14ac:dyDescent="0.25">
      <c r="B959" s="76"/>
      <c r="Q959" s="30"/>
      <c r="R959" s="31"/>
      <c r="S959" s="30"/>
      <c r="T959" s="30"/>
      <c r="U959" s="30"/>
      <c r="V959" s="30"/>
      <c r="W959" s="30"/>
    </row>
    <row r="960" spans="2:23" s="14" customFormat="1" x14ac:dyDescent="0.25">
      <c r="B960" s="76"/>
      <c r="Q960" s="30"/>
      <c r="R960" s="31"/>
      <c r="S960" s="30"/>
      <c r="T960" s="30"/>
      <c r="U960" s="30"/>
      <c r="V960" s="30"/>
      <c r="W960" s="30"/>
    </row>
    <row r="961" spans="2:23" s="14" customFormat="1" x14ac:dyDescent="0.25">
      <c r="B961" s="76"/>
      <c r="Q961" s="30"/>
      <c r="R961" s="31"/>
      <c r="S961" s="30"/>
      <c r="T961" s="30"/>
      <c r="U961" s="30"/>
      <c r="V961" s="30"/>
      <c r="W961" s="30"/>
    </row>
    <row r="962" spans="2:23" s="14" customFormat="1" x14ac:dyDescent="0.25">
      <c r="B962" s="76"/>
      <c r="Q962" s="30"/>
      <c r="R962" s="31"/>
      <c r="S962" s="30"/>
      <c r="T962" s="30"/>
      <c r="U962" s="30"/>
      <c r="V962" s="30"/>
      <c r="W962" s="30"/>
    </row>
    <row r="963" spans="2:23" s="14" customFormat="1" x14ac:dyDescent="0.25">
      <c r="B963" s="76"/>
      <c r="Q963" s="30"/>
      <c r="R963" s="31"/>
      <c r="S963" s="30"/>
      <c r="T963" s="30"/>
      <c r="U963" s="30"/>
      <c r="V963" s="30"/>
      <c r="W963" s="30"/>
    </row>
    <row r="964" spans="2:23" s="14" customFormat="1" x14ac:dyDescent="0.25">
      <c r="B964" s="76"/>
      <c r="Q964" s="30"/>
      <c r="R964" s="31"/>
      <c r="S964" s="30"/>
      <c r="T964" s="30"/>
      <c r="U964" s="30"/>
      <c r="V964" s="30"/>
      <c r="W964" s="30"/>
    </row>
    <row r="965" spans="2:23" s="14" customFormat="1" x14ac:dyDescent="0.25">
      <c r="B965" s="76"/>
      <c r="Q965" s="30"/>
      <c r="R965" s="31"/>
      <c r="S965" s="30"/>
      <c r="T965" s="30"/>
      <c r="U965" s="30"/>
      <c r="V965" s="30"/>
      <c r="W965" s="30"/>
    </row>
    <row r="966" spans="2:23" s="14" customFormat="1" x14ac:dyDescent="0.25">
      <c r="B966" s="76"/>
      <c r="Q966" s="30"/>
      <c r="R966" s="31"/>
      <c r="S966" s="30"/>
      <c r="T966" s="30"/>
      <c r="U966" s="30"/>
      <c r="V966" s="30"/>
      <c r="W966" s="30"/>
    </row>
    <row r="967" spans="2:23" s="14" customFormat="1" x14ac:dyDescent="0.25">
      <c r="B967" s="76"/>
      <c r="Q967" s="30"/>
      <c r="R967" s="31"/>
      <c r="S967" s="30"/>
      <c r="T967" s="30"/>
      <c r="U967" s="30"/>
      <c r="V967" s="30"/>
      <c r="W967" s="30"/>
    </row>
    <row r="968" spans="2:23" s="14" customFormat="1" x14ac:dyDescent="0.25">
      <c r="B968" s="76"/>
      <c r="Q968" s="30"/>
      <c r="R968" s="31"/>
      <c r="S968" s="30"/>
      <c r="T968" s="30"/>
      <c r="U968" s="30"/>
      <c r="V968" s="30"/>
      <c r="W968" s="30"/>
    </row>
    <row r="969" spans="2:23" s="14" customFormat="1" x14ac:dyDescent="0.25">
      <c r="B969" s="76"/>
      <c r="Q969" s="30"/>
      <c r="R969" s="31"/>
      <c r="S969" s="30"/>
      <c r="T969" s="30"/>
      <c r="U969" s="30"/>
      <c r="V969" s="30"/>
      <c r="W969" s="30"/>
    </row>
    <row r="970" spans="2:23" s="14" customFormat="1" x14ac:dyDescent="0.25">
      <c r="B970" s="76"/>
      <c r="Q970" s="30"/>
      <c r="R970" s="31"/>
      <c r="S970" s="30"/>
      <c r="T970" s="30"/>
      <c r="U970" s="30"/>
      <c r="V970" s="30"/>
      <c r="W970" s="30"/>
    </row>
    <row r="971" spans="2:23" s="14" customFormat="1" x14ac:dyDescent="0.25">
      <c r="B971" s="76"/>
      <c r="Q971" s="30"/>
      <c r="R971" s="31"/>
      <c r="S971" s="30"/>
      <c r="T971" s="30"/>
      <c r="U971" s="30"/>
      <c r="V971" s="30"/>
      <c r="W971" s="30"/>
    </row>
    <row r="972" spans="2:23" s="14" customFormat="1" x14ac:dyDescent="0.25">
      <c r="B972" s="76"/>
      <c r="Q972" s="30"/>
      <c r="R972" s="31"/>
      <c r="S972" s="30"/>
      <c r="T972" s="30"/>
      <c r="U972" s="30"/>
      <c r="V972" s="30"/>
      <c r="W972" s="30"/>
    </row>
    <row r="973" spans="2:23" s="14" customFormat="1" x14ac:dyDescent="0.25">
      <c r="B973" s="76"/>
      <c r="Q973" s="30"/>
      <c r="R973" s="31"/>
      <c r="S973" s="30"/>
      <c r="T973" s="30"/>
      <c r="U973" s="30"/>
      <c r="V973" s="30"/>
      <c r="W973" s="30"/>
    </row>
    <row r="974" spans="2:23" s="14" customFormat="1" x14ac:dyDescent="0.25">
      <c r="B974" s="76"/>
      <c r="Q974" s="30"/>
      <c r="R974" s="31"/>
      <c r="S974" s="30"/>
      <c r="T974" s="30"/>
      <c r="U974" s="30"/>
      <c r="V974" s="30"/>
      <c r="W974" s="30"/>
    </row>
    <row r="975" spans="2:23" s="14" customFormat="1" x14ac:dyDescent="0.25">
      <c r="B975" s="76"/>
      <c r="Q975" s="30"/>
      <c r="R975" s="31"/>
      <c r="S975" s="30"/>
      <c r="T975" s="30"/>
      <c r="U975" s="30"/>
      <c r="V975" s="30"/>
      <c r="W975" s="30"/>
    </row>
    <row r="976" spans="2:23" s="14" customFormat="1" x14ac:dyDescent="0.25">
      <c r="B976" s="76"/>
      <c r="Q976" s="30"/>
      <c r="R976" s="31"/>
      <c r="S976" s="30"/>
      <c r="T976" s="30"/>
      <c r="U976" s="30"/>
      <c r="V976" s="30"/>
      <c r="W976" s="30"/>
    </row>
    <row r="977" spans="2:23" s="14" customFormat="1" x14ac:dyDescent="0.25">
      <c r="B977" s="76"/>
      <c r="Q977" s="30"/>
      <c r="R977" s="31"/>
      <c r="S977" s="30"/>
      <c r="T977" s="30"/>
      <c r="U977" s="30"/>
      <c r="V977" s="30"/>
      <c r="W977" s="30"/>
    </row>
    <row r="978" spans="2:23" s="14" customFormat="1" x14ac:dyDescent="0.25">
      <c r="B978" s="76"/>
      <c r="Q978" s="30"/>
      <c r="R978" s="31"/>
      <c r="S978" s="30"/>
      <c r="T978" s="30"/>
      <c r="U978" s="30"/>
      <c r="V978" s="30"/>
      <c r="W978" s="30"/>
    </row>
    <row r="979" spans="2:23" s="14" customFormat="1" x14ac:dyDescent="0.25">
      <c r="B979" s="76"/>
      <c r="Q979" s="30"/>
      <c r="R979" s="31"/>
      <c r="S979" s="30"/>
      <c r="T979" s="30"/>
      <c r="U979" s="30"/>
      <c r="V979" s="30"/>
      <c r="W979" s="30"/>
    </row>
    <row r="980" spans="2:23" s="14" customFormat="1" x14ac:dyDescent="0.25">
      <c r="B980" s="76"/>
      <c r="Q980" s="30"/>
      <c r="R980" s="31"/>
      <c r="S980" s="30"/>
      <c r="T980" s="30"/>
      <c r="U980" s="30"/>
      <c r="V980" s="30"/>
      <c r="W980" s="30"/>
    </row>
    <row r="981" spans="2:23" s="14" customFormat="1" x14ac:dyDescent="0.25">
      <c r="B981" s="76"/>
      <c r="Q981" s="30"/>
      <c r="R981" s="31"/>
      <c r="S981" s="30"/>
      <c r="T981" s="30"/>
      <c r="U981" s="30"/>
      <c r="V981" s="30"/>
      <c r="W981" s="30"/>
    </row>
    <row r="982" spans="2:23" s="14" customFormat="1" x14ac:dyDescent="0.25">
      <c r="B982" s="76"/>
      <c r="Q982" s="30"/>
      <c r="R982" s="31"/>
      <c r="S982" s="30"/>
      <c r="T982" s="30"/>
      <c r="U982" s="30"/>
      <c r="V982" s="30"/>
      <c r="W982" s="30"/>
    </row>
    <row r="983" spans="2:23" s="14" customFormat="1" x14ac:dyDescent="0.25">
      <c r="B983" s="76"/>
      <c r="Q983" s="30"/>
      <c r="R983" s="31"/>
      <c r="S983" s="30"/>
      <c r="T983" s="30"/>
      <c r="U983" s="30"/>
      <c r="V983" s="30"/>
      <c r="W983" s="30"/>
    </row>
    <row r="984" spans="2:23" s="14" customFormat="1" x14ac:dyDescent="0.25">
      <c r="B984" s="76"/>
      <c r="Q984" s="30"/>
      <c r="R984" s="31"/>
      <c r="S984" s="30"/>
      <c r="T984" s="30"/>
      <c r="U984" s="30"/>
      <c r="V984" s="30"/>
      <c r="W984" s="30"/>
    </row>
    <row r="985" spans="2:23" s="14" customFormat="1" x14ac:dyDescent="0.25">
      <c r="B985" s="76"/>
      <c r="Q985" s="30"/>
      <c r="R985" s="31"/>
      <c r="S985" s="30"/>
      <c r="T985" s="30"/>
      <c r="U985" s="30"/>
      <c r="V985" s="30"/>
      <c r="W985" s="30"/>
    </row>
    <row r="986" spans="2:23" s="14" customFormat="1" x14ac:dyDescent="0.25">
      <c r="B986" s="76"/>
      <c r="Q986" s="30"/>
      <c r="R986" s="31"/>
      <c r="S986" s="30"/>
      <c r="T986" s="30"/>
      <c r="U986" s="30"/>
      <c r="V986" s="30"/>
      <c r="W986" s="30"/>
    </row>
    <row r="987" spans="2:23" s="14" customFormat="1" x14ac:dyDescent="0.25">
      <c r="B987" s="76"/>
      <c r="Q987" s="30"/>
      <c r="R987" s="31"/>
      <c r="S987" s="30"/>
      <c r="T987" s="30"/>
      <c r="U987" s="30"/>
      <c r="V987" s="30"/>
      <c r="W987" s="30"/>
    </row>
    <row r="988" spans="2:23" s="14" customFormat="1" x14ac:dyDescent="0.25">
      <c r="B988" s="76"/>
      <c r="Q988" s="30"/>
      <c r="R988" s="31"/>
      <c r="S988" s="30"/>
      <c r="T988" s="30"/>
      <c r="U988" s="30"/>
      <c r="V988" s="30"/>
      <c r="W988" s="30"/>
    </row>
    <row r="989" spans="2:23" s="14" customFormat="1" x14ac:dyDescent="0.25">
      <c r="B989" s="76"/>
      <c r="Q989" s="30"/>
      <c r="R989" s="31"/>
      <c r="S989" s="30"/>
      <c r="T989" s="30"/>
      <c r="U989" s="30"/>
      <c r="V989" s="30"/>
      <c r="W989" s="30"/>
    </row>
    <row r="990" spans="2:23" s="14" customFormat="1" x14ac:dyDescent="0.25">
      <c r="B990" s="76"/>
      <c r="Q990" s="30"/>
      <c r="R990" s="31"/>
      <c r="S990" s="30"/>
      <c r="T990" s="30"/>
      <c r="U990" s="30"/>
      <c r="V990" s="30"/>
      <c r="W990" s="30"/>
    </row>
    <row r="991" spans="2:23" s="14" customFormat="1" x14ac:dyDescent="0.25">
      <c r="B991" s="76"/>
      <c r="Q991" s="30"/>
      <c r="R991" s="31"/>
      <c r="S991" s="30"/>
      <c r="T991" s="30"/>
      <c r="U991" s="30"/>
      <c r="V991" s="30"/>
      <c r="W991" s="30"/>
    </row>
    <row r="992" spans="2:23" s="14" customFormat="1" x14ac:dyDescent="0.25">
      <c r="B992" s="76"/>
      <c r="Q992" s="30"/>
      <c r="R992" s="31"/>
      <c r="S992" s="30"/>
      <c r="T992" s="30"/>
      <c r="U992" s="30"/>
      <c r="V992" s="30"/>
      <c r="W992" s="30"/>
    </row>
    <row r="993" spans="2:23" s="14" customFormat="1" x14ac:dyDescent="0.25">
      <c r="B993" s="76"/>
      <c r="Q993" s="30"/>
      <c r="R993" s="31"/>
      <c r="S993" s="30"/>
      <c r="T993" s="30"/>
      <c r="U993" s="30"/>
      <c r="V993" s="30"/>
      <c r="W993" s="30"/>
    </row>
    <row r="994" spans="2:23" s="14" customFormat="1" x14ac:dyDescent="0.25">
      <c r="B994" s="76"/>
      <c r="Q994" s="30"/>
      <c r="R994" s="31"/>
      <c r="S994" s="30"/>
      <c r="T994" s="30"/>
      <c r="U994" s="30"/>
      <c r="V994" s="30"/>
      <c r="W994" s="30"/>
    </row>
    <row r="995" spans="2:23" s="14" customFormat="1" x14ac:dyDescent="0.25">
      <c r="B995" s="76"/>
      <c r="Q995" s="30"/>
      <c r="R995" s="31"/>
      <c r="S995" s="30"/>
      <c r="T995" s="30"/>
      <c r="U995" s="30"/>
      <c r="V995" s="30"/>
      <c r="W995" s="30"/>
    </row>
    <row r="996" spans="2:23" s="14" customFormat="1" x14ac:dyDescent="0.25">
      <c r="B996" s="76"/>
      <c r="Q996" s="30"/>
      <c r="R996" s="31"/>
      <c r="S996" s="30"/>
      <c r="T996" s="30"/>
      <c r="U996" s="30"/>
      <c r="V996" s="30"/>
      <c r="W996" s="30"/>
    </row>
    <row r="997" spans="2:23" s="14" customFormat="1" x14ac:dyDescent="0.25">
      <c r="B997" s="76"/>
      <c r="Q997" s="30"/>
      <c r="R997" s="31"/>
      <c r="S997" s="30"/>
      <c r="T997" s="30"/>
      <c r="U997" s="30"/>
      <c r="V997" s="30"/>
      <c r="W997" s="30"/>
    </row>
    <row r="998" spans="2:23" s="14" customFormat="1" x14ac:dyDescent="0.25">
      <c r="B998" s="76"/>
      <c r="Q998" s="30"/>
      <c r="R998" s="31"/>
      <c r="S998" s="30"/>
      <c r="T998" s="30"/>
      <c r="U998" s="30"/>
      <c r="V998" s="30"/>
      <c r="W998" s="30"/>
    </row>
    <row r="999" spans="2:23" s="14" customFormat="1" x14ac:dyDescent="0.25">
      <c r="B999" s="76"/>
      <c r="Q999" s="30"/>
      <c r="R999" s="31"/>
      <c r="S999" s="30"/>
      <c r="T999" s="30"/>
      <c r="U999" s="30"/>
      <c r="V999" s="30"/>
      <c r="W999" s="30"/>
    </row>
    <row r="1000" spans="2:23" s="14" customFormat="1" x14ac:dyDescent="0.25">
      <c r="B1000" s="76"/>
      <c r="Q1000" s="30"/>
      <c r="R1000" s="31"/>
      <c r="S1000" s="30"/>
      <c r="T1000" s="30"/>
      <c r="U1000" s="30"/>
      <c r="V1000" s="30"/>
      <c r="W1000" s="30"/>
    </row>
    <row r="1001" spans="2:23" s="14" customFormat="1" x14ac:dyDescent="0.25">
      <c r="B1001" s="76"/>
      <c r="Q1001" s="30"/>
      <c r="R1001" s="31"/>
      <c r="S1001" s="30"/>
      <c r="T1001" s="30"/>
      <c r="U1001" s="30"/>
      <c r="V1001" s="30"/>
      <c r="W1001" s="30"/>
    </row>
    <row r="1002" spans="2:23" s="14" customFormat="1" x14ac:dyDescent="0.25">
      <c r="B1002" s="76"/>
      <c r="Q1002" s="30"/>
      <c r="R1002" s="31"/>
      <c r="S1002" s="30"/>
      <c r="T1002" s="30"/>
      <c r="U1002" s="30"/>
      <c r="V1002" s="30"/>
      <c r="W1002" s="30"/>
    </row>
    <row r="1003" spans="2:23" s="14" customFormat="1" x14ac:dyDescent="0.25">
      <c r="B1003" s="76"/>
      <c r="Q1003" s="30"/>
      <c r="R1003" s="31"/>
      <c r="S1003" s="30"/>
      <c r="T1003" s="30"/>
      <c r="U1003" s="30"/>
      <c r="V1003" s="30"/>
      <c r="W1003" s="30"/>
    </row>
    <row r="1004" spans="2:23" s="14" customFormat="1" x14ac:dyDescent="0.25">
      <c r="B1004" s="76"/>
      <c r="Q1004" s="30"/>
      <c r="R1004" s="31"/>
      <c r="S1004" s="30"/>
      <c r="T1004" s="30"/>
      <c r="U1004" s="30"/>
      <c r="V1004" s="30"/>
      <c r="W1004" s="30"/>
    </row>
    <row r="1005" spans="2:23" s="14" customFormat="1" x14ac:dyDescent="0.25">
      <c r="B1005" s="76"/>
      <c r="Q1005" s="30"/>
      <c r="R1005" s="31"/>
      <c r="S1005" s="30"/>
      <c r="T1005" s="30"/>
      <c r="U1005" s="30"/>
      <c r="V1005" s="30"/>
      <c r="W1005" s="30"/>
    </row>
    <row r="1006" spans="2:23" s="14" customFormat="1" x14ac:dyDescent="0.25">
      <c r="B1006" s="76"/>
      <c r="Q1006" s="30"/>
      <c r="R1006" s="31"/>
      <c r="S1006" s="30"/>
      <c r="T1006" s="30"/>
      <c r="U1006" s="30"/>
      <c r="V1006" s="30"/>
      <c r="W1006" s="30"/>
    </row>
    <row r="1007" spans="2:23" s="14" customFormat="1" x14ac:dyDescent="0.25">
      <c r="B1007" s="76"/>
      <c r="Q1007" s="30"/>
      <c r="R1007" s="31"/>
      <c r="S1007" s="30"/>
      <c r="T1007" s="30"/>
      <c r="U1007" s="30"/>
      <c r="V1007" s="30"/>
      <c r="W1007" s="30"/>
    </row>
    <row r="1008" spans="2:23" s="14" customFormat="1" x14ac:dyDescent="0.25">
      <c r="B1008" s="76"/>
      <c r="Q1008" s="30"/>
      <c r="R1008" s="31"/>
      <c r="S1008" s="30"/>
      <c r="T1008" s="30"/>
      <c r="U1008" s="30"/>
      <c r="V1008" s="30"/>
      <c r="W1008" s="30"/>
    </row>
    <row r="1009" spans="2:23" s="14" customFormat="1" x14ac:dyDescent="0.25">
      <c r="B1009" s="76"/>
      <c r="Q1009" s="30"/>
      <c r="R1009" s="31"/>
      <c r="S1009" s="30"/>
      <c r="T1009" s="30"/>
      <c r="U1009" s="30"/>
      <c r="V1009" s="30"/>
      <c r="W1009" s="30"/>
    </row>
    <row r="1010" spans="2:23" s="14" customFormat="1" x14ac:dyDescent="0.25">
      <c r="B1010" s="76"/>
      <c r="Q1010" s="30"/>
      <c r="R1010" s="31"/>
      <c r="S1010" s="30"/>
      <c r="T1010" s="30"/>
      <c r="U1010" s="30"/>
      <c r="V1010" s="30"/>
      <c r="W1010" s="30"/>
    </row>
    <row r="1011" spans="2:23" s="14" customFormat="1" x14ac:dyDescent="0.25">
      <c r="B1011" s="76"/>
      <c r="Q1011" s="30"/>
      <c r="R1011" s="31"/>
      <c r="S1011" s="30"/>
      <c r="T1011" s="30"/>
      <c r="U1011" s="30"/>
      <c r="V1011" s="30"/>
      <c r="W1011" s="30"/>
    </row>
    <row r="1012" spans="2:23" s="14" customFormat="1" x14ac:dyDescent="0.25">
      <c r="B1012" s="76"/>
      <c r="Q1012" s="30"/>
      <c r="R1012" s="31"/>
      <c r="S1012" s="30"/>
      <c r="T1012" s="30"/>
      <c r="U1012" s="30"/>
      <c r="V1012" s="30"/>
      <c r="W1012" s="30"/>
    </row>
    <row r="1013" spans="2:23" s="14" customFormat="1" x14ac:dyDescent="0.25">
      <c r="B1013" s="76"/>
      <c r="Q1013" s="30"/>
      <c r="R1013" s="31"/>
      <c r="S1013" s="30"/>
      <c r="T1013" s="30"/>
      <c r="U1013" s="30"/>
      <c r="V1013" s="30"/>
      <c r="W1013" s="30"/>
    </row>
    <row r="1014" spans="2:23" s="14" customFormat="1" x14ac:dyDescent="0.25">
      <c r="B1014" s="76"/>
      <c r="Q1014" s="30"/>
      <c r="R1014" s="31"/>
      <c r="S1014" s="30"/>
      <c r="T1014" s="30"/>
      <c r="U1014" s="30"/>
      <c r="V1014" s="30"/>
      <c r="W1014" s="30"/>
    </row>
    <row r="1015" spans="2:23" s="14" customFormat="1" x14ac:dyDescent="0.25">
      <c r="B1015" s="76"/>
      <c r="Q1015" s="30"/>
      <c r="R1015" s="31"/>
      <c r="S1015" s="30"/>
      <c r="T1015" s="30"/>
      <c r="U1015" s="30"/>
      <c r="V1015" s="30"/>
      <c r="W1015" s="30"/>
    </row>
    <row r="1016" spans="2:23" s="14" customFormat="1" x14ac:dyDescent="0.25">
      <c r="B1016" s="76"/>
      <c r="Q1016" s="30"/>
      <c r="R1016" s="31"/>
      <c r="S1016" s="30"/>
      <c r="T1016" s="30"/>
      <c r="U1016" s="30"/>
      <c r="V1016" s="30"/>
      <c r="W1016" s="30"/>
    </row>
    <row r="1017" spans="2:23" s="14" customFormat="1" x14ac:dyDescent="0.25">
      <c r="B1017" s="76"/>
      <c r="Q1017" s="30"/>
      <c r="R1017" s="31"/>
      <c r="S1017" s="30"/>
      <c r="T1017" s="30"/>
      <c r="U1017" s="30"/>
      <c r="V1017" s="30"/>
      <c r="W1017" s="30"/>
    </row>
    <row r="1018" spans="2:23" s="14" customFormat="1" x14ac:dyDescent="0.25">
      <c r="B1018" s="76"/>
      <c r="Q1018" s="30"/>
      <c r="R1018" s="31"/>
      <c r="S1018" s="30"/>
      <c r="T1018" s="30"/>
      <c r="U1018" s="30"/>
      <c r="V1018" s="30"/>
      <c r="W1018" s="30"/>
    </row>
    <row r="1019" spans="2:23" s="14" customFormat="1" x14ac:dyDescent="0.25">
      <c r="B1019" s="76"/>
      <c r="Q1019" s="30"/>
      <c r="R1019" s="31"/>
      <c r="S1019" s="30"/>
      <c r="T1019" s="30"/>
      <c r="U1019" s="30"/>
      <c r="V1019" s="30"/>
      <c r="W1019" s="30"/>
    </row>
    <row r="1020" spans="2:23" s="14" customFormat="1" x14ac:dyDescent="0.25">
      <c r="B1020" s="76"/>
      <c r="Q1020" s="30"/>
      <c r="R1020" s="31"/>
      <c r="S1020" s="30"/>
      <c r="T1020" s="30"/>
      <c r="U1020" s="30"/>
      <c r="V1020" s="30"/>
      <c r="W1020" s="30"/>
    </row>
    <row r="1021" spans="2:23" s="14" customFormat="1" x14ac:dyDescent="0.25">
      <c r="B1021" s="76"/>
      <c r="Q1021" s="30"/>
      <c r="R1021" s="31"/>
      <c r="S1021" s="30"/>
      <c r="T1021" s="30"/>
      <c r="U1021" s="30"/>
      <c r="V1021" s="30"/>
      <c r="W1021" s="30"/>
    </row>
    <row r="1022" spans="2:23" s="14" customFormat="1" x14ac:dyDescent="0.25">
      <c r="B1022" s="76"/>
      <c r="Q1022" s="30"/>
      <c r="R1022" s="31"/>
      <c r="S1022" s="30"/>
      <c r="T1022" s="30"/>
      <c r="U1022" s="30"/>
      <c r="V1022" s="30"/>
      <c r="W1022" s="30"/>
    </row>
    <row r="1023" spans="2:23" s="14" customFormat="1" x14ac:dyDescent="0.25">
      <c r="B1023" s="76"/>
      <c r="Q1023" s="30"/>
      <c r="R1023" s="31"/>
      <c r="S1023" s="30"/>
      <c r="T1023" s="30"/>
      <c r="U1023" s="30"/>
      <c r="V1023" s="30"/>
      <c r="W1023" s="30"/>
    </row>
    <row r="1024" spans="2:23" s="14" customFormat="1" x14ac:dyDescent="0.25">
      <c r="B1024" s="76"/>
      <c r="Q1024" s="30"/>
      <c r="R1024" s="31"/>
      <c r="S1024" s="30"/>
      <c r="T1024" s="30"/>
      <c r="U1024" s="30"/>
      <c r="V1024" s="30"/>
      <c r="W1024" s="30"/>
    </row>
    <row r="1025" spans="2:23" s="14" customFormat="1" x14ac:dyDescent="0.25">
      <c r="B1025" s="76"/>
      <c r="Q1025" s="30"/>
      <c r="R1025" s="31"/>
      <c r="S1025" s="30"/>
      <c r="T1025" s="30"/>
      <c r="U1025" s="30"/>
      <c r="V1025" s="30"/>
      <c r="W1025" s="30"/>
    </row>
    <row r="1026" spans="2:23" s="14" customFormat="1" x14ac:dyDescent="0.25">
      <c r="B1026" s="76"/>
      <c r="Q1026" s="30"/>
      <c r="R1026" s="31"/>
      <c r="S1026" s="30"/>
      <c r="T1026" s="30"/>
      <c r="U1026" s="30"/>
      <c r="V1026" s="30"/>
      <c r="W1026" s="30"/>
    </row>
    <row r="1027" spans="2:23" s="14" customFormat="1" x14ac:dyDescent="0.25">
      <c r="B1027" s="76"/>
      <c r="Q1027" s="30"/>
      <c r="R1027" s="31"/>
      <c r="S1027" s="30"/>
      <c r="T1027" s="30"/>
      <c r="U1027" s="30"/>
      <c r="V1027" s="30"/>
      <c r="W1027" s="30"/>
    </row>
    <row r="1028" spans="2:23" s="14" customFormat="1" x14ac:dyDescent="0.25">
      <c r="B1028" s="76"/>
      <c r="Q1028" s="30"/>
      <c r="R1028" s="31"/>
      <c r="S1028" s="30"/>
      <c r="T1028" s="30"/>
      <c r="U1028" s="30"/>
      <c r="V1028" s="30"/>
      <c r="W1028" s="30"/>
    </row>
    <row r="1029" spans="2:23" s="14" customFormat="1" x14ac:dyDescent="0.25">
      <c r="B1029" s="76"/>
      <c r="Q1029" s="30"/>
      <c r="R1029" s="31"/>
      <c r="S1029" s="30"/>
      <c r="T1029" s="30"/>
      <c r="U1029" s="30"/>
      <c r="V1029" s="30"/>
      <c r="W1029" s="30"/>
    </row>
    <row r="1030" spans="2:23" s="14" customFormat="1" x14ac:dyDescent="0.25">
      <c r="B1030" s="76"/>
      <c r="Q1030" s="30"/>
      <c r="R1030" s="31"/>
      <c r="S1030" s="30"/>
      <c r="T1030" s="30"/>
      <c r="U1030" s="30"/>
      <c r="V1030" s="30"/>
      <c r="W1030" s="30"/>
    </row>
    <row r="1031" spans="2:23" s="14" customFormat="1" x14ac:dyDescent="0.25">
      <c r="B1031" s="76"/>
      <c r="Q1031" s="30"/>
      <c r="R1031" s="31"/>
      <c r="S1031" s="30"/>
      <c r="T1031" s="30"/>
      <c r="U1031" s="30"/>
      <c r="V1031" s="30"/>
      <c r="W1031" s="30"/>
    </row>
    <row r="1032" spans="2:23" s="14" customFormat="1" x14ac:dyDescent="0.25">
      <c r="B1032" s="76"/>
      <c r="Q1032" s="30"/>
      <c r="R1032" s="31"/>
      <c r="S1032" s="30"/>
      <c r="T1032" s="30"/>
      <c r="U1032" s="30"/>
      <c r="V1032" s="30"/>
      <c r="W1032" s="30"/>
    </row>
    <row r="1033" spans="2:23" s="14" customFormat="1" x14ac:dyDescent="0.25">
      <c r="B1033" s="76"/>
      <c r="Q1033" s="30"/>
      <c r="R1033" s="31"/>
      <c r="S1033" s="30"/>
      <c r="T1033" s="30"/>
      <c r="U1033" s="30"/>
      <c r="V1033" s="30"/>
      <c r="W1033" s="30"/>
    </row>
    <row r="1034" spans="2:23" s="14" customFormat="1" x14ac:dyDescent="0.25">
      <c r="B1034" s="76"/>
      <c r="Q1034" s="30"/>
      <c r="R1034" s="31"/>
      <c r="S1034" s="30"/>
      <c r="T1034" s="30"/>
      <c r="U1034" s="30"/>
      <c r="V1034" s="30"/>
      <c r="W1034" s="30"/>
    </row>
    <row r="1035" spans="2:23" s="14" customFormat="1" x14ac:dyDescent="0.25">
      <c r="B1035" s="76"/>
      <c r="Q1035" s="30"/>
      <c r="R1035" s="31"/>
      <c r="S1035" s="30"/>
      <c r="T1035" s="30"/>
      <c r="U1035" s="30"/>
      <c r="V1035" s="30"/>
      <c r="W1035" s="30"/>
    </row>
    <row r="1036" spans="2:23" s="14" customFormat="1" x14ac:dyDescent="0.25">
      <c r="B1036" s="76"/>
      <c r="Q1036" s="30"/>
      <c r="R1036" s="31"/>
      <c r="S1036" s="30"/>
      <c r="T1036" s="30"/>
      <c r="U1036" s="30"/>
      <c r="V1036" s="30"/>
      <c r="W1036" s="30"/>
    </row>
    <row r="1037" spans="2:23" s="14" customFormat="1" x14ac:dyDescent="0.25">
      <c r="B1037" s="76"/>
      <c r="Q1037" s="30"/>
      <c r="R1037" s="31"/>
      <c r="S1037" s="30"/>
      <c r="T1037" s="30"/>
      <c r="U1037" s="30"/>
      <c r="V1037" s="30"/>
      <c r="W1037" s="30"/>
    </row>
    <row r="1038" spans="2:23" s="14" customFormat="1" x14ac:dyDescent="0.25">
      <c r="B1038" s="76"/>
      <c r="Q1038" s="30"/>
      <c r="R1038" s="31"/>
      <c r="S1038" s="30"/>
      <c r="T1038" s="30"/>
      <c r="U1038" s="30"/>
      <c r="V1038" s="30"/>
      <c r="W1038" s="30"/>
    </row>
    <row r="1039" spans="2:23" s="14" customFormat="1" x14ac:dyDescent="0.25">
      <c r="B1039" s="76"/>
      <c r="Q1039" s="30"/>
      <c r="R1039" s="31"/>
      <c r="S1039" s="30"/>
      <c r="T1039" s="30"/>
      <c r="U1039" s="30"/>
      <c r="V1039" s="30"/>
      <c r="W1039" s="30"/>
    </row>
    <row r="1040" spans="2:23" s="14" customFormat="1" x14ac:dyDescent="0.25">
      <c r="B1040" s="76"/>
      <c r="Q1040" s="30"/>
      <c r="R1040" s="31"/>
      <c r="S1040" s="30"/>
      <c r="T1040" s="30"/>
      <c r="U1040" s="30"/>
      <c r="V1040" s="30"/>
      <c r="W1040" s="30"/>
    </row>
    <row r="1041" spans="2:23" s="14" customFormat="1" x14ac:dyDescent="0.25">
      <c r="B1041" s="76"/>
      <c r="Q1041" s="30"/>
      <c r="R1041" s="31"/>
      <c r="S1041" s="30"/>
      <c r="T1041" s="30"/>
      <c r="U1041" s="30"/>
      <c r="V1041" s="30"/>
      <c r="W1041" s="30"/>
    </row>
    <row r="1042" spans="2:23" s="14" customFormat="1" x14ac:dyDescent="0.25">
      <c r="B1042" s="76"/>
      <c r="Q1042" s="30"/>
      <c r="R1042" s="31"/>
      <c r="S1042" s="30"/>
      <c r="T1042" s="30"/>
      <c r="U1042" s="30"/>
      <c r="V1042" s="30"/>
      <c r="W1042" s="30"/>
    </row>
    <row r="1043" spans="2:23" s="14" customFormat="1" x14ac:dyDescent="0.25">
      <c r="B1043" s="76"/>
      <c r="Q1043" s="30"/>
      <c r="R1043" s="31"/>
      <c r="S1043" s="30"/>
      <c r="T1043" s="30"/>
      <c r="U1043" s="30"/>
      <c r="V1043" s="30"/>
      <c r="W1043" s="30"/>
    </row>
    <row r="1044" spans="2:23" s="14" customFormat="1" x14ac:dyDescent="0.25">
      <c r="B1044" s="76"/>
      <c r="Q1044" s="30"/>
      <c r="R1044" s="31"/>
      <c r="S1044" s="30"/>
      <c r="T1044" s="30"/>
      <c r="U1044" s="30"/>
      <c r="V1044" s="30"/>
      <c r="W1044" s="30"/>
    </row>
    <row r="1045" spans="2:23" s="14" customFormat="1" x14ac:dyDescent="0.25">
      <c r="B1045" s="76"/>
      <c r="Q1045" s="30"/>
      <c r="R1045" s="31"/>
      <c r="S1045" s="30"/>
      <c r="T1045" s="30"/>
      <c r="U1045" s="30"/>
      <c r="V1045" s="30"/>
      <c r="W1045" s="30"/>
    </row>
    <row r="1046" spans="2:23" s="14" customFormat="1" x14ac:dyDescent="0.25">
      <c r="B1046" s="76"/>
      <c r="Q1046" s="30"/>
      <c r="R1046" s="31"/>
      <c r="S1046" s="30"/>
      <c r="T1046" s="30"/>
      <c r="U1046" s="30"/>
      <c r="V1046" s="30"/>
      <c r="W1046" s="30"/>
    </row>
    <row r="1047" spans="2:23" s="14" customFormat="1" x14ac:dyDescent="0.25">
      <c r="B1047" s="76"/>
      <c r="Q1047" s="30"/>
      <c r="R1047" s="31"/>
      <c r="S1047" s="30"/>
      <c r="T1047" s="30"/>
      <c r="U1047" s="30"/>
      <c r="V1047" s="30"/>
      <c r="W1047" s="30"/>
    </row>
    <row r="1048" spans="2:23" s="14" customFormat="1" x14ac:dyDescent="0.25">
      <c r="B1048" s="76"/>
      <c r="Q1048" s="30"/>
      <c r="R1048" s="31"/>
      <c r="S1048" s="30"/>
      <c r="T1048" s="30"/>
      <c r="U1048" s="30"/>
      <c r="V1048" s="30"/>
      <c r="W1048" s="30"/>
    </row>
    <row r="1049" spans="2:23" s="14" customFormat="1" x14ac:dyDescent="0.25">
      <c r="B1049" s="76"/>
      <c r="Q1049" s="30"/>
      <c r="R1049" s="31"/>
      <c r="S1049" s="30"/>
      <c r="T1049" s="30"/>
      <c r="U1049" s="30"/>
      <c r="V1049" s="30"/>
      <c r="W1049" s="30"/>
    </row>
    <row r="1050" spans="2:23" s="14" customFormat="1" x14ac:dyDescent="0.25">
      <c r="B1050" s="76"/>
      <c r="Q1050" s="30"/>
      <c r="R1050" s="31"/>
      <c r="S1050" s="30"/>
      <c r="T1050" s="30"/>
      <c r="U1050" s="30"/>
      <c r="V1050" s="30"/>
      <c r="W1050" s="30"/>
    </row>
    <row r="1051" spans="2:23" s="14" customFormat="1" x14ac:dyDescent="0.25">
      <c r="B1051" s="76"/>
      <c r="Q1051" s="30"/>
      <c r="R1051" s="31"/>
      <c r="S1051" s="30"/>
      <c r="T1051" s="30"/>
      <c r="U1051" s="30"/>
      <c r="V1051" s="30"/>
      <c r="W1051" s="30"/>
    </row>
    <row r="1052" spans="2:23" s="14" customFormat="1" x14ac:dyDescent="0.25">
      <c r="B1052" s="76"/>
      <c r="Q1052" s="30"/>
      <c r="R1052" s="31"/>
      <c r="S1052" s="30"/>
      <c r="T1052" s="30"/>
      <c r="U1052" s="30"/>
      <c r="V1052" s="30"/>
      <c r="W1052" s="30"/>
    </row>
    <row r="1053" spans="2:23" s="14" customFormat="1" x14ac:dyDescent="0.25">
      <c r="B1053" s="76"/>
      <c r="Q1053" s="30"/>
      <c r="R1053" s="31"/>
      <c r="S1053" s="30"/>
      <c r="T1053" s="30"/>
      <c r="U1053" s="30"/>
      <c r="V1053" s="30"/>
      <c r="W1053" s="30"/>
    </row>
    <row r="1054" spans="2:23" s="14" customFormat="1" x14ac:dyDescent="0.25">
      <c r="B1054" s="76"/>
      <c r="Q1054" s="30"/>
      <c r="R1054" s="31"/>
      <c r="S1054" s="30"/>
      <c r="T1054" s="30"/>
      <c r="U1054" s="30"/>
      <c r="V1054" s="30"/>
      <c r="W1054" s="30"/>
    </row>
    <row r="1055" spans="2:23" s="14" customFormat="1" x14ac:dyDescent="0.25">
      <c r="B1055" s="76"/>
      <c r="Q1055" s="30"/>
      <c r="R1055" s="31"/>
      <c r="S1055" s="30"/>
      <c r="T1055" s="30"/>
      <c r="U1055" s="30"/>
      <c r="V1055" s="30"/>
      <c r="W1055" s="30"/>
    </row>
    <row r="1056" spans="2:23" s="14" customFormat="1" x14ac:dyDescent="0.25">
      <c r="B1056" s="76"/>
      <c r="Q1056" s="30"/>
      <c r="R1056" s="31"/>
      <c r="S1056" s="30"/>
      <c r="T1056" s="30"/>
      <c r="U1056" s="30"/>
      <c r="V1056" s="30"/>
      <c r="W1056" s="30"/>
    </row>
    <row r="1057" spans="2:23" s="14" customFormat="1" x14ac:dyDescent="0.25">
      <c r="B1057" s="76"/>
      <c r="Q1057" s="30"/>
      <c r="R1057" s="31"/>
      <c r="S1057" s="30"/>
      <c r="T1057" s="30"/>
      <c r="U1057" s="30"/>
      <c r="V1057" s="30"/>
      <c r="W1057" s="30"/>
    </row>
    <row r="1058" spans="2:23" s="14" customFormat="1" x14ac:dyDescent="0.25">
      <c r="B1058" s="76"/>
      <c r="Q1058" s="30"/>
      <c r="R1058" s="31"/>
      <c r="S1058" s="30"/>
      <c r="T1058" s="30"/>
      <c r="U1058" s="30"/>
      <c r="V1058" s="30"/>
      <c r="W1058" s="30"/>
    </row>
    <row r="1059" spans="2:23" s="14" customFormat="1" x14ac:dyDescent="0.25">
      <c r="B1059" s="76"/>
      <c r="Q1059" s="30"/>
      <c r="R1059" s="31"/>
      <c r="S1059" s="30"/>
      <c r="T1059" s="30"/>
      <c r="U1059" s="30"/>
      <c r="V1059" s="30"/>
      <c r="W1059" s="30"/>
    </row>
    <row r="1060" spans="2:23" s="14" customFormat="1" x14ac:dyDescent="0.25">
      <c r="B1060" s="76"/>
      <c r="Q1060" s="30"/>
      <c r="R1060" s="31"/>
      <c r="S1060" s="30"/>
      <c r="T1060" s="30"/>
      <c r="U1060" s="30"/>
      <c r="V1060" s="30"/>
      <c r="W1060" s="30"/>
    </row>
    <row r="1061" spans="2:23" s="14" customFormat="1" x14ac:dyDescent="0.25">
      <c r="B1061" s="76"/>
      <c r="Q1061" s="30"/>
      <c r="R1061" s="31"/>
      <c r="S1061" s="30"/>
      <c r="T1061" s="30"/>
      <c r="U1061" s="30"/>
      <c r="V1061" s="30"/>
      <c r="W1061" s="30"/>
    </row>
    <row r="1062" spans="2:23" s="14" customFormat="1" x14ac:dyDescent="0.25">
      <c r="B1062" s="76"/>
      <c r="Q1062" s="30"/>
      <c r="R1062" s="31"/>
      <c r="S1062" s="30"/>
      <c r="T1062" s="30"/>
      <c r="U1062" s="30"/>
      <c r="V1062" s="30"/>
      <c r="W1062" s="30"/>
    </row>
    <row r="1063" spans="2:23" s="14" customFormat="1" x14ac:dyDescent="0.25">
      <c r="B1063" s="76"/>
      <c r="Q1063" s="30"/>
      <c r="R1063" s="31"/>
      <c r="S1063" s="30"/>
      <c r="T1063" s="30"/>
      <c r="U1063" s="30"/>
      <c r="V1063" s="30"/>
      <c r="W1063" s="30"/>
    </row>
    <row r="1064" spans="2:23" s="14" customFormat="1" x14ac:dyDescent="0.25">
      <c r="B1064" s="76"/>
      <c r="Q1064" s="30"/>
      <c r="R1064" s="31"/>
      <c r="S1064" s="30"/>
      <c r="T1064" s="30"/>
      <c r="U1064" s="30"/>
      <c r="V1064" s="30"/>
      <c r="W1064" s="30"/>
    </row>
    <row r="1065" spans="2:23" s="14" customFormat="1" x14ac:dyDescent="0.25">
      <c r="B1065" s="76"/>
      <c r="Q1065" s="30"/>
      <c r="R1065" s="31"/>
      <c r="S1065" s="30"/>
      <c r="T1065" s="30"/>
      <c r="U1065" s="30"/>
      <c r="V1065" s="30"/>
      <c r="W1065" s="30"/>
    </row>
    <row r="1066" spans="2:23" s="14" customFormat="1" x14ac:dyDescent="0.25">
      <c r="B1066" s="76"/>
      <c r="Q1066" s="30"/>
      <c r="R1066" s="31"/>
      <c r="S1066" s="30"/>
      <c r="T1066" s="30"/>
      <c r="U1066" s="30"/>
      <c r="V1066" s="30"/>
      <c r="W1066" s="30"/>
    </row>
    <row r="1067" spans="2:23" s="14" customFormat="1" x14ac:dyDescent="0.25">
      <c r="B1067" s="76"/>
      <c r="Q1067" s="30"/>
      <c r="R1067" s="31"/>
      <c r="S1067" s="30"/>
      <c r="T1067" s="30"/>
      <c r="U1067" s="30"/>
      <c r="V1067" s="30"/>
      <c r="W1067" s="30"/>
    </row>
    <row r="1068" spans="2:23" s="14" customFormat="1" x14ac:dyDescent="0.25">
      <c r="B1068" s="76"/>
      <c r="Q1068" s="30"/>
      <c r="R1068" s="31"/>
      <c r="S1068" s="30"/>
      <c r="T1068" s="30"/>
      <c r="U1068" s="30"/>
      <c r="V1068" s="30"/>
      <c r="W1068" s="30"/>
    </row>
    <row r="1069" spans="2:23" s="14" customFormat="1" x14ac:dyDescent="0.25">
      <c r="B1069" s="76"/>
      <c r="Q1069" s="30"/>
      <c r="R1069" s="31"/>
      <c r="S1069" s="30"/>
      <c r="T1069" s="30"/>
      <c r="U1069" s="30"/>
      <c r="V1069" s="30"/>
      <c r="W1069" s="30"/>
    </row>
    <row r="1070" spans="2:23" s="14" customFormat="1" x14ac:dyDescent="0.25">
      <c r="B1070" s="76"/>
      <c r="Q1070" s="30"/>
      <c r="R1070" s="31"/>
      <c r="S1070" s="30"/>
      <c r="T1070" s="30"/>
      <c r="U1070" s="30"/>
      <c r="V1070" s="30"/>
      <c r="W1070" s="30"/>
    </row>
    <row r="1071" spans="2:23" s="14" customFormat="1" x14ac:dyDescent="0.25">
      <c r="B1071" s="76"/>
      <c r="Q1071" s="30"/>
      <c r="R1071" s="31"/>
      <c r="S1071" s="30"/>
      <c r="T1071" s="30"/>
      <c r="U1071" s="30"/>
      <c r="V1071" s="30"/>
      <c r="W1071" s="30"/>
    </row>
    <row r="1072" spans="2:23" s="14" customFormat="1" x14ac:dyDescent="0.25">
      <c r="B1072" s="76"/>
      <c r="Q1072" s="30"/>
      <c r="R1072" s="31"/>
      <c r="S1072" s="30"/>
      <c r="T1072" s="30"/>
      <c r="U1072" s="30"/>
      <c r="V1072" s="30"/>
      <c r="W1072" s="30"/>
    </row>
    <row r="1073" spans="2:23" s="14" customFormat="1" x14ac:dyDescent="0.25">
      <c r="B1073" s="76"/>
      <c r="Q1073" s="30"/>
      <c r="R1073" s="31"/>
      <c r="S1073" s="30"/>
      <c r="T1073" s="30"/>
      <c r="U1073" s="30"/>
      <c r="V1073" s="30"/>
      <c r="W1073" s="30"/>
    </row>
    <row r="1074" spans="2:23" s="14" customFormat="1" x14ac:dyDescent="0.25">
      <c r="B1074" s="76"/>
      <c r="Q1074" s="30"/>
      <c r="R1074" s="31"/>
      <c r="S1074" s="30"/>
      <c r="T1074" s="30"/>
      <c r="U1074" s="30"/>
      <c r="V1074" s="30"/>
      <c r="W1074" s="30"/>
    </row>
    <row r="1075" spans="2:23" s="14" customFormat="1" x14ac:dyDescent="0.25">
      <c r="B1075" s="76"/>
      <c r="Q1075" s="30"/>
      <c r="R1075" s="31"/>
      <c r="S1075" s="30"/>
      <c r="T1075" s="30"/>
      <c r="U1075" s="30"/>
      <c r="V1075" s="30"/>
      <c r="W1075" s="30"/>
    </row>
    <row r="1076" spans="2:23" s="14" customFormat="1" x14ac:dyDescent="0.25">
      <c r="B1076" s="76"/>
      <c r="Q1076" s="30"/>
      <c r="R1076" s="31"/>
      <c r="S1076" s="30"/>
      <c r="T1076" s="30"/>
      <c r="U1076" s="30"/>
      <c r="V1076" s="30"/>
      <c r="W1076" s="30"/>
    </row>
    <row r="1077" spans="2:23" s="14" customFormat="1" x14ac:dyDescent="0.25">
      <c r="B1077" s="76"/>
      <c r="Q1077" s="30"/>
      <c r="R1077" s="31"/>
      <c r="S1077" s="30"/>
      <c r="T1077" s="30"/>
      <c r="U1077" s="30"/>
      <c r="V1077" s="30"/>
      <c r="W1077" s="30"/>
    </row>
    <row r="1078" spans="2:23" s="14" customFormat="1" x14ac:dyDescent="0.25">
      <c r="B1078" s="76"/>
      <c r="Q1078" s="30"/>
      <c r="R1078" s="31"/>
      <c r="S1078" s="30"/>
      <c r="T1078" s="30"/>
      <c r="U1078" s="30"/>
      <c r="V1078" s="30"/>
      <c r="W1078" s="30"/>
    </row>
    <row r="1079" spans="2:23" s="14" customFormat="1" x14ac:dyDescent="0.25">
      <c r="B1079" s="76"/>
      <c r="Q1079" s="30"/>
      <c r="R1079" s="31"/>
      <c r="S1079" s="30"/>
      <c r="T1079" s="30"/>
      <c r="U1079" s="30"/>
      <c r="V1079" s="30"/>
      <c r="W1079" s="30"/>
    </row>
    <row r="1080" spans="2:23" s="14" customFormat="1" x14ac:dyDescent="0.25">
      <c r="B1080" s="76"/>
      <c r="Q1080" s="30"/>
      <c r="R1080" s="31"/>
      <c r="S1080" s="30"/>
      <c r="T1080" s="30"/>
      <c r="U1080" s="30"/>
      <c r="V1080" s="30"/>
      <c r="W1080" s="30"/>
    </row>
    <row r="1081" spans="2:23" s="14" customFormat="1" x14ac:dyDescent="0.25">
      <c r="B1081" s="76"/>
      <c r="Q1081" s="30"/>
      <c r="R1081" s="31"/>
      <c r="S1081" s="30"/>
      <c r="T1081" s="30"/>
      <c r="U1081" s="30"/>
      <c r="V1081" s="30"/>
      <c r="W1081" s="30"/>
    </row>
    <row r="1082" spans="2:23" s="14" customFormat="1" x14ac:dyDescent="0.25">
      <c r="B1082" s="76"/>
      <c r="Q1082" s="30"/>
      <c r="R1082" s="31"/>
      <c r="S1082" s="30"/>
      <c r="T1082" s="30"/>
      <c r="U1082" s="30"/>
      <c r="V1082" s="30"/>
      <c r="W1082" s="30"/>
    </row>
    <row r="1083" spans="2:23" s="14" customFormat="1" x14ac:dyDescent="0.25">
      <c r="B1083" s="76"/>
      <c r="Q1083" s="30"/>
      <c r="R1083" s="31"/>
      <c r="S1083" s="30"/>
      <c r="T1083" s="30"/>
      <c r="U1083" s="30"/>
      <c r="V1083" s="30"/>
      <c r="W1083" s="30"/>
    </row>
    <row r="1084" spans="2:23" s="14" customFormat="1" x14ac:dyDescent="0.25">
      <c r="B1084" s="76"/>
      <c r="Q1084" s="30"/>
      <c r="R1084" s="31"/>
      <c r="S1084" s="30"/>
      <c r="T1084" s="30"/>
      <c r="U1084" s="30"/>
      <c r="V1084" s="30"/>
      <c r="W1084" s="30"/>
    </row>
    <row r="1085" spans="2:23" s="14" customFormat="1" x14ac:dyDescent="0.25">
      <c r="B1085" s="76"/>
      <c r="Q1085" s="30"/>
      <c r="R1085" s="31"/>
      <c r="S1085" s="30"/>
      <c r="T1085" s="30"/>
      <c r="U1085" s="30"/>
      <c r="V1085" s="30"/>
      <c r="W1085" s="30"/>
    </row>
    <row r="1086" spans="2:23" s="14" customFormat="1" x14ac:dyDescent="0.25">
      <c r="B1086" s="76"/>
      <c r="Q1086" s="30"/>
      <c r="R1086" s="31"/>
      <c r="S1086" s="30"/>
      <c r="T1086" s="30"/>
      <c r="U1086" s="30"/>
      <c r="V1086" s="30"/>
      <c r="W1086" s="30"/>
    </row>
    <row r="1087" spans="2:23" s="14" customFormat="1" x14ac:dyDescent="0.25">
      <c r="B1087" s="76"/>
      <c r="Q1087" s="30"/>
      <c r="R1087" s="31"/>
      <c r="S1087" s="30"/>
      <c r="T1087" s="30"/>
      <c r="U1087" s="30"/>
      <c r="V1087" s="30"/>
      <c r="W1087" s="30"/>
    </row>
    <row r="1088" spans="2:23" s="14" customFormat="1" x14ac:dyDescent="0.25">
      <c r="B1088" s="76"/>
      <c r="Q1088" s="30"/>
      <c r="R1088" s="31"/>
      <c r="S1088" s="30"/>
      <c r="T1088" s="30"/>
      <c r="U1088" s="30"/>
      <c r="V1088" s="30"/>
      <c r="W1088" s="30"/>
    </row>
    <row r="1089" spans="2:23" s="14" customFormat="1" x14ac:dyDescent="0.25">
      <c r="B1089" s="76"/>
      <c r="Q1089" s="30"/>
      <c r="R1089" s="31"/>
      <c r="S1089" s="30"/>
      <c r="T1089" s="30"/>
      <c r="U1089" s="30"/>
      <c r="V1089" s="30"/>
      <c r="W1089" s="30"/>
    </row>
    <row r="1090" spans="2:23" s="14" customFormat="1" x14ac:dyDescent="0.25">
      <c r="B1090" s="76"/>
      <c r="Q1090" s="30"/>
      <c r="R1090" s="31"/>
      <c r="S1090" s="30"/>
      <c r="T1090" s="30"/>
      <c r="U1090" s="30"/>
      <c r="V1090" s="30"/>
      <c r="W1090" s="30"/>
    </row>
    <row r="1091" spans="2:23" s="14" customFormat="1" x14ac:dyDescent="0.25">
      <c r="B1091" s="76"/>
      <c r="Q1091" s="30"/>
      <c r="R1091" s="31"/>
      <c r="S1091" s="30"/>
      <c r="T1091" s="30"/>
      <c r="U1091" s="30"/>
      <c r="V1091" s="30"/>
      <c r="W1091" s="30"/>
    </row>
    <row r="1092" spans="2:23" s="14" customFormat="1" x14ac:dyDescent="0.25">
      <c r="B1092" s="76"/>
      <c r="Q1092" s="30"/>
      <c r="R1092" s="31"/>
      <c r="S1092" s="30"/>
      <c r="T1092" s="30"/>
      <c r="U1092" s="30"/>
      <c r="V1092" s="30"/>
      <c r="W1092" s="30"/>
    </row>
    <row r="1093" spans="2:23" s="14" customFormat="1" x14ac:dyDescent="0.25">
      <c r="B1093" s="76"/>
      <c r="Q1093" s="30"/>
      <c r="R1093" s="31"/>
      <c r="S1093" s="30"/>
      <c r="T1093" s="30"/>
      <c r="U1093" s="30"/>
      <c r="V1093" s="30"/>
      <c r="W1093" s="30"/>
    </row>
    <row r="1094" spans="2:23" s="14" customFormat="1" x14ac:dyDescent="0.25">
      <c r="B1094" s="76"/>
      <c r="Q1094" s="30"/>
      <c r="R1094" s="31"/>
      <c r="S1094" s="30"/>
      <c r="T1094" s="30"/>
      <c r="U1094" s="30"/>
      <c r="V1094" s="30"/>
      <c r="W1094" s="30"/>
    </row>
    <row r="1095" spans="2:23" s="14" customFormat="1" x14ac:dyDescent="0.25">
      <c r="B1095" s="76"/>
      <c r="Q1095" s="30"/>
      <c r="R1095" s="31"/>
      <c r="S1095" s="30"/>
      <c r="T1095" s="30"/>
      <c r="U1095" s="30"/>
      <c r="V1095" s="30"/>
      <c r="W1095" s="30"/>
    </row>
    <row r="1096" spans="2:23" s="14" customFormat="1" x14ac:dyDescent="0.25">
      <c r="B1096" s="76"/>
      <c r="Q1096" s="30"/>
      <c r="R1096" s="31"/>
      <c r="S1096" s="30"/>
      <c r="T1096" s="30"/>
      <c r="U1096" s="30"/>
      <c r="V1096" s="30"/>
      <c r="W1096" s="30"/>
    </row>
    <row r="1097" spans="2:23" s="14" customFormat="1" x14ac:dyDescent="0.25">
      <c r="B1097" s="76"/>
      <c r="Q1097" s="30"/>
      <c r="R1097" s="31"/>
      <c r="S1097" s="30"/>
      <c r="T1097" s="30"/>
      <c r="U1097" s="30"/>
      <c r="V1097" s="30"/>
      <c r="W1097" s="30"/>
    </row>
    <row r="1098" spans="2:23" s="14" customFormat="1" x14ac:dyDescent="0.25">
      <c r="B1098" s="76"/>
      <c r="Q1098" s="30"/>
      <c r="R1098" s="31"/>
      <c r="S1098" s="30"/>
      <c r="T1098" s="30"/>
      <c r="U1098" s="30"/>
      <c r="V1098" s="30"/>
      <c r="W1098" s="30"/>
    </row>
    <row r="1099" spans="2:23" s="14" customFormat="1" x14ac:dyDescent="0.25">
      <c r="B1099" s="76"/>
      <c r="Q1099" s="30"/>
      <c r="R1099" s="31"/>
      <c r="S1099" s="30"/>
      <c r="T1099" s="30"/>
      <c r="U1099" s="30"/>
      <c r="V1099" s="30"/>
      <c r="W1099" s="30"/>
    </row>
    <row r="1100" spans="2:23" s="14" customFormat="1" x14ac:dyDescent="0.25">
      <c r="B1100" s="76"/>
      <c r="Q1100" s="30"/>
      <c r="R1100" s="31"/>
      <c r="S1100" s="30"/>
      <c r="T1100" s="30"/>
      <c r="U1100" s="30"/>
      <c r="V1100" s="30"/>
      <c r="W1100" s="30"/>
    </row>
    <row r="1101" spans="2:23" s="14" customFormat="1" x14ac:dyDescent="0.25">
      <c r="B1101" s="76"/>
      <c r="Q1101" s="30"/>
      <c r="R1101" s="31"/>
      <c r="S1101" s="30"/>
      <c r="T1101" s="30"/>
      <c r="U1101" s="30"/>
      <c r="V1101" s="30"/>
      <c r="W1101" s="30"/>
    </row>
  </sheetData>
  <pageMargins left="0.7" right="0.7" top="0.75" bottom="0.75" header="0.3" footer="0.3"/>
  <pageSetup scale="57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ACDD6-6174-4EAF-8009-0268BFC054BA}">
  <sheetPr>
    <pageSetUpPr fitToPage="1"/>
  </sheetPr>
  <dimension ref="A1"/>
  <sheetViews>
    <sheetView workbookViewId="0">
      <selection activeCell="G45" sqref="G45"/>
    </sheetView>
  </sheetViews>
  <sheetFormatPr defaultRowHeight="12.75" x14ac:dyDescent="0.2"/>
  <sheetData/>
  <pageMargins left="0.7" right="0.7" top="0.75" bottom="0.75" header="0.3" footer="0.3"/>
  <pageSetup scale="84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D8BFC-B7F3-449D-8316-80EC799ED07E}">
  <sheetPr>
    <pageSetUpPr fitToPage="1"/>
  </sheetPr>
  <dimension ref="A1:X76"/>
  <sheetViews>
    <sheetView showGridLines="0" workbookViewId="0">
      <selection activeCell="U3" sqref="U3"/>
    </sheetView>
  </sheetViews>
  <sheetFormatPr defaultRowHeight="12.75" x14ac:dyDescent="0.2"/>
  <cols>
    <col min="1" max="1" width="15.5703125" customWidth="1"/>
    <col min="2" max="2" width="32.5703125" bestFit="1" customWidth="1"/>
    <col min="5" max="6" width="16.140625" bestFit="1" customWidth="1"/>
    <col min="13" max="13" width="9.85546875" bestFit="1" customWidth="1"/>
    <col min="15" max="15" width="11" customWidth="1"/>
    <col min="16" max="16" width="11.28515625" customWidth="1"/>
    <col min="17" max="17" width="10.7109375" customWidth="1"/>
    <col min="19" max="19" width="11.28515625" bestFit="1" customWidth="1"/>
    <col min="20" max="20" width="15.42578125" bestFit="1" customWidth="1"/>
    <col min="21" max="21" width="12.5703125" customWidth="1"/>
  </cols>
  <sheetData>
    <row r="1" spans="1:20" x14ac:dyDescent="0.2">
      <c r="P1" s="174" t="s">
        <v>271</v>
      </c>
    </row>
    <row r="2" spans="1:20" x14ac:dyDescent="0.2">
      <c r="P2">
        <v>2023</v>
      </c>
      <c r="Q2">
        <v>2024</v>
      </c>
      <c r="R2">
        <v>2025</v>
      </c>
      <c r="S2">
        <v>2026</v>
      </c>
      <c r="T2">
        <v>2027</v>
      </c>
    </row>
    <row r="3" spans="1:20" ht="34.5" x14ac:dyDescent="0.45">
      <c r="A3" s="279" t="s">
        <v>247</v>
      </c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11"/>
      <c r="M3" s="211"/>
      <c r="P3">
        <f>SUM(P6:P14)</f>
        <v>252.4</v>
      </c>
      <c r="Q3">
        <f>SUM(Q6:Q13)</f>
        <v>267.8</v>
      </c>
      <c r="R3">
        <f>SUM(R6:R13)</f>
        <v>262.8</v>
      </c>
      <c r="S3">
        <f>SUM(S6:S14)</f>
        <v>224.20000000000002</v>
      </c>
      <c r="T3">
        <f>SUM(T6:T14)</f>
        <v>235.60000000000002</v>
      </c>
    </row>
    <row r="5" spans="1:20" x14ac:dyDescent="0.2">
      <c r="B5" s="175" t="s">
        <v>239</v>
      </c>
      <c r="C5" s="175" t="s">
        <v>238</v>
      </c>
      <c r="D5" s="175" t="s">
        <v>236</v>
      </c>
      <c r="E5" s="175" t="s">
        <v>237</v>
      </c>
      <c r="F5" s="175" t="s">
        <v>243</v>
      </c>
      <c r="G5" s="175" t="s">
        <v>250</v>
      </c>
      <c r="H5" s="175" t="s">
        <v>249</v>
      </c>
      <c r="I5" s="175" t="s">
        <v>246</v>
      </c>
      <c r="J5" s="175"/>
      <c r="K5" s="175"/>
      <c r="L5" s="175"/>
      <c r="P5" s="175" t="s">
        <v>270</v>
      </c>
    </row>
    <row r="6" spans="1:20" x14ac:dyDescent="0.2">
      <c r="B6" s="175" t="s">
        <v>240</v>
      </c>
      <c r="C6" s="177">
        <v>53523</v>
      </c>
      <c r="D6" s="178">
        <v>4.2000000000000003E-2</v>
      </c>
      <c r="E6" s="179" t="s">
        <v>242</v>
      </c>
      <c r="F6" s="176">
        <v>1800</v>
      </c>
      <c r="G6" s="179">
        <v>5.5599999999999997E-2</v>
      </c>
      <c r="H6" s="176">
        <v>157</v>
      </c>
      <c r="I6" s="176">
        <v>82.468000000000004</v>
      </c>
      <c r="J6" s="176"/>
      <c r="K6" s="176"/>
      <c r="L6" s="176"/>
      <c r="P6">
        <f>D6*F6</f>
        <v>75.600000000000009</v>
      </c>
      <c r="Q6">
        <f>D6*F6</f>
        <v>75.600000000000009</v>
      </c>
      <c r="R6">
        <f t="shared" ref="R6:T8" si="0">Q6</f>
        <v>75.600000000000009</v>
      </c>
      <c r="S6">
        <f t="shared" si="0"/>
        <v>75.600000000000009</v>
      </c>
      <c r="T6">
        <f t="shared" si="0"/>
        <v>75.600000000000009</v>
      </c>
    </row>
    <row r="7" spans="1:20" x14ac:dyDescent="0.2">
      <c r="B7" s="175" t="s">
        <v>240</v>
      </c>
      <c r="C7" s="177">
        <v>46218</v>
      </c>
      <c r="D7" s="178">
        <v>0.03</v>
      </c>
      <c r="E7" s="179" t="s">
        <v>242</v>
      </c>
      <c r="F7" s="176">
        <v>2000</v>
      </c>
      <c r="G7" s="178">
        <v>5.2499999999999998E-2</v>
      </c>
      <c r="H7" s="176">
        <v>95</v>
      </c>
      <c r="I7" s="176">
        <v>93.775000000000006</v>
      </c>
      <c r="J7" s="176"/>
      <c r="K7" s="176"/>
      <c r="L7" s="176"/>
      <c r="P7">
        <f>D7*F7</f>
        <v>60</v>
      </c>
      <c r="Q7">
        <f>D7*F7</f>
        <v>60</v>
      </c>
      <c r="R7">
        <f t="shared" si="0"/>
        <v>60</v>
      </c>
      <c r="S7">
        <f>R7/2</f>
        <v>30</v>
      </c>
    </row>
    <row r="8" spans="1:20" x14ac:dyDescent="0.2">
      <c r="B8" s="175" t="s">
        <v>240</v>
      </c>
      <c r="C8" s="177">
        <v>51987</v>
      </c>
      <c r="D8" s="178">
        <v>0.05</v>
      </c>
      <c r="E8" s="179" t="s">
        <v>242</v>
      </c>
      <c r="F8" s="176">
        <v>1100</v>
      </c>
      <c r="G8" s="178">
        <v>5.5899999999999998E-2</v>
      </c>
      <c r="H8" s="176">
        <v>158</v>
      </c>
      <c r="I8" s="176">
        <v>93.387</v>
      </c>
      <c r="J8" s="176"/>
      <c r="K8" s="176"/>
      <c r="L8" s="176"/>
      <c r="P8">
        <f>D8*F8</f>
        <v>55</v>
      </c>
      <c r="Q8">
        <f>D8*F8</f>
        <v>55</v>
      </c>
      <c r="R8">
        <f t="shared" si="0"/>
        <v>55</v>
      </c>
      <c r="S8">
        <f t="shared" si="0"/>
        <v>55</v>
      </c>
      <c r="T8">
        <f t="shared" si="0"/>
        <v>55</v>
      </c>
    </row>
    <row r="9" spans="1:20" x14ac:dyDescent="0.2">
      <c r="B9" s="175" t="s">
        <v>240</v>
      </c>
      <c r="C9" s="177">
        <v>45488</v>
      </c>
      <c r="D9" s="178">
        <v>1.2500000000000001E-2</v>
      </c>
      <c r="E9" s="179" t="s">
        <v>244</v>
      </c>
      <c r="F9" s="176">
        <v>800</v>
      </c>
      <c r="G9" s="178">
        <v>4.4299999999999999E-2</v>
      </c>
      <c r="H9" s="176">
        <v>93</v>
      </c>
      <c r="I9" s="176">
        <v>96.847999999999999</v>
      </c>
      <c r="J9" s="176"/>
      <c r="K9" s="176"/>
      <c r="L9" s="176"/>
      <c r="P9">
        <f>D9*F9</f>
        <v>10</v>
      </c>
      <c r="Q9">
        <f>(D9*F9)/2</f>
        <v>5</v>
      </c>
    </row>
    <row r="10" spans="1:20" x14ac:dyDescent="0.2">
      <c r="B10" s="175" t="s">
        <v>241</v>
      </c>
      <c r="C10" s="177">
        <v>45122</v>
      </c>
      <c r="D10" s="178">
        <v>2.8400000000000002E-2</v>
      </c>
      <c r="E10" s="179" t="s">
        <v>245</v>
      </c>
      <c r="F10" s="176">
        <v>500</v>
      </c>
      <c r="G10" s="178">
        <v>5.5199999999999999E-2</v>
      </c>
      <c r="H10" s="176">
        <v>47</v>
      </c>
      <c r="I10" s="176">
        <v>99.793999999999997</v>
      </c>
      <c r="J10" s="176"/>
      <c r="K10" s="176"/>
      <c r="L10" s="176"/>
      <c r="P10">
        <f>(D10*F10)/2</f>
        <v>7.1000000000000005</v>
      </c>
    </row>
    <row r="11" spans="1:20" x14ac:dyDescent="0.2">
      <c r="B11" s="175" t="s">
        <v>241</v>
      </c>
      <c r="C11" s="177">
        <v>46218</v>
      </c>
      <c r="D11" s="178">
        <v>3.44E-2</v>
      </c>
      <c r="E11" s="179" t="s">
        <v>245</v>
      </c>
      <c r="F11" s="176">
        <v>500</v>
      </c>
      <c r="G11" s="178">
        <v>5.4199999999999998E-2</v>
      </c>
      <c r="H11" s="176">
        <v>138</v>
      </c>
      <c r="I11" s="176">
        <v>94.617000000000004</v>
      </c>
      <c r="J11" s="176"/>
      <c r="K11" s="176"/>
      <c r="L11" s="176"/>
      <c r="P11">
        <f>D11*F11</f>
        <v>17.2</v>
      </c>
      <c r="Q11">
        <f>D11*F11</f>
        <v>17.2</v>
      </c>
      <c r="R11">
        <f>Q11</f>
        <v>17.2</v>
      </c>
      <c r="S11">
        <f>R11/2</f>
        <v>8.6</v>
      </c>
      <c r="T11">
        <v>0</v>
      </c>
    </row>
    <row r="12" spans="1:20" x14ac:dyDescent="0.2">
      <c r="P12">
        <f>26/2</f>
        <v>13</v>
      </c>
      <c r="Q12">
        <v>26</v>
      </c>
      <c r="R12">
        <v>26</v>
      </c>
      <c r="S12">
        <v>26</v>
      </c>
      <c r="T12">
        <v>26</v>
      </c>
    </row>
    <row r="13" spans="1:20" ht="34.5" x14ac:dyDescent="0.45">
      <c r="A13" s="279" t="s">
        <v>367</v>
      </c>
      <c r="B13" s="279"/>
      <c r="C13" s="279"/>
      <c r="D13" s="279"/>
      <c r="E13" s="279"/>
      <c r="F13" s="279"/>
      <c r="G13" s="279"/>
      <c r="H13" s="279"/>
      <c r="I13" s="279"/>
      <c r="J13" s="279"/>
      <c r="K13" s="279"/>
      <c r="L13" s="211"/>
      <c r="M13" s="211"/>
      <c r="P13">
        <f>29/2</f>
        <v>14.5</v>
      </c>
      <c r="Q13">
        <v>29</v>
      </c>
      <c r="R13">
        <v>29</v>
      </c>
      <c r="S13">
        <v>29</v>
      </c>
      <c r="T13">
        <v>29</v>
      </c>
    </row>
    <row r="14" spans="1:20" ht="15.75" customHeight="1" x14ac:dyDescent="0.2">
      <c r="B14" s="175" t="s">
        <v>239</v>
      </c>
      <c r="C14" s="175" t="s">
        <v>238</v>
      </c>
      <c r="D14" s="175" t="s">
        <v>236</v>
      </c>
      <c r="E14" s="175" t="s">
        <v>237</v>
      </c>
      <c r="F14" s="175" t="s">
        <v>243</v>
      </c>
      <c r="G14" s="175" t="s">
        <v>250</v>
      </c>
      <c r="H14" s="175" t="s">
        <v>249</v>
      </c>
      <c r="I14" s="175" t="s">
        <v>246</v>
      </c>
      <c r="J14" s="175"/>
      <c r="K14" s="175"/>
      <c r="L14" s="175"/>
      <c r="T14">
        <v>50</v>
      </c>
    </row>
    <row r="15" spans="1:20" ht="15.75" customHeight="1" x14ac:dyDescent="0.2">
      <c r="B15" s="175" t="s">
        <v>368</v>
      </c>
      <c r="C15" s="177">
        <v>48700</v>
      </c>
      <c r="D15" s="178">
        <v>4.9000000000000002E-2</v>
      </c>
      <c r="E15" s="179" t="s">
        <v>242</v>
      </c>
      <c r="F15" s="176">
        <v>750</v>
      </c>
      <c r="G15" s="179">
        <v>5.1499999999999997E-2</v>
      </c>
      <c r="H15" s="176">
        <v>138</v>
      </c>
      <c r="I15" s="176">
        <v>98.46</v>
      </c>
      <c r="J15" s="176"/>
      <c r="K15" s="176"/>
      <c r="L15" s="176"/>
    </row>
    <row r="16" spans="1:20" x14ac:dyDescent="0.2">
      <c r="A16" s="280"/>
      <c r="B16" s="175" t="s">
        <v>368</v>
      </c>
      <c r="C16" s="177">
        <v>46055</v>
      </c>
      <c r="D16" s="179">
        <v>0.05</v>
      </c>
      <c r="E16" s="175" t="s">
        <v>242</v>
      </c>
      <c r="F16" s="176">
        <v>500</v>
      </c>
      <c r="G16" s="178">
        <v>5.1499999999999997E-2</v>
      </c>
      <c r="H16" s="176">
        <v>70</v>
      </c>
      <c r="I16" s="176">
        <v>99.69</v>
      </c>
      <c r="J16" s="176"/>
      <c r="K16" s="176"/>
      <c r="L16" s="176"/>
    </row>
    <row r="17" spans="1:22" x14ac:dyDescent="0.2">
      <c r="B17" s="175" t="s">
        <v>368</v>
      </c>
      <c r="C17" s="177">
        <v>54909</v>
      </c>
      <c r="D17" s="179">
        <v>3.7499999999999999E-2</v>
      </c>
      <c r="E17" s="175" t="s">
        <v>242</v>
      </c>
      <c r="F17" s="176">
        <v>600</v>
      </c>
      <c r="G17" s="178">
        <v>5.28E-2</v>
      </c>
      <c r="H17" s="176">
        <v>137</v>
      </c>
      <c r="I17" s="176">
        <v>78.36</v>
      </c>
      <c r="J17" s="176"/>
      <c r="K17" s="176"/>
      <c r="L17" s="176"/>
    </row>
    <row r="18" spans="1:22" x14ac:dyDescent="0.2">
      <c r="B18" s="175" t="s">
        <v>369</v>
      </c>
      <c r="C18" s="177">
        <v>47141</v>
      </c>
      <c r="D18" s="179">
        <v>4.7500000000000001E-2</v>
      </c>
      <c r="E18" s="175" t="s">
        <v>242</v>
      </c>
      <c r="F18" s="176">
        <v>4250</v>
      </c>
      <c r="G18" s="178">
        <v>4.7899999999999998E-2</v>
      </c>
      <c r="H18" s="176">
        <v>84</v>
      </c>
      <c r="I18" s="176">
        <v>99.9</v>
      </c>
      <c r="J18" s="176"/>
      <c r="K18" s="176"/>
      <c r="L18" s="176"/>
    </row>
    <row r="19" spans="1:22" x14ac:dyDescent="0.2">
      <c r="B19" s="175" t="s">
        <v>369</v>
      </c>
      <c r="C19" s="177">
        <v>53359</v>
      </c>
      <c r="D19" s="178">
        <v>4.9000000000000002E-2</v>
      </c>
      <c r="E19" s="175" t="s">
        <v>242</v>
      </c>
      <c r="F19" s="176">
        <v>9518.9599999999991</v>
      </c>
      <c r="G19" s="178">
        <v>5.2400000000000002E-2</v>
      </c>
      <c r="H19" s="176">
        <v>124</v>
      </c>
      <c r="I19" s="176">
        <v>95.78</v>
      </c>
      <c r="J19" s="176"/>
      <c r="K19" s="176"/>
      <c r="L19" s="176"/>
    </row>
    <row r="20" spans="1:22" x14ac:dyDescent="0.2">
      <c r="B20" s="175" t="s">
        <v>369</v>
      </c>
      <c r="C20" s="177">
        <v>46054</v>
      </c>
      <c r="D20" s="179">
        <v>3.6499999999999998E-2</v>
      </c>
      <c r="E20" s="175" t="s">
        <v>242</v>
      </c>
      <c r="F20" s="176">
        <v>3335.82</v>
      </c>
      <c r="G20" s="178">
        <v>4.8899999999999999E-2</v>
      </c>
      <c r="H20" s="176">
        <v>43</v>
      </c>
      <c r="I20" s="176">
        <v>97.03</v>
      </c>
      <c r="J20" s="176"/>
      <c r="K20" s="176"/>
      <c r="L20" s="176"/>
    </row>
    <row r="21" spans="1:22" x14ac:dyDescent="0.2">
      <c r="B21" s="175"/>
      <c r="C21" s="177"/>
      <c r="D21" s="179"/>
      <c r="E21" s="175"/>
      <c r="F21" s="176"/>
      <c r="G21" s="178"/>
      <c r="H21" s="176"/>
      <c r="I21" s="176"/>
      <c r="J21" s="176"/>
      <c r="K21" s="176"/>
      <c r="L21" s="176"/>
    </row>
    <row r="22" spans="1:22" ht="34.5" x14ac:dyDescent="0.45">
      <c r="A22" s="279" t="s">
        <v>248</v>
      </c>
      <c r="B22" s="279"/>
      <c r="C22" s="279"/>
      <c r="D22" s="279"/>
      <c r="E22" s="279"/>
      <c r="F22" s="279"/>
      <c r="G22" s="279"/>
      <c r="H22" s="279"/>
      <c r="I22" s="279"/>
      <c r="J22" s="279"/>
      <c r="K22" s="279"/>
      <c r="L22" s="211"/>
      <c r="M22" s="211"/>
      <c r="N22" s="279" t="s">
        <v>251</v>
      </c>
      <c r="O22" s="279"/>
      <c r="P22" s="279"/>
      <c r="Q22" s="279"/>
      <c r="R22" s="279"/>
      <c r="S22" s="279"/>
      <c r="T22" s="279"/>
      <c r="U22" s="279"/>
      <c r="V22" s="279"/>
    </row>
    <row r="24" spans="1:22" x14ac:dyDescent="0.2">
      <c r="O24" s="180" t="s">
        <v>252</v>
      </c>
      <c r="P24" s="180"/>
      <c r="Q24" s="180"/>
      <c r="R24" s="180"/>
      <c r="S24" s="180" t="s">
        <v>253</v>
      </c>
      <c r="T24" s="180" t="s">
        <v>254</v>
      </c>
      <c r="U24" s="180" t="s">
        <v>268</v>
      </c>
      <c r="V24" s="180"/>
    </row>
    <row r="25" spans="1:22" x14ac:dyDescent="0.2">
      <c r="O25" s="174" t="s">
        <v>255</v>
      </c>
      <c r="S25" s="181">
        <v>0</v>
      </c>
    </row>
    <row r="26" spans="1:22" x14ac:dyDescent="0.2">
      <c r="O26" s="174" t="s">
        <v>256</v>
      </c>
      <c r="S26" s="182">
        <f>F6</f>
        <v>1800</v>
      </c>
    </row>
    <row r="27" spans="1:22" x14ac:dyDescent="0.2">
      <c r="O27" s="174" t="s">
        <v>257</v>
      </c>
      <c r="S27" s="182">
        <f>F7</f>
        <v>2000</v>
      </c>
    </row>
    <row r="28" spans="1:22" x14ac:dyDescent="0.2">
      <c r="O28" s="174" t="s">
        <v>258</v>
      </c>
      <c r="S28" s="182">
        <f>F8</f>
        <v>1100</v>
      </c>
    </row>
    <row r="29" spans="1:22" x14ac:dyDescent="0.2">
      <c r="O29" s="174" t="s">
        <v>259</v>
      </c>
      <c r="S29" s="182">
        <f>F9*1.1</f>
        <v>880.00000000000011</v>
      </c>
    </row>
    <row r="30" spans="1:22" x14ac:dyDescent="0.2">
      <c r="O30" s="174" t="s">
        <v>260</v>
      </c>
      <c r="S30" s="182">
        <f>F10*0.76</f>
        <v>380</v>
      </c>
    </row>
    <row r="31" spans="1:22" x14ac:dyDescent="0.2">
      <c r="O31" s="174" t="s">
        <v>261</v>
      </c>
      <c r="S31" s="182">
        <f>F11*0.76</f>
        <v>380</v>
      </c>
    </row>
    <row r="32" spans="1:22" x14ac:dyDescent="0.2">
      <c r="O32" s="174" t="s">
        <v>312</v>
      </c>
      <c r="S32" s="182">
        <v>500</v>
      </c>
    </row>
    <row r="33" spans="9:22" x14ac:dyDescent="0.2">
      <c r="O33" s="174" t="s">
        <v>313</v>
      </c>
      <c r="S33" s="182">
        <v>500</v>
      </c>
    </row>
    <row r="34" spans="9:22" x14ac:dyDescent="0.2">
      <c r="O34" s="184" t="s">
        <v>262</v>
      </c>
      <c r="P34" s="184"/>
      <c r="Q34" s="184"/>
      <c r="R34" s="184"/>
      <c r="S34" s="186">
        <f>SUM(S25:S33)</f>
        <v>7540</v>
      </c>
      <c r="T34" s="187">
        <f>S34/IS!S40</f>
        <v>4.1992001700386838</v>
      </c>
      <c r="U34" s="187">
        <f>S34/IS!T40</f>
        <v>3.7334115057829829</v>
      </c>
      <c r="V34" s="188"/>
    </row>
    <row r="35" spans="9:22" x14ac:dyDescent="0.2">
      <c r="O35" s="174" t="s">
        <v>269</v>
      </c>
      <c r="S35" s="182">
        <f>BS!O6</f>
        <v>328.2</v>
      </c>
    </row>
    <row r="36" spans="9:22" x14ac:dyDescent="0.2">
      <c r="O36" s="174" t="s">
        <v>263</v>
      </c>
      <c r="S36" s="182">
        <f>5.2+46.1+55.9+124.6</f>
        <v>231.8</v>
      </c>
    </row>
    <row r="37" spans="9:22" x14ac:dyDescent="0.2">
      <c r="O37" s="174" t="s">
        <v>90</v>
      </c>
      <c r="S37" s="182">
        <f>BS!O38</f>
        <v>222.5</v>
      </c>
    </row>
    <row r="38" spans="9:22" x14ac:dyDescent="0.2">
      <c r="O38" s="174" t="s">
        <v>264</v>
      </c>
      <c r="S38" s="182">
        <v>14338.7</v>
      </c>
    </row>
    <row r="39" spans="9:22" x14ac:dyDescent="0.2">
      <c r="O39" s="184" t="s">
        <v>265</v>
      </c>
      <c r="P39" s="184"/>
      <c r="Q39" s="184"/>
      <c r="R39" s="184"/>
      <c r="S39" s="186">
        <f>S36+S34+S37+S38-S35</f>
        <v>22004.799999999999</v>
      </c>
      <c r="T39" s="187">
        <f>$S$39/IS!S40</f>
        <v>12.254981419319259</v>
      </c>
      <c r="U39" s="187">
        <f>$S$39/IS!T40</f>
        <v>10.895619827911588</v>
      </c>
      <c r="V39" s="188"/>
    </row>
    <row r="40" spans="9:22" x14ac:dyDescent="0.2">
      <c r="O40" s="174" t="s">
        <v>266</v>
      </c>
      <c r="S40" s="182">
        <f>IS!S40</f>
        <v>1795.5800377886108</v>
      </c>
    </row>
    <row r="41" spans="9:22" x14ac:dyDescent="0.2">
      <c r="O41" s="174" t="s">
        <v>267</v>
      </c>
      <c r="S41" s="182">
        <f>IS!T40</f>
        <v>2019.6005686275635</v>
      </c>
    </row>
    <row r="42" spans="9:22" ht="34.5" x14ac:dyDescent="0.45">
      <c r="I42" s="190"/>
      <c r="J42" s="190"/>
      <c r="K42" s="190"/>
      <c r="L42" s="190"/>
    </row>
    <row r="43" spans="9:22" x14ac:dyDescent="0.2">
      <c r="O43" s="189" t="s">
        <v>272</v>
      </c>
    </row>
    <row r="45" spans="9:22" ht="34.5" x14ac:dyDescent="0.45">
      <c r="O45" s="279" t="s">
        <v>273</v>
      </c>
      <c r="P45" s="279"/>
      <c r="Q45" s="279"/>
      <c r="R45" s="279"/>
      <c r="S45" s="279"/>
      <c r="T45" s="190"/>
      <c r="U45" s="190"/>
      <c r="V45" s="190"/>
    </row>
    <row r="46" spans="9:22" x14ac:dyDescent="0.2">
      <c r="O46" s="174"/>
    </row>
    <row r="47" spans="9:22" x14ac:dyDescent="0.2">
      <c r="O47" s="174" t="s">
        <v>110</v>
      </c>
      <c r="S47" s="192">
        <f>S35</f>
        <v>328.2</v>
      </c>
    </row>
    <row r="48" spans="9:22" x14ac:dyDescent="0.2">
      <c r="O48" s="174" t="s">
        <v>274</v>
      </c>
      <c r="S48" s="192">
        <v>1500</v>
      </c>
    </row>
    <row r="49" spans="2:24" x14ac:dyDescent="0.2">
      <c r="O49" s="184" t="s">
        <v>275</v>
      </c>
      <c r="P49" s="183"/>
      <c r="Q49" s="183"/>
      <c r="R49" s="183"/>
      <c r="S49" s="185">
        <f>SUM(S47:S48)</f>
        <v>1828.2</v>
      </c>
    </row>
    <row r="53" spans="2:24" ht="34.5" x14ac:dyDescent="0.45">
      <c r="E53" s="211"/>
      <c r="O53" s="279" t="s">
        <v>292</v>
      </c>
      <c r="P53" s="279"/>
      <c r="Q53" s="279"/>
      <c r="R53" s="279"/>
      <c r="S53" s="279"/>
    </row>
    <row r="54" spans="2:24" ht="13.5" customHeight="1" x14ac:dyDescent="0.45">
      <c r="E54" s="191"/>
      <c r="O54" s="191"/>
      <c r="P54" s="191"/>
      <c r="Q54" s="191"/>
      <c r="R54" s="191"/>
    </row>
    <row r="55" spans="2:24" x14ac:dyDescent="0.2">
      <c r="O55" s="180" t="s">
        <v>293</v>
      </c>
      <c r="P55" s="180" t="s">
        <v>294</v>
      </c>
      <c r="Q55" s="180" t="s">
        <v>295</v>
      </c>
      <c r="R55" s="180" t="s">
        <v>296</v>
      </c>
    </row>
    <row r="56" spans="2:24" x14ac:dyDescent="0.2">
      <c r="O56" s="174" t="s">
        <v>297</v>
      </c>
      <c r="P56" s="174" t="s">
        <v>300</v>
      </c>
      <c r="Q56" s="174" t="s">
        <v>302</v>
      </c>
    </row>
    <row r="57" spans="2:24" x14ac:dyDescent="0.2">
      <c r="O57" s="174" t="s">
        <v>298</v>
      </c>
      <c r="P57" s="174" t="s">
        <v>301</v>
      </c>
      <c r="Q57" s="174" t="s">
        <v>302</v>
      </c>
    </row>
    <row r="58" spans="2:24" x14ac:dyDescent="0.2">
      <c r="O58" s="174" t="s">
        <v>299</v>
      </c>
      <c r="P58" s="174" t="s">
        <v>300</v>
      </c>
      <c r="Q58" s="174" t="s">
        <v>311</v>
      </c>
      <c r="R58" s="174" t="s">
        <v>303</v>
      </c>
    </row>
    <row r="59" spans="2:24" x14ac:dyDescent="0.2">
      <c r="B59" s="189" t="s">
        <v>377</v>
      </c>
    </row>
    <row r="61" spans="2:24" ht="21.75" customHeight="1" x14ac:dyDescent="0.25">
      <c r="P61" s="237" t="s">
        <v>348</v>
      </c>
    </row>
    <row r="62" spans="2:24" ht="18" x14ac:dyDescent="0.25">
      <c r="X62" s="237" t="s">
        <v>349</v>
      </c>
    </row>
    <row r="63" spans="2:24" ht="18" x14ac:dyDescent="0.25">
      <c r="M63" s="237" t="s">
        <v>316</v>
      </c>
      <c r="N63" s="237"/>
      <c r="O63" s="237"/>
      <c r="P63" s="237" t="s">
        <v>317</v>
      </c>
      <c r="Q63" s="237"/>
      <c r="R63" s="237"/>
      <c r="S63" s="237" t="s">
        <v>318</v>
      </c>
      <c r="T63" s="236"/>
      <c r="X63" s="174" t="s">
        <v>350</v>
      </c>
    </row>
    <row r="64" spans="2:24" ht="14.25" x14ac:dyDescent="0.2">
      <c r="M64" s="235" t="s">
        <v>319</v>
      </c>
      <c r="P64" s="174" t="s">
        <v>325</v>
      </c>
      <c r="S64" s="174" t="s">
        <v>338</v>
      </c>
      <c r="X64" s="174" t="s">
        <v>351</v>
      </c>
    </row>
    <row r="65" spans="13:24" x14ac:dyDescent="0.2">
      <c r="M65" s="174" t="s">
        <v>320</v>
      </c>
      <c r="P65" s="174" t="s">
        <v>326</v>
      </c>
      <c r="S65" s="174" t="s">
        <v>339</v>
      </c>
      <c r="X65" s="174" t="s">
        <v>352</v>
      </c>
    </row>
    <row r="66" spans="13:24" x14ac:dyDescent="0.2">
      <c r="M66" s="174" t="s">
        <v>321</v>
      </c>
      <c r="P66" s="174" t="s">
        <v>327</v>
      </c>
      <c r="S66" s="174" t="s">
        <v>340</v>
      </c>
      <c r="X66" s="174" t="s">
        <v>353</v>
      </c>
    </row>
    <row r="67" spans="13:24" x14ac:dyDescent="0.2">
      <c r="M67" s="174" t="s">
        <v>322</v>
      </c>
      <c r="P67" s="174" t="s">
        <v>328</v>
      </c>
      <c r="S67" s="174" t="s">
        <v>341</v>
      </c>
      <c r="X67" s="174" t="s">
        <v>354</v>
      </c>
    </row>
    <row r="68" spans="13:24" x14ac:dyDescent="0.2">
      <c r="M68" s="174" t="s">
        <v>323</v>
      </c>
      <c r="P68" s="174" t="s">
        <v>329</v>
      </c>
      <c r="S68" s="174" t="s">
        <v>342</v>
      </c>
      <c r="X68" s="174" t="s">
        <v>355</v>
      </c>
    </row>
    <row r="69" spans="13:24" x14ac:dyDescent="0.2">
      <c r="M69" s="174" t="s">
        <v>324</v>
      </c>
      <c r="P69" s="174" t="s">
        <v>330</v>
      </c>
      <c r="S69" s="174" t="s">
        <v>343</v>
      </c>
      <c r="X69" s="174" t="s">
        <v>356</v>
      </c>
    </row>
    <row r="70" spans="13:24" x14ac:dyDescent="0.2">
      <c r="P70" s="174" t="s">
        <v>331</v>
      </c>
      <c r="S70" s="174" t="s">
        <v>344</v>
      </c>
      <c r="X70" s="174" t="s">
        <v>357</v>
      </c>
    </row>
    <row r="71" spans="13:24" x14ac:dyDescent="0.2">
      <c r="P71" s="174" t="s">
        <v>332</v>
      </c>
      <c r="S71" s="174" t="s">
        <v>345</v>
      </c>
      <c r="X71" s="174" t="s">
        <v>358</v>
      </c>
    </row>
    <row r="72" spans="13:24" x14ac:dyDescent="0.2">
      <c r="P72" s="174" t="s">
        <v>333</v>
      </c>
      <c r="S72" s="174" t="s">
        <v>346</v>
      </c>
      <c r="X72" s="174" t="s">
        <v>359</v>
      </c>
    </row>
    <row r="73" spans="13:24" x14ac:dyDescent="0.2">
      <c r="P73" s="174" t="s">
        <v>334</v>
      </c>
      <c r="S73" s="174" t="s">
        <v>347</v>
      </c>
      <c r="X73" s="174" t="s">
        <v>360</v>
      </c>
    </row>
    <row r="74" spans="13:24" x14ac:dyDescent="0.2">
      <c r="P74" s="174" t="s">
        <v>335</v>
      </c>
      <c r="X74" s="174" t="s">
        <v>361</v>
      </c>
    </row>
    <row r="75" spans="13:24" x14ac:dyDescent="0.2">
      <c r="P75" s="174" t="s">
        <v>336</v>
      </c>
      <c r="X75" s="174" t="s">
        <v>362</v>
      </c>
    </row>
    <row r="76" spans="13:24" x14ac:dyDescent="0.2">
      <c r="P76" s="174" t="s">
        <v>337</v>
      </c>
    </row>
  </sheetData>
  <mergeCells count="6">
    <mergeCell ref="N22:V22"/>
    <mergeCell ref="O45:S45"/>
    <mergeCell ref="O53:S53"/>
    <mergeCell ref="A3:K3"/>
    <mergeCell ref="A13:K13"/>
    <mergeCell ref="A22:K22"/>
  </mergeCells>
  <pageMargins left="0.7" right="0.7" top="0.75" bottom="0.75" header="0.3" footer="0.3"/>
  <pageSetup scale="60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F0EF-ACAA-49F6-AC74-3E6AF1640E0A}">
  <sheetPr>
    <pageSetUpPr fitToPage="1"/>
  </sheetPr>
  <dimension ref="A3:M3"/>
  <sheetViews>
    <sheetView showGridLines="0" workbookViewId="0">
      <selection activeCell="R14" sqref="R14"/>
    </sheetView>
  </sheetViews>
  <sheetFormatPr defaultRowHeight="12.75" x14ac:dyDescent="0.2"/>
  <sheetData>
    <row r="3" spans="1:13" ht="33" x14ac:dyDescent="0.45">
      <c r="A3" s="283" t="s">
        <v>366</v>
      </c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</row>
  </sheetData>
  <mergeCells count="1">
    <mergeCell ref="A3:M3"/>
  </mergeCells>
  <pageMargins left="0.7" right="0.7" top="0.75" bottom="0.75" header="0.3" footer="0.3"/>
  <pageSetup scale="63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4B4D0-A459-4099-8DE4-174800E16999}">
  <dimension ref="B2:T251"/>
  <sheetViews>
    <sheetView topLeftCell="D1" workbookViewId="0">
      <selection activeCell="Y27" sqref="Y27"/>
    </sheetView>
  </sheetViews>
  <sheetFormatPr defaultRowHeight="12.75" x14ac:dyDescent="0.2"/>
  <sheetData>
    <row r="2" spans="2:20" x14ac:dyDescent="0.2">
      <c r="O2" s="282" t="s">
        <v>370</v>
      </c>
      <c r="P2" s="174" t="s">
        <v>375</v>
      </c>
      <c r="Q2" s="174" t="s">
        <v>374</v>
      </c>
      <c r="R2" s="174" t="s">
        <v>376</v>
      </c>
      <c r="T2" s="281"/>
    </row>
    <row r="3" spans="2:20" x14ac:dyDescent="0.2">
      <c r="B3" s="174" t="s">
        <v>370</v>
      </c>
      <c r="C3" s="174" t="s">
        <v>371</v>
      </c>
      <c r="D3" s="174" t="s">
        <v>372</v>
      </c>
      <c r="E3" s="174" t="s">
        <v>373</v>
      </c>
      <c r="O3" s="281">
        <v>45093</v>
      </c>
      <c r="P3">
        <v>5.2560000000000002</v>
      </c>
      <c r="Q3">
        <v>5.5730000000000004</v>
      </c>
      <c r="R3">
        <v>5.3659999999999997</v>
      </c>
      <c r="T3" s="281"/>
    </row>
    <row r="4" spans="2:20" x14ac:dyDescent="0.2">
      <c r="B4" s="281">
        <v>45093</v>
      </c>
      <c r="C4">
        <v>4.8810000000000002</v>
      </c>
      <c r="D4">
        <v>5.2670000000000003</v>
      </c>
      <c r="E4">
        <v>5.1989999999999998</v>
      </c>
      <c r="O4" s="281">
        <v>45092</v>
      </c>
      <c r="P4">
        <v>5.2610000000000001</v>
      </c>
      <c r="Q4">
        <v>5.5540000000000003</v>
      </c>
      <c r="R4">
        <v>5.3559999999999999</v>
      </c>
      <c r="T4" s="281"/>
    </row>
    <row r="5" spans="2:20" x14ac:dyDescent="0.2">
      <c r="B5" s="281">
        <v>45092</v>
      </c>
      <c r="C5">
        <v>4.8369999999999997</v>
      </c>
      <c r="D5">
        <v>5.2140000000000004</v>
      </c>
      <c r="E5">
        <v>5.1379999999999999</v>
      </c>
      <c r="O5" s="281">
        <v>45091</v>
      </c>
      <c r="P5">
        <v>5.3230000000000004</v>
      </c>
      <c r="Q5">
        <v>5.6689999999999996</v>
      </c>
      <c r="R5">
        <v>5.4340000000000002</v>
      </c>
      <c r="T5" s="281"/>
    </row>
    <row r="6" spans="2:20" x14ac:dyDescent="0.2">
      <c r="B6" s="281">
        <v>45091</v>
      </c>
      <c r="C6">
        <v>4.9489999999999998</v>
      </c>
      <c r="D6">
        <v>5.3170000000000002</v>
      </c>
      <c r="E6">
        <v>5.165</v>
      </c>
      <c r="O6" s="281">
        <v>45090</v>
      </c>
      <c r="P6">
        <v>5.3689999999999998</v>
      </c>
      <c r="Q6">
        <v>5.7380000000000004</v>
      </c>
      <c r="R6">
        <v>5.484</v>
      </c>
      <c r="T6" s="281"/>
    </row>
    <row r="7" spans="2:20" x14ac:dyDescent="0.2">
      <c r="B7" s="281">
        <v>45090</v>
      </c>
      <c r="C7">
        <v>4.9379999999999997</v>
      </c>
      <c r="D7">
        <v>5.3209999999999997</v>
      </c>
      <c r="E7">
        <v>5.0679999999999996</v>
      </c>
      <c r="O7" s="281">
        <v>45089</v>
      </c>
      <c r="P7">
        <v>5.3170000000000002</v>
      </c>
      <c r="Q7">
        <v>5.6630000000000003</v>
      </c>
      <c r="R7">
        <v>5.452</v>
      </c>
      <c r="T7" s="281"/>
    </row>
    <row r="8" spans="2:20" x14ac:dyDescent="0.2">
      <c r="B8" s="281">
        <v>45089</v>
      </c>
      <c r="C8">
        <v>4.8460000000000001</v>
      </c>
      <c r="D8">
        <v>5.1980000000000004</v>
      </c>
      <c r="E8">
        <v>5.0199999999999996</v>
      </c>
      <c r="O8" s="281">
        <v>45086</v>
      </c>
      <c r="P8">
        <v>5.33</v>
      </c>
      <c r="Q8">
        <v>5.72</v>
      </c>
      <c r="R8">
        <v>5.4770000000000003</v>
      </c>
      <c r="T8" s="281"/>
    </row>
    <row r="9" spans="2:20" x14ac:dyDescent="0.2">
      <c r="B9" s="281">
        <v>45086</v>
      </c>
      <c r="C9">
        <v>4.8659999999999997</v>
      </c>
      <c r="D9">
        <v>5.2249999999999996</v>
      </c>
      <c r="E9">
        <v>5.0739999999999998</v>
      </c>
      <c r="O9" s="281">
        <v>45085</v>
      </c>
      <c r="P9">
        <v>5.32</v>
      </c>
      <c r="Q9">
        <v>5.6989999999999998</v>
      </c>
      <c r="R9">
        <v>5.4480000000000004</v>
      </c>
      <c r="T9" s="281"/>
    </row>
    <row r="10" spans="2:20" x14ac:dyDescent="0.2">
      <c r="B10" s="281">
        <v>45085</v>
      </c>
      <c r="C10">
        <v>4.7779999999999996</v>
      </c>
      <c r="D10">
        <v>5.1379999999999999</v>
      </c>
      <c r="E10">
        <v>5.0179999999999998</v>
      </c>
      <c r="O10" s="281">
        <v>45084</v>
      </c>
      <c r="P10">
        <v>5.3760000000000003</v>
      </c>
      <c r="Q10">
        <v>5.7809999999999997</v>
      </c>
      <c r="R10">
        <v>5.52</v>
      </c>
      <c r="T10" s="281"/>
    </row>
    <row r="11" spans="2:20" x14ac:dyDescent="0.2">
      <c r="B11" s="281">
        <v>45084</v>
      </c>
      <c r="C11">
        <v>4.827</v>
      </c>
      <c r="D11">
        <v>5.1980000000000004</v>
      </c>
      <c r="E11">
        <v>5.0410000000000004</v>
      </c>
      <c r="O11" s="281">
        <v>45083</v>
      </c>
      <c r="P11">
        <v>5.2750000000000004</v>
      </c>
      <c r="Q11">
        <v>5.6870000000000003</v>
      </c>
      <c r="R11">
        <v>5.4210000000000003</v>
      </c>
      <c r="T11" s="281"/>
    </row>
    <row r="12" spans="2:20" x14ac:dyDescent="0.2">
      <c r="B12" s="281">
        <v>45083</v>
      </c>
      <c r="C12">
        <v>4.7750000000000004</v>
      </c>
      <c r="D12">
        <v>5.1189999999999998</v>
      </c>
      <c r="E12">
        <v>4.8890000000000002</v>
      </c>
      <c r="O12" s="281">
        <v>45082</v>
      </c>
      <c r="P12">
        <v>5.2809999999999997</v>
      </c>
      <c r="Q12">
        <v>5.6980000000000004</v>
      </c>
      <c r="R12">
        <v>5.4550000000000001</v>
      </c>
      <c r="T12" s="281"/>
    </row>
    <row r="13" spans="2:20" x14ac:dyDescent="0.2">
      <c r="B13" s="281">
        <v>45082</v>
      </c>
      <c r="C13">
        <v>4.7329999999999997</v>
      </c>
      <c r="D13">
        <v>5.08</v>
      </c>
      <c r="E13">
        <v>4.8499999999999996</v>
      </c>
      <c r="O13" s="281">
        <v>45079</v>
      </c>
      <c r="P13">
        <v>5.2859999999999996</v>
      </c>
      <c r="Q13">
        <v>5.7009999999999996</v>
      </c>
      <c r="R13">
        <v>5.4409999999999998</v>
      </c>
      <c r="T13" s="281"/>
    </row>
    <row r="14" spans="2:20" x14ac:dyDescent="0.2">
      <c r="B14" s="281">
        <v>45079</v>
      </c>
      <c r="C14">
        <v>4.7389999999999999</v>
      </c>
      <c r="D14">
        <v>5.0579999999999998</v>
      </c>
      <c r="E14">
        <v>4.7889999999999997</v>
      </c>
      <c r="O14" s="281">
        <v>45078</v>
      </c>
      <c r="P14">
        <v>5.2510000000000003</v>
      </c>
      <c r="Q14">
        <v>5.657</v>
      </c>
      <c r="R14">
        <v>5.4009999999999998</v>
      </c>
      <c r="T14" s="281"/>
    </row>
    <row r="15" spans="2:20" x14ac:dyDescent="0.2">
      <c r="B15" s="281">
        <v>45078</v>
      </c>
      <c r="C15">
        <v>4.6319999999999997</v>
      </c>
      <c r="D15">
        <v>4.9800000000000004</v>
      </c>
      <c r="E15">
        <v>4.6269999999999998</v>
      </c>
      <c r="O15" s="281">
        <v>45077</v>
      </c>
      <c r="P15">
        <v>5.2859999999999996</v>
      </c>
      <c r="Q15">
        <v>5.72</v>
      </c>
      <c r="R15">
        <v>5.407</v>
      </c>
      <c r="T15" s="281"/>
    </row>
    <row r="16" spans="2:20" x14ac:dyDescent="0.2">
      <c r="B16" s="281">
        <v>45077</v>
      </c>
      <c r="C16">
        <v>4.7009999999999996</v>
      </c>
      <c r="D16">
        <v>5.0229999999999997</v>
      </c>
      <c r="E16">
        <v>4.96</v>
      </c>
      <c r="O16" s="281">
        <v>45076</v>
      </c>
      <c r="P16">
        <v>5.3090000000000002</v>
      </c>
      <c r="Q16">
        <v>5.7389999999999999</v>
      </c>
      <c r="R16">
        <v>5.4459999999999997</v>
      </c>
      <c r="T16" s="281"/>
    </row>
    <row r="17" spans="2:20" x14ac:dyDescent="0.2">
      <c r="B17" s="281">
        <v>45076</v>
      </c>
      <c r="C17">
        <v>4.7530000000000001</v>
      </c>
      <c r="D17">
        <v>5.0819999999999999</v>
      </c>
      <c r="E17">
        <v>4.7629999999999999</v>
      </c>
      <c r="O17" s="281">
        <v>45072</v>
      </c>
      <c r="P17">
        <v>5.3730000000000002</v>
      </c>
      <c r="Q17">
        <v>5.83</v>
      </c>
      <c r="R17">
        <v>5.5549999999999997</v>
      </c>
      <c r="T17" s="281"/>
    </row>
    <row r="18" spans="2:20" x14ac:dyDescent="0.2">
      <c r="B18" s="281">
        <v>45072</v>
      </c>
      <c r="C18">
        <v>4.9080000000000004</v>
      </c>
      <c r="D18">
        <v>5.226</v>
      </c>
      <c r="E18">
        <v>5.0590000000000002</v>
      </c>
      <c r="O18" s="281">
        <v>45071</v>
      </c>
      <c r="P18">
        <v>5.3789999999999996</v>
      </c>
      <c r="Q18">
        <v>5.8529999999999998</v>
      </c>
      <c r="R18">
        <v>5.5890000000000004</v>
      </c>
      <c r="T18" s="281"/>
    </row>
    <row r="19" spans="2:20" x14ac:dyDescent="0.2">
      <c r="B19" s="281">
        <v>45071</v>
      </c>
      <c r="C19">
        <v>4.883</v>
      </c>
      <c r="D19">
        <v>5.22</v>
      </c>
      <c r="E19">
        <v>5.0270000000000001</v>
      </c>
      <c r="O19" s="281">
        <v>45070</v>
      </c>
      <c r="P19">
        <v>5.3620000000000001</v>
      </c>
      <c r="Q19">
        <v>5.8520000000000003</v>
      </c>
      <c r="R19">
        <v>5.5659999999999998</v>
      </c>
      <c r="T19" s="281"/>
    </row>
    <row r="20" spans="2:20" x14ac:dyDescent="0.2">
      <c r="B20" s="281">
        <v>45070</v>
      </c>
      <c r="C20">
        <v>4.7450000000000001</v>
      </c>
      <c r="D20">
        <v>5.08</v>
      </c>
      <c r="E20">
        <v>4.97</v>
      </c>
      <c r="O20" s="281">
        <v>45069</v>
      </c>
      <c r="P20">
        <v>5.3250000000000002</v>
      </c>
      <c r="Q20">
        <v>5.8479999999999999</v>
      </c>
      <c r="R20">
        <v>5.56</v>
      </c>
      <c r="T20" s="281"/>
    </row>
    <row r="21" spans="2:20" x14ac:dyDescent="0.2">
      <c r="B21" s="281">
        <v>45069</v>
      </c>
      <c r="C21">
        <v>4.6859999999999999</v>
      </c>
      <c r="D21">
        <v>4.9969999999999999</v>
      </c>
      <c r="E21">
        <v>5.0199999999999996</v>
      </c>
      <c r="O21" s="281">
        <v>45068</v>
      </c>
      <c r="P21">
        <v>5.3170000000000002</v>
      </c>
      <c r="Q21">
        <v>5.8609999999999998</v>
      </c>
      <c r="R21">
        <v>5.5730000000000004</v>
      </c>
      <c r="T21" s="281"/>
    </row>
    <row r="22" spans="2:20" x14ac:dyDescent="0.2">
      <c r="B22" s="281">
        <v>45068</v>
      </c>
      <c r="C22">
        <v>4.6749999999999998</v>
      </c>
      <c r="D22">
        <v>5.0209999999999999</v>
      </c>
      <c r="E22">
        <v>5.0010000000000003</v>
      </c>
      <c r="O22" s="281">
        <v>45065</v>
      </c>
      <c r="P22">
        <v>5.2859999999999996</v>
      </c>
      <c r="Q22">
        <v>5.8490000000000002</v>
      </c>
      <c r="R22">
        <v>5.56</v>
      </c>
      <c r="T22" s="281"/>
    </row>
    <row r="23" spans="2:20" x14ac:dyDescent="0.2">
      <c r="B23" s="281">
        <v>45065</v>
      </c>
      <c r="C23">
        <v>4.6689999999999996</v>
      </c>
      <c r="D23">
        <v>5.03</v>
      </c>
      <c r="E23">
        <v>5.0670000000000002</v>
      </c>
      <c r="O23" s="281">
        <v>45064</v>
      </c>
      <c r="P23">
        <v>5.2869999999999999</v>
      </c>
      <c r="Q23">
        <v>5.8280000000000003</v>
      </c>
      <c r="R23">
        <v>5.5279999999999996</v>
      </c>
      <c r="T23" s="281"/>
    </row>
    <row r="24" spans="2:20" x14ac:dyDescent="0.2">
      <c r="B24" s="281">
        <v>45064</v>
      </c>
      <c r="C24">
        <v>4.62</v>
      </c>
      <c r="D24">
        <v>4.9610000000000003</v>
      </c>
      <c r="E24">
        <v>5.1849999999999996</v>
      </c>
      <c r="O24" s="281">
        <v>45063</v>
      </c>
      <c r="P24">
        <v>5.194</v>
      </c>
      <c r="Q24">
        <v>5.7469999999999999</v>
      </c>
      <c r="R24">
        <v>5.5</v>
      </c>
      <c r="T24" s="281"/>
    </row>
    <row r="25" spans="2:20" x14ac:dyDescent="0.2">
      <c r="B25" s="281">
        <v>45063</v>
      </c>
      <c r="C25">
        <v>4.5019999999999998</v>
      </c>
      <c r="D25">
        <v>4.8920000000000003</v>
      </c>
      <c r="E25">
        <v>5.1079999999999997</v>
      </c>
      <c r="O25" s="281">
        <v>45062</v>
      </c>
      <c r="P25">
        <v>5.2119999999999997</v>
      </c>
      <c r="Q25">
        <v>5.7350000000000003</v>
      </c>
      <c r="R25">
        <v>5.5129999999999999</v>
      </c>
      <c r="T25" s="281"/>
    </row>
    <row r="26" spans="2:20" x14ac:dyDescent="0.2">
      <c r="B26" s="281">
        <v>45062</v>
      </c>
      <c r="C26">
        <v>4.43</v>
      </c>
      <c r="D26">
        <v>4.7750000000000004</v>
      </c>
      <c r="E26">
        <v>5.0449999999999999</v>
      </c>
      <c r="O26" s="281">
        <v>45061</v>
      </c>
      <c r="P26">
        <v>5.1580000000000004</v>
      </c>
      <c r="Q26">
        <v>5.6479999999999997</v>
      </c>
      <c r="R26">
        <v>5.468</v>
      </c>
      <c r="T26" s="281"/>
    </row>
    <row r="27" spans="2:20" x14ac:dyDescent="0.2">
      <c r="B27" s="281">
        <v>45061</v>
      </c>
      <c r="C27">
        <v>4.3049999999999997</v>
      </c>
      <c r="D27">
        <v>4.7279999999999998</v>
      </c>
      <c r="E27">
        <v>5.0049999999999999</v>
      </c>
      <c r="O27" s="281">
        <v>45058</v>
      </c>
      <c r="P27">
        <v>5.0860000000000003</v>
      </c>
      <c r="Q27">
        <v>5.5659999999999998</v>
      </c>
      <c r="R27">
        <v>5.3849999999999998</v>
      </c>
      <c r="T27" s="281"/>
    </row>
    <row r="28" spans="2:20" x14ac:dyDescent="0.2">
      <c r="B28" s="281">
        <v>45058</v>
      </c>
      <c r="C28">
        <v>4.3380000000000001</v>
      </c>
      <c r="D28">
        <v>4.7210000000000001</v>
      </c>
      <c r="E28">
        <v>5.0270000000000001</v>
      </c>
      <c r="O28" s="281">
        <v>45057</v>
      </c>
      <c r="P28">
        <v>5.048</v>
      </c>
      <c r="Q28">
        <v>5.5149999999999997</v>
      </c>
      <c r="R28">
        <v>5.3390000000000004</v>
      </c>
      <c r="T28" s="281"/>
    </row>
    <row r="29" spans="2:20" x14ac:dyDescent="0.2">
      <c r="B29" s="281">
        <v>45057</v>
      </c>
      <c r="C29">
        <v>4.226</v>
      </c>
      <c r="D29">
        <v>4.6139999999999999</v>
      </c>
      <c r="E29">
        <v>4.83</v>
      </c>
      <c r="O29" s="281">
        <v>45056</v>
      </c>
      <c r="P29">
        <v>5.1150000000000002</v>
      </c>
      <c r="Q29">
        <v>5.5730000000000004</v>
      </c>
      <c r="R29">
        <v>5.39</v>
      </c>
      <c r="T29" s="281"/>
    </row>
    <row r="30" spans="2:20" x14ac:dyDescent="0.2">
      <c r="B30" s="281">
        <v>45056</v>
      </c>
      <c r="C30">
        <v>4.2229999999999999</v>
      </c>
      <c r="D30">
        <v>4.6289999999999996</v>
      </c>
      <c r="E30">
        <v>4.8959999999999999</v>
      </c>
      <c r="O30" s="281">
        <v>45055</v>
      </c>
      <c r="P30">
        <v>5.1449999999999996</v>
      </c>
      <c r="Q30">
        <v>5.6319999999999997</v>
      </c>
      <c r="R30">
        <v>5.4349999999999996</v>
      </c>
      <c r="T30" s="281"/>
    </row>
    <row r="31" spans="2:20" x14ac:dyDescent="0.2">
      <c r="B31" s="281">
        <v>45055</v>
      </c>
      <c r="C31">
        <v>4.3529999999999998</v>
      </c>
      <c r="D31">
        <v>4.7519999999999998</v>
      </c>
      <c r="E31">
        <v>5.0490000000000004</v>
      </c>
      <c r="O31" s="281">
        <v>45054</v>
      </c>
      <c r="P31">
        <v>5.17</v>
      </c>
      <c r="Q31">
        <v>5.6120000000000001</v>
      </c>
      <c r="R31">
        <v>5.4210000000000003</v>
      </c>
      <c r="T31" s="281"/>
    </row>
    <row r="32" spans="2:20" x14ac:dyDescent="0.2">
      <c r="B32" s="281">
        <v>45054</v>
      </c>
      <c r="C32">
        <v>4.34</v>
      </c>
      <c r="D32">
        <v>4.7720000000000002</v>
      </c>
      <c r="E32">
        <v>5.0410000000000004</v>
      </c>
      <c r="O32" s="281">
        <v>45051</v>
      </c>
      <c r="P32">
        <v>5.0620000000000003</v>
      </c>
      <c r="Q32">
        <v>5.5449999999999999</v>
      </c>
      <c r="R32">
        <v>5.335</v>
      </c>
      <c r="T32" s="281"/>
    </row>
    <row r="33" spans="2:20" x14ac:dyDescent="0.2">
      <c r="B33" s="281">
        <v>45051</v>
      </c>
      <c r="C33">
        <v>4.266</v>
      </c>
      <c r="D33">
        <v>4.6210000000000004</v>
      </c>
      <c r="E33">
        <v>4.9770000000000003</v>
      </c>
      <c r="O33" s="281">
        <v>45050</v>
      </c>
      <c r="P33">
        <v>5.0640000000000001</v>
      </c>
      <c r="Q33">
        <v>5.5019999999999998</v>
      </c>
      <c r="R33">
        <v>5.3129999999999997</v>
      </c>
      <c r="T33" s="281"/>
    </row>
    <row r="34" spans="2:20" x14ac:dyDescent="0.2">
      <c r="B34" s="281">
        <v>45050</v>
      </c>
      <c r="C34">
        <v>4.1870000000000003</v>
      </c>
      <c r="D34">
        <v>4.5810000000000004</v>
      </c>
      <c r="E34">
        <v>4.859</v>
      </c>
      <c r="O34" s="281">
        <v>45049</v>
      </c>
      <c r="P34">
        <v>4.9729999999999999</v>
      </c>
      <c r="Q34">
        <v>5.4169999999999998</v>
      </c>
      <c r="R34">
        <v>5.2549999999999999</v>
      </c>
      <c r="T34" s="281"/>
    </row>
    <row r="35" spans="2:20" x14ac:dyDescent="0.2">
      <c r="B35" s="281">
        <v>45049</v>
      </c>
      <c r="C35">
        <v>4.173</v>
      </c>
      <c r="D35">
        <v>4.524</v>
      </c>
      <c r="E35">
        <v>4.9020000000000001</v>
      </c>
      <c r="O35" s="281">
        <v>45048</v>
      </c>
      <c r="P35">
        <v>5.024</v>
      </c>
      <c r="Q35">
        <v>5.4580000000000002</v>
      </c>
      <c r="R35">
        <v>5.2809999999999997</v>
      </c>
      <c r="T35" s="281"/>
    </row>
    <row r="36" spans="2:20" x14ac:dyDescent="0.2">
      <c r="B36" s="281">
        <v>45048</v>
      </c>
      <c r="C36">
        <v>4.2690000000000001</v>
      </c>
      <c r="D36">
        <v>4.6669999999999998</v>
      </c>
      <c r="E36">
        <v>4.9880000000000004</v>
      </c>
      <c r="O36" s="281">
        <v>45047</v>
      </c>
      <c r="P36">
        <v>5.125</v>
      </c>
      <c r="Q36">
        <v>5.5819999999999999</v>
      </c>
      <c r="R36">
        <v>5.3860000000000001</v>
      </c>
      <c r="T36" s="281"/>
    </row>
    <row r="37" spans="2:20" x14ac:dyDescent="0.2">
      <c r="B37" s="281">
        <v>45047</v>
      </c>
      <c r="C37">
        <v>4.3949999999999996</v>
      </c>
      <c r="D37">
        <v>4.8579999999999997</v>
      </c>
      <c r="E37">
        <v>5.1390000000000002</v>
      </c>
      <c r="O37" s="281">
        <v>45044</v>
      </c>
      <c r="P37">
        <v>4.9690000000000003</v>
      </c>
      <c r="Q37">
        <v>5.415</v>
      </c>
      <c r="R37">
        <v>5.1929999999999996</v>
      </c>
      <c r="T37" s="281"/>
    </row>
    <row r="38" spans="2:20" x14ac:dyDescent="0.2">
      <c r="B38" s="281">
        <v>45044</v>
      </c>
      <c r="C38">
        <v>4.3230000000000004</v>
      </c>
      <c r="D38">
        <v>4.6980000000000004</v>
      </c>
      <c r="E38">
        <v>5.1420000000000003</v>
      </c>
      <c r="O38" s="281">
        <v>45043</v>
      </c>
      <c r="P38">
        <v>5.0599999999999996</v>
      </c>
      <c r="Q38">
        <v>5.5460000000000003</v>
      </c>
      <c r="R38">
        <v>5.258</v>
      </c>
      <c r="T38" s="281"/>
    </row>
    <row r="39" spans="2:20" x14ac:dyDescent="0.2">
      <c r="B39" s="281">
        <v>45043</v>
      </c>
      <c r="C39">
        <v>4.4029999999999996</v>
      </c>
      <c r="D39">
        <v>4.7649999999999997</v>
      </c>
      <c r="E39">
        <v>5.2539999999999996</v>
      </c>
      <c r="O39" s="281">
        <v>45042</v>
      </c>
      <c r="P39">
        <v>5.0529999999999999</v>
      </c>
      <c r="Q39">
        <v>5.5309999999999997</v>
      </c>
      <c r="R39">
        <v>5.2009999999999996</v>
      </c>
      <c r="T39" s="281"/>
    </row>
    <row r="40" spans="2:20" x14ac:dyDescent="0.2">
      <c r="B40" s="281">
        <v>45042</v>
      </c>
      <c r="C40">
        <v>4.2480000000000002</v>
      </c>
      <c r="D40">
        <v>4.6920000000000002</v>
      </c>
      <c r="E40">
        <v>5.14</v>
      </c>
      <c r="O40" s="281">
        <v>45041</v>
      </c>
      <c r="P40">
        <v>4.9889999999999999</v>
      </c>
      <c r="Q40">
        <v>5.4749999999999996</v>
      </c>
      <c r="R40">
        <v>5.15</v>
      </c>
      <c r="T40" s="281"/>
    </row>
    <row r="41" spans="2:20" x14ac:dyDescent="0.2">
      <c r="B41" s="281">
        <v>45041</v>
      </c>
      <c r="C41">
        <v>4.2069999999999999</v>
      </c>
      <c r="D41">
        <v>4.6340000000000003</v>
      </c>
      <c r="E41">
        <v>4.9740000000000002</v>
      </c>
      <c r="O41" s="281">
        <v>45040</v>
      </c>
      <c r="P41">
        <v>5.0819999999999999</v>
      </c>
      <c r="Q41">
        <v>5.5469999999999997</v>
      </c>
      <c r="R41">
        <v>5.2060000000000004</v>
      </c>
      <c r="T41" s="281"/>
    </row>
    <row r="42" spans="2:20" x14ac:dyDescent="0.2">
      <c r="B42" s="281">
        <v>45040</v>
      </c>
      <c r="C42">
        <v>4.4050000000000002</v>
      </c>
      <c r="D42">
        <v>4.8470000000000004</v>
      </c>
      <c r="E42">
        <v>5.1079999999999997</v>
      </c>
      <c r="O42" s="281">
        <v>45037</v>
      </c>
      <c r="P42">
        <v>5.1379999999999999</v>
      </c>
      <c r="Q42">
        <v>5.58</v>
      </c>
      <c r="R42">
        <v>5.2539999999999996</v>
      </c>
      <c r="T42" s="281"/>
    </row>
    <row r="43" spans="2:20" x14ac:dyDescent="0.2">
      <c r="B43" s="281">
        <v>45037</v>
      </c>
      <c r="C43">
        <v>4.5389999999999997</v>
      </c>
      <c r="D43">
        <v>4.8689999999999998</v>
      </c>
      <c r="E43">
        <v>5.149</v>
      </c>
      <c r="O43" s="281">
        <v>45036</v>
      </c>
      <c r="P43">
        <v>5.173</v>
      </c>
      <c r="Q43">
        <v>5.5590000000000002</v>
      </c>
      <c r="R43">
        <v>5.2869999999999999</v>
      </c>
      <c r="T43" s="281"/>
    </row>
    <row r="44" spans="2:20" x14ac:dyDescent="0.2">
      <c r="B44" s="281">
        <v>45036</v>
      </c>
      <c r="C44">
        <v>4.5110000000000001</v>
      </c>
      <c r="D44">
        <v>4.8250000000000002</v>
      </c>
      <c r="E44">
        <v>5.0709999999999997</v>
      </c>
      <c r="O44" s="281">
        <v>45035</v>
      </c>
      <c r="P44">
        <v>5.194</v>
      </c>
      <c r="Q44">
        <v>5.6</v>
      </c>
      <c r="R44">
        <v>5.3289999999999997</v>
      </c>
      <c r="T44" s="281"/>
    </row>
    <row r="45" spans="2:20" x14ac:dyDescent="0.2">
      <c r="B45" s="281">
        <v>45035</v>
      </c>
      <c r="C45">
        <v>4.6139999999999999</v>
      </c>
      <c r="D45">
        <v>4.9180000000000001</v>
      </c>
      <c r="E45">
        <v>5.1180000000000003</v>
      </c>
      <c r="O45" s="281">
        <v>45034</v>
      </c>
      <c r="P45">
        <v>5.1550000000000002</v>
      </c>
      <c r="Q45">
        <v>5.6180000000000003</v>
      </c>
      <c r="R45">
        <v>5.3070000000000004</v>
      </c>
      <c r="T45" s="281"/>
    </row>
    <row r="46" spans="2:20" x14ac:dyDescent="0.2">
      <c r="B46" s="281">
        <v>45034</v>
      </c>
      <c r="C46">
        <v>4.524</v>
      </c>
      <c r="D46">
        <v>4.8520000000000003</v>
      </c>
      <c r="E46">
        <v>5.0449999999999999</v>
      </c>
      <c r="O46" s="281">
        <v>45033</v>
      </c>
      <c r="P46">
        <v>5.1769999999999996</v>
      </c>
      <c r="Q46">
        <v>5.6840000000000002</v>
      </c>
      <c r="R46">
        <v>5.3220000000000001</v>
      </c>
      <c r="T46" s="281"/>
    </row>
    <row r="47" spans="2:20" x14ac:dyDescent="0.2">
      <c r="B47" s="281">
        <v>45033</v>
      </c>
      <c r="C47">
        <v>4.5129999999999999</v>
      </c>
      <c r="D47">
        <v>4.8120000000000003</v>
      </c>
      <c r="E47">
        <v>5.0750000000000002</v>
      </c>
      <c r="O47" s="281">
        <v>45030</v>
      </c>
      <c r="P47">
        <v>5.1120000000000001</v>
      </c>
      <c r="Q47">
        <v>5.6239999999999997</v>
      </c>
      <c r="R47">
        <v>5.2880000000000003</v>
      </c>
      <c r="T47" s="281"/>
    </row>
    <row r="48" spans="2:20" x14ac:dyDescent="0.2">
      <c r="B48" s="281">
        <v>45030</v>
      </c>
      <c r="C48">
        <v>4.4370000000000003</v>
      </c>
      <c r="D48">
        <v>4.7510000000000003</v>
      </c>
      <c r="E48">
        <v>5</v>
      </c>
      <c r="O48" s="281">
        <v>45029</v>
      </c>
      <c r="P48">
        <v>5.0720000000000001</v>
      </c>
      <c r="Q48">
        <v>5.5720000000000001</v>
      </c>
      <c r="R48">
        <v>5.2130000000000001</v>
      </c>
      <c r="T48" s="281"/>
    </row>
    <row r="49" spans="2:20" x14ac:dyDescent="0.2">
      <c r="B49" s="281">
        <v>45029</v>
      </c>
      <c r="C49">
        <v>4.3639999999999999</v>
      </c>
      <c r="D49">
        <v>4.6479999999999997</v>
      </c>
      <c r="E49">
        <v>5.1120000000000001</v>
      </c>
      <c r="O49" s="281">
        <v>45028</v>
      </c>
      <c r="P49">
        <v>5.03</v>
      </c>
      <c r="Q49">
        <v>5.5579999999999998</v>
      </c>
      <c r="R49">
        <v>5.2069999999999999</v>
      </c>
      <c r="T49" s="281"/>
    </row>
    <row r="50" spans="2:20" x14ac:dyDescent="0.2">
      <c r="B50" s="281">
        <v>45028</v>
      </c>
      <c r="C50">
        <v>4.3659999999999997</v>
      </c>
      <c r="D50">
        <v>4.6859999999999999</v>
      </c>
      <c r="E50">
        <v>5.1230000000000002</v>
      </c>
      <c r="O50" s="281">
        <v>45027</v>
      </c>
      <c r="P50">
        <v>4.9969999999999999</v>
      </c>
      <c r="Q50">
        <v>5.5410000000000004</v>
      </c>
      <c r="R50">
        <v>5.1790000000000003</v>
      </c>
      <c r="T50" s="281"/>
    </row>
    <row r="51" spans="2:20" x14ac:dyDescent="0.2">
      <c r="B51" s="281">
        <v>45027</v>
      </c>
      <c r="C51">
        <v>4.452</v>
      </c>
      <c r="D51">
        <v>4.734</v>
      </c>
      <c r="E51">
        <v>5.0990000000000002</v>
      </c>
      <c r="O51" s="281">
        <v>45026</v>
      </c>
      <c r="P51">
        <v>5.0270000000000001</v>
      </c>
      <c r="Q51">
        <v>5.55</v>
      </c>
      <c r="R51">
        <v>5.1779999999999999</v>
      </c>
      <c r="T51" s="281"/>
    </row>
    <row r="52" spans="2:20" x14ac:dyDescent="0.2">
      <c r="B52" s="281">
        <v>45026</v>
      </c>
      <c r="C52">
        <v>4.46</v>
      </c>
      <c r="D52">
        <v>4.7699999999999996</v>
      </c>
      <c r="E52">
        <v>5.109</v>
      </c>
      <c r="O52" s="281">
        <v>45022</v>
      </c>
      <c r="P52">
        <v>4.923</v>
      </c>
      <c r="Q52">
        <v>5.4589999999999996</v>
      </c>
      <c r="R52">
        <v>5.1159999999999997</v>
      </c>
      <c r="T52" s="281"/>
    </row>
    <row r="53" spans="2:20" x14ac:dyDescent="0.2">
      <c r="B53" s="281">
        <v>45022</v>
      </c>
      <c r="C53">
        <v>4.2619999999999996</v>
      </c>
      <c r="D53">
        <v>4.6440000000000001</v>
      </c>
      <c r="E53">
        <v>5.016</v>
      </c>
      <c r="O53" s="281">
        <v>45021</v>
      </c>
      <c r="P53">
        <v>4.9610000000000003</v>
      </c>
      <c r="Q53">
        <v>5.4889999999999999</v>
      </c>
      <c r="R53">
        <v>5.1189999999999998</v>
      </c>
      <c r="T53" s="281"/>
    </row>
    <row r="54" spans="2:20" x14ac:dyDescent="0.2">
      <c r="B54" s="281">
        <v>45021</v>
      </c>
      <c r="C54">
        <v>4.218</v>
      </c>
      <c r="D54">
        <v>4.6920000000000002</v>
      </c>
      <c r="E54">
        <v>4.8920000000000003</v>
      </c>
      <c r="O54" s="281">
        <v>45020</v>
      </c>
      <c r="P54">
        <v>5.032</v>
      </c>
      <c r="Q54">
        <v>5.51</v>
      </c>
      <c r="R54">
        <v>5.12</v>
      </c>
      <c r="T54" s="281"/>
    </row>
    <row r="55" spans="2:20" x14ac:dyDescent="0.2">
      <c r="B55" s="281">
        <v>45020</v>
      </c>
      <c r="C55">
        <v>4.1959999999999997</v>
      </c>
      <c r="D55">
        <v>4.6669999999999998</v>
      </c>
      <c r="E55">
        <v>4.9059999999999997</v>
      </c>
      <c r="O55" s="281">
        <v>45019</v>
      </c>
      <c r="P55">
        <v>5.0540000000000003</v>
      </c>
      <c r="Q55">
        <v>5.5449999999999999</v>
      </c>
      <c r="R55">
        <v>5.181</v>
      </c>
      <c r="T55" s="281"/>
    </row>
    <row r="56" spans="2:20" x14ac:dyDescent="0.2">
      <c r="B56" s="281">
        <v>45019</v>
      </c>
      <c r="C56">
        <v>4.3</v>
      </c>
      <c r="D56">
        <v>4.76</v>
      </c>
      <c r="E56">
        <v>4.7759999999999998</v>
      </c>
      <c r="O56" s="281">
        <v>45016</v>
      </c>
      <c r="P56">
        <v>5.07</v>
      </c>
      <c r="Q56">
        <v>5.601</v>
      </c>
      <c r="R56">
        <v>5.2039999999999997</v>
      </c>
      <c r="T56" s="281"/>
    </row>
    <row r="57" spans="2:20" x14ac:dyDescent="0.2">
      <c r="B57" s="281">
        <v>45016</v>
      </c>
      <c r="C57">
        <v>4.3540000000000001</v>
      </c>
      <c r="D57">
        <v>4.8529999999999998</v>
      </c>
      <c r="E57">
        <v>4.891</v>
      </c>
      <c r="O57" s="281">
        <v>45015</v>
      </c>
      <c r="P57">
        <v>5.2009999999999996</v>
      </c>
      <c r="Q57">
        <v>5.64</v>
      </c>
      <c r="R57">
        <v>5.2789999999999999</v>
      </c>
      <c r="T57" s="281"/>
    </row>
    <row r="58" spans="2:20" x14ac:dyDescent="0.2">
      <c r="B58" s="281">
        <v>45015</v>
      </c>
      <c r="C58">
        <v>4.53</v>
      </c>
      <c r="D58">
        <v>4.984</v>
      </c>
      <c r="E58">
        <v>5.0060000000000002</v>
      </c>
      <c r="O58" s="281">
        <v>45014</v>
      </c>
      <c r="P58">
        <v>5.2670000000000003</v>
      </c>
      <c r="Q58">
        <v>5.6529999999999996</v>
      </c>
      <c r="R58">
        <v>5.343</v>
      </c>
      <c r="T58" s="281"/>
    </row>
    <row r="59" spans="2:20" x14ac:dyDescent="0.2">
      <c r="B59" s="281">
        <v>45014</v>
      </c>
      <c r="C59">
        <v>4.5890000000000004</v>
      </c>
      <c r="D59">
        <v>5.0380000000000003</v>
      </c>
      <c r="E59">
        <v>4.9790000000000001</v>
      </c>
      <c r="O59" s="281">
        <v>45013</v>
      </c>
      <c r="P59">
        <v>5.2809999999999997</v>
      </c>
      <c r="Q59">
        <v>5.7160000000000002</v>
      </c>
      <c r="R59">
        <v>5.3570000000000002</v>
      </c>
      <c r="T59" s="281"/>
    </row>
    <row r="60" spans="2:20" x14ac:dyDescent="0.2">
      <c r="B60" s="281">
        <v>45013</v>
      </c>
      <c r="C60">
        <v>4.59</v>
      </c>
      <c r="D60">
        <v>5.0380000000000003</v>
      </c>
      <c r="E60">
        <v>4.9720000000000004</v>
      </c>
      <c r="O60" s="281">
        <v>45012</v>
      </c>
      <c r="P60">
        <v>5.2729999999999997</v>
      </c>
      <c r="Q60">
        <v>5.694</v>
      </c>
      <c r="R60">
        <v>5.3150000000000004</v>
      </c>
      <c r="T60" s="281"/>
    </row>
    <row r="61" spans="2:20" x14ac:dyDescent="0.2">
      <c r="B61" s="281">
        <v>45012</v>
      </c>
      <c r="C61">
        <v>4.49</v>
      </c>
      <c r="D61">
        <v>5.0229999999999997</v>
      </c>
      <c r="E61">
        <v>4.8929999999999998</v>
      </c>
      <c r="O61" s="281">
        <v>45009</v>
      </c>
      <c r="P61">
        <v>5.2050000000000001</v>
      </c>
      <c r="Q61">
        <v>5.633</v>
      </c>
      <c r="R61">
        <v>5.2690000000000001</v>
      </c>
      <c r="T61" s="281"/>
    </row>
    <row r="62" spans="2:20" x14ac:dyDescent="0.2">
      <c r="B62" s="281">
        <v>45009</v>
      </c>
      <c r="C62">
        <v>4.3620000000000001</v>
      </c>
      <c r="D62">
        <v>4.8520000000000003</v>
      </c>
      <c r="E62">
        <v>4.851</v>
      </c>
      <c r="O62" s="281">
        <v>45008</v>
      </c>
      <c r="P62">
        <v>5.1680000000000001</v>
      </c>
      <c r="Q62">
        <v>5.5919999999999996</v>
      </c>
      <c r="R62">
        <v>5.359</v>
      </c>
      <c r="T62" s="281"/>
    </row>
    <row r="63" spans="2:20" x14ac:dyDescent="0.2">
      <c r="B63" s="281">
        <v>45008</v>
      </c>
      <c r="C63">
        <v>4.3390000000000004</v>
      </c>
      <c r="D63">
        <v>4.7830000000000004</v>
      </c>
      <c r="E63">
        <v>4.8719999999999999</v>
      </c>
      <c r="O63" s="281">
        <v>45007</v>
      </c>
      <c r="P63">
        <v>5.149</v>
      </c>
      <c r="Q63">
        <v>5.6230000000000002</v>
      </c>
      <c r="R63">
        <v>5.3310000000000004</v>
      </c>
      <c r="T63" s="281"/>
    </row>
    <row r="64" spans="2:20" x14ac:dyDescent="0.2">
      <c r="B64" s="281">
        <v>45007</v>
      </c>
      <c r="C64">
        <v>4.43</v>
      </c>
      <c r="D64">
        <v>5.01</v>
      </c>
      <c r="E64">
        <v>5.0449999999999999</v>
      </c>
      <c r="O64" s="281">
        <v>45006</v>
      </c>
      <c r="P64">
        <v>5.2510000000000003</v>
      </c>
      <c r="Q64">
        <v>5.6719999999999997</v>
      </c>
      <c r="R64">
        <v>5.3869999999999996</v>
      </c>
      <c r="T64" s="281"/>
    </row>
    <row r="65" spans="2:20" x14ac:dyDescent="0.2">
      <c r="B65" s="281">
        <v>45006</v>
      </c>
      <c r="C65">
        <v>4.7190000000000003</v>
      </c>
      <c r="D65">
        <v>5.1890000000000001</v>
      </c>
      <c r="E65">
        <v>5.1219999999999999</v>
      </c>
      <c r="O65" s="281">
        <v>45005</v>
      </c>
      <c r="P65">
        <v>5.2720000000000002</v>
      </c>
      <c r="Q65">
        <v>5.6539999999999999</v>
      </c>
      <c r="R65">
        <v>5.4740000000000002</v>
      </c>
      <c r="T65" s="281"/>
    </row>
    <row r="66" spans="2:20" x14ac:dyDescent="0.2">
      <c r="B66" s="281">
        <v>45005</v>
      </c>
      <c r="C66">
        <v>4.7149999999999999</v>
      </c>
      <c r="D66">
        <v>5.1529999999999996</v>
      </c>
      <c r="E66">
        <v>5.2119999999999997</v>
      </c>
      <c r="O66" s="281">
        <v>45002</v>
      </c>
      <c r="P66">
        <v>5.2359999999999998</v>
      </c>
      <c r="Q66">
        <v>5.6440000000000001</v>
      </c>
      <c r="R66">
        <v>5.4420000000000002</v>
      </c>
      <c r="T66" s="281"/>
    </row>
    <row r="67" spans="2:20" x14ac:dyDescent="0.2">
      <c r="B67" s="281">
        <v>45002</v>
      </c>
      <c r="C67">
        <v>4.665</v>
      </c>
      <c r="D67">
        <v>5.1349999999999998</v>
      </c>
      <c r="E67">
        <v>5.101</v>
      </c>
      <c r="O67" s="281">
        <v>45001</v>
      </c>
      <c r="P67">
        <v>5.2869999999999999</v>
      </c>
      <c r="Q67">
        <v>5.718</v>
      </c>
      <c r="R67">
        <v>5.5060000000000002</v>
      </c>
      <c r="T67" s="281"/>
    </row>
    <row r="68" spans="2:20" x14ac:dyDescent="0.2">
      <c r="B68" s="281">
        <v>45001</v>
      </c>
      <c r="C68">
        <v>4.9260000000000002</v>
      </c>
      <c r="D68">
        <v>5.3949999999999996</v>
      </c>
      <c r="E68">
        <v>5.2110000000000003</v>
      </c>
      <c r="O68" s="281">
        <v>45000</v>
      </c>
      <c r="P68">
        <v>5.3220000000000001</v>
      </c>
      <c r="Q68">
        <v>5.7060000000000004</v>
      </c>
      <c r="R68">
        <v>5.52</v>
      </c>
      <c r="T68" s="281"/>
    </row>
    <row r="69" spans="2:20" x14ac:dyDescent="0.2">
      <c r="B69" s="281">
        <v>45000</v>
      </c>
      <c r="C69">
        <v>5.09</v>
      </c>
      <c r="D69">
        <v>5.2640000000000002</v>
      </c>
      <c r="E69">
        <v>5.0999999999999996</v>
      </c>
      <c r="O69" s="281">
        <v>44999</v>
      </c>
      <c r="P69">
        <v>5.3680000000000003</v>
      </c>
      <c r="Q69">
        <v>5.7789999999999999</v>
      </c>
      <c r="R69">
        <v>5.601</v>
      </c>
      <c r="T69" s="281"/>
    </row>
    <row r="70" spans="2:20" x14ac:dyDescent="0.2">
      <c r="B70" s="281">
        <v>44999</v>
      </c>
      <c r="C70">
        <v>4.976</v>
      </c>
      <c r="D70">
        <v>5.2380000000000004</v>
      </c>
      <c r="E70">
        <v>5.3079999999999998</v>
      </c>
      <c r="O70" s="281">
        <v>44998</v>
      </c>
      <c r="P70">
        <v>5.399</v>
      </c>
      <c r="Q70">
        <v>5.7779999999999996</v>
      </c>
      <c r="R70">
        <v>5.601</v>
      </c>
      <c r="T70" s="281"/>
    </row>
    <row r="71" spans="2:20" x14ac:dyDescent="0.2">
      <c r="B71" s="281">
        <v>44998</v>
      </c>
      <c r="C71">
        <v>4.9189999999999996</v>
      </c>
      <c r="D71">
        <v>5.0519999999999996</v>
      </c>
      <c r="E71">
        <v>5.375</v>
      </c>
      <c r="O71" s="281">
        <v>44995</v>
      </c>
      <c r="P71">
        <v>5.351</v>
      </c>
      <c r="Q71">
        <v>5.7649999999999997</v>
      </c>
      <c r="R71">
        <v>5.4050000000000002</v>
      </c>
      <c r="T71" s="281"/>
    </row>
    <row r="72" spans="2:20" x14ac:dyDescent="0.2">
      <c r="B72" s="281">
        <v>44995</v>
      </c>
      <c r="C72">
        <v>5.0869999999999997</v>
      </c>
      <c r="D72">
        <v>5.3710000000000004</v>
      </c>
      <c r="E72">
        <v>5.3419999999999996</v>
      </c>
      <c r="O72" s="281">
        <v>44994</v>
      </c>
      <c r="P72">
        <v>5.5069999999999997</v>
      </c>
      <c r="Q72">
        <v>5.8810000000000002</v>
      </c>
      <c r="R72">
        <v>5.5709999999999997</v>
      </c>
      <c r="T72" s="281"/>
    </row>
    <row r="73" spans="2:20" x14ac:dyDescent="0.2">
      <c r="B73" s="281">
        <v>44994</v>
      </c>
      <c r="C73">
        <v>5.2789999999999999</v>
      </c>
      <c r="D73">
        <v>5.5460000000000003</v>
      </c>
      <c r="E73">
        <v>5.5279999999999996</v>
      </c>
      <c r="O73" s="281">
        <v>44993</v>
      </c>
      <c r="P73">
        <v>5.484</v>
      </c>
      <c r="Q73">
        <v>5.8760000000000003</v>
      </c>
      <c r="R73">
        <v>5.5380000000000003</v>
      </c>
      <c r="T73" s="281"/>
    </row>
    <row r="74" spans="2:20" x14ac:dyDescent="0.2">
      <c r="B74" s="281">
        <v>44993</v>
      </c>
      <c r="C74">
        <v>5.46</v>
      </c>
      <c r="D74">
        <v>5.6509999999999998</v>
      </c>
      <c r="E74">
        <v>5.6740000000000004</v>
      </c>
      <c r="O74" s="281">
        <v>44992</v>
      </c>
      <c r="P74">
        <v>5.4390000000000001</v>
      </c>
      <c r="Q74">
        <v>5.944</v>
      </c>
      <c r="R74">
        <v>5.5350000000000001</v>
      </c>
      <c r="T74" s="281"/>
    </row>
    <row r="75" spans="2:20" x14ac:dyDescent="0.2">
      <c r="B75" s="281">
        <v>44992</v>
      </c>
      <c r="C75">
        <v>5.3159999999999998</v>
      </c>
      <c r="D75">
        <v>5.5730000000000004</v>
      </c>
      <c r="E75">
        <v>5.5949999999999998</v>
      </c>
      <c r="O75" s="281">
        <v>44991</v>
      </c>
      <c r="P75">
        <v>5.4340000000000002</v>
      </c>
      <c r="Q75">
        <v>5.9130000000000003</v>
      </c>
      <c r="R75">
        <v>5.55</v>
      </c>
      <c r="T75" s="281"/>
    </row>
    <row r="76" spans="2:20" x14ac:dyDescent="0.2">
      <c r="B76" s="281">
        <v>44991</v>
      </c>
      <c r="C76">
        <v>5.1950000000000003</v>
      </c>
      <c r="D76">
        <v>5.5140000000000002</v>
      </c>
      <c r="E76">
        <v>5.41</v>
      </c>
      <c r="O76" s="281">
        <v>44988</v>
      </c>
      <c r="P76">
        <v>5.41</v>
      </c>
      <c r="Q76">
        <v>5.9080000000000004</v>
      </c>
      <c r="R76">
        <v>5.4939999999999998</v>
      </c>
      <c r="T76" s="281"/>
    </row>
    <row r="77" spans="2:20" x14ac:dyDescent="0.2">
      <c r="B77" s="281">
        <v>44988</v>
      </c>
      <c r="C77">
        <v>5.2060000000000004</v>
      </c>
      <c r="D77">
        <v>5.5049999999999999</v>
      </c>
      <c r="E77">
        <v>5.4180000000000001</v>
      </c>
      <c r="O77" s="281">
        <v>44987</v>
      </c>
      <c r="P77">
        <v>5.6219999999999999</v>
      </c>
      <c r="Q77">
        <v>6.0419999999999998</v>
      </c>
      <c r="R77">
        <v>5.6420000000000003</v>
      </c>
      <c r="T77" s="281"/>
    </row>
    <row r="78" spans="2:20" x14ac:dyDescent="0.2">
      <c r="B78" s="281">
        <v>44987</v>
      </c>
      <c r="C78">
        <v>5.2830000000000004</v>
      </c>
      <c r="D78">
        <v>5.5780000000000003</v>
      </c>
      <c r="E78">
        <v>5.4640000000000004</v>
      </c>
      <c r="O78" s="281">
        <v>44986</v>
      </c>
      <c r="P78">
        <v>5.59</v>
      </c>
      <c r="Q78">
        <v>6.0209999999999999</v>
      </c>
      <c r="R78">
        <v>5.6689999999999996</v>
      </c>
      <c r="T78" s="281"/>
    </row>
    <row r="79" spans="2:20" x14ac:dyDescent="0.2">
      <c r="B79" s="281">
        <v>44986</v>
      </c>
      <c r="C79">
        <v>5.2709999999999999</v>
      </c>
      <c r="D79">
        <v>5.6040000000000001</v>
      </c>
      <c r="E79">
        <v>5.4550000000000001</v>
      </c>
      <c r="O79" s="281">
        <v>44985</v>
      </c>
      <c r="P79">
        <v>5.5350000000000001</v>
      </c>
      <c r="Q79">
        <v>5.9509999999999996</v>
      </c>
      <c r="R79">
        <v>5.5880000000000001</v>
      </c>
      <c r="T79" s="281"/>
    </row>
    <row r="80" spans="2:20" x14ac:dyDescent="0.2">
      <c r="B80" s="281">
        <v>44985</v>
      </c>
      <c r="C80">
        <v>5.2050000000000001</v>
      </c>
      <c r="D80">
        <v>5.48</v>
      </c>
      <c r="E80">
        <v>5.3419999999999996</v>
      </c>
      <c r="O80" s="281">
        <v>44984</v>
      </c>
      <c r="P80">
        <v>5.532</v>
      </c>
      <c r="Q80">
        <v>5.9630000000000001</v>
      </c>
      <c r="R80">
        <v>5.6029999999999998</v>
      </c>
      <c r="T80" s="281"/>
    </row>
    <row r="81" spans="2:20" x14ac:dyDescent="0.2">
      <c r="B81" s="281">
        <v>44984</v>
      </c>
      <c r="C81">
        <v>5.1989999999999998</v>
      </c>
      <c r="D81">
        <v>5.468</v>
      </c>
      <c r="E81">
        <v>5.3339999999999996</v>
      </c>
      <c r="O81" s="281">
        <v>44981</v>
      </c>
      <c r="P81">
        <v>5.5570000000000004</v>
      </c>
      <c r="Q81">
        <v>5.9640000000000004</v>
      </c>
      <c r="R81">
        <v>5.5590000000000002</v>
      </c>
      <c r="T81" s="281"/>
    </row>
    <row r="82" spans="2:20" x14ac:dyDescent="0.2">
      <c r="B82" s="281">
        <v>44981</v>
      </c>
      <c r="C82">
        <v>5.2229999999999999</v>
      </c>
      <c r="D82">
        <v>5.484</v>
      </c>
      <c r="E82">
        <v>5.4089999999999998</v>
      </c>
      <c r="O82" s="281">
        <v>44980</v>
      </c>
      <c r="P82">
        <v>5.4630000000000001</v>
      </c>
      <c r="Q82">
        <v>5.8970000000000002</v>
      </c>
      <c r="R82">
        <v>5.51</v>
      </c>
      <c r="T82" s="281"/>
    </row>
    <row r="83" spans="2:20" x14ac:dyDescent="0.2">
      <c r="B83" s="281">
        <v>44980</v>
      </c>
      <c r="C83">
        <v>5.0709999999999997</v>
      </c>
      <c r="D83">
        <v>5.3369999999999997</v>
      </c>
      <c r="E83">
        <v>5.3179999999999996</v>
      </c>
      <c r="O83" s="281">
        <v>44979</v>
      </c>
      <c r="P83">
        <v>5.5119999999999996</v>
      </c>
      <c r="Q83">
        <v>5.9619999999999997</v>
      </c>
      <c r="R83">
        <v>5.5810000000000004</v>
      </c>
      <c r="T83" s="281"/>
    </row>
    <row r="84" spans="2:20" x14ac:dyDescent="0.2">
      <c r="B84" s="281">
        <v>44979</v>
      </c>
      <c r="C84">
        <v>5.1219999999999999</v>
      </c>
      <c r="D84">
        <v>5.3780000000000001</v>
      </c>
      <c r="E84">
        <v>5.3819999999999997</v>
      </c>
      <c r="O84" s="281">
        <v>44978</v>
      </c>
      <c r="P84">
        <v>5.5949999999999998</v>
      </c>
      <c r="Q84">
        <v>6.0090000000000003</v>
      </c>
      <c r="R84">
        <v>5.6340000000000003</v>
      </c>
      <c r="T84" s="281"/>
    </row>
    <row r="85" spans="2:20" x14ac:dyDescent="0.2">
      <c r="B85" s="281">
        <v>44978</v>
      </c>
      <c r="C85">
        <v>5.13</v>
      </c>
      <c r="D85">
        <v>5.43</v>
      </c>
      <c r="E85">
        <v>5.4450000000000003</v>
      </c>
      <c r="O85" s="281">
        <v>44974</v>
      </c>
      <c r="P85">
        <v>5.4450000000000003</v>
      </c>
      <c r="Q85">
        <v>5.8650000000000002</v>
      </c>
      <c r="R85">
        <v>5.48</v>
      </c>
      <c r="T85" s="281"/>
    </row>
    <row r="86" spans="2:20" x14ac:dyDescent="0.2">
      <c r="B86" s="281">
        <v>44974</v>
      </c>
      <c r="C86">
        <v>4.97</v>
      </c>
      <c r="D86">
        <v>5.2439999999999998</v>
      </c>
      <c r="E86">
        <v>5.319</v>
      </c>
      <c r="O86" s="281">
        <v>44973</v>
      </c>
      <c r="P86">
        <v>5.44</v>
      </c>
      <c r="Q86">
        <v>5.8769999999999998</v>
      </c>
      <c r="R86">
        <v>5.4989999999999997</v>
      </c>
      <c r="T86" s="281"/>
    </row>
    <row r="87" spans="2:20" x14ac:dyDescent="0.2">
      <c r="B87" s="281">
        <v>44973</v>
      </c>
      <c r="C87">
        <v>5</v>
      </c>
      <c r="D87">
        <v>5.3029999999999999</v>
      </c>
      <c r="E87">
        <v>5.31</v>
      </c>
      <c r="O87" s="281">
        <v>44972</v>
      </c>
      <c r="P87">
        <v>5.3940000000000001</v>
      </c>
      <c r="Q87">
        <v>5.7910000000000004</v>
      </c>
      <c r="R87">
        <v>5.4</v>
      </c>
      <c r="T87" s="281"/>
    </row>
    <row r="88" spans="2:20" x14ac:dyDescent="0.2">
      <c r="B88" s="281">
        <v>44972</v>
      </c>
      <c r="C88">
        <v>4.9729999999999999</v>
      </c>
      <c r="D88">
        <v>5.2709999999999999</v>
      </c>
      <c r="E88">
        <v>5.2510000000000003</v>
      </c>
      <c r="O88" s="281">
        <v>44971</v>
      </c>
      <c r="P88">
        <v>5.335</v>
      </c>
      <c r="Q88">
        <v>5.7320000000000002</v>
      </c>
      <c r="R88">
        <v>5.359</v>
      </c>
      <c r="T88" s="281"/>
    </row>
    <row r="89" spans="2:20" x14ac:dyDescent="0.2">
      <c r="B89" s="281">
        <v>44971</v>
      </c>
      <c r="C89">
        <v>4.9580000000000002</v>
      </c>
      <c r="D89">
        <v>5.2510000000000003</v>
      </c>
      <c r="E89">
        <v>5.2469999999999999</v>
      </c>
      <c r="O89" s="281">
        <v>44970</v>
      </c>
      <c r="P89">
        <v>5.3559999999999999</v>
      </c>
      <c r="Q89">
        <v>5.72</v>
      </c>
      <c r="R89">
        <v>5.3650000000000002</v>
      </c>
      <c r="T89" s="281"/>
    </row>
    <row r="90" spans="2:20" x14ac:dyDescent="0.2">
      <c r="B90" s="281">
        <v>44970</v>
      </c>
      <c r="C90">
        <v>4.851</v>
      </c>
      <c r="D90">
        <v>5.0910000000000002</v>
      </c>
      <c r="E90">
        <v>5.1449999999999996</v>
      </c>
      <c r="O90" s="281">
        <v>44967</v>
      </c>
      <c r="P90">
        <v>5.3810000000000002</v>
      </c>
      <c r="Q90">
        <v>5.6749999999999998</v>
      </c>
      <c r="R90">
        <v>5.3650000000000002</v>
      </c>
      <c r="T90" s="281"/>
    </row>
    <row r="91" spans="2:20" x14ac:dyDescent="0.2">
      <c r="B91" s="281">
        <v>44967</v>
      </c>
      <c r="C91">
        <v>4.8540000000000001</v>
      </c>
      <c r="D91">
        <v>5.1230000000000002</v>
      </c>
      <c r="E91">
        <v>5.1689999999999996</v>
      </c>
      <c r="O91" s="281">
        <v>44966</v>
      </c>
      <c r="P91">
        <v>5.3090000000000002</v>
      </c>
      <c r="Q91">
        <v>5.625</v>
      </c>
      <c r="R91">
        <v>5.2670000000000003</v>
      </c>
      <c r="T91" s="281"/>
    </row>
    <row r="92" spans="2:20" x14ac:dyDescent="0.2">
      <c r="B92" s="281">
        <v>44966</v>
      </c>
      <c r="C92">
        <v>4.7930000000000001</v>
      </c>
      <c r="D92">
        <v>5.0679999999999996</v>
      </c>
      <c r="E92">
        <v>5.1079999999999997</v>
      </c>
      <c r="O92" s="281">
        <v>44965</v>
      </c>
      <c r="P92">
        <v>5.2009999999999996</v>
      </c>
      <c r="Q92">
        <v>5.5590000000000002</v>
      </c>
      <c r="R92">
        <v>5.1970000000000001</v>
      </c>
      <c r="T92" s="281"/>
    </row>
    <row r="93" spans="2:20" x14ac:dyDescent="0.2">
      <c r="B93" s="281">
        <v>44965</v>
      </c>
      <c r="C93">
        <v>4.68</v>
      </c>
      <c r="D93">
        <v>4.9480000000000004</v>
      </c>
      <c r="E93">
        <v>5.0599999999999996</v>
      </c>
      <c r="O93" s="281">
        <v>44964</v>
      </c>
      <c r="P93">
        <v>5.2279999999999998</v>
      </c>
      <c r="Q93">
        <v>5.5469999999999997</v>
      </c>
      <c r="R93">
        <v>5.2009999999999996</v>
      </c>
      <c r="T93" s="281"/>
    </row>
    <row r="94" spans="2:20" x14ac:dyDescent="0.2">
      <c r="B94" s="281">
        <v>44964</v>
      </c>
      <c r="C94">
        <v>4.734</v>
      </c>
      <c r="D94">
        <v>4.931</v>
      </c>
      <c r="E94">
        <v>5.1349999999999998</v>
      </c>
      <c r="O94" s="281">
        <v>44963</v>
      </c>
      <c r="P94">
        <v>5.1630000000000003</v>
      </c>
      <c r="Q94">
        <v>5.468</v>
      </c>
      <c r="R94">
        <v>5.13</v>
      </c>
      <c r="T94" s="281"/>
    </row>
    <row r="95" spans="2:20" x14ac:dyDescent="0.2">
      <c r="B95" s="281">
        <v>44963</v>
      </c>
      <c r="C95">
        <v>4.6980000000000004</v>
      </c>
      <c r="D95">
        <v>5.0339999999999998</v>
      </c>
      <c r="E95">
        <v>5.1230000000000002</v>
      </c>
      <c r="O95" s="281">
        <v>44960</v>
      </c>
      <c r="P95">
        <v>5.0629999999999997</v>
      </c>
      <c r="Q95">
        <v>5.4119999999999999</v>
      </c>
      <c r="R95">
        <v>5.0590000000000002</v>
      </c>
      <c r="T95" s="281"/>
    </row>
    <row r="96" spans="2:20" x14ac:dyDescent="0.2">
      <c r="B96" s="281">
        <v>44960</v>
      </c>
      <c r="C96">
        <v>4.5620000000000003</v>
      </c>
      <c r="D96">
        <v>4.8550000000000004</v>
      </c>
      <c r="E96">
        <v>5.0110000000000001</v>
      </c>
      <c r="O96" s="281">
        <v>44959</v>
      </c>
      <c r="P96">
        <v>4.9420000000000002</v>
      </c>
      <c r="Q96">
        <v>5.3150000000000004</v>
      </c>
      <c r="R96">
        <v>4.9829999999999997</v>
      </c>
      <c r="T96" s="281"/>
    </row>
    <row r="97" spans="2:20" x14ac:dyDescent="0.2">
      <c r="B97" s="281">
        <v>44959</v>
      </c>
      <c r="C97">
        <v>4.3680000000000003</v>
      </c>
      <c r="D97">
        <v>4.625</v>
      </c>
      <c r="E97">
        <v>4.7930000000000001</v>
      </c>
      <c r="O97" s="281">
        <v>44958</v>
      </c>
      <c r="P97">
        <v>5.0110000000000001</v>
      </c>
      <c r="Q97">
        <v>5.3449999999999998</v>
      </c>
      <c r="R97">
        <v>4.9889999999999999</v>
      </c>
      <c r="T97" s="281"/>
    </row>
    <row r="98" spans="2:20" x14ac:dyDescent="0.2">
      <c r="B98" s="281">
        <v>44958</v>
      </c>
      <c r="C98">
        <v>4.375</v>
      </c>
      <c r="D98">
        <v>4.6660000000000004</v>
      </c>
      <c r="E98">
        <v>4.9089999999999998</v>
      </c>
      <c r="O98" s="281">
        <v>44957</v>
      </c>
      <c r="P98">
        <v>5.0750000000000002</v>
      </c>
      <c r="Q98">
        <v>5.4359999999999999</v>
      </c>
      <c r="R98">
        <v>5.0620000000000003</v>
      </c>
      <c r="T98" s="281"/>
    </row>
    <row r="99" spans="2:20" x14ac:dyDescent="0.2">
      <c r="B99" s="281">
        <v>44957</v>
      </c>
      <c r="C99">
        <v>4.4690000000000003</v>
      </c>
      <c r="D99">
        <v>4.7619999999999996</v>
      </c>
      <c r="E99">
        <v>4.9210000000000003</v>
      </c>
      <c r="O99" s="281">
        <v>44956</v>
      </c>
      <c r="P99">
        <v>5.1289999999999996</v>
      </c>
      <c r="Q99">
        <v>5.4320000000000004</v>
      </c>
      <c r="R99">
        <v>5.141</v>
      </c>
      <c r="T99" s="281"/>
    </row>
    <row r="100" spans="2:20" x14ac:dyDescent="0.2">
      <c r="B100" s="281">
        <v>44956</v>
      </c>
      <c r="C100">
        <v>4.5620000000000003</v>
      </c>
      <c r="D100">
        <v>4.8540000000000001</v>
      </c>
      <c r="O100" s="281">
        <v>44953</v>
      </c>
      <c r="P100">
        <v>5.0679999999999996</v>
      </c>
      <c r="Q100">
        <v>5.4329999999999998</v>
      </c>
      <c r="R100">
        <v>5.1040000000000001</v>
      </c>
      <c r="T100" s="281"/>
    </row>
    <row r="101" spans="2:20" x14ac:dyDescent="0.2">
      <c r="B101" s="281">
        <v>44953</v>
      </c>
      <c r="C101">
        <v>4.5190000000000001</v>
      </c>
      <c r="D101">
        <v>4.766</v>
      </c>
      <c r="O101" s="281">
        <v>44952</v>
      </c>
      <c r="P101">
        <v>5.0549999999999997</v>
      </c>
      <c r="Q101">
        <v>5.4180000000000001</v>
      </c>
      <c r="R101">
        <v>5.0650000000000004</v>
      </c>
      <c r="T101" s="281"/>
    </row>
    <row r="102" spans="2:20" x14ac:dyDescent="0.2">
      <c r="B102" s="281">
        <v>44952</v>
      </c>
      <c r="C102">
        <v>4.5030000000000001</v>
      </c>
      <c r="D102">
        <v>4.7480000000000002</v>
      </c>
      <c r="O102" s="281">
        <v>44951</v>
      </c>
      <c r="P102">
        <v>5.0439999999999996</v>
      </c>
      <c r="Q102">
        <v>5.3970000000000002</v>
      </c>
      <c r="R102">
        <v>5.0540000000000003</v>
      </c>
      <c r="T102" s="281"/>
    </row>
    <row r="103" spans="2:20" x14ac:dyDescent="0.2">
      <c r="B103" s="281">
        <v>44951</v>
      </c>
      <c r="C103">
        <v>4.4729999999999999</v>
      </c>
      <c r="D103">
        <v>4.7640000000000002</v>
      </c>
      <c r="O103" s="281">
        <v>44950</v>
      </c>
      <c r="P103">
        <v>5.0490000000000004</v>
      </c>
      <c r="Q103">
        <v>5.4039999999999999</v>
      </c>
      <c r="R103">
        <v>5.069</v>
      </c>
      <c r="T103" s="281"/>
    </row>
    <row r="104" spans="2:20" x14ac:dyDescent="0.2">
      <c r="B104" s="281">
        <v>44950</v>
      </c>
      <c r="C104">
        <v>4.5229999999999997</v>
      </c>
      <c r="D104">
        <v>4.7359999999999998</v>
      </c>
      <c r="O104" s="281">
        <v>44949</v>
      </c>
      <c r="P104">
        <v>5.1100000000000003</v>
      </c>
      <c r="Q104">
        <v>5.4779999999999998</v>
      </c>
      <c r="R104">
        <v>5.1509999999999998</v>
      </c>
      <c r="T104" s="281"/>
    </row>
    <row r="105" spans="2:20" x14ac:dyDescent="0.2">
      <c r="B105" s="281">
        <v>44949</v>
      </c>
      <c r="C105">
        <v>4.5599999999999996</v>
      </c>
      <c r="D105">
        <v>4.7750000000000004</v>
      </c>
      <c r="O105" s="281">
        <v>44946</v>
      </c>
      <c r="P105">
        <v>5.1059999999999999</v>
      </c>
      <c r="Q105">
        <v>5.47</v>
      </c>
      <c r="R105">
        <v>5.1529999999999996</v>
      </c>
      <c r="T105" s="281"/>
    </row>
    <row r="106" spans="2:20" x14ac:dyDescent="0.2">
      <c r="B106" s="281">
        <v>44946</v>
      </c>
      <c r="C106">
        <v>4.5250000000000004</v>
      </c>
      <c r="D106">
        <v>4.6950000000000003</v>
      </c>
      <c r="O106" s="281">
        <v>44945</v>
      </c>
      <c r="P106">
        <v>5.0019999999999998</v>
      </c>
      <c r="Q106">
        <v>5.4219999999999997</v>
      </c>
      <c r="R106">
        <v>5.0469999999999997</v>
      </c>
      <c r="T106" s="281"/>
    </row>
    <row r="107" spans="2:20" x14ac:dyDescent="0.2">
      <c r="B107" s="281">
        <v>44945</v>
      </c>
      <c r="C107">
        <v>4.4790000000000001</v>
      </c>
      <c r="D107">
        <v>4.6769999999999996</v>
      </c>
      <c r="O107" s="281">
        <v>44944</v>
      </c>
      <c r="P107">
        <v>4.8780000000000001</v>
      </c>
      <c r="Q107">
        <v>5.31</v>
      </c>
      <c r="R107">
        <v>5.0030000000000001</v>
      </c>
      <c r="T107" s="281"/>
    </row>
    <row r="108" spans="2:20" x14ac:dyDescent="0.2">
      <c r="B108" s="281">
        <v>44944</v>
      </c>
      <c r="C108">
        <v>4.4829999999999997</v>
      </c>
      <c r="D108">
        <v>4.6219999999999999</v>
      </c>
      <c r="O108" s="281">
        <v>44943</v>
      </c>
      <c r="P108">
        <v>5.0410000000000004</v>
      </c>
      <c r="Q108">
        <v>5.4589999999999996</v>
      </c>
      <c r="R108">
        <v>5.109</v>
      </c>
      <c r="T108" s="281"/>
    </row>
    <row r="109" spans="2:20" x14ac:dyDescent="0.2">
      <c r="B109" s="281">
        <v>44943</v>
      </c>
      <c r="C109">
        <v>4.5949999999999998</v>
      </c>
      <c r="D109">
        <v>4.6950000000000003</v>
      </c>
      <c r="O109" s="281">
        <v>44939</v>
      </c>
      <c r="P109">
        <v>5.0389999999999997</v>
      </c>
      <c r="Q109">
        <v>5.423</v>
      </c>
      <c r="R109">
        <v>5.0999999999999996</v>
      </c>
      <c r="T109" s="281"/>
    </row>
    <row r="110" spans="2:20" x14ac:dyDescent="0.2">
      <c r="B110" s="281">
        <v>44939</v>
      </c>
      <c r="C110">
        <v>4.6580000000000004</v>
      </c>
      <c r="D110">
        <v>4.7329999999999997</v>
      </c>
      <c r="O110" s="281">
        <v>44938</v>
      </c>
      <c r="P110">
        <v>5.0060000000000002</v>
      </c>
      <c r="Q110">
        <v>5.3970000000000002</v>
      </c>
      <c r="R110">
        <v>5.0670000000000002</v>
      </c>
      <c r="T110" s="281"/>
    </row>
    <row r="111" spans="2:20" x14ac:dyDescent="0.2">
      <c r="B111" s="281">
        <v>44938</v>
      </c>
      <c r="C111">
        <v>4.58</v>
      </c>
      <c r="D111">
        <v>4.6669999999999998</v>
      </c>
      <c r="O111" s="281">
        <v>44937</v>
      </c>
      <c r="P111">
        <v>5.0739999999999998</v>
      </c>
      <c r="Q111">
        <v>5.516</v>
      </c>
      <c r="R111">
        <v>5.1379999999999999</v>
      </c>
      <c r="T111" s="281"/>
    </row>
    <row r="112" spans="2:20" x14ac:dyDescent="0.2">
      <c r="B112" s="281">
        <v>44937</v>
      </c>
      <c r="C112">
        <v>4.6820000000000004</v>
      </c>
      <c r="D112">
        <v>4.8150000000000004</v>
      </c>
      <c r="O112" s="281">
        <v>44936</v>
      </c>
      <c r="P112">
        <v>5.234</v>
      </c>
      <c r="Q112">
        <v>5.6189999999999998</v>
      </c>
      <c r="R112">
        <v>5.2850000000000001</v>
      </c>
      <c r="T112" s="281"/>
    </row>
    <row r="113" spans="2:20" x14ac:dyDescent="0.2">
      <c r="B113" s="281">
        <v>44936</v>
      </c>
      <c r="C113">
        <v>4.7320000000000002</v>
      </c>
      <c r="D113">
        <v>4.9139999999999997</v>
      </c>
      <c r="O113" s="281">
        <v>44935</v>
      </c>
      <c r="P113">
        <v>5.1459999999999999</v>
      </c>
      <c r="Q113">
        <v>5.5990000000000002</v>
      </c>
      <c r="R113">
        <v>5.2110000000000003</v>
      </c>
      <c r="T113" s="281"/>
    </row>
    <row r="114" spans="2:20" x14ac:dyDescent="0.2">
      <c r="B114" s="281">
        <v>44935</v>
      </c>
      <c r="C114">
        <v>4.7569999999999997</v>
      </c>
      <c r="D114">
        <v>4.88</v>
      </c>
      <c r="O114" s="281">
        <v>44932</v>
      </c>
      <c r="P114">
        <v>5.2039999999999997</v>
      </c>
      <c r="Q114">
        <v>5.71</v>
      </c>
      <c r="R114">
        <v>5.2880000000000003</v>
      </c>
      <c r="T114" s="281"/>
    </row>
    <row r="115" spans="2:20" x14ac:dyDescent="0.2">
      <c r="B115" s="281">
        <v>44932</v>
      </c>
      <c r="C115">
        <v>4.7709999999999999</v>
      </c>
      <c r="D115">
        <v>4.944</v>
      </c>
      <c r="O115" s="281">
        <v>44931</v>
      </c>
      <c r="P115">
        <v>5.35</v>
      </c>
      <c r="Q115">
        <v>5.8179999999999996</v>
      </c>
      <c r="R115">
        <v>5.3470000000000004</v>
      </c>
      <c r="T115" s="281"/>
    </row>
    <row r="116" spans="2:20" x14ac:dyDescent="0.2">
      <c r="B116" s="281">
        <v>44931</v>
      </c>
      <c r="C116">
        <v>4.9939999999999998</v>
      </c>
      <c r="D116">
        <v>5.1840000000000002</v>
      </c>
      <c r="O116" s="281">
        <v>44930</v>
      </c>
      <c r="P116">
        <v>5.3849999999999998</v>
      </c>
      <c r="Q116">
        <v>5.8150000000000004</v>
      </c>
      <c r="R116">
        <v>5.3970000000000002</v>
      </c>
      <c r="T116" s="281"/>
    </row>
    <row r="117" spans="2:20" x14ac:dyDescent="0.2">
      <c r="B117" s="281">
        <v>44930</v>
      </c>
      <c r="C117">
        <v>4.9690000000000003</v>
      </c>
      <c r="D117">
        <v>5.1189999999999998</v>
      </c>
      <c r="O117" s="281">
        <v>44929</v>
      </c>
      <c r="P117">
        <v>5.476</v>
      </c>
      <c r="Q117">
        <v>5.9160000000000004</v>
      </c>
      <c r="R117">
        <v>5.4630000000000001</v>
      </c>
      <c r="T117" s="281"/>
    </row>
    <row r="118" spans="2:20" x14ac:dyDescent="0.2">
      <c r="B118" s="281">
        <v>44929</v>
      </c>
      <c r="C118">
        <v>5.0609999999999999</v>
      </c>
      <c r="D118">
        <v>5.1710000000000003</v>
      </c>
      <c r="O118" s="281">
        <v>44925</v>
      </c>
      <c r="P118">
        <v>5.5330000000000004</v>
      </c>
      <c r="Q118">
        <v>5.9269999999999996</v>
      </c>
      <c r="R118">
        <v>5.4749999999999996</v>
      </c>
      <c r="T118" s="281"/>
    </row>
    <row r="119" spans="2:20" x14ac:dyDescent="0.2">
      <c r="B119" s="281">
        <v>44925</v>
      </c>
      <c r="C119">
        <v>4.9130000000000003</v>
      </c>
      <c r="D119">
        <v>5.1980000000000004</v>
      </c>
      <c r="O119" s="281">
        <v>44924</v>
      </c>
      <c r="P119">
        <v>5.4779999999999998</v>
      </c>
      <c r="Q119">
        <v>5.891</v>
      </c>
      <c r="R119">
        <v>5.452</v>
      </c>
      <c r="T119" s="281"/>
    </row>
    <row r="120" spans="2:20" x14ac:dyDescent="0.2">
      <c r="B120" s="281">
        <v>44924</v>
      </c>
      <c r="C120">
        <v>4.9039999999999999</v>
      </c>
      <c r="D120">
        <v>5.1840000000000002</v>
      </c>
      <c r="O120" s="281">
        <v>44923</v>
      </c>
      <c r="P120">
        <v>5.5439999999999996</v>
      </c>
      <c r="Q120">
        <v>5.9080000000000004</v>
      </c>
      <c r="R120">
        <v>5.51</v>
      </c>
      <c r="T120" s="281"/>
    </row>
    <row r="121" spans="2:20" x14ac:dyDescent="0.2">
      <c r="B121" s="281">
        <v>44923</v>
      </c>
      <c r="C121">
        <v>4.9550000000000001</v>
      </c>
      <c r="D121">
        <v>5.23</v>
      </c>
      <c r="O121" s="281">
        <v>44922</v>
      </c>
      <c r="P121">
        <v>5.508</v>
      </c>
      <c r="Q121">
        <v>5.8979999999999997</v>
      </c>
      <c r="R121">
        <v>5.4710000000000001</v>
      </c>
      <c r="T121" s="281"/>
    </row>
    <row r="122" spans="2:20" x14ac:dyDescent="0.2">
      <c r="B122" s="281">
        <v>44922</v>
      </c>
      <c r="C122">
        <v>4.9470000000000001</v>
      </c>
      <c r="D122">
        <v>5.1950000000000003</v>
      </c>
      <c r="O122" s="281">
        <v>44918</v>
      </c>
      <c r="P122">
        <v>5.42</v>
      </c>
      <c r="Q122">
        <v>5.8040000000000003</v>
      </c>
      <c r="R122">
        <v>5.3390000000000004</v>
      </c>
      <c r="T122" s="281"/>
    </row>
    <row r="123" spans="2:20" x14ac:dyDescent="0.2">
      <c r="B123" s="281">
        <v>44918</v>
      </c>
      <c r="C123">
        <v>4.8360000000000003</v>
      </c>
      <c r="D123">
        <v>5.125</v>
      </c>
      <c r="O123" s="281">
        <v>44917</v>
      </c>
      <c r="P123">
        <v>5.3380000000000001</v>
      </c>
      <c r="Q123">
        <v>5.7160000000000002</v>
      </c>
      <c r="R123">
        <v>5.2770000000000001</v>
      </c>
      <c r="T123" s="281"/>
    </row>
    <row r="124" spans="2:20" x14ac:dyDescent="0.2">
      <c r="B124" s="281">
        <v>44917</v>
      </c>
      <c r="C124">
        <v>4.7850000000000001</v>
      </c>
      <c r="D124">
        <v>5.0570000000000004</v>
      </c>
      <c r="O124" s="281">
        <v>44916</v>
      </c>
      <c r="P124">
        <v>5.327</v>
      </c>
      <c r="Q124">
        <v>5.7069999999999999</v>
      </c>
      <c r="R124">
        <v>5.2729999999999997</v>
      </c>
      <c r="T124" s="281"/>
    </row>
    <row r="125" spans="2:20" x14ac:dyDescent="0.2">
      <c r="B125" s="281">
        <v>44916</v>
      </c>
      <c r="C125">
        <v>4.7629999999999999</v>
      </c>
      <c r="D125">
        <v>5.05</v>
      </c>
      <c r="O125" s="281">
        <v>44915</v>
      </c>
      <c r="P125">
        <v>5.35</v>
      </c>
      <c r="Q125">
        <v>5.74</v>
      </c>
      <c r="R125">
        <v>5.2949999999999999</v>
      </c>
      <c r="T125" s="281"/>
    </row>
    <row r="126" spans="2:20" x14ac:dyDescent="0.2">
      <c r="B126" s="281">
        <v>44915</v>
      </c>
      <c r="C126">
        <v>4.79</v>
      </c>
      <c r="D126">
        <v>5.0629999999999997</v>
      </c>
      <c r="O126" s="281">
        <v>44914</v>
      </c>
      <c r="P126">
        <v>5.2320000000000002</v>
      </c>
      <c r="Q126">
        <v>5.6109999999999998</v>
      </c>
      <c r="R126">
        <v>5.1710000000000003</v>
      </c>
      <c r="T126" s="281"/>
    </row>
    <row r="127" spans="2:20" x14ac:dyDescent="0.2">
      <c r="B127" s="281">
        <v>44914</v>
      </c>
      <c r="C127">
        <v>4.742</v>
      </c>
      <c r="D127">
        <v>4.9180000000000001</v>
      </c>
      <c r="O127" s="281">
        <v>44911</v>
      </c>
      <c r="P127">
        <v>5.1319999999999997</v>
      </c>
      <c r="Q127">
        <v>5.49</v>
      </c>
      <c r="R127">
        <v>5.0709999999999997</v>
      </c>
      <c r="T127" s="281"/>
    </row>
    <row r="128" spans="2:20" x14ac:dyDescent="0.2">
      <c r="B128" s="281">
        <v>44911</v>
      </c>
      <c r="C128">
        <v>4.6360000000000001</v>
      </c>
      <c r="D128">
        <v>4.8019999999999996</v>
      </c>
      <c r="O128" s="281">
        <v>44910</v>
      </c>
      <c r="P128">
        <v>5.0599999999999996</v>
      </c>
      <c r="Q128">
        <v>5.399</v>
      </c>
      <c r="R128">
        <v>4.984</v>
      </c>
      <c r="T128" s="281"/>
    </row>
    <row r="129" spans="2:20" x14ac:dyDescent="0.2">
      <c r="B129" s="281">
        <v>44910</v>
      </c>
      <c r="C129">
        <v>4.6470000000000002</v>
      </c>
      <c r="D129">
        <v>4.7530000000000001</v>
      </c>
      <c r="O129" s="281">
        <v>44909</v>
      </c>
      <c r="P129">
        <v>5.0389999999999997</v>
      </c>
      <c r="Q129">
        <v>5.4050000000000002</v>
      </c>
      <c r="R129">
        <v>4.9880000000000004</v>
      </c>
      <c r="T129" s="281"/>
    </row>
    <row r="130" spans="2:20" x14ac:dyDescent="0.2">
      <c r="B130" s="281">
        <v>44909</v>
      </c>
      <c r="C130">
        <v>4.6459999999999999</v>
      </c>
      <c r="D130">
        <v>4.7549999999999999</v>
      </c>
      <c r="O130" s="281">
        <v>44908</v>
      </c>
      <c r="P130">
        <v>5.0389999999999997</v>
      </c>
      <c r="Q130">
        <v>5.468</v>
      </c>
      <c r="R130">
        <v>4.9939999999999998</v>
      </c>
      <c r="T130" s="281"/>
    </row>
    <row r="131" spans="2:20" x14ac:dyDescent="0.2">
      <c r="B131" s="281">
        <v>44908</v>
      </c>
      <c r="C131">
        <v>4.6769999999999996</v>
      </c>
      <c r="D131">
        <v>4.7770000000000001</v>
      </c>
      <c r="O131" s="281">
        <v>44907</v>
      </c>
      <c r="P131">
        <v>5.0540000000000003</v>
      </c>
      <c r="Q131">
        <v>5.5039999999999996</v>
      </c>
      <c r="R131">
        <v>5.0549999999999997</v>
      </c>
      <c r="T131" s="281"/>
    </row>
    <row r="132" spans="2:20" x14ac:dyDescent="0.2">
      <c r="B132" s="281">
        <v>44907</v>
      </c>
      <c r="C132">
        <v>4.78</v>
      </c>
      <c r="D132">
        <v>4.9279999999999999</v>
      </c>
      <c r="O132" s="281">
        <v>44904</v>
      </c>
      <c r="P132">
        <v>5.0860000000000003</v>
      </c>
      <c r="Q132">
        <v>5.4989999999999997</v>
      </c>
      <c r="R132">
        <v>5.0599999999999996</v>
      </c>
      <c r="T132" s="281"/>
    </row>
    <row r="133" spans="2:20" x14ac:dyDescent="0.2">
      <c r="B133" s="281">
        <v>44904</v>
      </c>
      <c r="C133">
        <v>4.7539999999999996</v>
      </c>
      <c r="D133">
        <v>4.8849999999999998</v>
      </c>
      <c r="O133" s="281">
        <v>44903</v>
      </c>
      <c r="P133">
        <v>4.944</v>
      </c>
      <c r="Q133">
        <v>5.3620000000000001</v>
      </c>
      <c r="R133">
        <v>5.0170000000000003</v>
      </c>
      <c r="T133" s="281"/>
    </row>
    <row r="134" spans="2:20" x14ac:dyDescent="0.2">
      <c r="B134" s="281">
        <v>44903</v>
      </c>
      <c r="C134">
        <v>4.6859999999999999</v>
      </c>
      <c r="D134">
        <v>4.782</v>
      </c>
      <c r="O134" s="281">
        <v>44902</v>
      </c>
      <c r="P134">
        <v>4.9660000000000002</v>
      </c>
      <c r="Q134">
        <v>5.37</v>
      </c>
      <c r="R134">
        <v>5.0190000000000001</v>
      </c>
      <c r="T134" s="281"/>
    </row>
    <row r="135" spans="2:20" x14ac:dyDescent="0.2">
      <c r="B135" s="281">
        <v>44902</v>
      </c>
      <c r="C135">
        <v>4.58</v>
      </c>
      <c r="D135">
        <v>4.7270000000000003</v>
      </c>
      <c r="O135" s="281">
        <v>44901</v>
      </c>
      <c r="P135">
        <v>5.077</v>
      </c>
      <c r="Q135">
        <v>5.47</v>
      </c>
      <c r="R135">
        <v>5.157</v>
      </c>
      <c r="T135" s="281"/>
    </row>
    <row r="136" spans="2:20" x14ac:dyDescent="0.2">
      <c r="B136" s="281">
        <v>44901</v>
      </c>
      <c r="C136">
        <v>4.67</v>
      </c>
      <c r="D136">
        <v>4.8440000000000003</v>
      </c>
      <c r="O136" s="281">
        <v>44900</v>
      </c>
      <c r="P136">
        <v>5.1310000000000002</v>
      </c>
      <c r="Q136">
        <v>5.5339999999999998</v>
      </c>
      <c r="R136">
        <v>5.2110000000000003</v>
      </c>
      <c r="T136" s="281"/>
    </row>
    <row r="137" spans="2:20" x14ac:dyDescent="0.2">
      <c r="B137" s="281">
        <v>44900</v>
      </c>
      <c r="C137">
        <v>4.7229999999999999</v>
      </c>
      <c r="D137">
        <v>4.8479999999999999</v>
      </c>
      <c r="O137" s="281">
        <v>44897</v>
      </c>
      <c r="P137">
        <v>5.0419999999999998</v>
      </c>
      <c r="Q137">
        <v>5.46</v>
      </c>
      <c r="R137">
        <v>5.117</v>
      </c>
      <c r="T137" s="281"/>
    </row>
    <row r="138" spans="2:20" x14ac:dyDescent="0.2">
      <c r="B138" s="281">
        <v>44897</v>
      </c>
      <c r="C138">
        <v>4.5549999999999997</v>
      </c>
      <c r="D138">
        <v>4.726</v>
      </c>
      <c r="O138" s="281">
        <v>44896</v>
      </c>
      <c r="P138">
        <v>5.117</v>
      </c>
      <c r="Q138">
        <v>5.5250000000000004</v>
      </c>
      <c r="R138">
        <v>5.2069999999999999</v>
      </c>
      <c r="T138" s="281"/>
    </row>
    <row r="139" spans="2:20" x14ac:dyDescent="0.2">
      <c r="B139" s="281">
        <v>44896</v>
      </c>
      <c r="C139">
        <v>4.5049999999999999</v>
      </c>
      <c r="D139">
        <v>4.76</v>
      </c>
      <c r="O139" s="281">
        <v>44895</v>
      </c>
      <c r="P139">
        <v>5.3789999999999996</v>
      </c>
      <c r="Q139">
        <v>5.7240000000000002</v>
      </c>
      <c r="R139">
        <v>5.3739999999999997</v>
      </c>
      <c r="T139" s="281"/>
    </row>
    <row r="140" spans="2:20" x14ac:dyDescent="0.2">
      <c r="B140" s="281">
        <v>44895</v>
      </c>
      <c r="C140">
        <v>4.6420000000000003</v>
      </c>
      <c r="D140">
        <v>4.8609999999999998</v>
      </c>
      <c r="O140" s="281">
        <v>44894</v>
      </c>
      <c r="P140">
        <v>5.4279999999999999</v>
      </c>
      <c r="Q140">
        <v>5.7279999999999998</v>
      </c>
      <c r="R140">
        <v>5.4470000000000001</v>
      </c>
      <c r="T140" s="281"/>
    </row>
    <row r="141" spans="2:20" x14ac:dyDescent="0.2">
      <c r="B141" s="281">
        <v>44894</v>
      </c>
      <c r="C141">
        <v>4.7850000000000001</v>
      </c>
      <c r="D141">
        <v>5.0380000000000003</v>
      </c>
      <c r="O141" s="281">
        <v>44893</v>
      </c>
      <c r="P141">
        <v>5.3120000000000003</v>
      </c>
      <c r="Q141">
        <v>5.6740000000000004</v>
      </c>
      <c r="R141">
        <v>5.3460000000000001</v>
      </c>
      <c r="T141" s="281"/>
    </row>
    <row r="142" spans="2:20" x14ac:dyDescent="0.2">
      <c r="B142" s="281">
        <v>44893</v>
      </c>
      <c r="C142">
        <v>4.6740000000000004</v>
      </c>
      <c r="D142">
        <v>4.9669999999999996</v>
      </c>
      <c r="O142" s="281">
        <v>44890</v>
      </c>
      <c r="P142">
        <v>5.2779999999999996</v>
      </c>
      <c r="Q142">
        <v>5.6550000000000002</v>
      </c>
      <c r="R142">
        <v>5.3360000000000003</v>
      </c>
      <c r="T142" s="281"/>
    </row>
    <row r="143" spans="2:20" x14ac:dyDescent="0.2">
      <c r="B143" s="281">
        <v>44890</v>
      </c>
      <c r="C143">
        <v>4.6630000000000003</v>
      </c>
      <c r="D143">
        <v>5.01</v>
      </c>
      <c r="O143" s="281">
        <v>44888</v>
      </c>
      <c r="P143">
        <v>5.2809999999999997</v>
      </c>
      <c r="Q143">
        <v>5.62</v>
      </c>
      <c r="R143">
        <v>5.2450000000000001</v>
      </c>
      <c r="T143" s="281"/>
    </row>
    <row r="144" spans="2:20" x14ac:dyDescent="0.2">
      <c r="B144" s="281">
        <v>44888</v>
      </c>
      <c r="C144">
        <v>4.6740000000000004</v>
      </c>
      <c r="D144">
        <v>5.0170000000000003</v>
      </c>
      <c r="O144" s="281">
        <v>44887</v>
      </c>
      <c r="P144">
        <v>5.3689999999999998</v>
      </c>
      <c r="Q144">
        <v>5.7640000000000002</v>
      </c>
      <c r="R144">
        <v>5.415</v>
      </c>
      <c r="T144" s="281"/>
    </row>
    <row r="145" spans="2:20" x14ac:dyDescent="0.2">
      <c r="B145" s="281">
        <v>44887</v>
      </c>
      <c r="C145">
        <v>4.72</v>
      </c>
      <c r="D145">
        <v>5.069</v>
      </c>
      <c r="O145" s="281">
        <v>44886</v>
      </c>
      <c r="P145">
        <v>5.4290000000000003</v>
      </c>
      <c r="Q145">
        <v>5.85</v>
      </c>
      <c r="R145">
        <v>5.5439999999999996</v>
      </c>
      <c r="T145" s="281"/>
    </row>
    <row r="146" spans="2:20" x14ac:dyDescent="0.2">
      <c r="B146" s="281">
        <v>44886</v>
      </c>
      <c r="C146">
        <v>4.766</v>
      </c>
      <c r="D146">
        <v>5.1269999999999998</v>
      </c>
      <c r="O146" s="281">
        <v>44883</v>
      </c>
      <c r="P146">
        <v>5.4720000000000004</v>
      </c>
      <c r="Q146">
        <v>5.835</v>
      </c>
      <c r="R146">
        <v>5.5519999999999996</v>
      </c>
      <c r="T146" s="281"/>
    </row>
    <row r="147" spans="2:20" x14ac:dyDescent="0.2">
      <c r="B147" s="281">
        <v>44883</v>
      </c>
      <c r="C147">
        <v>4.726</v>
      </c>
      <c r="D147">
        <v>5.1139999999999999</v>
      </c>
      <c r="O147" s="281">
        <v>44882</v>
      </c>
      <c r="P147">
        <v>5.4669999999999996</v>
      </c>
      <c r="Q147">
        <v>5.8540000000000001</v>
      </c>
      <c r="R147">
        <v>5.5140000000000002</v>
      </c>
      <c r="T147" s="281"/>
    </row>
    <row r="148" spans="2:20" x14ac:dyDescent="0.2">
      <c r="B148" s="281">
        <v>44882</v>
      </c>
      <c r="C148">
        <v>4.6849999999999996</v>
      </c>
      <c r="D148">
        <v>5.1280000000000001</v>
      </c>
      <c r="O148" s="281">
        <v>44881</v>
      </c>
      <c r="P148">
        <v>5.3959999999999999</v>
      </c>
      <c r="Q148">
        <v>5.8179999999999996</v>
      </c>
      <c r="R148">
        <v>5.492</v>
      </c>
      <c r="T148" s="281"/>
    </row>
    <row r="149" spans="2:20" x14ac:dyDescent="0.2">
      <c r="B149" s="281">
        <v>44881</v>
      </c>
      <c r="C149">
        <v>4.5970000000000004</v>
      </c>
      <c r="D149">
        <v>5.0309999999999997</v>
      </c>
      <c r="O149" s="281">
        <v>44880</v>
      </c>
      <c r="P149">
        <v>5.5190000000000001</v>
      </c>
      <c r="Q149">
        <v>5.9470000000000001</v>
      </c>
      <c r="R149">
        <v>5.5990000000000002</v>
      </c>
      <c r="T149" s="281"/>
    </row>
    <row r="150" spans="2:20" x14ac:dyDescent="0.2">
      <c r="B150" s="281">
        <v>44880</v>
      </c>
      <c r="C150">
        <v>4.6100000000000003</v>
      </c>
      <c r="D150">
        <v>5.0890000000000004</v>
      </c>
      <c r="O150" s="281">
        <v>44879</v>
      </c>
      <c r="P150">
        <v>5.625</v>
      </c>
      <c r="Q150">
        <v>6.0659999999999998</v>
      </c>
      <c r="R150">
        <v>5.7350000000000003</v>
      </c>
      <c r="T150" s="281"/>
    </row>
    <row r="151" spans="2:20" x14ac:dyDescent="0.2">
      <c r="B151" s="281">
        <v>44879</v>
      </c>
      <c r="C151">
        <v>4.6909999999999998</v>
      </c>
      <c r="D151">
        <v>5.24</v>
      </c>
      <c r="O151" s="281">
        <v>44875</v>
      </c>
      <c r="P151">
        <v>5.7080000000000002</v>
      </c>
      <c r="Q151">
        <v>6.1109999999999998</v>
      </c>
      <c r="R151">
        <v>5.76</v>
      </c>
      <c r="T151" s="281"/>
    </row>
    <row r="152" spans="2:20" x14ac:dyDescent="0.2">
      <c r="B152" s="281">
        <v>44875</v>
      </c>
      <c r="C152">
        <v>4.6909999999999998</v>
      </c>
      <c r="D152">
        <v>5.2640000000000002</v>
      </c>
      <c r="O152" s="281">
        <v>44874</v>
      </c>
      <c r="P152">
        <v>5.9820000000000002</v>
      </c>
      <c r="Q152">
        <v>6.4260000000000002</v>
      </c>
      <c r="R152">
        <v>6.0259999999999998</v>
      </c>
      <c r="T152" s="281"/>
    </row>
    <row r="153" spans="2:20" x14ac:dyDescent="0.2">
      <c r="B153" s="281">
        <v>44874</v>
      </c>
      <c r="C153">
        <v>5.0039999999999996</v>
      </c>
      <c r="D153">
        <v>5.6210000000000004</v>
      </c>
      <c r="O153" s="281">
        <v>44873</v>
      </c>
      <c r="P153">
        <v>5.93</v>
      </c>
      <c r="Q153">
        <v>6.3650000000000002</v>
      </c>
      <c r="R153">
        <v>6.016</v>
      </c>
      <c r="T153" s="281"/>
    </row>
    <row r="154" spans="2:20" x14ac:dyDescent="0.2">
      <c r="B154" s="281">
        <v>44873</v>
      </c>
      <c r="C154">
        <v>5.0810000000000004</v>
      </c>
      <c r="D154">
        <v>5.6349999999999998</v>
      </c>
      <c r="O154" s="281">
        <v>44872</v>
      </c>
      <c r="P154">
        <v>5.9459999999999997</v>
      </c>
      <c r="Q154">
        <v>6.452</v>
      </c>
      <c r="R154">
        <v>6.0529999999999999</v>
      </c>
      <c r="T154" s="281"/>
    </row>
    <row r="155" spans="2:20" x14ac:dyDescent="0.2">
      <c r="B155" s="281">
        <v>44872</v>
      </c>
      <c r="C155">
        <v>5.157</v>
      </c>
      <c r="D155">
        <v>5.7549999999999999</v>
      </c>
      <c r="O155" s="281">
        <v>44869</v>
      </c>
      <c r="P155">
        <v>5.9989999999999997</v>
      </c>
      <c r="Q155">
        <v>6.4</v>
      </c>
      <c r="R155">
        <v>6.0069999999999997</v>
      </c>
      <c r="T155" s="281"/>
    </row>
    <row r="156" spans="2:20" x14ac:dyDescent="0.2">
      <c r="B156" s="281">
        <v>44869</v>
      </c>
      <c r="C156">
        <v>5.1180000000000003</v>
      </c>
      <c r="D156">
        <v>5.7510000000000003</v>
      </c>
      <c r="O156" s="281">
        <v>44868</v>
      </c>
      <c r="P156">
        <v>5.9710000000000001</v>
      </c>
      <c r="Q156">
        <v>6.3470000000000004</v>
      </c>
      <c r="R156">
        <v>5.99</v>
      </c>
      <c r="T156" s="281"/>
    </row>
    <row r="157" spans="2:20" x14ac:dyDescent="0.2">
      <c r="B157" s="281">
        <v>44868</v>
      </c>
      <c r="C157">
        <v>5.1180000000000003</v>
      </c>
      <c r="D157">
        <v>5.7809999999999997</v>
      </c>
      <c r="O157" s="281">
        <v>44867</v>
      </c>
      <c r="P157">
        <v>5.899</v>
      </c>
      <c r="Q157">
        <v>6.2560000000000002</v>
      </c>
      <c r="R157">
        <v>5.9080000000000004</v>
      </c>
      <c r="T157" s="281"/>
    </row>
    <row r="158" spans="2:20" x14ac:dyDescent="0.2">
      <c r="B158" s="281">
        <v>44867</v>
      </c>
      <c r="C158">
        <v>5.0819999999999999</v>
      </c>
      <c r="D158">
        <v>5.7480000000000002</v>
      </c>
      <c r="O158" s="281">
        <v>44866</v>
      </c>
      <c r="P158">
        <v>5.883</v>
      </c>
      <c r="Q158">
        <v>6.2850000000000001</v>
      </c>
      <c r="R158">
        <v>5.8769999999999998</v>
      </c>
      <c r="T158" s="281"/>
    </row>
    <row r="159" spans="2:20" x14ac:dyDescent="0.2">
      <c r="B159" s="281">
        <v>44866</v>
      </c>
      <c r="C159">
        <v>5.0620000000000003</v>
      </c>
      <c r="D159">
        <v>5.7160000000000002</v>
      </c>
      <c r="O159" s="281">
        <v>44865</v>
      </c>
      <c r="P159">
        <v>5.9589999999999996</v>
      </c>
      <c r="Q159">
        <v>6.3659999999999997</v>
      </c>
      <c r="R159">
        <v>5.97</v>
      </c>
      <c r="T159" s="281"/>
    </row>
    <row r="160" spans="2:20" x14ac:dyDescent="0.2">
      <c r="B160" s="281">
        <v>44865</v>
      </c>
      <c r="C160">
        <v>5.0439999999999996</v>
      </c>
      <c r="D160">
        <v>5.6669999999999998</v>
      </c>
      <c r="O160" s="281">
        <v>44862</v>
      </c>
      <c r="P160">
        <v>5.9050000000000002</v>
      </c>
      <c r="Q160">
        <v>6.3230000000000004</v>
      </c>
      <c r="R160">
        <v>5.9269999999999996</v>
      </c>
      <c r="T160" s="281"/>
    </row>
    <row r="161" spans="2:20" x14ac:dyDescent="0.2">
      <c r="B161" s="281">
        <v>44862</v>
      </c>
      <c r="C161">
        <v>4.9850000000000003</v>
      </c>
      <c r="D161">
        <v>5.6769999999999996</v>
      </c>
      <c r="O161" s="281">
        <v>44861</v>
      </c>
      <c r="P161">
        <v>5.9480000000000004</v>
      </c>
      <c r="Q161">
        <v>6.2549999999999999</v>
      </c>
      <c r="R161">
        <v>5.915</v>
      </c>
      <c r="T161" s="281"/>
    </row>
    <row r="162" spans="2:20" x14ac:dyDescent="0.2">
      <c r="B162" s="281">
        <v>44861</v>
      </c>
      <c r="C162">
        <v>4.8970000000000002</v>
      </c>
      <c r="D162">
        <v>5.58</v>
      </c>
      <c r="O162" s="281">
        <v>44860</v>
      </c>
      <c r="P162">
        <v>6.0670000000000002</v>
      </c>
      <c r="Q162">
        <v>6.3479999999999999</v>
      </c>
      <c r="R162">
        <v>5.9829999999999997</v>
      </c>
      <c r="T162" s="281"/>
    </row>
    <row r="163" spans="2:20" x14ac:dyDescent="0.2">
      <c r="B163" s="281">
        <v>44860</v>
      </c>
      <c r="C163">
        <v>5.0419999999999998</v>
      </c>
      <c r="D163">
        <v>5.71</v>
      </c>
      <c r="O163" s="281">
        <v>44859</v>
      </c>
      <c r="P163">
        <v>6.157</v>
      </c>
      <c r="Q163">
        <v>6.431</v>
      </c>
      <c r="R163">
        <v>6.0910000000000002</v>
      </c>
      <c r="T163" s="281"/>
    </row>
    <row r="164" spans="2:20" x14ac:dyDescent="0.2">
      <c r="B164" s="281">
        <v>44859</v>
      </c>
      <c r="C164">
        <v>5.1130000000000004</v>
      </c>
      <c r="D164">
        <v>5.7469999999999999</v>
      </c>
      <c r="O164" s="281">
        <v>44858</v>
      </c>
      <c r="P164">
        <v>6.34</v>
      </c>
      <c r="Q164">
        <v>6.6079999999999997</v>
      </c>
      <c r="R164">
        <v>6.2119999999999997</v>
      </c>
      <c r="T164" s="281"/>
    </row>
    <row r="165" spans="2:20" x14ac:dyDescent="0.2">
      <c r="B165" s="281">
        <v>44858</v>
      </c>
      <c r="C165">
        <v>5.2119999999999997</v>
      </c>
      <c r="D165">
        <v>5.9029999999999996</v>
      </c>
      <c r="O165" s="281">
        <v>44855</v>
      </c>
      <c r="P165">
        <v>6.2969999999999997</v>
      </c>
      <c r="Q165">
        <v>6.61</v>
      </c>
      <c r="R165">
        <v>6.2160000000000002</v>
      </c>
      <c r="T165" s="281"/>
    </row>
    <row r="166" spans="2:20" x14ac:dyDescent="0.2">
      <c r="B166" s="281">
        <v>44855</v>
      </c>
      <c r="C166">
        <v>5.2409999999999997</v>
      </c>
      <c r="D166">
        <v>5.8860000000000001</v>
      </c>
      <c r="O166" s="281">
        <v>44854</v>
      </c>
      <c r="P166">
        <v>6.2370000000000001</v>
      </c>
      <c r="Q166">
        <v>6.51</v>
      </c>
      <c r="R166">
        <v>6.1180000000000003</v>
      </c>
      <c r="T166" s="281"/>
    </row>
    <row r="167" spans="2:20" x14ac:dyDescent="0.2">
      <c r="B167" s="281">
        <v>44854</v>
      </c>
      <c r="C167">
        <v>5.343</v>
      </c>
      <c r="D167">
        <v>5.9809999999999999</v>
      </c>
      <c r="O167" s="281">
        <v>44853</v>
      </c>
      <c r="P167">
        <v>6.1740000000000004</v>
      </c>
      <c r="Q167">
        <v>6.4089999999999998</v>
      </c>
      <c r="R167">
        <v>6.0209999999999999</v>
      </c>
      <c r="T167" s="281"/>
    </row>
    <row r="168" spans="2:20" x14ac:dyDescent="0.2">
      <c r="B168" s="281">
        <v>44853</v>
      </c>
      <c r="C168">
        <v>5.2720000000000002</v>
      </c>
      <c r="D168">
        <v>5.8819999999999997</v>
      </c>
      <c r="O168" s="281">
        <v>44852</v>
      </c>
      <c r="P168">
        <v>6.0629999999999997</v>
      </c>
      <c r="Q168">
        <v>6.2720000000000002</v>
      </c>
      <c r="R168">
        <v>5.88</v>
      </c>
      <c r="T168" s="281"/>
    </row>
    <row r="169" spans="2:20" x14ac:dyDescent="0.2">
      <c r="B169" s="281">
        <v>44852</v>
      </c>
      <c r="C169">
        <v>5.1189999999999998</v>
      </c>
      <c r="D169">
        <v>5.7480000000000002</v>
      </c>
      <c r="O169" s="281">
        <v>44851</v>
      </c>
      <c r="P169">
        <v>6.0650000000000004</v>
      </c>
      <c r="Q169">
        <v>6.35</v>
      </c>
      <c r="R169">
        <v>5.9180000000000001</v>
      </c>
      <c r="T169" s="281"/>
    </row>
    <row r="170" spans="2:20" x14ac:dyDescent="0.2">
      <c r="B170" s="281">
        <v>44851</v>
      </c>
      <c r="C170">
        <v>5.157</v>
      </c>
      <c r="D170">
        <v>5.7830000000000004</v>
      </c>
      <c r="O170" s="281">
        <v>44848</v>
      </c>
      <c r="P170">
        <v>6.0940000000000003</v>
      </c>
      <c r="Q170">
        <v>6.3680000000000003</v>
      </c>
      <c r="R170">
        <v>5.952</v>
      </c>
      <c r="T170" s="281"/>
    </row>
    <row r="171" spans="2:20" x14ac:dyDescent="0.2">
      <c r="B171" s="281">
        <v>44848</v>
      </c>
      <c r="C171">
        <v>5.2190000000000003</v>
      </c>
      <c r="D171">
        <v>5.8410000000000002</v>
      </c>
      <c r="O171" s="281">
        <v>44847</v>
      </c>
      <c r="P171">
        <v>6.0270000000000001</v>
      </c>
      <c r="Q171">
        <v>6.3070000000000004</v>
      </c>
      <c r="R171">
        <v>5.883</v>
      </c>
      <c r="T171" s="281"/>
    </row>
    <row r="172" spans="2:20" x14ac:dyDescent="0.2">
      <c r="B172" s="281">
        <v>44847</v>
      </c>
      <c r="C172">
        <v>5.157</v>
      </c>
      <c r="D172">
        <v>5.8010000000000002</v>
      </c>
      <c r="O172" s="281">
        <v>44846</v>
      </c>
      <c r="P172">
        <v>6.069</v>
      </c>
      <c r="Q172">
        <v>6.4249999999999998</v>
      </c>
      <c r="R172">
        <v>5.835</v>
      </c>
      <c r="T172" s="281"/>
    </row>
    <row r="173" spans="2:20" x14ac:dyDescent="0.2">
      <c r="B173" s="281">
        <v>44846</v>
      </c>
      <c r="C173">
        <v>5.0510000000000002</v>
      </c>
      <c r="D173">
        <v>5.6120000000000001</v>
      </c>
      <c r="O173" s="281">
        <v>44845</v>
      </c>
      <c r="P173">
        <v>6.0679999999999996</v>
      </c>
      <c r="Q173">
        <v>6.2729999999999997</v>
      </c>
      <c r="R173">
        <v>5.7830000000000004</v>
      </c>
      <c r="T173" s="281"/>
    </row>
    <row r="174" spans="2:20" x14ac:dyDescent="0.2">
      <c r="B174" s="281">
        <v>44845</v>
      </c>
      <c r="C174">
        <v>5.0430000000000001</v>
      </c>
      <c r="D174">
        <v>5.55</v>
      </c>
      <c r="O174" s="281">
        <v>44841</v>
      </c>
      <c r="P174">
        <v>5.8730000000000002</v>
      </c>
      <c r="Q174">
        <v>6.2190000000000003</v>
      </c>
      <c r="R174">
        <v>5.6970000000000001</v>
      </c>
      <c r="T174" s="281"/>
    </row>
    <row r="175" spans="2:20" x14ac:dyDescent="0.2">
      <c r="B175" s="281">
        <v>44841</v>
      </c>
      <c r="C175">
        <v>4.9320000000000004</v>
      </c>
      <c r="D175">
        <v>5.5780000000000003</v>
      </c>
      <c r="O175" s="281">
        <v>44840</v>
      </c>
      <c r="P175">
        <v>5.7720000000000002</v>
      </c>
      <c r="Q175">
        <v>6.1289999999999996</v>
      </c>
      <c r="R175">
        <v>5.5940000000000003</v>
      </c>
      <c r="T175" s="281"/>
    </row>
    <row r="176" spans="2:20" x14ac:dyDescent="0.2">
      <c r="B176" s="281">
        <v>44840</v>
      </c>
      <c r="C176">
        <v>4.8499999999999996</v>
      </c>
      <c r="D176">
        <v>5.4569999999999999</v>
      </c>
      <c r="O176" s="281">
        <v>44839</v>
      </c>
      <c r="P176">
        <v>5.8360000000000003</v>
      </c>
      <c r="Q176">
        <v>6.14</v>
      </c>
      <c r="R176">
        <v>5.6260000000000003</v>
      </c>
      <c r="T176" s="281"/>
    </row>
    <row r="177" spans="2:20" x14ac:dyDescent="0.2">
      <c r="B177" s="281">
        <v>44839</v>
      </c>
      <c r="C177">
        <v>4.7960000000000003</v>
      </c>
      <c r="D177">
        <v>5.3630000000000004</v>
      </c>
      <c r="O177" s="281">
        <v>44838</v>
      </c>
      <c r="P177">
        <v>5.7140000000000004</v>
      </c>
      <c r="Q177">
        <v>6.077</v>
      </c>
      <c r="R177">
        <v>5.5940000000000003</v>
      </c>
      <c r="T177" s="281"/>
    </row>
    <row r="178" spans="2:20" x14ac:dyDescent="0.2">
      <c r="B178" s="281">
        <v>44838</v>
      </c>
      <c r="C178">
        <v>4.6449999999999996</v>
      </c>
      <c r="D178">
        <v>5.3019999999999996</v>
      </c>
      <c r="O178" s="281">
        <v>44837</v>
      </c>
      <c r="P178">
        <v>5.7590000000000003</v>
      </c>
      <c r="Q178">
        <v>6.0960000000000001</v>
      </c>
      <c r="R178">
        <v>5.6440000000000001</v>
      </c>
      <c r="T178" s="281"/>
    </row>
    <row r="179" spans="2:20" x14ac:dyDescent="0.2">
      <c r="B179" s="281">
        <v>44837</v>
      </c>
      <c r="C179">
        <v>4.7590000000000003</v>
      </c>
      <c r="D179">
        <v>5.3620000000000001</v>
      </c>
      <c r="O179" s="281">
        <v>44834</v>
      </c>
      <c r="P179">
        <v>5.9649999999999999</v>
      </c>
      <c r="Q179">
        <v>6.2859999999999996</v>
      </c>
      <c r="R179">
        <v>5.7569999999999997</v>
      </c>
      <c r="T179" s="281"/>
    </row>
    <row r="180" spans="2:20" x14ac:dyDescent="0.2">
      <c r="B180" s="281">
        <v>44834</v>
      </c>
      <c r="C180">
        <v>4.915</v>
      </c>
      <c r="D180">
        <v>5.5590000000000002</v>
      </c>
      <c r="O180" s="281">
        <v>44833</v>
      </c>
      <c r="P180">
        <v>6.125</v>
      </c>
      <c r="Q180">
        <v>6.32</v>
      </c>
      <c r="R180">
        <v>5.7850000000000001</v>
      </c>
      <c r="T180" s="281"/>
    </row>
    <row r="181" spans="2:20" x14ac:dyDescent="0.2">
      <c r="B181" s="281">
        <v>44833</v>
      </c>
      <c r="C181">
        <v>4.9400000000000004</v>
      </c>
      <c r="D181">
        <v>5.5259999999999998</v>
      </c>
      <c r="O181" s="281">
        <v>44832</v>
      </c>
      <c r="P181">
        <v>5.9829999999999997</v>
      </c>
      <c r="Q181">
        <v>6.2519999999999998</v>
      </c>
      <c r="R181">
        <v>5.68</v>
      </c>
      <c r="T181" s="281"/>
    </row>
    <row r="182" spans="2:20" x14ac:dyDescent="0.2">
      <c r="B182" s="281">
        <v>44832</v>
      </c>
      <c r="C182">
        <v>4.8920000000000003</v>
      </c>
      <c r="D182">
        <v>5.3949999999999996</v>
      </c>
      <c r="O182" s="281">
        <v>44831</v>
      </c>
      <c r="P182">
        <v>6.0389999999999997</v>
      </c>
      <c r="Q182">
        <v>6.2949999999999999</v>
      </c>
      <c r="R182">
        <v>5.7789999999999999</v>
      </c>
      <c r="T182" s="281"/>
    </row>
    <row r="183" spans="2:20" x14ac:dyDescent="0.2">
      <c r="B183" s="281">
        <v>44831</v>
      </c>
      <c r="C183">
        <v>5.056</v>
      </c>
      <c r="D183">
        <v>5.7549999999999999</v>
      </c>
      <c r="O183" s="281">
        <v>44830</v>
      </c>
      <c r="P183">
        <v>5.8479999999999999</v>
      </c>
      <c r="Q183">
        <v>6.0970000000000004</v>
      </c>
      <c r="R183">
        <v>5.6260000000000003</v>
      </c>
      <c r="T183" s="281"/>
    </row>
    <row r="184" spans="2:20" x14ac:dyDescent="0.2">
      <c r="B184" s="281">
        <v>44830</v>
      </c>
      <c r="C184">
        <v>4.9790000000000001</v>
      </c>
      <c r="D184">
        <v>5.62</v>
      </c>
      <c r="O184" s="281">
        <v>44827</v>
      </c>
      <c r="P184">
        <v>5.6630000000000003</v>
      </c>
      <c r="Q184">
        <v>5.931</v>
      </c>
      <c r="R184">
        <v>5.5389999999999997</v>
      </c>
      <c r="T184" s="281"/>
    </row>
    <row r="185" spans="2:20" x14ac:dyDescent="0.2">
      <c r="B185" s="281">
        <v>44827</v>
      </c>
      <c r="C185">
        <v>4.7859999999999996</v>
      </c>
      <c r="D185">
        <v>5.399</v>
      </c>
      <c r="O185" s="281">
        <v>44826</v>
      </c>
      <c r="P185">
        <v>5.6870000000000003</v>
      </c>
      <c r="Q185">
        <v>5.8929999999999998</v>
      </c>
      <c r="R185">
        <v>5.5259999999999998</v>
      </c>
      <c r="T185" s="281"/>
    </row>
    <row r="186" spans="2:20" x14ac:dyDescent="0.2">
      <c r="B186" s="281">
        <v>44826</v>
      </c>
      <c r="C186">
        <v>4.71</v>
      </c>
      <c r="D186">
        <v>5.3159999999999998</v>
      </c>
      <c r="O186" s="281">
        <v>44825</v>
      </c>
      <c r="P186">
        <v>5.452</v>
      </c>
      <c r="Q186">
        <v>5.7770000000000001</v>
      </c>
      <c r="R186">
        <v>5.3730000000000002</v>
      </c>
      <c r="T186" s="281"/>
    </row>
    <row r="187" spans="2:20" x14ac:dyDescent="0.2">
      <c r="B187" s="281">
        <v>44825</v>
      </c>
      <c r="C187">
        <v>4.5140000000000002</v>
      </c>
      <c r="D187">
        <v>5.0670000000000002</v>
      </c>
      <c r="O187" s="281">
        <v>44824</v>
      </c>
      <c r="P187">
        <v>5.5549999999999997</v>
      </c>
      <c r="Q187">
        <v>5.8490000000000002</v>
      </c>
      <c r="R187">
        <v>5.4329999999999998</v>
      </c>
      <c r="T187" s="281"/>
    </row>
    <row r="188" spans="2:20" x14ac:dyDescent="0.2">
      <c r="B188" s="281">
        <v>44824</v>
      </c>
      <c r="C188">
        <v>4.5339999999999998</v>
      </c>
      <c r="D188">
        <v>5.1870000000000003</v>
      </c>
      <c r="O188" s="281">
        <v>44823</v>
      </c>
      <c r="P188">
        <v>5.5019999999999998</v>
      </c>
      <c r="Q188">
        <v>5.7990000000000004</v>
      </c>
      <c r="R188">
        <v>5.3650000000000002</v>
      </c>
      <c r="T188" s="281"/>
    </row>
    <row r="189" spans="2:20" x14ac:dyDescent="0.2">
      <c r="B189" s="281">
        <v>44823</v>
      </c>
      <c r="C189">
        <v>4.4880000000000004</v>
      </c>
      <c r="D189">
        <v>5.0430000000000001</v>
      </c>
      <c r="O189" s="281">
        <v>44820</v>
      </c>
      <c r="P189">
        <v>5.5549999999999997</v>
      </c>
      <c r="Q189">
        <v>5.8380000000000001</v>
      </c>
      <c r="R189">
        <v>5.3970000000000002</v>
      </c>
      <c r="T189" s="281"/>
    </row>
    <row r="190" spans="2:20" x14ac:dyDescent="0.2">
      <c r="B190" s="281">
        <v>44820</v>
      </c>
      <c r="C190">
        <v>4.407</v>
      </c>
      <c r="D190">
        <v>5.0049999999999999</v>
      </c>
      <c r="O190" s="281">
        <v>44819</v>
      </c>
      <c r="P190">
        <v>5.4349999999999996</v>
      </c>
      <c r="Q190">
        <v>5.7489999999999997</v>
      </c>
      <c r="R190">
        <v>5.3550000000000004</v>
      </c>
      <c r="T190" s="281"/>
    </row>
    <row r="191" spans="2:20" x14ac:dyDescent="0.2">
      <c r="B191" s="281">
        <v>44819</v>
      </c>
      <c r="C191">
        <v>4.4560000000000004</v>
      </c>
      <c r="D191">
        <v>5.0110000000000001</v>
      </c>
      <c r="O191" s="281">
        <v>44818</v>
      </c>
      <c r="P191">
        <v>5.4059999999999997</v>
      </c>
      <c r="Q191">
        <v>5.7290000000000001</v>
      </c>
      <c r="R191">
        <v>5.319</v>
      </c>
      <c r="T191" s="281"/>
    </row>
    <row r="192" spans="2:20" x14ac:dyDescent="0.2">
      <c r="B192" s="281">
        <v>44818</v>
      </c>
      <c r="C192">
        <v>4.407</v>
      </c>
      <c r="D192">
        <v>4.9790000000000001</v>
      </c>
      <c r="O192" s="281">
        <v>44817</v>
      </c>
      <c r="P192">
        <v>5.3890000000000002</v>
      </c>
      <c r="Q192">
        <v>5.7709999999999999</v>
      </c>
      <c r="R192">
        <v>5.3609999999999998</v>
      </c>
      <c r="T192" s="281"/>
    </row>
    <row r="193" spans="2:20" x14ac:dyDescent="0.2">
      <c r="B193" s="281">
        <v>44817</v>
      </c>
      <c r="C193">
        <v>4.367</v>
      </c>
      <c r="D193">
        <v>4.9770000000000003</v>
      </c>
      <c r="O193" s="281">
        <v>44816</v>
      </c>
      <c r="P193">
        <v>5.3849999999999998</v>
      </c>
      <c r="Q193">
        <v>5.7270000000000003</v>
      </c>
      <c r="R193">
        <v>5.3179999999999996</v>
      </c>
      <c r="T193" s="281"/>
    </row>
    <row r="194" spans="2:20" x14ac:dyDescent="0.2">
      <c r="B194" s="281">
        <v>44816</v>
      </c>
      <c r="C194">
        <v>4.2389999999999999</v>
      </c>
      <c r="D194">
        <v>4.8319999999999999</v>
      </c>
      <c r="O194" s="281">
        <v>44813</v>
      </c>
      <c r="P194">
        <v>5.3689999999999998</v>
      </c>
      <c r="Q194">
        <v>5.7249999999999996</v>
      </c>
      <c r="R194">
        <v>5.306</v>
      </c>
      <c r="T194" s="281"/>
    </row>
    <row r="195" spans="2:20" x14ac:dyDescent="0.2">
      <c r="B195" s="281">
        <v>44813</v>
      </c>
      <c r="C195">
        <v>4.2229999999999999</v>
      </c>
      <c r="D195">
        <v>4.8620000000000001</v>
      </c>
      <c r="O195" s="281">
        <v>44812</v>
      </c>
      <c r="P195">
        <v>5.4240000000000004</v>
      </c>
      <c r="Q195">
        <v>5.7610000000000001</v>
      </c>
      <c r="R195">
        <v>5.3659999999999997</v>
      </c>
      <c r="T195" s="281"/>
    </row>
    <row r="196" spans="2:20" x14ac:dyDescent="0.2">
      <c r="B196" s="281">
        <v>44812</v>
      </c>
      <c r="C196">
        <v>4.258</v>
      </c>
      <c r="D196">
        <v>4.88</v>
      </c>
      <c r="O196" s="281">
        <v>44811</v>
      </c>
      <c r="P196">
        <v>5.3940000000000001</v>
      </c>
      <c r="Q196">
        <v>5.7050000000000001</v>
      </c>
      <c r="R196">
        <v>5.2919999999999998</v>
      </c>
      <c r="T196" s="281"/>
    </row>
    <row r="197" spans="2:20" x14ac:dyDescent="0.2">
      <c r="B197" s="281">
        <v>44811</v>
      </c>
      <c r="C197">
        <v>4.2149999999999999</v>
      </c>
      <c r="D197">
        <v>4.8460000000000001</v>
      </c>
      <c r="O197" s="281">
        <v>44810</v>
      </c>
      <c r="P197">
        <v>5.5469999999999997</v>
      </c>
      <c r="Q197">
        <v>5.8339999999999996</v>
      </c>
      <c r="R197">
        <v>5.423</v>
      </c>
      <c r="T197" s="281"/>
    </row>
    <row r="198" spans="2:20" x14ac:dyDescent="0.2">
      <c r="B198" s="281">
        <v>44810</v>
      </c>
      <c r="C198">
        <v>4.3079999999999998</v>
      </c>
      <c r="D198">
        <v>4.9249999999999998</v>
      </c>
      <c r="O198" s="281">
        <v>44806</v>
      </c>
      <c r="P198">
        <v>5.351</v>
      </c>
      <c r="Q198">
        <v>5.6319999999999997</v>
      </c>
      <c r="R198">
        <v>5.218</v>
      </c>
      <c r="T198" s="281"/>
    </row>
    <row r="199" spans="2:20" x14ac:dyDescent="0.2">
      <c r="B199" s="281">
        <v>44806</v>
      </c>
      <c r="C199">
        <v>4.1950000000000003</v>
      </c>
      <c r="D199">
        <v>4.8339999999999996</v>
      </c>
      <c r="O199" s="281">
        <v>44805</v>
      </c>
      <c r="P199">
        <v>5.4169999999999998</v>
      </c>
      <c r="Q199">
        <v>5.6790000000000003</v>
      </c>
      <c r="R199">
        <v>5.2969999999999997</v>
      </c>
      <c r="T199" s="281"/>
    </row>
    <row r="200" spans="2:20" x14ac:dyDescent="0.2">
      <c r="B200" s="281">
        <v>44805</v>
      </c>
      <c r="C200">
        <v>4.28</v>
      </c>
      <c r="D200">
        <v>4.9039999999999999</v>
      </c>
      <c r="O200" s="281">
        <v>44804</v>
      </c>
      <c r="P200">
        <v>5.2779999999999996</v>
      </c>
      <c r="Q200">
        <v>5.5709999999999997</v>
      </c>
      <c r="R200">
        <v>5.1390000000000002</v>
      </c>
      <c r="T200" s="281"/>
    </row>
    <row r="201" spans="2:20" x14ac:dyDescent="0.2">
      <c r="B201" s="281">
        <v>44804</v>
      </c>
      <c r="C201">
        <v>4.1719999999999997</v>
      </c>
      <c r="D201">
        <v>4.7839999999999998</v>
      </c>
      <c r="O201" s="281">
        <v>44803</v>
      </c>
      <c r="P201">
        <v>5.1710000000000003</v>
      </c>
      <c r="Q201">
        <v>5.476</v>
      </c>
      <c r="R201">
        <v>5.0839999999999996</v>
      </c>
      <c r="T201" s="281"/>
    </row>
    <row r="202" spans="2:20" x14ac:dyDescent="0.2">
      <c r="B202" s="281">
        <v>44803</v>
      </c>
      <c r="C202">
        <v>4.1139999999999999</v>
      </c>
      <c r="D202">
        <v>4.7190000000000003</v>
      </c>
      <c r="O202" s="281">
        <v>44802</v>
      </c>
      <c r="P202">
        <v>5.1609999999999996</v>
      </c>
      <c r="Q202">
        <v>5.4370000000000003</v>
      </c>
      <c r="R202">
        <v>5.0949999999999998</v>
      </c>
      <c r="T202" s="281"/>
    </row>
    <row r="203" spans="2:20" x14ac:dyDescent="0.2">
      <c r="B203" s="281">
        <v>44802</v>
      </c>
      <c r="C203">
        <v>4.0910000000000002</v>
      </c>
      <c r="D203">
        <v>4.6260000000000003</v>
      </c>
      <c r="O203" s="281">
        <v>44799</v>
      </c>
      <c r="P203">
        <v>5.0389999999999997</v>
      </c>
      <c r="Q203">
        <v>5.327</v>
      </c>
      <c r="R203">
        <v>5</v>
      </c>
      <c r="T203" s="281"/>
    </row>
    <row r="204" spans="2:20" x14ac:dyDescent="0.2">
      <c r="B204" s="281">
        <v>44799</v>
      </c>
      <c r="C204">
        <v>3.9849999999999999</v>
      </c>
      <c r="D204">
        <v>4.5750000000000002</v>
      </c>
      <c r="O204" s="281">
        <v>44798</v>
      </c>
      <c r="P204">
        <v>5.0590000000000002</v>
      </c>
      <c r="Q204">
        <v>5.3339999999999996</v>
      </c>
      <c r="R204">
        <v>4.9930000000000003</v>
      </c>
      <c r="T204" s="281"/>
    </row>
    <row r="205" spans="2:20" x14ac:dyDescent="0.2">
      <c r="B205" s="281">
        <v>44798</v>
      </c>
      <c r="C205">
        <v>3.9769999999999999</v>
      </c>
      <c r="D205">
        <v>4.5090000000000003</v>
      </c>
      <c r="O205" s="281">
        <v>44797</v>
      </c>
      <c r="P205">
        <v>5.1470000000000002</v>
      </c>
      <c r="Q205">
        <v>5.4569999999999999</v>
      </c>
      <c r="R205">
        <v>5.101</v>
      </c>
      <c r="T205" s="281"/>
    </row>
    <row r="206" spans="2:20" x14ac:dyDescent="0.2">
      <c r="B206" s="281">
        <v>44797</v>
      </c>
      <c r="C206">
        <v>4.07</v>
      </c>
      <c r="D206">
        <v>4.6130000000000004</v>
      </c>
      <c r="O206" s="281">
        <v>44796</v>
      </c>
      <c r="P206">
        <v>5.157</v>
      </c>
      <c r="Q206">
        <v>5.4089999999999998</v>
      </c>
      <c r="R206">
        <v>5.069</v>
      </c>
      <c r="T206" s="281"/>
    </row>
    <row r="207" spans="2:20" x14ac:dyDescent="0.2">
      <c r="B207" s="281">
        <v>44796</v>
      </c>
      <c r="C207">
        <v>4.0149999999999997</v>
      </c>
      <c r="D207">
        <v>4.5940000000000003</v>
      </c>
      <c r="O207" s="281">
        <v>44795</v>
      </c>
      <c r="P207">
        <v>5.133</v>
      </c>
      <c r="Q207">
        <v>5.3959999999999999</v>
      </c>
      <c r="R207">
        <v>5.048</v>
      </c>
      <c r="T207" s="281"/>
    </row>
    <row r="208" spans="2:20" x14ac:dyDescent="0.2">
      <c r="B208" s="281">
        <v>44795</v>
      </c>
      <c r="C208">
        <v>3.992</v>
      </c>
      <c r="D208">
        <v>4.58</v>
      </c>
      <c r="O208" s="281">
        <v>44792</v>
      </c>
      <c r="P208">
        <v>5.0519999999999996</v>
      </c>
      <c r="Q208">
        <v>5.3179999999999996</v>
      </c>
      <c r="R208">
        <v>4.984</v>
      </c>
      <c r="T208" s="281"/>
    </row>
    <row r="209" spans="2:20" x14ac:dyDescent="0.2">
      <c r="B209" s="281">
        <v>44792</v>
      </c>
      <c r="C209">
        <v>3.8719999999999999</v>
      </c>
      <c r="D209">
        <v>4.38</v>
      </c>
      <c r="O209" s="281">
        <v>44791</v>
      </c>
      <c r="P209">
        <v>4.915</v>
      </c>
      <c r="Q209">
        <v>5.1449999999999996</v>
      </c>
      <c r="R209">
        <v>4.8479999999999999</v>
      </c>
      <c r="T209" s="281"/>
    </row>
    <row r="210" spans="2:20" x14ac:dyDescent="0.2">
      <c r="B210" s="281">
        <v>44791</v>
      </c>
      <c r="C210">
        <v>3.786</v>
      </c>
      <c r="D210">
        <v>4.2649999999999997</v>
      </c>
      <c r="O210" s="281">
        <v>44790</v>
      </c>
      <c r="P210">
        <v>4.9470000000000001</v>
      </c>
      <c r="Q210">
        <v>5.1319999999999997</v>
      </c>
      <c r="R210">
        <v>4.8689999999999998</v>
      </c>
      <c r="T210" s="281"/>
    </row>
    <row r="211" spans="2:20" x14ac:dyDescent="0.2">
      <c r="B211" s="281">
        <v>44790</v>
      </c>
      <c r="C211">
        <v>3.8</v>
      </c>
      <c r="D211">
        <v>4.2679999999999998</v>
      </c>
      <c r="O211" s="281">
        <v>44789</v>
      </c>
      <c r="P211">
        <v>4.8109999999999999</v>
      </c>
      <c r="Q211">
        <v>5.04</v>
      </c>
      <c r="R211">
        <v>4.774</v>
      </c>
      <c r="T211" s="281"/>
    </row>
    <row r="212" spans="2:20" x14ac:dyDescent="0.2">
      <c r="B212" s="281">
        <v>44789</v>
      </c>
      <c r="C212">
        <v>3.6549999999999998</v>
      </c>
      <c r="D212">
        <v>4.1550000000000002</v>
      </c>
      <c r="O212" s="281">
        <v>44788</v>
      </c>
      <c r="P212">
        <v>4.7770000000000001</v>
      </c>
      <c r="Q212">
        <v>5.0350000000000001</v>
      </c>
      <c r="R212">
        <v>4.7709999999999999</v>
      </c>
      <c r="T212" s="281"/>
    </row>
    <row r="213" spans="2:20" x14ac:dyDescent="0.2">
      <c r="B213" s="281">
        <v>44788</v>
      </c>
      <c r="C213">
        <v>3.6040000000000001</v>
      </c>
      <c r="D213">
        <v>4.1399999999999997</v>
      </c>
      <c r="O213" s="281">
        <v>44785</v>
      </c>
      <c r="P213">
        <v>4.7839999999999998</v>
      </c>
      <c r="Q213">
        <v>5.0640000000000001</v>
      </c>
      <c r="R213">
        <v>4.7539999999999996</v>
      </c>
      <c r="T213" s="281"/>
    </row>
    <row r="214" spans="2:20" x14ac:dyDescent="0.2">
      <c r="B214" s="281">
        <v>44785</v>
      </c>
      <c r="C214">
        <v>3.677</v>
      </c>
      <c r="D214">
        <v>4.2149999999999999</v>
      </c>
      <c r="O214" s="281">
        <v>44784</v>
      </c>
      <c r="P214">
        <v>4.8789999999999996</v>
      </c>
      <c r="Q214">
        <v>5.24</v>
      </c>
      <c r="R214">
        <v>4.8239999999999998</v>
      </c>
      <c r="T214" s="281"/>
    </row>
    <row r="215" spans="2:20" x14ac:dyDescent="0.2">
      <c r="B215" s="281">
        <v>44784</v>
      </c>
      <c r="C215">
        <v>3.6829999999999998</v>
      </c>
      <c r="D215">
        <v>4.3019999999999996</v>
      </c>
      <c r="O215" s="281">
        <v>44783</v>
      </c>
      <c r="P215">
        <v>4.8540000000000001</v>
      </c>
      <c r="Q215">
        <v>5.0960000000000001</v>
      </c>
      <c r="R215">
        <v>4.7960000000000003</v>
      </c>
      <c r="T215" s="281"/>
    </row>
    <row r="216" spans="2:20" x14ac:dyDescent="0.2">
      <c r="B216" s="281">
        <v>44783</v>
      </c>
      <c r="C216">
        <v>3.65</v>
      </c>
      <c r="D216">
        <v>4.2409999999999997</v>
      </c>
      <c r="O216" s="281">
        <v>44782</v>
      </c>
      <c r="P216">
        <v>4.8819999999999997</v>
      </c>
      <c r="Q216">
        <v>5.1319999999999997</v>
      </c>
      <c r="R216">
        <v>4.7910000000000004</v>
      </c>
      <c r="T216" s="281"/>
    </row>
    <row r="217" spans="2:20" x14ac:dyDescent="0.2">
      <c r="B217" s="281">
        <v>44782</v>
      </c>
      <c r="C217">
        <v>3.706</v>
      </c>
      <c r="D217">
        <v>4.3840000000000003</v>
      </c>
      <c r="O217" s="281">
        <v>44781</v>
      </c>
      <c r="P217">
        <v>4.8419999999999996</v>
      </c>
      <c r="Q217">
        <v>5.0659999999999998</v>
      </c>
      <c r="R217">
        <v>4.782</v>
      </c>
      <c r="T217" s="281"/>
    </row>
    <row r="218" spans="2:20" x14ac:dyDescent="0.2">
      <c r="B218" s="281">
        <v>44781</v>
      </c>
      <c r="C218">
        <v>3.6339999999999999</v>
      </c>
      <c r="D218">
        <v>4.327</v>
      </c>
      <c r="O218" s="281">
        <v>44778</v>
      </c>
      <c r="P218">
        <v>4.9359999999999999</v>
      </c>
      <c r="Q218">
        <v>5.1520000000000001</v>
      </c>
      <c r="R218">
        <v>4.851</v>
      </c>
      <c r="T218" s="281"/>
    </row>
    <row r="219" spans="2:20" x14ac:dyDescent="0.2">
      <c r="B219" s="281">
        <v>44778</v>
      </c>
      <c r="C219">
        <v>3.7050000000000001</v>
      </c>
      <c r="D219">
        <v>4.4089999999999998</v>
      </c>
      <c r="O219" s="281">
        <v>44777</v>
      </c>
      <c r="P219">
        <v>4.806</v>
      </c>
      <c r="Q219">
        <v>5.0220000000000002</v>
      </c>
      <c r="R219">
        <v>4.7130000000000001</v>
      </c>
      <c r="T219" s="281"/>
    </row>
    <row r="220" spans="2:20" x14ac:dyDescent="0.2">
      <c r="B220" s="281">
        <v>44777</v>
      </c>
      <c r="C220">
        <v>3.504</v>
      </c>
      <c r="D220">
        <v>4.2080000000000002</v>
      </c>
      <c r="O220" s="281">
        <v>44776</v>
      </c>
      <c r="P220">
        <v>4.782</v>
      </c>
      <c r="Q220">
        <v>5.03</v>
      </c>
      <c r="R220">
        <v>4.7030000000000003</v>
      </c>
      <c r="T220" s="281"/>
    </row>
    <row r="221" spans="2:20" x14ac:dyDescent="0.2">
      <c r="B221" s="281">
        <v>44776</v>
      </c>
      <c r="C221">
        <v>3.5779999999999998</v>
      </c>
      <c r="D221">
        <v>4.3129999999999997</v>
      </c>
      <c r="O221" s="281">
        <v>44775</v>
      </c>
      <c r="P221">
        <v>4.8970000000000002</v>
      </c>
      <c r="Q221">
        <v>5.1369999999999996</v>
      </c>
      <c r="R221">
        <v>4.7939999999999996</v>
      </c>
      <c r="T221" s="281"/>
    </row>
    <row r="222" spans="2:20" x14ac:dyDescent="0.2">
      <c r="B222" s="281">
        <v>44775</v>
      </c>
      <c r="C222">
        <v>3.621</v>
      </c>
      <c r="D222">
        <v>4.3739999999999997</v>
      </c>
      <c r="O222" s="281">
        <v>44774</v>
      </c>
      <c r="P222">
        <v>4.76</v>
      </c>
      <c r="Q222">
        <v>4.9720000000000004</v>
      </c>
      <c r="R222">
        <v>4.665</v>
      </c>
      <c r="T222" s="281"/>
    </row>
    <row r="223" spans="2:20" x14ac:dyDescent="0.2">
      <c r="B223" s="281">
        <v>44774</v>
      </c>
      <c r="C223">
        <v>3.363</v>
      </c>
      <c r="D223">
        <v>4.1630000000000003</v>
      </c>
      <c r="O223" s="281">
        <v>44771</v>
      </c>
      <c r="P223">
        <v>4.8559999999999999</v>
      </c>
      <c r="Q223">
        <v>5.09</v>
      </c>
      <c r="R223">
        <v>4.76</v>
      </c>
      <c r="T223" s="281"/>
    </row>
    <row r="224" spans="2:20" x14ac:dyDescent="0.2">
      <c r="B224" s="281">
        <v>44771</v>
      </c>
      <c r="C224">
        <v>3.42</v>
      </c>
      <c r="D224">
        <v>4.2169999999999996</v>
      </c>
      <c r="O224" s="281">
        <v>44770</v>
      </c>
      <c r="P224">
        <v>4.891</v>
      </c>
      <c r="Q224">
        <v>5.1219999999999999</v>
      </c>
      <c r="R224">
        <v>4.7640000000000002</v>
      </c>
      <c r="T224" s="281"/>
    </row>
    <row r="225" spans="2:20" x14ac:dyDescent="0.2">
      <c r="B225" s="281">
        <v>44770</v>
      </c>
      <c r="C225">
        <v>3.4279999999999999</v>
      </c>
      <c r="D225">
        <v>4.2089999999999996</v>
      </c>
      <c r="O225" s="281">
        <v>44769</v>
      </c>
      <c r="P225">
        <v>4.9370000000000003</v>
      </c>
      <c r="Q225">
        <v>5.1589999999999998</v>
      </c>
      <c r="R225">
        <v>4.7889999999999997</v>
      </c>
      <c r="T225" s="281"/>
    </row>
    <row r="226" spans="2:20" x14ac:dyDescent="0.2">
      <c r="B226" s="281">
        <v>44769</v>
      </c>
      <c r="C226">
        <v>3.536</v>
      </c>
      <c r="D226">
        <v>4.3730000000000002</v>
      </c>
      <c r="O226" s="281">
        <v>44768</v>
      </c>
      <c r="P226">
        <v>5.0019999999999998</v>
      </c>
      <c r="Q226">
        <v>5.1779999999999999</v>
      </c>
      <c r="R226">
        <v>4.8719999999999999</v>
      </c>
      <c r="T226" s="281"/>
    </row>
    <row r="227" spans="2:20" x14ac:dyDescent="0.2">
      <c r="B227" s="281">
        <v>44768</v>
      </c>
      <c r="C227">
        <v>3.7050000000000001</v>
      </c>
      <c r="D227">
        <v>4.4560000000000004</v>
      </c>
      <c r="O227" s="281">
        <v>44767</v>
      </c>
      <c r="P227">
        <v>4.9790000000000001</v>
      </c>
      <c r="Q227">
        <v>5.2030000000000003</v>
      </c>
      <c r="R227">
        <v>4.843</v>
      </c>
      <c r="T227" s="281"/>
    </row>
    <row r="228" spans="2:20" x14ac:dyDescent="0.2">
      <c r="B228" s="281">
        <v>44767</v>
      </c>
      <c r="C228">
        <v>3.669</v>
      </c>
      <c r="D228">
        <v>4.4249999999999998</v>
      </c>
      <c r="O228" s="281">
        <v>44764</v>
      </c>
      <c r="P228">
        <v>4.84</v>
      </c>
      <c r="Q228">
        <v>5.0460000000000003</v>
      </c>
      <c r="R228">
        <v>4.7240000000000002</v>
      </c>
      <c r="T228" s="281"/>
    </row>
    <row r="229" spans="2:20" x14ac:dyDescent="0.2">
      <c r="B229" s="281">
        <v>44764</v>
      </c>
      <c r="C229">
        <v>3.5950000000000002</v>
      </c>
      <c r="D229">
        <v>4.4130000000000003</v>
      </c>
      <c r="O229" s="281">
        <v>44763</v>
      </c>
      <c r="P229">
        <v>4.9459999999999997</v>
      </c>
      <c r="Q229">
        <v>5.1109999999999998</v>
      </c>
      <c r="R229">
        <v>4.8220000000000001</v>
      </c>
      <c r="T229" s="281"/>
    </row>
    <row r="230" spans="2:20" x14ac:dyDescent="0.2">
      <c r="B230" s="281">
        <v>44763</v>
      </c>
      <c r="C230">
        <v>3.78</v>
      </c>
      <c r="D230">
        <v>4.5830000000000002</v>
      </c>
      <c r="O230" s="281">
        <v>44762</v>
      </c>
      <c r="P230">
        <v>5.0460000000000003</v>
      </c>
      <c r="Q230">
        <v>5.3220000000000001</v>
      </c>
      <c r="R230">
        <v>4.92</v>
      </c>
      <c r="T230" s="281"/>
    </row>
    <row r="231" spans="2:20" x14ac:dyDescent="0.2">
      <c r="B231" s="281">
        <v>44762</v>
      </c>
      <c r="C231">
        <v>3.9350000000000001</v>
      </c>
      <c r="D231">
        <v>4.7329999999999997</v>
      </c>
      <c r="O231" s="281">
        <v>44761</v>
      </c>
      <c r="P231">
        <v>5.1109999999999998</v>
      </c>
      <c r="Q231">
        <v>5.33</v>
      </c>
      <c r="R231">
        <v>4.9560000000000004</v>
      </c>
      <c r="T231" s="281"/>
    </row>
    <row r="232" spans="2:20" x14ac:dyDescent="0.2">
      <c r="B232" s="281">
        <v>44761</v>
      </c>
      <c r="C232">
        <v>3.92</v>
      </c>
      <c r="D232">
        <v>4.8109999999999999</v>
      </c>
      <c r="O232" s="281">
        <v>44760</v>
      </c>
      <c r="P232">
        <v>5.0869999999999997</v>
      </c>
      <c r="Q232">
        <v>5.2770000000000001</v>
      </c>
      <c r="R232">
        <v>4.9210000000000003</v>
      </c>
      <c r="T232" s="281"/>
    </row>
    <row r="233" spans="2:20" x14ac:dyDescent="0.2">
      <c r="B233" s="281">
        <v>44760</v>
      </c>
      <c r="C233">
        <v>3.8740000000000001</v>
      </c>
      <c r="D233">
        <v>4.6749999999999998</v>
      </c>
      <c r="O233" s="281">
        <v>44757</v>
      </c>
      <c r="P233">
        <v>5.0679999999999996</v>
      </c>
      <c r="Q233">
        <v>5.3070000000000004</v>
      </c>
      <c r="R233">
        <v>4.9400000000000004</v>
      </c>
      <c r="T233" s="281"/>
    </row>
    <row r="234" spans="2:20" x14ac:dyDescent="0.2">
      <c r="B234" s="281">
        <v>44757</v>
      </c>
      <c r="C234">
        <v>3.8740000000000001</v>
      </c>
      <c r="D234">
        <v>4.665</v>
      </c>
      <c r="O234" s="281">
        <v>44756</v>
      </c>
      <c r="P234">
        <v>5.1580000000000004</v>
      </c>
      <c r="Q234">
        <v>5.3559999999999999</v>
      </c>
      <c r="R234">
        <v>4.9930000000000003</v>
      </c>
      <c r="T234" s="281"/>
    </row>
    <row r="235" spans="2:20" x14ac:dyDescent="0.2">
      <c r="B235" s="281">
        <v>44756</v>
      </c>
      <c r="C235">
        <v>3.96</v>
      </c>
      <c r="D235">
        <v>4.7169999999999996</v>
      </c>
      <c r="O235" s="281">
        <v>44755</v>
      </c>
      <c r="P235">
        <v>5.1050000000000004</v>
      </c>
      <c r="Q235">
        <v>5.3239999999999998</v>
      </c>
      <c r="R235">
        <v>4.9379999999999997</v>
      </c>
      <c r="T235" s="281"/>
    </row>
    <row r="236" spans="2:20" x14ac:dyDescent="0.2">
      <c r="B236" s="281">
        <v>44755</v>
      </c>
      <c r="C236">
        <v>3.859</v>
      </c>
      <c r="D236">
        <v>4.6479999999999997</v>
      </c>
      <c r="O236" s="281">
        <v>44754</v>
      </c>
      <c r="P236">
        <v>5.1719999999999997</v>
      </c>
      <c r="Q236">
        <v>5.3170000000000002</v>
      </c>
      <c r="R236">
        <v>4.9950000000000001</v>
      </c>
      <c r="T236" s="281"/>
    </row>
    <row r="237" spans="2:20" x14ac:dyDescent="0.2">
      <c r="B237" s="281">
        <v>44754</v>
      </c>
      <c r="C237">
        <v>3.8879999999999999</v>
      </c>
      <c r="D237">
        <v>4.617</v>
      </c>
      <c r="O237" s="281">
        <v>44753</v>
      </c>
      <c r="P237">
        <v>5.1310000000000002</v>
      </c>
      <c r="Q237">
        <v>5.3289999999999997</v>
      </c>
      <c r="R237">
        <v>5.0069999999999997</v>
      </c>
      <c r="T237" s="281"/>
    </row>
    <row r="238" spans="2:20" x14ac:dyDescent="0.2">
      <c r="B238" s="281">
        <v>44753</v>
      </c>
      <c r="C238">
        <v>3.9340000000000002</v>
      </c>
      <c r="D238">
        <v>4.5890000000000004</v>
      </c>
      <c r="O238" s="281">
        <v>44750</v>
      </c>
      <c r="P238">
        <v>5.2240000000000002</v>
      </c>
      <c r="Q238">
        <v>5.4850000000000003</v>
      </c>
      <c r="R238">
        <v>5.0810000000000004</v>
      </c>
      <c r="T238" s="281"/>
    </row>
    <row r="239" spans="2:20" x14ac:dyDescent="0.2">
      <c r="B239" s="281">
        <v>44750</v>
      </c>
      <c r="C239">
        <v>4.0090000000000003</v>
      </c>
      <c r="D239">
        <v>4.6900000000000004</v>
      </c>
      <c r="O239" s="281">
        <v>44749</v>
      </c>
      <c r="P239">
        <v>5.2119999999999997</v>
      </c>
      <c r="Q239">
        <v>5.4710000000000001</v>
      </c>
      <c r="R239">
        <v>5.101</v>
      </c>
      <c r="T239" s="281"/>
    </row>
    <row r="240" spans="2:20" x14ac:dyDescent="0.2">
      <c r="B240" s="281">
        <v>44749</v>
      </c>
      <c r="C240">
        <v>4.0170000000000003</v>
      </c>
      <c r="D240">
        <v>4.5789999999999997</v>
      </c>
      <c r="O240" s="281">
        <v>44748</v>
      </c>
      <c r="P240">
        <v>5.2779999999999996</v>
      </c>
      <c r="Q240">
        <v>5.452</v>
      </c>
      <c r="R240">
        <v>5.0609999999999999</v>
      </c>
      <c r="T240" s="281"/>
    </row>
    <row r="241" spans="2:20" x14ac:dyDescent="0.2">
      <c r="B241" s="281">
        <v>44748</v>
      </c>
      <c r="C241">
        <v>3.9620000000000002</v>
      </c>
      <c r="D241">
        <v>4.5460000000000003</v>
      </c>
      <c r="O241" s="281">
        <v>44747</v>
      </c>
      <c r="P241">
        <v>5.26</v>
      </c>
      <c r="Q241">
        <v>5.4290000000000003</v>
      </c>
      <c r="R241">
        <v>5.0570000000000004</v>
      </c>
      <c r="T241" s="281"/>
    </row>
    <row r="242" spans="2:20" x14ac:dyDescent="0.2">
      <c r="B242" s="281">
        <v>44747</v>
      </c>
      <c r="C242">
        <v>3.9220000000000002</v>
      </c>
      <c r="D242">
        <v>4.41</v>
      </c>
      <c r="O242" s="281">
        <v>44743</v>
      </c>
      <c r="P242">
        <v>5.31</v>
      </c>
      <c r="Q242">
        <v>5.4960000000000004</v>
      </c>
      <c r="R242">
        <v>5.0919999999999996</v>
      </c>
      <c r="T242" s="281"/>
    </row>
    <row r="243" spans="2:20" x14ac:dyDescent="0.2">
      <c r="B243" s="281">
        <v>44743</v>
      </c>
      <c r="C243">
        <v>3.984</v>
      </c>
      <c r="D243">
        <v>4.4909999999999997</v>
      </c>
      <c r="O243" s="281">
        <v>44742</v>
      </c>
      <c r="P243">
        <v>5.3259999999999996</v>
      </c>
      <c r="Q243">
        <v>5.5780000000000003</v>
      </c>
      <c r="R243">
        <v>5.1180000000000003</v>
      </c>
      <c r="T243" s="281"/>
    </row>
    <row r="244" spans="2:20" x14ac:dyDescent="0.2">
      <c r="B244" s="281">
        <v>44742</v>
      </c>
      <c r="C244">
        <v>4.109</v>
      </c>
      <c r="D244">
        <v>4.6379999999999999</v>
      </c>
      <c r="O244" s="281">
        <v>44741</v>
      </c>
      <c r="P244">
        <v>5.3259999999999996</v>
      </c>
      <c r="Q244">
        <v>5.5430000000000001</v>
      </c>
      <c r="R244">
        <v>5.1310000000000002</v>
      </c>
      <c r="T244" s="281"/>
    </row>
    <row r="245" spans="2:20" x14ac:dyDescent="0.2">
      <c r="B245" s="281">
        <v>44741</v>
      </c>
      <c r="C245">
        <v>4.2110000000000003</v>
      </c>
      <c r="D245">
        <v>4.6689999999999996</v>
      </c>
      <c r="O245" s="281">
        <v>44740</v>
      </c>
      <c r="P245">
        <v>5.3630000000000004</v>
      </c>
      <c r="Q245">
        <v>5.5730000000000004</v>
      </c>
      <c r="R245">
        <v>5.1829999999999998</v>
      </c>
      <c r="T245" s="281"/>
    </row>
    <row r="246" spans="2:20" x14ac:dyDescent="0.2">
      <c r="B246" s="281">
        <v>44740</v>
      </c>
      <c r="C246">
        <v>4.266</v>
      </c>
      <c r="D246">
        <v>4.8209999999999997</v>
      </c>
      <c r="O246" s="281">
        <v>44739</v>
      </c>
      <c r="P246">
        <v>5.359</v>
      </c>
      <c r="Q246">
        <v>5.5090000000000003</v>
      </c>
      <c r="R246">
        <v>5.1470000000000002</v>
      </c>
      <c r="T246" s="281"/>
    </row>
    <row r="247" spans="2:20" x14ac:dyDescent="0.2">
      <c r="B247" s="281">
        <v>44739</v>
      </c>
      <c r="C247">
        <v>4.298</v>
      </c>
      <c r="D247">
        <v>4.7789999999999999</v>
      </c>
      <c r="O247" s="281">
        <v>44736</v>
      </c>
      <c r="P247">
        <v>5.3230000000000004</v>
      </c>
      <c r="Q247">
        <v>5.4610000000000003</v>
      </c>
      <c r="R247">
        <v>5.1520000000000001</v>
      </c>
      <c r="T247" s="281"/>
    </row>
    <row r="248" spans="2:20" x14ac:dyDescent="0.2">
      <c r="B248" s="281">
        <v>44736</v>
      </c>
      <c r="C248">
        <v>4.2389999999999999</v>
      </c>
      <c r="D248">
        <v>4.7050000000000001</v>
      </c>
      <c r="O248" s="281">
        <v>44735</v>
      </c>
      <c r="P248">
        <v>5.2779999999999996</v>
      </c>
      <c r="Q248">
        <v>5.4189999999999996</v>
      </c>
      <c r="R248">
        <v>5.1130000000000004</v>
      </c>
      <c r="T248" s="281"/>
    </row>
    <row r="249" spans="2:20" x14ac:dyDescent="0.2">
      <c r="B249" s="281">
        <v>44735</v>
      </c>
      <c r="C249">
        <v>4.2050000000000001</v>
      </c>
      <c r="D249">
        <v>4.7279999999999998</v>
      </c>
      <c r="O249" s="281">
        <v>44734</v>
      </c>
      <c r="P249">
        <v>5.306</v>
      </c>
      <c r="Q249">
        <v>5.5209999999999999</v>
      </c>
      <c r="R249">
        <v>5.1360000000000001</v>
      </c>
      <c r="T249" s="281"/>
    </row>
    <row r="250" spans="2:20" x14ac:dyDescent="0.2">
      <c r="B250" s="281">
        <v>44734</v>
      </c>
      <c r="C250">
        <v>4.2809999999999997</v>
      </c>
      <c r="D250">
        <v>4.7119999999999997</v>
      </c>
      <c r="O250" s="281">
        <v>44733</v>
      </c>
      <c r="P250">
        <v>5.3819999999999997</v>
      </c>
      <c r="Q250">
        <v>5.617</v>
      </c>
      <c r="R250">
        <v>5.2370000000000001</v>
      </c>
      <c r="T250" s="281"/>
    </row>
    <row r="251" spans="2:20" x14ac:dyDescent="0.2">
      <c r="B251" s="281">
        <v>44733</v>
      </c>
      <c r="C251">
        <v>4.3620000000000001</v>
      </c>
      <c r="D251">
        <v>4.7430000000000003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AB17C-51ED-4CEF-B2FA-9F997C833B78}">
  <dimension ref="A1"/>
  <sheetViews>
    <sheetView workbookViewId="0">
      <selection activeCell="V39" sqref="V3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FCDF3-7E5F-4231-8A99-93B193FFDA0A}">
  <dimension ref="R2"/>
  <sheetViews>
    <sheetView workbookViewId="0">
      <selection activeCell="M117" sqref="M117"/>
    </sheetView>
  </sheetViews>
  <sheetFormatPr defaultRowHeight="12.75" x14ac:dyDescent="0.2"/>
  <sheetData>
    <row r="2" spans="18:18" x14ac:dyDescent="0.2">
      <c r="R2" s="174" t="s">
        <v>364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45BFA-B05D-4E63-85EA-81767814CCF8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DD263-39B5-49D2-BFD5-14AF34D1F3EB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CF40-F2EB-4E9A-B86A-F885A9A7FEA1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12D17-BA1C-45E9-9650-E5ACFE760FEB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1094"/>
  <sheetViews>
    <sheetView showGridLines="0" workbookViewId="0">
      <pane xSplit="1" ySplit="4" topLeftCell="J5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defaultColWidth="9.140625" defaultRowHeight="15" x14ac:dyDescent="0.25"/>
  <cols>
    <col min="1" max="1" width="29.7109375" style="23" customWidth="1"/>
    <col min="2" max="3" width="10.5703125" style="24" customWidth="1"/>
    <col min="4" max="4" width="10.5703125" style="36" customWidth="1"/>
    <col min="5" max="5" width="10.5703125" style="37" customWidth="1"/>
    <col min="6" max="13" width="10.5703125" style="36" customWidth="1"/>
    <col min="14" max="28" width="10.5703125" style="24" customWidth="1"/>
    <col min="29" max="60" width="9.140625" style="24"/>
    <col min="61" max="16384" width="9.140625" style="2"/>
  </cols>
  <sheetData>
    <row r="1" spans="1:60" s="5" customFormat="1" x14ac:dyDescent="0.25">
      <c r="A1" s="4" t="str">
        <f>Inputs!A1</f>
        <v>Molson Coors</v>
      </c>
      <c r="D1" s="25"/>
      <c r="E1" s="26"/>
      <c r="F1" s="25"/>
      <c r="G1" s="25"/>
      <c r="H1" s="25"/>
      <c r="I1" s="25"/>
      <c r="J1" s="25"/>
      <c r="K1" s="25"/>
      <c r="L1" s="25"/>
      <c r="M1" s="25"/>
    </row>
    <row r="2" spans="1:60" s="5" customFormat="1" x14ac:dyDescent="0.25">
      <c r="A2" s="6" t="s">
        <v>6</v>
      </c>
      <c r="D2" s="25"/>
      <c r="E2" s="26"/>
      <c r="F2" s="25"/>
      <c r="G2" s="25"/>
      <c r="H2" s="25"/>
      <c r="I2" s="25"/>
      <c r="J2" s="25"/>
      <c r="K2" s="25"/>
      <c r="L2" s="25"/>
      <c r="M2" s="25"/>
    </row>
    <row r="3" spans="1:60" s="8" customFormat="1" x14ac:dyDescent="0.25">
      <c r="A3" s="7"/>
      <c r="B3" s="9"/>
      <c r="C3" s="9"/>
      <c r="D3" s="27"/>
      <c r="E3" s="28"/>
      <c r="F3" s="27"/>
      <c r="G3" s="27"/>
      <c r="H3" s="27"/>
      <c r="I3" s="27"/>
      <c r="J3" s="27"/>
      <c r="K3" s="27"/>
      <c r="L3" s="27"/>
      <c r="M3" s="27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</row>
    <row r="4" spans="1:60" s="49" customFormat="1" ht="15.75" thickBot="1" x14ac:dyDescent="0.3">
      <c r="A4" s="48" t="str">
        <f>CONCATENATE("Fiscal Years Ending ",Inputs!B7)</f>
        <v>Fiscal Years Ending Dec. 31</v>
      </c>
      <c r="B4" s="49">
        <v>2012</v>
      </c>
      <c r="C4" s="49">
        <v>2013</v>
      </c>
      <c r="D4" s="49">
        <v>2014</v>
      </c>
      <c r="E4" s="49">
        <v>2015</v>
      </c>
      <c r="F4" s="49">
        <v>2016</v>
      </c>
      <c r="G4" s="49">
        <v>2017</v>
      </c>
      <c r="H4" s="49">
        <v>2018</v>
      </c>
      <c r="I4" s="49">
        <v>2019</v>
      </c>
      <c r="J4" s="49">
        <v>2020</v>
      </c>
      <c r="K4" s="49">
        <v>2021</v>
      </c>
      <c r="L4" s="49">
        <v>2022</v>
      </c>
      <c r="M4" s="49" t="s">
        <v>15</v>
      </c>
      <c r="N4" s="49" t="s">
        <v>18</v>
      </c>
      <c r="O4" s="49" t="s">
        <v>20</v>
      </c>
      <c r="P4" s="49" t="s">
        <v>21</v>
      </c>
      <c r="Q4" s="49" t="s">
        <v>23</v>
      </c>
      <c r="R4" s="49" t="s">
        <v>24</v>
      </c>
      <c r="S4" s="49" t="s">
        <v>25</v>
      </c>
      <c r="T4" s="49" t="s">
        <v>42</v>
      </c>
      <c r="U4" s="49" t="s">
        <v>75</v>
      </c>
      <c r="V4" s="49" t="s">
        <v>76</v>
      </c>
    </row>
    <row r="5" spans="1:60" s="11" customFormat="1" x14ac:dyDescent="0.25">
      <c r="A5" s="10"/>
      <c r="D5" s="29"/>
      <c r="E5" s="29"/>
      <c r="F5" s="29"/>
      <c r="G5" s="29"/>
      <c r="H5" s="29"/>
      <c r="I5" s="29"/>
      <c r="J5" s="29"/>
      <c r="K5" s="29"/>
      <c r="L5" s="29"/>
      <c r="M5" s="29"/>
    </row>
    <row r="6" spans="1:60" s="11" customFormat="1" x14ac:dyDescent="0.25">
      <c r="A6" s="10"/>
      <c r="B6" s="12"/>
      <c r="C6" s="12"/>
      <c r="D6" s="29"/>
      <c r="E6" s="29"/>
      <c r="F6" s="29"/>
      <c r="G6" s="29"/>
      <c r="H6" s="29"/>
      <c r="I6" s="29"/>
      <c r="J6" s="29"/>
      <c r="K6" s="29"/>
      <c r="L6" s="29"/>
      <c r="M6" s="29"/>
    </row>
    <row r="7" spans="1:60" s="11" customFormat="1" x14ac:dyDescent="0.25">
      <c r="A7" s="10"/>
      <c r="B7" s="12"/>
      <c r="C7" s="12"/>
      <c r="D7" s="29"/>
      <c r="E7" s="29"/>
      <c r="F7" s="29"/>
      <c r="G7" s="29"/>
      <c r="H7" s="29"/>
      <c r="I7" s="29"/>
      <c r="J7" s="29"/>
      <c r="K7" s="29"/>
      <c r="L7" s="29"/>
      <c r="M7" s="29"/>
    </row>
    <row r="8" spans="1:60" s="11" customFormat="1" x14ac:dyDescent="0.25">
      <c r="A8" s="10"/>
      <c r="B8" s="12"/>
      <c r="C8" s="12"/>
      <c r="D8" s="29"/>
      <c r="E8" s="29"/>
      <c r="F8" s="29"/>
      <c r="G8" s="29"/>
      <c r="H8" s="29"/>
      <c r="I8" s="29"/>
      <c r="J8" s="29"/>
      <c r="K8" s="29"/>
      <c r="L8" s="29"/>
      <c r="M8" s="29"/>
    </row>
    <row r="9" spans="1:60" s="11" customFormat="1" x14ac:dyDescent="0.25">
      <c r="A9" s="10"/>
      <c r="B9" s="12"/>
      <c r="C9" s="12"/>
      <c r="D9" s="29"/>
      <c r="E9" s="29"/>
      <c r="F9" s="29"/>
      <c r="G9" s="29"/>
      <c r="H9" s="29"/>
      <c r="I9" s="29"/>
      <c r="J9" s="29"/>
      <c r="K9" s="29"/>
      <c r="L9" s="29"/>
      <c r="M9" s="29"/>
    </row>
    <row r="10" spans="1:60" s="11" customFormat="1" x14ac:dyDescent="0.25">
      <c r="A10" s="10"/>
      <c r="B10" s="12"/>
      <c r="C10" s="12"/>
      <c r="D10" s="29"/>
      <c r="E10" s="29"/>
      <c r="F10" s="29"/>
      <c r="G10" s="29"/>
      <c r="H10" s="29"/>
      <c r="I10" s="29"/>
      <c r="J10" s="29"/>
      <c r="K10" s="29"/>
      <c r="L10" s="29"/>
      <c r="M10" s="29"/>
    </row>
    <row r="11" spans="1:60" s="14" customFormat="1" x14ac:dyDescent="0.25">
      <c r="A11" s="13"/>
      <c r="B11" s="15"/>
      <c r="C11" s="15"/>
      <c r="D11" s="30"/>
      <c r="E11" s="31"/>
      <c r="F11" s="30"/>
      <c r="G11" s="30"/>
      <c r="H11" s="30"/>
      <c r="I11" s="30"/>
      <c r="J11" s="30"/>
      <c r="K11" s="30"/>
      <c r="L11" s="30"/>
      <c r="M11" s="30"/>
    </row>
    <row r="12" spans="1:60" s="14" customFormat="1" x14ac:dyDescent="0.25">
      <c r="A12" s="13"/>
      <c r="B12" s="15"/>
      <c r="C12" s="15"/>
      <c r="D12" s="30"/>
      <c r="E12" s="31"/>
      <c r="F12" s="30"/>
      <c r="G12" s="30"/>
      <c r="H12" s="30"/>
      <c r="I12" s="30"/>
      <c r="J12" s="30"/>
      <c r="K12" s="30"/>
      <c r="L12" s="30"/>
      <c r="M12" s="30"/>
    </row>
    <row r="13" spans="1:60" s="17" customFormat="1" x14ac:dyDescent="0.25">
      <c r="A13" s="16"/>
      <c r="B13" s="18"/>
      <c r="C13" s="18"/>
      <c r="D13" s="32"/>
      <c r="E13" s="33"/>
      <c r="F13" s="32"/>
      <c r="G13" s="32"/>
      <c r="H13" s="32"/>
      <c r="I13" s="32"/>
      <c r="J13" s="32"/>
      <c r="K13" s="32"/>
      <c r="L13" s="32"/>
      <c r="M13" s="32"/>
    </row>
    <row r="14" spans="1:60" s="17" customFormat="1" x14ac:dyDescent="0.25">
      <c r="A14" s="16"/>
      <c r="B14" s="18"/>
      <c r="C14" s="18"/>
      <c r="D14" s="32"/>
      <c r="E14" s="33"/>
      <c r="F14" s="32"/>
      <c r="G14" s="32"/>
      <c r="H14" s="32"/>
      <c r="I14" s="32"/>
      <c r="J14" s="32"/>
      <c r="K14" s="32"/>
      <c r="L14" s="32"/>
      <c r="M14" s="32"/>
    </row>
    <row r="15" spans="1:60" s="17" customFormat="1" x14ac:dyDescent="0.25">
      <c r="A15" s="13"/>
      <c r="B15" s="18"/>
      <c r="C15" s="18"/>
      <c r="D15" s="32"/>
      <c r="E15" s="33"/>
      <c r="F15" s="32"/>
      <c r="G15" s="32"/>
      <c r="H15" s="32"/>
      <c r="I15" s="32"/>
      <c r="J15" s="32"/>
      <c r="K15" s="32"/>
      <c r="L15" s="32"/>
      <c r="M15" s="32"/>
    </row>
    <row r="16" spans="1:60" s="14" customFormat="1" x14ac:dyDescent="0.25">
      <c r="A16" s="10"/>
      <c r="B16" s="15"/>
      <c r="C16" s="15"/>
      <c r="D16" s="30"/>
      <c r="E16" s="31"/>
      <c r="F16" s="30"/>
      <c r="G16" s="30"/>
      <c r="H16" s="30"/>
      <c r="I16" s="30"/>
      <c r="J16" s="30"/>
      <c r="K16" s="30"/>
      <c r="L16" s="30"/>
      <c r="M16" s="30"/>
    </row>
    <row r="17" spans="1:13" s="17" customFormat="1" x14ac:dyDescent="0.25">
      <c r="A17" s="10"/>
      <c r="B17" s="15"/>
      <c r="C17" s="15"/>
      <c r="D17" s="30"/>
      <c r="E17" s="31"/>
      <c r="F17" s="32"/>
      <c r="G17" s="32"/>
      <c r="H17" s="32"/>
      <c r="I17" s="32"/>
      <c r="J17" s="32"/>
      <c r="K17" s="32"/>
      <c r="L17" s="32"/>
      <c r="M17" s="32"/>
    </row>
    <row r="18" spans="1:13" s="17" customFormat="1" x14ac:dyDescent="0.25">
      <c r="A18" s="10"/>
      <c r="B18" s="15"/>
      <c r="C18" s="15"/>
      <c r="D18" s="30"/>
      <c r="E18" s="31"/>
      <c r="F18" s="32"/>
      <c r="G18" s="32"/>
      <c r="H18" s="32"/>
      <c r="I18" s="32"/>
      <c r="J18" s="32"/>
      <c r="K18" s="32"/>
      <c r="L18" s="32"/>
      <c r="M18" s="32"/>
    </row>
    <row r="19" spans="1:13" s="14" customFormat="1" x14ac:dyDescent="0.25">
      <c r="A19" s="10"/>
      <c r="B19" s="15"/>
      <c r="C19" s="15"/>
      <c r="D19" s="30"/>
      <c r="E19" s="31"/>
      <c r="F19" s="30"/>
      <c r="G19" s="30"/>
      <c r="H19" s="30"/>
      <c r="I19" s="30"/>
      <c r="J19" s="30"/>
      <c r="K19" s="30"/>
      <c r="L19" s="30"/>
      <c r="M19" s="30"/>
    </row>
    <row r="20" spans="1:13" s="14" customFormat="1" x14ac:dyDescent="0.25">
      <c r="A20" s="13"/>
      <c r="B20" s="15"/>
      <c r="C20" s="15"/>
      <c r="D20" s="30"/>
      <c r="E20" s="31"/>
      <c r="F20" s="30"/>
      <c r="G20" s="30"/>
      <c r="H20" s="30"/>
      <c r="I20" s="30"/>
      <c r="J20" s="30"/>
      <c r="K20" s="30"/>
      <c r="L20" s="30"/>
      <c r="M20" s="30"/>
    </row>
    <row r="21" spans="1:13" s="14" customFormat="1" x14ac:dyDescent="0.25">
      <c r="A21" s="13"/>
      <c r="B21" s="15"/>
      <c r="C21" s="15"/>
      <c r="D21" s="30"/>
      <c r="E21" s="31"/>
      <c r="F21" s="30"/>
      <c r="G21" s="30"/>
      <c r="H21" s="30"/>
      <c r="I21" s="30"/>
      <c r="J21" s="30"/>
      <c r="K21" s="30"/>
      <c r="L21" s="30"/>
      <c r="M21" s="30"/>
    </row>
    <row r="22" spans="1:13" s="14" customFormat="1" x14ac:dyDescent="0.25">
      <c r="A22" s="13"/>
      <c r="B22" s="15"/>
      <c r="C22" s="15"/>
      <c r="D22" s="30"/>
      <c r="E22" s="31"/>
      <c r="F22" s="30"/>
      <c r="G22" s="30"/>
      <c r="H22" s="30"/>
      <c r="I22" s="30"/>
      <c r="J22" s="30"/>
      <c r="K22" s="30"/>
      <c r="L22" s="30"/>
      <c r="M22" s="30"/>
    </row>
    <row r="23" spans="1:13" s="14" customFormat="1" x14ac:dyDescent="0.25">
      <c r="A23" s="13"/>
      <c r="B23" s="15"/>
      <c r="C23" s="15"/>
      <c r="D23" s="30"/>
      <c r="E23" s="31"/>
      <c r="F23" s="30"/>
      <c r="G23" s="30"/>
      <c r="H23" s="30"/>
      <c r="I23" s="30"/>
      <c r="J23" s="30"/>
      <c r="K23" s="30"/>
      <c r="L23" s="30"/>
      <c r="M23" s="30"/>
    </row>
    <row r="24" spans="1:13" s="14" customFormat="1" x14ac:dyDescent="0.25">
      <c r="A24" s="13"/>
      <c r="B24" s="15"/>
      <c r="C24" s="15"/>
      <c r="D24" s="30"/>
      <c r="E24" s="31"/>
      <c r="F24" s="30"/>
      <c r="G24" s="30"/>
      <c r="H24" s="30"/>
      <c r="I24" s="30"/>
      <c r="J24" s="30"/>
      <c r="K24" s="30"/>
      <c r="L24" s="30"/>
      <c r="M24" s="30"/>
    </row>
    <row r="25" spans="1:13" s="17" customFormat="1" x14ac:dyDescent="0.25">
      <c r="A25" s="16"/>
      <c r="B25" s="18"/>
      <c r="C25" s="18"/>
      <c r="D25" s="32"/>
      <c r="E25" s="33"/>
      <c r="F25" s="32"/>
      <c r="G25" s="32"/>
      <c r="H25" s="32"/>
      <c r="I25" s="32"/>
      <c r="J25" s="32"/>
      <c r="K25" s="32"/>
      <c r="L25" s="32"/>
      <c r="M25" s="32"/>
    </row>
    <row r="26" spans="1:13" s="14" customFormat="1" x14ac:dyDescent="0.25">
      <c r="A26" s="13"/>
      <c r="B26" s="15"/>
      <c r="C26" s="15"/>
      <c r="D26" s="30"/>
      <c r="E26" s="31"/>
      <c r="F26" s="30"/>
      <c r="G26" s="30"/>
      <c r="H26" s="30"/>
      <c r="I26" s="30"/>
      <c r="J26" s="30"/>
      <c r="K26" s="30"/>
      <c r="L26" s="30"/>
      <c r="M26" s="30"/>
    </row>
    <row r="27" spans="1:13" s="14" customFormat="1" x14ac:dyDescent="0.25">
      <c r="A27" s="13"/>
      <c r="B27" s="15"/>
      <c r="C27" s="15"/>
      <c r="D27" s="30"/>
      <c r="E27" s="31"/>
      <c r="F27" s="30"/>
      <c r="G27" s="30"/>
      <c r="H27" s="30"/>
      <c r="I27" s="30"/>
      <c r="J27" s="30"/>
      <c r="K27" s="30"/>
      <c r="L27" s="30"/>
      <c r="M27" s="30"/>
    </row>
    <row r="28" spans="1:13" s="14" customFormat="1" x14ac:dyDescent="0.25">
      <c r="A28" s="13"/>
      <c r="B28" s="15"/>
      <c r="C28" s="15"/>
      <c r="D28" s="30"/>
      <c r="E28" s="31"/>
      <c r="F28" s="30"/>
      <c r="G28" s="30"/>
      <c r="H28" s="30"/>
      <c r="I28" s="30"/>
      <c r="J28" s="30"/>
      <c r="K28" s="30"/>
      <c r="L28" s="30"/>
      <c r="M28" s="30"/>
    </row>
    <row r="29" spans="1:13" s="17" customFormat="1" x14ac:dyDescent="0.25">
      <c r="A29" s="16"/>
      <c r="B29" s="18"/>
      <c r="C29" s="18"/>
      <c r="D29" s="32"/>
      <c r="E29" s="33"/>
      <c r="F29" s="32"/>
      <c r="G29" s="32"/>
      <c r="H29" s="32"/>
      <c r="I29" s="32"/>
      <c r="J29" s="32"/>
      <c r="K29" s="32"/>
      <c r="L29" s="32"/>
      <c r="M29" s="32"/>
    </row>
    <row r="30" spans="1:13" s="17" customFormat="1" x14ac:dyDescent="0.25">
      <c r="A30" s="16"/>
      <c r="B30" s="18"/>
      <c r="C30" s="18"/>
      <c r="D30" s="32"/>
      <c r="E30" s="33"/>
      <c r="F30" s="32"/>
      <c r="G30" s="32"/>
      <c r="H30" s="32"/>
      <c r="I30" s="32"/>
      <c r="J30" s="32"/>
      <c r="K30" s="32"/>
      <c r="L30" s="32"/>
      <c r="M30" s="32"/>
    </row>
    <row r="31" spans="1:13" s="14" customFormat="1" x14ac:dyDescent="0.25">
      <c r="A31" s="13"/>
      <c r="B31" s="15"/>
      <c r="C31" s="15"/>
      <c r="D31" s="30"/>
      <c r="E31" s="31"/>
      <c r="F31" s="30"/>
      <c r="G31" s="30"/>
      <c r="H31" s="30"/>
      <c r="I31" s="30"/>
      <c r="J31" s="30"/>
      <c r="K31" s="30"/>
      <c r="L31" s="30"/>
      <c r="M31" s="30"/>
    </row>
    <row r="32" spans="1:13" s="17" customFormat="1" x14ac:dyDescent="0.25">
      <c r="A32" s="16"/>
      <c r="B32" s="19"/>
      <c r="C32" s="19"/>
      <c r="D32" s="32"/>
      <c r="E32" s="33"/>
      <c r="F32" s="32"/>
      <c r="G32" s="32"/>
      <c r="H32" s="32"/>
      <c r="I32" s="32"/>
      <c r="J32" s="32"/>
      <c r="K32" s="32"/>
      <c r="L32" s="32"/>
      <c r="M32" s="32"/>
    </row>
    <row r="33" spans="1:13" s="14" customFormat="1" x14ac:dyDescent="0.25">
      <c r="A33" s="13"/>
      <c r="D33" s="30"/>
      <c r="E33" s="31"/>
      <c r="F33" s="30"/>
      <c r="G33" s="30"/>
      <c r="H33" s="30"/>
      <c r="I33" s="30"/>
      <c r="J33" s="30"/>
      <c r="K33" s="30"/>
      <c r="L33" s="30"/>
      <c r="M33" s="30"/>
    </row>
    <row r="34" spans="1:13" s="14" customFormat="1" x14ac:dyDescent="0.25">
      <c r="A34" s="13"/>
      <c r="D34" s="30"/>
      <c r="E34" s="31"/>
      <c r="F34" s="30"/>
      <c r="G34" s="30"/>
      <c r="H34" s="30"/>
      <c r="I34" s="30"/>
      <c r="J34" s="30"/>
      <c r="K34" s="30"/>
      <c r="L34" s="30"/>
      <c r="M34" s="30"/>
    </row>
    <row r="35" spans="1:13" s="14" customFormat="1" x14ac:dyDescent="0.25">
      <c r="A35" s="13"/>
      <c r="D35" s="30"/>
      <c r="E35" s="31"/>
      <c r="F35" s="30"/>
      <c r="G35" s="30"/>
      <c r="H35" s="30"/>
      <c r="I35" s="30"/>
      <c r="J35" s="30"/>
      <c r="K35" s="30"/>
      <c r="L35" s="30"/>
      <c r="M35" s="30"/>
    </row>
    <row r="36" spans="1:13" s="14" customFormat="1" x14ac:dyDescent="0.25">
      <c r="A36" s="13"/>
      <c r="D36" s="30"/>
      <c r="E36" s="31"/>
      <c r="F36" s="30"/>
      <c r="G36" s="30"/>
      <c r="H36" s="30"/>
      <c r="I36" s="30"/>
      <c r="J36" s="30"/>
      <c r="K36" s="30"/>
      <c r="L36" s="30"/>
      <c r="M36" s="30"/>
    </row>
    <row r="37" spans="1:13" s="14" customFormat="1" x14ac:dyDescent="0.25">
      <c r="A37" s="13"/>
      <c r="D37" s="30"/>
      <c r="E37" s="31"/>
      <c r="F37" s="30"/>
      <c r="G37" s="30"/>
      <c r="H37" s="30"/>
      <c r="I37" s="30"/>
      <c r="J37" s="30"/>
      <c r="K37" s="30"/>
      <c r="L37" s="30"/>
      <c r="M37" s="30"/>
    </row>
    <row r="38" spans="1:13" s="14" customFormat="1" x14ac:dyDescent="0.25">
      <c r="A38" s="13"/>
      <c r="B38" s="15"/>
      <c r="C38" s="15"/>
      <c r="D38" s="30"/>
      <c r="E38" s="31"/>
      <c r="F38" s="30"/>
      <c r="G38" s="30"/>
      <c r="H38" s="30"/>
      <c r="I38" s="30"/>
      <c r="J38" s="30"/>
      <c r="K38" s="30"/>
      <c r="L38" s="30"/>
      <c r="M38" s="30"/>
    </row>
    <row r="39" spans="1:13" s="14" customFormat="1" x14ac:dyDescent="0.25">
      <c r="A39" s="13"/>
      <c r="B39" s="20"/>
      <c r="C39" s="20"/>
      <c r="D39" s="30"/>
      <c r="E39" s="31"/>
      <c r="F39" s="30"/>
      <c r="G39" s="30"/>
      <c r="H39" s="30"/>
      <c r="I39" s="30"/>
      <c r="J39" s="30"/>
      <c r="K39" s="30"/>
      <c r="L39" s="30"/>
      <c r="M39" s="30"/>
    </row>
    <row r="40" spans="1:13" s="14" customFormat="1" x14ac:dyDescent="0.25">
      <c r="A40" s="13"/>
      <c r="B40" s="20"/>
      <c r="C40" s="20"/>
      <c r="D40" s="30"/>
      <c r="E40" s="31"/>
      <c r="F40" s="30"/>
      <c r="G40" s="30"/>
      <c r="H40" s="30"/>
      <c r="I40" s="30"/>
      <c r="J40" s="30"/>
      <c r="K40" s="30"/>
      <c r="L40" s="30"/>
      <c r="M40" s="30"/>
    </row>
    <row r="41" spans="1:13" s="14" customFormat="1" x14ac:dyDescent="0.25">
      <c r="A41" s="13"/>
      <c r="D41" s="30"/>
      <c r="E41" s="31"/>
      <c r="F41" s="30"/>
      <c r="G41" s="30"/>
      <c r="H41" s="30"/>
      <c r="I41" s="30"/>
      <c r="J41" s="30"/>
      <c r="K41" s="30"/>
      <c r="L41" s="30"/>
      <c r="M41" s="30"/>
    </row>
    <row r="42" spans="1:13" s="11" customFormat="1" x14ac:dyDescent="0.25">
      <c r="A42" s="21"/>
      <c r="D42" s="29"/>
      <c r="E42" s="29"/>
      <c r="F42" s="29"/>
      <c r="G42" s="29"/>
      <c r="H42" s="29"/>
      <c r="I42" s="29"/>
      <c r="J42" s="29"/>
      <c r="K42" s="29"/>
      <c r="L42" s="29"/>
      <c r="M42" s="29"/>
    </row>
    <row r="43" spans="1:13" s="11" customFormat="1" x14ac:dyDescent="0.25">
      <c r="A43" s="10"/>
      <c r="D43" s="29"/>
      <c r="E43" s="29"/>
      <c r="F43" s="29"/>
      <c r="G43" s="29"/>
      <c r="H43" s="29"/>
      <c r="I43" s="29"/>
      <c r="J43" s="29"/>
      <c r="K43" s="29"/>
      <c r="L43" s="29"/>
      <c r="M43" s="29"/>
    </row>
    <row r="44" spans="1:13" s="11" customFormat="1" x14ac:dyDescent="0.25">
      <c r="A44" s="10"/>
      <c r="D44" s="29"/>
      <c r="E44" s="29"/>
      <c r="F44" s="29"/>
      <c r="G44" s="29"/>
      <c r="H44" s="29"/>
      <c r="I44" s="29"/>
      <c r="J44" s="29"/>
      <c r="K44" s="29"/>
      <c r="L44" s="29"/>
      <c r="M44" s="29"/>
    </row>
    <row r="45" spans="1:13" s="11" customFormat="1" x14ac:dyDescent="0.25">
      <c r="A45" s="10"/>
      <c r="D45" s="29"/>
      <c r="E45" s="29"/>
      <c r="F45" s="29"/>
      <c r="G45" s="29"/>
      <c r="H45" s="29"/>
      <c r="I45" s="29"/>
      <c r="J45" s="29"/>
      <c r="K45" s="29"/>
      <c r="L45" s="29"/>
      <c r="M45" s="29"/>
    </row>
    <row r="46" spans="1:13" s="22" customFormat="1" x14ac:dyDescent="0.25">
      <c r="D46" s="34"/>
      <c r="E46" s="35"/>
      <c r="F46" s="34"/>
      <c r="G46" s="34"/>
      <c r="H46" s="34"/>
      <c r="I46" s="34"/>
      <c r="J46" s="34"/>
      <c r="K46" s="34"/>
      <c r="L46" s="34"/>
      <c r="M46" s="34"/>
    </row>
    <row r="47" spans="1:13" s="14" customFormat="1" x14ac:dyDescent="0.25">
      <c r="A47" s="13"/>
      <c r="D47" s="30"/>
      <c r="E47" s="31"/>
      <c r="F47" s="30"/>
      <c r="G47" s="30"/>
      <c r="H47" s="30"/>
      <c r="I47" s="30"/>
      <c r="J47" s="30"/>
      <c r="K47" s="30"/>
      <c r="L47" s="30"/>
      <c r="M47" s="30"/>
    </row>
    <row r="48" spans="1:13" s="14" customFormat="1" x14ac:dyDescent="0.25">
      <c r="A48" s="13"/>
      <c r="D48" s="30"/>
      <c r="E48" s="31"/>
      <c r="F48" s="30"/>
      <c r="G48" s="30"/>
      <c r="H48" s="30"/>
      <c r="I48" s="30"/>
      <c r="J48" s="30"/>
      <c r="K48" s="30"/>
      <c r="L48" s="30"/>
      <c r="M48" s="30"/>
    </row>
    <row r="49" spans="1:13" s="14" customFormat="1" x14ac:dyDescent="0.25">
      <c r="A49" s="13"/>
      <c r="D49" s="30"/>
      <c r="E49" s="31"/>
      <c r="F49" s="30"/>
      <c r="G49" s="30"/>
      <c r="H49" s="30"/>
      <c r="I49" s="30"/>
      <c r="J49" s="30"/>
      <c r="K49" s="30"/>
      <c r="L49" s="30"/>
      <c r="M49" s="30"/>
    </row>
    <row r="50" spans="1:13" s="14" customFormat="1" x14ac:dyDescent="0.25">
      <c r="A50" s="13"/>
      <c r="D50" s="30"/>
      <c r="E50" s="31"/>
      <c r="F50" s="30"/>
      <c r="G50" s="30"/>
      <c r="H50" s="30"/>
      <c r="I50" s="30"/>
      <c r="J50" s="30"/>
      <c r="K50" s="30"/>
      <c r="L50" s="30"/>
      <c r="M50" s="30"/>
    </row>
    <row r="51" spans="1:13" s="14" customFormat="1" x14ac:dyDescent="0.25">
      <c r="A51" s="13"/>
      <c r="D51" s="30"/>
      <c r="E51" s="31"/>
      <c r="F51" s="30"/>
      <c r="G51" s="30"/>
      <c r="H51" s="30"/>
      <c r="I51" s="30"/>
      <c r="J51" s="30"/>
      <c r="K51" s="30"/>
      <c r="L51" s="30"/>
      <c r="M51" s="30"/>
    </row>
    <row r="52" spans="1:13" s="14" customFormat="1" x14ac:dyDescent="0.25">
      <c r="A52" s="13"/>
      <c r="D52" s="30"/>
      <c r="E52" s="31"/>
      <c r="F52" s="30"/>
      <c r="G52" s="30"/>
      <c r="H52" s="30"/>
      <c r="I52" s="30"/>
      <c r="J52" s="30"/>
      <c r="K52" s="30"/>
      <c r="L52" s="30"/>
      <c r="M52" s="30"/>
    </row>
    <row r="53" spans="1:13" s="14" customFormat="1" x14ac:dyDescent="0.25">
      <c r="A53" s="13"/>
      <c r="D53" s="30"/>
      <c r="E53" s="31"/>
      <c r="F53" s="30"/>
      <c r="G53" s="30"/>
      <c r="H53" s="30"/>
      <c r="I53" s="30"/>
      <c r="J53" s="30"/>
      <c r="K53" s="30"/>
      <c r="L53" s="30"/>
      <c r="M53" s="30"/>
    </row>
    <row r="54" spans="1:13" s="14" customFormat="1" x14ac:dyDescent="0.25">
      <c r="A54" s="13"/>
      <c r="D54" s="30"/>
      <c r="E54" s="31"/>
      <c r="F54" s="30"/>
      <c r="G54" s="30"/>
      <c r="H54" s="30"/>
      <c r="I54" s="30"/>
      <c r="J54" s="30"/>
      <c r="K54" s="30"/>
      <c r="L54" s="30"/>
      <c r="M54" s="30"/>
    </row>
    <row r="55" spans="1:13" s="14" customFormat="1" x14ac:dyDescent="0.25">
      <c r="A55" s="13"/>
      <c r="D55" s="30"/>
      <c r="E55" s="31"/>
      <c r="F55" s="30"/>
      <c r="G55" s="30"/>
      <c r="H55" s="30"/>
      <c r="I55" s="30"/>
      <c r="J55" s="30"/>
      <c r="K55" s="30"/>
      <c r="L55" s="30"/>
      <c r="M55" s="30"/>
    </row>
    <row r="56" spans="1:13" s="14" customFormat="1" x14ac:dyDescent="0.25">
      <c r="A56" s="13"/>
      <c r="D56" s="30"/>
      <c r="E56" s="31"/>
      <c r="F56" s="30"/>
      <c r="G56" s="30"/>
      <c r="H56" s="30"/>
      <c r="I56" s="30"/>
      <c r="J56" s="30"/>
      <c r="K56" s="30"/>
      <c r="L56" s="30"/>
      <c r="M56" s="30"/>
    </row>
    <row r="57" spans="1:13" s="14" customFormat="1" x14ac:dyDescent="0.25">
      <c r="A57" s="13"/>
      <c r="D57" s="30"/>
      <c r="E57" s="31"/>
      <c r="F57" s="30"/>
      <c r="G57" s="30"/>
      <c r="H57" s="30"/>
      <c r="I57" s="30"/>
      <c r="J57" s="30"/>
      <c r="K57" s="30"/>
      <c r="L57" s="30"/>
      <c r="M57" s="30"/>
    </row>
    <row r="58" spans="1:13" s="14" customFormat="1" x14ac:dyDescent="0.25">
      <c r="A58" s="13"/>
      <c r="D58" s="30"/>
      <c r="E58" s="31"/>
      <c r="F58" s="30"/>
      <c r="G58" s="30"/>
      <c r="H58" s="30"/>
      <c r="I58" s="30"/>
      <c r="J58" s="30"/>
      <c r="K58" s="30"/>
      <c r="L58" s="30"/>
      <c r="M58" s="30"/>
    </row>
    <row r="59" spans="1:13" s="14" customFormat="1" x14ac:dyDescent="0.25">
      <c r="A59" s="13"/>
      <c r="D59" s="30"/>
      <c r="E59" s="31"/>
      <c r="F59" s="30"/>
      <c r="G59" s="30"/>
      <c r="H59" s="30"/>
      <c r="I59" s="30"/>
      <c r="J59" s="30"/>
      <c r="K59" s="30"/>
      <c r="L59" s="30"/>
      <c r="M59" s="30"/>
    </row>
    <row r="60" spans="1:13" s="14" customFormat="1" x14ac:dyDescent="0.25">
      <c r="A60" s="13"/>
      <c r="D60" s="30"/>
      <c r="E60" s="31"/>
      <c r="F60" s="30"/>
      <c r="G60" s="30"/>
      <c r="H60" s="30"/>
      <c r="I60" s="30"/>
      <c r="J60" s="30"/>
      <c r="K60" s="30"/>
      <c r="L60" s="30"/>
      <c r="M60" s="30"/>
    </row>
    <row r="61" spans="1:13" s="14" customFormat="1" x14ac:dyDescent="0.25">
      <c r="A61" s="13"/>
      <c r="D61" s="30"/>
      <c r="E61" s="31"/>
      <c r="F61" s="30"/>
      <c r="G61" s="30"/>
      <c r="H61" s="30"/>
      <c r="I61" s="30"/>
      <c r="J61" s="30"/>
      <c r="K61" s="30"/>
      <c r="L61" s="30"/>
      <c r="M61" s="30"/>
    </row>
    <row r="62" spans="1:13" s="14" customFormat="1" x14ac:dyDescent="0.25">
      <c r="A62" s="13"/>
      <c r="D62" s="30"/>
      <c r="E62" s="31"/>
      <c r="F62" s="30"/>
      <c r="G62" s="30"/>
      <c r="H62" s="30"/>
      <c r="I62" s="30"/>
      <c r="J62" s="30"/>
      <c r="K62" s="30"/>
      <c r="L62" s="30"/>
      <c r="M62" s="30"/>
    </row>
    <row r="63" spans="1:13" s="14" customFormat="1" x14ac:dyDescent="0.25">
      <c r="A63" s="13"/>
      <c r="D63" s="30"/>
      <c r="E63" s="31"/>
      <c r="F63" s="30"/>
      <c r="G63" s="30"/>
      <c r="H63" s="30"/>
      <c r="I63" s="30"/>
      <c r="J63" s="30"/>
      <c r="K63" s="30"/>
      <c r="L63" s="30"/>
      <c r="M63" s="30"/>
    </row>
    <row r="64" spans="1:13" s="14" customFormat="1" x14ac:dyDescent="0.25">
      <c r="A64" s="13"/>
      <c r="D64" s="30"/>
      <c r="E64" s="31"/>
      <c r="F64" s="30"/>
      <c r="G64" s="30"/>
      <c r="H64" s="30"/>
      <c r="I64" s="30"/>
      <c r="J64" s="30"/>
      <c r="K64" s="30"/>
      <c r="L64" s="30"/>
      <c r="M64" s="30"/>
    </row>
    <row r="65" spans="1:13" s="14" customFormat="1" x14ac:dyDescent="0.25">
      <c r="A65" s="13"/>
      <c r="D65" s="30"/>
      <c r="E65" s="31"/>
      <c r="F65" s="30"/>
      <c r="G65" s="30"/>
      <c r="H65" s="30"/>
      <c r="I65" s="30"/>
      <c r="J65" s="30"/>
      <c r="K65" s="30"/>
      <c r="L65" s="30"/>
      <c r="M65" s="30"/>
    </row>
    <row r="66" spans="1:13" s="14" customFormat="1" x14ac:dyDescent="0.25">
      <c r="A66" s="13"/>
      <c r="D66" s="30"/>
      <c r="E66" s="31"/>
      <c r="F66" s="30"/>
      <c r="G66" s="30"/>
      <c r="H66" s="30"/>
      <c r="I66" s="30"/>
      <c r="J66" s="30"/>
      <c r="K66" s="30"/>
      <c r="L66" s="30"/>
      <c r="M66" s="30"/>
    </row>
    <row r="67" spans="1:13" s="14" customFormat="1" x14ac:dyDescent="0.25">
      <c r="A67" s="13"/>
      <c r="D67" s="30"/>
      <c r="E67" s="31"/>
      <c r="F67" s="30"/>
      <c r="G67" s="30"/>
      <c r="H67" s="30"/>
      <c r="I67" s="30"/>
      <c r="J67" s="30"/>
      <c r="K67" s="30"/>
      <c r="L67" s="30"/>
      <c r="M67" s="30"/>
    </row>
    <row r="68" spans="1:13" s="14" customFormat="1" x14ac:dyDescent="0.25">
      <c r="A68" s="13"/>
      <c r="D68" s="30"/>
      <c r="E68" s="31"/>
      <c r="F68" s="30"/>
      <c r="G68" s="30"/>
      <c r="H68" s="30"/>
      <c r="I68" s="30"/>
      <c r="J68" s="30"/>
      <c r="K68" s="30"/>
      <c r="L68" s="30"/>
      <c r="M68" s="30"/>
    </row>
    <row r="69" spans="1:13" s="14" customFormat="1" x14ac:dyDescent="0.25">
      <c r="A69" s="13"/>
      <c r="D69" s="30"/>
      <c r="E69" s="31"/>
      <c r="F69" s="30"/>
      <c r="G69" s="30"/>
      <c r="H69" s="30"/>
      <c r="I69" s="30"/>
      <c r="J69" s="30"/>
      <c r="K69" s="30"/>
      <c r="L69" s="30"/>
      <c r="M69" s="30"/>
    </row>
    <row r="70" spans="1:13" s="14" customFormat="1" x14ac:dyDescent="0.25">
      <c r="A70" s="13"/>
      <c r="D70" s="30"/>
      <c r="E70" s="31"/>
      <c r="F70" s="30"/>
      <c r="G70" s="30"/>
      <c r="H70" s="30"/>
      <c r="I70" s="30"/>
      <c r="J70" s="30"/>
      <c r="K70" s="30"/>
      <c r="L70" s="30"/>
      <c r="M70" s="30"/>
    </row>
    <row r="71" spans="1:13" s="14" customFormat="1" x14ac:dyDescent="0.25">
      <c r="A71" s="13"/>
      <c r="D71" s="30"/>
      <c r="E71" s="31"/>
      <c r="F71" s="30"/>
      <c r="G71" s="30"/>
      <c r="H71" s="30"/>
      <c r="I71" s="30"/>
      <c r="J71" s="30"/>
      <c r="K71" s="30"/>
      <c r="L71" s="30"/>
      <c r="M71" s="30"/>
    </row>
    <row r="72" spans="1:13" s="14" customFormat="1" x14ac:dyDescent="0.25">
      <c r="A72" s="13"/>
      <c r="D72" s="30"/>
      <c r="E72" s="31"/>
      <c r="F72" s="30"/>
      <c r="G72" s="30"/>
      <c r="H72" s="30"/>
      <c r="I72" s="30"/>
      <c r="J72" s="30"/>
      <c r="K72" s="30"/>
      <c r="L72" s="30"/>
      <c r="M72" s="30"/>
    </row>
    <row r="73" spans="1:13" s="14" customFormat="1" x14ac:dyDescent="0.25">
      <c r="A73" s="13"/>
      <c r="D73" s="30"/>
      <c r="E73" s="31"/>
      <c r="F73" s="30"/>
      <c r="G73" s="30"/>
      <c r="H73" s="30"/>
      <c r="I73" s="30"/>
      <c r="J73" s="30"/>
      <c r="K73" s="30"/>
      <c r="L73" s="30"/>
      <c r="M73" s="30"/>
    </row>
    <row r="74" spans="1:13" s="14" customFormat="1" x14ac:dyDescent="0.25">
      <c r="A74" s="13"/>
      <c r="D74" s="30"/>
      <c r="E74" s="31"/>
      <c r="F74" s="30"/>
      <c r="G74" s="30"/>
      <c r="H74" s="30"/>
      <c r="I74" s="30"/>
      <c r="J74" s="30"/>
      <c r="K74" s="30"/>
      <c r="L74" s="30"/>
      <c r="M74" s="30"/>
    </row>
    <row r="75" spans="1:13" s="14" customFormat="1" x14ac:dyDescent="0.25">
      <c r="A75" s="13"/>
      <c r="D75" s="30"/>
      <c r="E75" s="31"/>
      <c r="F75" s="30"/>
      <c r="G75" s="30"/>
      <c r="H75" s="30"/>
      <c r="I75" s="30"/>
      <c r="J75" s="30"/>
      <c r="K75" s="30"/>
      <c r="L75" s="30"/>
      <c r="M75" s="30"/>
    </row>
    <row r="76" spans="1:13" s="14" customFormat="1" x14ac:dyDescent="0.25">
      <c r="A76" s="13"/>
      <c r="D76" s="30"/>
      <c r="E76" s="31"/>
      <c r="F76" s="30"/>
      <c r="G76" s="30"/>
      <c r="H76" s="30"/>
      <c r="I76" s="30"/>
      <c r="J76" s="30"/>
      <c r="K76" s="30"/>
      <c r="L76" s="30"/>
      <c r="M76" s="30"/>
    </row>
    <row r="77" spans="1:13" s="14" customFormat="1" x14ac:dyDescent="0.25">
      <c r="A77" s="13"/>
      <c r="D77" s="30"/>
      <c r="E77" s="31"/>
      <c r="F77" s="30"/>
      <c r="G77" s="30"/>
      <c r="H77" s="30"/>
      <c r="I77" s="30"/>
      <c r="J77" s="30"/>
      <c r="K77" s="30"/>
      <c r="L77" s="30"/>
      <c r="M77" s="30"/>
    </row>
    <row r="78" spans="1:13" s="14" customFormat="1" x14ac:dyDescent="0.25">
      <c r="A78" s="13"/>
      <c r="D78" s="30"/>
      <c r="E78" s="31"/>
      <c r="F78" s="30"/>
      <c r="G78" s="30"/>
      <c r="H78" s="30"/>
      <c r="I78" s="30"/>
      <c r="J78" s="30"/>
      <c r="K78" s="30"/>
      <c r="L78" s="30"/>
      <c r="M78" s="30"/>
    </row>
    <row r="79" spans="1:13" s="14" customFormat="1" x14ac:dyDescent="0.25">
      <c r="A79" s="13"/>
      <c r="D79" s="30"/>
      <c r="E79" s="31"/>
      <c r="F79" s="30"/>
      <c r="G79" s="30"/>
      <c r="H79" s="30"/>
      <c r="I79" s="30"/>
      <c r="J79" s="30"/>
      <c r="K79" s="30"/>
      <c r="L79" s="30"/>
      <c r="M79" s="30"/>
    </row>
    <row r="80" spans="1:13" s="14" customFormat="1" x14ac:dyDescent="0.25">
      <c r="A80" s="13"/>
      <c r="D80" s="30"/>
      <c r="E80" s="31"/>
      <c r="F80" s="30"/>
      <c r="G80" s="30"/>
      <c r="H80" s="30"/>
      <c r="I80" s="30"/>
      <c r="J80" s="30"/>
      <c r="K80" s="30"/>
      <c r="L80" s="30"/>
      <c r="M80" s="30"/>
    </row>
    <row r="81" spans="1:13" s="14" customFormat="1" x14ac:dyDescent="0.25">
      <c r="A81" s="13"/>
      <c r="D81" s="30"/>
      <c r="E81" s="31"/>
      <c r="F81" s="30"/>
      <c r="G81" s="30"/>
      <c r="H81" s="30"/>
      <c r="I81" s="30"/>
      <c r="J81" s="30"/>
      <c r="K81" s="30"/>
      <c r="L81" s="30"/>
      <c r="M81" s="30"/>
    </row>
    <row r="82" spans="1:13" s="14" customFormat="1" x14ac:dyDescent="0.25">
      <c r="A82" s="13"/>
      <c r="D82" s="30"/>
      <c r="E82" s="31"/>
      <c r="F82" s="30"/>
      <c r="G82" s="30"/>
      <c r="H82" s="30"/>
      <c r="I82" s="30"/>
      <c r="J82" s="30"/>
      <c r="K82" s="30"/>
      <c r="L82" s="30"/>
      <c r="M82" s="30"/>
    </row>
    <row r="83" spans="1:13" s="14" customFormat="1" x14ac:dyDescent="0.25">
      <c r="A83" s="13"/>
      <c r="D83" s="30"/>
      <c r="E83" s="31"/>
      <c r="F83" s="30"/>
      <c r="G83" s="30"/>
      <c r="H83" s="30"/>
      <c r="I83" s="30"/>
      <c r="J83" s="30"/>
      <c r="K83" s="30"/>
      <c r="L83" s="30"/>
      <c r="M83" s="30"/>
    </row>
    <row r="84" spans="1:13" s="14" customFormat="1" x14ac:dyDescent="0.25">
      <c r="A84" s="13"/>
      <c r="D84" s="30"/>
      <c r="E84" s="31"/>
      <c r="F84" s="30"/>
      <c r="G84" s="30"/>
      <c r="H84" s="30"/>
      <c r="I84" s="30"/>
      <c r="J84" s="30"/>
      <c r="K84" s="30"/>
      <c r="L84" s="30"/>
      <c r="M84" s="30"/>
    </row>
    <row r="85" spans="1:13" s="14" customFormat="1" x14ac:dyDescent="0.25">
      <c r="A85" s="13"/>
      <c r="D85" s="30"/>
      <c r="E85" s="31"/>
      <c r="F85" s="30"/>
      <c r="G85" s="30"/>
      <c r="H85" s="30"/>
      <c r="I85" s="30"/>
      <c r="J85" s="30"/>
      <c r="K85" s="30"/>
      <c r="L85" s="30"/>
      <c r="M85" s="30"/>
    </row>
    <row r="86" spans="1:13" s="14" customFormat="1" x14ac:dyDescent="0.25">
      <c r="A86" s="13"/>
      <c r="D86" s="30"/>
      <c r="E86" s="31"/>
      <c r="F86" s="30"/>
      <c r="G86" s="30"/>
      <c r="H86" s="30"/>
      <c r="I86" s="30"/>
      <c r="J86" s="30"/>
      <c r="K86" s="30"/>
      <c r="L86" s="30"/>
      <c r="M86" s="30"/>
    </row>
    <row r="87" spans="1:13" s="14" customFormat="1" x14ac:dyDescent="0.25">
      <c r="A87" s="13"/>
      <c r="D87" s="30"/>
      <c r="E87" s="31"/>
      <c r="F87" s="30"/>
      <c r="G87" s="30"/>
      <c r="H87" s="30"/>
      <c r="I87" s="30"/>
      <c r="J87" s="30"/>
      <c r="K87" s="30"/>
      <c r="L87" s="30"/>
      <c r="M87" s="30"/>
    </row>
    <row r="88" spans="1:13" s="14" customFormat="1" x14ac:dyDescent="0.25">
      <c r="A88" s="13"/>
      <c r="D88" s="30"/>
      <c r="E88" s="31"/>
      <c r="F88" s="30"/>
      <c r="G88" s="30"/>
      <c r="H88" s="30"/>
      <c r="I88" s="30"/>
      <c r="J88" s="30"/>
      <c r="K88" s="30"/>
      <c r="L88" s="30"/>
      <c r="M88" s="30"/>
    </row>
    <row r="89" spans="1:13" s="14" customFormat="1" x14ac:dyDescent="0.25">
      <c r="A89" s="13"/>
      <c r="D89" s="30"/>
      <c r="E89" s="31"/>
      <c r="F89" s="30"/>
      <c r="G89" s="30"/>
      <c r="H89" s="30"/>
      <c r="I89" s="30"/>
      <c r="J89" s="30"/>
      <c r="K89" s="30"/>
      <c r="L89" s="30"/>
      <c r="M89" s="30"/>
    </row>
    <row r="90" spans="1:13" s="14" customFormat="1" x14ac:dyDescent="0.25">
      <c r="A90" s="13"/>
      <c r="D90" s="30"/>
      <c r="E90" s="31"/>
      <c r="F90" s="30"/>
      <c r="G90" s="30"/>
      <c r="H90" s="30"/>
      <c r="I90" s="30"/>
      <c r="J90" s="30"/>
      <c r="K90" s="30"/>
      <c r="L90" s="30"/>
      <c r="M90" s="30"/>
    </row>
    <row r="91" spans="1:13" s="14" customFormat="1" x14ac:dyDescent="0.25">
      <c r="A91" s="13"/>
      <c r="D91" s="30"/>
      <c r="E91" s="31"/>
      <c r="F91" s="30"/>
      <c r="G91" s="30"/>
      <c r="H91" s="30"/>
      <c r="I91" s="30"/>
      <c r="J91" s="30"/>
      <c r="K91" s="30"/>
      <c r="L91" s="30"/>
      <c r="M91" s="30"/>
    </row>
    <row r="92" spans="1:13" s="14" customFormat="1" x14ac:dyDescent="0.25">
      <c r="A92" s="13"/>
      <c r="D92" s="30"/>
      <c r="E92" s="31"/>
      <c r="F92" s="30"/>
      <c r="G92" s="30"/>
      <c r="H92" s="30"/>
      <c r="I92" s="30"/>
      <c r="J92" s="30"/>
      <c r="K92" s="30"/>
      <c r="L92" s="30"/>
      <c r="M92" s="30"/>
    </row>
    <row r="93" spans="1:13" s="14" customFormat="1" x14ac:dyDescent="0.25">
      <c r="A93" s="13"/>
      <c r="D93" s="30"/>
      <c r="E93" s="31"/>
      <c r="F93" s="30"/>
      <c r="G93" s="30"/>
      <c r="H93" s="30"/>
      <c r="I93" s="30"/>
      <c r="J93" s="30"/>
      <c r="K93" s="30"/>
      <c r="L93" s="30"/>
      <c r="M93" s="30"/>
    </row>
    <row r="94" spans="1:13" s="14" customFormat="1" x14ac:dyDescent="0.25">
      <c r="A94" s="13"/>
      <c r="D94" s="30"/>
      <c r="E94" s="31"/>
      <c r="F94" s="30"/>
      <c r="G94" s="30"/>
      <c r="H94" s="30"/>
      <c r="I94" s="30"/>
      <c r="J94" s="30"/>
      <c r="K94" s="30"/>
      <c r="L94" s="30"/>
      <c r="M94" s="30"/>
    </row>
    <row r="95" spans="1:13" s="14" customFormat="1" x14ac:dyDescent="0.25">
      <c r="A95" s="13"/>
      <c r="D95" s="30"/>
      <c r="E95" s="31"/>
      <c r="F95" s="30"/>
      <c r="G95" s="30"/>
      <c r="H95" s="30"/>
      <c r="I95" s="30"/>
      <c r="J95" s="30"/>
      <c r="K95" s="30"/>
      <c r="L95" s="30"/>
      <c r="M95" s="30"/>
    </row>
    <row r="96" spans="1:13" s="14" customFormat="1" x14ac:dyDescent="0.25">
      <c r="A96" s="13"/>
      <c r="D96" s="30"/>
      <c r="E96" s="31"/>
      <c r="F96" s="30"/>
      <c r="G96" s="30"/>
      <c r="H96" s="30"/>
      <c r="I96" s="30"/>
      <c r="J96" s="30"/>
      <c r="K96" s="30"/>
      <c r="L96" s="30"/>
      <c r="M96" s="30"/>
    </row>
    <row r="97" spans="1:13" s="14" customFormat="1" x14ac:dyDescent="0.25">
      <c r="A97" s="13"/>
      <c r="D97" s="30"/>
      <c r="E97" s="31"/>
      <c r="F97" s="30"/>
      <c r="G97" s="30"/>
      <c r="H97" s="30"/>
      <c r="I97" s="30"/>
      <c r="J97" s="30"/>
      <c r="K97" s="30"/>
      <c r="L97" s="30"/>
      <c r="M97" s="30"/>
    </row>
    <row r="98" spans="1:13" s="14" customFormat="1" x14ac:dyDescent="0.25">
      <c r="A98" s="13"/>
      <c r="D98" s="30"/>
      <c r="E98" s="31"/>
      <c r="F98" s="30"/>
      <c r="G98" s="30"/>
      <c r="H98" s="30"/>
      <c r="I98" s="30"/>
      <c r="J98" s="30"/>
      <c r="K98" s="30"/>
      <c r="L98" s="30"/>
      <c r="M98" s="30"/>
    </row>
    <row r="99" spans="1:13" s="14" customFormat="1" x14ac:dyDescent="0.25">
      <c r="A99" s="13"/>
      <c r="D99" s="30"/>
      <c r="E99" s="31"/>
      <c r="F99" s="30"/>
      <c r="G99" s="30"/>
      <c r="H99" s="30"/>
      <c r="I99" s="30"/>
      <c r="J99" s="30"/>
      <c r="K99" s="30"/>
      <c r="L99" s="30"/>
      <c r="M99" s="30"/>
    </row>
    <row r="100" spans="1:13" s="14" customFormat="1" x14ac:dyDescent="0.25">
      <c r="A100" s="13"/>
      <c r="D100" s="30"/>
      <c r="E100" s="31"/>
      <c r="F100" s="30"/>
      <c r="G100" s="30"/>
      <c r="H100" s="30"/>
      <c r="I100" s="30"/>
      <c r="J100" s="30"/>
      <c r="K100" s="30"/>
      <c r="L100" s="30"/>
      <c r="M100" s="30"/>
    </row>
    <row r="101" spans="1:13" s="14" customFormat="1" x14ac:dyDescent="0.25">
      <c r="A101" s="13"/>
      <c r="D101" s="30"/>
      <c r="E101" s="31"/>
      <c r="F101" s="30"/>
      <c r="G101" s="30"/>
      <c r="H101" s="30"/>
      <c r="I101" s="30"/>
      <c r="J101" s="30"/>
      <c r="K101" s="30"/>
      <c r="L101" s="30"/>
      <c r="M101" s="30"/>
    </row>
    <row r="102" spans="1:13" s="14" customFormat="1" x14ac:dyDescent="0.25">
      <c r="A102" s="13"/>
      <c r="D102" s="30"/>
      <c r="E102" s="31"/>
      <c r="F102" s="30"/>
      <c r="G102" s="30"/>
      <c r="H102" s="30"/>
      <c r="I102" s="30"/>
      <c r="J102" s="30"/>
      <c r="K102" s="30"/>
      <c r="L102" s="30"/>
      <c r="M102" s="30"/>
    </row>
    <row r="103" spans="1:13" s="14" customFormat="1" x14ac:dyDescent="0.25">
      <c r="A103" s="13"/>
      <c r="D103" s="30"/>
      <c r="E103" s="31"/>
      <c r="F103" s="30"/>
      <c r="G103" s="30"/>
      <c r="H103" s="30"/>
      <c r="I103" s="30"/>
      <c r="J103" s="30"/>
      <c r="K103" s="30"/>
      <c r="L103" s="30"/>
      <c r="M103" s="30"/>
    </row>
    <row r="104" spans="1:13" s="14" customFormat="1" x14ac:dyDescent="0.25">
      <c r="A104" s="13"/>
      <c r="D104" s="30"/>
      <c r="E104" s="31"/>
      <c r="F104" s="30"/>
      <c r="G104" s="30"/>
      <c r="H104" s="30"/>
      <c r="I104" s="30"/>
      <c r="J104" s="30"/>
      <c r="K104" s="30"/>
      <c r="L104" s="30"/>
      <c r="M104" s="30"/>
    </row>
    <row r="105" spans="1:13" s="14" customFormat="1" x14ac:dyDescent="0.25">
      <c r="A105" s="13"/>
      <c r="D105" s="30"/>
      <c r="E105" s="31"/>
      <c r="F105" s="30"/>
      <c r="G105" s="30"/>
      <c r="H105" s="30"/>
      <c r="I105" s="30"/>
      <c r="J105" s="30"/>
      <c r="K105" s="30"/>
      <c r="L105" s="30"/>
      <c r="M105" s="30"/>
    </row>
    <row r="106" spans="1:13" s="14" customFormat="1" x14ac:dyDescent="0.25">
      <c r="A106" s="13"/>
      <c r="D106" s="30"/>
      <c r="E106" s="31"/>
      <c r="F106" s="30"/>
      <c r="G106" s="30"/>
      <c r="H106" s="30"/>
      <c r="I106" s="30"/>
      <c r="J106" s="30"/>
      <c r="K106" s="30"/>
      <c r="L106" s="30"/>
      <c r="M106" s="30"/>
    </row>
    <row r="107" spans="1:13" s="14" customFormat="1" x14ac:dyDescent="0.25">
      <c r="A107" s="13"/>
      <c r="D107" s="30"/>
      <c r="E107" s="31"/>
      <c r="F107" s="30"/>
      <c r="G107" s="30"/>
      <c r="H107" s="30"/>
      <c r="I107" s="30"/>
      <c r="J107" s="30"/>
      <c r="K107" s="30"/>
      <c r="L107" s="30"/>
      <c r="M107" s="30"/>
    </row>
    <row r="108" spans="1:13" s="14" customFormat="1" x14ac:dyDescent="0.25">
      <c r="A108" s="13"/>
      <c r="D108" s="30"/>
      <c r="E108" s="31"/>
      <c r="F108" s="30"/>
      <c r="G108" s="30"/>
      <c r="H108" s="30"/>
      <c r="I108" s="30"/>
      <c r="J108" s="30"/>
      <c r="K108" s="30"/>
      <c r="L108" s="30"/>
      <c r="M108" s="30"/>
    </row>
    <row r="109" spans="1:13" s="14" customFormat="1" x14ac:dyDescent="0.25">
      <c r="A109" s="13"/>
      <c r="D109" s="30"/>
      <c r="E109" s="31"/>
      <c r="F109" s="30"/>
      <c r="G109" s="30"/>
      <c r="H109" s="30"/>
      <c r="I109" s="30"/>
      <c r="J109" s="30"/>
      <c r="K109" s="30"/>
      <c r="L109" s="30"/>
      <c r="M109" s="30"/>
    </row>
    <row r="110" spans="1:13" s="14" customFormat="1" x14ac:dyDescent="0.25">
      <c r="A110" s="13"/>
      <c r="D110" s="30"/>
      <c r="E110" s="31"/>
      <c r="F110" s="30"/>
      <c r="G110" s="30"/>
      <c r="H110" s="30"/>
      <c r="I110" s="30"/>
      <c r="J110" s="30"/>
      <c r="K110" s="30"/>
      <c r="L110" s="30"/>
      <c r="M110" s="30"/>
    </row>
    <row r="111" spans="1:13" s="14" customFormat="1" x14ac:dyDescent="0.25">
      <c r="A111" s="13"/>
      <c r="D111" s="30"/>
      <c r="E111" s="31"/>
      <c r="F111" s="30"/>
      <c r="G111" s="30"/>
      <c r="H111" s="30"/>
      <c r="I111" s="30"/>
      <c r="J111" s="30"/>
      <c r="K111" s="30"/>
      <c r="L111" s="30"/>
      <c r="M111" s="30"/>
    </row>
    <row r="112" spans="1:13" s="14" customFormat="1" x14ac:dyDescent="0.25">
      <c r="A112" s="13"/>
      <c r="D112" s="30"/>
      <c r="E112" s="31"/>
      <c r="F112" s="30"/>
      <c r="G112" s="30"/>
      <c r="H112" s="30"/>
      <c r="I112" s="30"/>
      <c r="J112" s="30"/>
      <c r="K112" s="30"/>
      <c r="L112" s="30"/>
      <c r="M112" s="30"/>
    </row>
    <row r="113" spans="1:13" s="14" customFormat="1" x14ac:dyDescent="0.25">
      <c r="A113" s="13"/>
      <c r="D113" s="30"/>
      <c r="E113" s="31"/>
      <c r="F113" s="30"/>
      <c r="G113" s="30"/>
      <c r="H113" s="30"/>
      <c r="I113" s="30"/>
      <c r="J113" s="30"/>
      <c r="K113" s="30"/>
      <c r="L113" s="30"/>
      <c r="M113" s="30"/>
    </row>
    <row r="114" spans="1:13" s="14" customFormat="1" x14ac:dyDescent="0.25">
      <c r="A114" s="13"/>
      <c r="D114" s="30"/>
      <c r="E114" s="31"/>
      <c r="F114" s="30"/>
      <c r="G114" s="30"/>
      <c r="H114" s="30"/>
      <c r="I114" s="30"/>
      <c r="J114" s="30"/>
      <c r="K114" s="30"/>
      <c r="L114" s="30"/>
      <c r="M114" s="30"/>
    </row>
    <row r="115" spans="1:13" s="14" customFormat="1" x14ac:dyDescent="0.25">
      <c r="A115" s="13"/>
      <c r="D115" s="30"/>
      <c r="E115" s="31"/>
      <c r="F115" s="30"/>
      <c r="G115" s="30"/>
      <c r="H115" s="30"/>
      <c r="I115" s="30"/>
      <c r="J115" s="30"/>
      <c r="K115" s="30"/>
      <c r="L115" s="30"/>
      <c r="M115" s="30"/>
    </row>
    <row r="116" spans="1:13" s="14" customFormat="1" x14ac:dyDescent="0.25">
      <c r="A116" s="13"/>
      <c r="D116" s="30"/>
      <c r="E116" s="31"/>
      <c r="F116" s="30"/>
      <c r="G116" s="30"/>
      <c r="H116" s="30"/>
      <c r="I116" s="30"/>
      <c r="J116" s="30"/>
      <c r="K116" s="30"/>
      <c r="L116" s="30"/>
      <c r="M116" s="30"/>
    </row>
    <row r="117" spans="1:13" s="14" customFormat="1" x14ac:dyDescent="0.25">
      <c r="A117" s="13"/>
      <c r="D117" s="30"/>
      <c r="E117" s="31"/>
      <c r="F117" s="30"/>
      <c r="G117" s="30"/>
      <c r="H117" s="30"/>
      <c r="I117" s="30"/>
      <c r="J117" s="30"/>
      <c r="K117" s="30"/>
      <c r="L117" s="30"/>
      <c r="M117" s="30"/>
    </row>
    <row r="118" spans="1:13" s="14" customFormat="1" x14ac:dyDescent="0.25">
      <c r="A118" s="13"/>
      <c r="D118" s="30"/>
      <c r="E118" s="31"/>
      <c r="F118" s="30"/>
      <c r="G118" s="30"/>
      <c r="H118" s="30"/>
      <c r="I118" s="30"/>
      <c r="J118" s="30"/>
      <c r="K118" s="30"/>
      <c r="L118" s="30"/>
      <c r="M118" s="30"/>
    </row>
    <row r="119" spans="1:13" s="14" customFormat="1" x14ac:dyDescent="0.25">
      <c r="A119" s="13"/>
      <c r="D119" s="30"/>
      <c r="E119" s="31"/>
      <c r="F119" s="30"/>
      <c r="G119" s="30"/>
      <c r="H119" s="30"/>
      <c r="I119" s="30"/>
      <c r="J119" s="30"/>
      <c r="K119" s="30"/>
      <c r="L119" s="30"/>
      <c r="M119" s="30"/>
    </row>
    <row r="120" spans="1:13" s="14" customFormat="1" x14ac:dyDescent="0.25">
      <c r="A120" s="13"/>
      <c r="D120" s="30"/>
      <c r="E120" s="31"/>
      <c r="F120" s="30"/>
      <c r="G120" s="30"/>
      <c r="H120" s="30"/>
      <c r="I120" s="30"/>
      <c r="J120" s="30"/>
      <c r="K120" s="30"/>
      <c r="L120" s="30"/>
      <c r="M120" s="30"/>
    </row>
    <row r="121" spans="1:13" s="14" customFormat="1" x14ac:dyDescent="0.25">
      <c r="A121" s="13"/>
      <c r="D121" s="30"/>
      <c r="E121" s="31"/>
      <c r="F121" s="30"/>
      <c r="G121" s="30"/>
      <c r="H121" s="30"/>
      <c r="I121" s="30"/>
      <c r="J121" s="30"/>
      <c r="K121" s="30"/>
      <c r="L121" s="30"/>
      <c r="M121" s="30"/>
    </row>
    <row r="122" spans="1:13" s="14" customFormat="1" x14ac:dyDescent="0.25">
      <c r="A122" s="13"/>
      <c r="D122" s="30"/>
      <c r="E122" s="31"/>
      <c r="F122" s="30"/>
      <c r="G122" s="30"/>
      <c r="H122" s="30"/>
      <c r="I122" s="30"/>
      <c r="J122" s="30"/>
      <c r="K122" s="30"/>
      <c r="L122" s="30"/>
      <c r="M122" s="30"/>
    </row>
    <row r="123" spans="1:13" s="14" customFormat="1" x14ac:dyDescent="0.25">
      <c r="A123" s="13"/>
      <c r="D123" s="30"/>
      <c r="E123" s="31"/>
      <c r="F123" s="30"/>
      <c r="G123" s="30"/>
      <c r="H123" s="30"/>
      <c r="I123" s="30"/>
      <c r="J123" s="30"/>
      <c r="K123" s="30"/>
      <c r="L123" s="30"/>
      <c r="M123" s="30"/>
    </row>
    <row r="124" spans="1:13" s="14" customFormat="1" x14ac:dyDescent="0.25">
      <c r="A124" s="13"/>
      <c r="D124" s="30"/>
      <c r="E124" s="31"/>
      <c r="F124" s="30"/>
      <c r="G124" s="30"/>
      <c r="H124" s="30"/>
      <c r="I124" s="30"/>
      <c r="J124" s="30"/>
      <c r="K124" s="30"/>
      <c r="L124" s="30"/>
      <c r="M124" s="30"/>
    </row>
    <row r="125" spans="1:13" s="14" customFormat="1" x14ac:dyDescent="0.25">
      <c r="A125" s="13"/>
      <c r="D125" s="30"/>
      <c r="E125" s="31"/>
      <c r="F125" s="30"/>
      <c r="G125" s="30"/>
      <c r="H125" s="30"/>
      <c r="I125" s="30"/>
      <c r="J125" s="30"/>
      <c r="K125" s="30"/>
      <c r="L125" s="30"/>
      <c r="M125" s="30"/>
    </row>
    <row r="126" spans="1:13" s="14" customFormat="1" x14ac:dyDescent="0.25">
      <c r="A126" s="13"/>
      <c r="D126" s="30"/>
      <c r="E126" s="31"/>
      <c r="F126" s="30"/>
      <c r="G126" s="30"/>
      <c r="H126" s="30"/>
      <c r="I126" s="30"/>
      <c r="J126" s="30"/>
      <c r="K126" s="30"/>
      <c r="L126" s="30"/>
      <c r="M126" s="30"/>
    </row>
    <row r="127" spans="1:13" s="14" customFormat="1" x14ac:dyDescent="0.25">
      <c r="A127" s="13"/>
      <c r="D127" s="30"/>
      <c r="E127" s="31"/>
      <c r="F127" s="30"/>
      <c r="G127" s="30"/>
      <c r="H127" s="30"/>
      <c r="I127" s="30"/>
      <c r="J127" s="30"/>
      <c r="K127" s="30"/>
      <c r="L127" s="30"/>
      <c r="M127" s="30"/>
    </row>
    <row r="128" spans="1:13" s="14" customFormat="1" x14ac:dyDescent="0.25">
      <c r="A128" s="13"/>
      <c r="D128" s="30"/>
      <c r="E128" s="31"/>
      <c r="F128" s="30"/>
      <c r="G128" s="30"/>
      <c r="H128" s="30"/>
      <c r="I128" s="30"/>
      <c r="J128" s="30"/>
      <c r="K128" s="30"/>
      <c r="L128" s="30"/>
      <c r="M128" s="30"/>
    </row>
    <row r="129" spans="1:13" s="14" customFormat="1" x14ac:dyDescent="0.25">
      <c r="A129" s="13"/>
      <c r="D129" s="30"/>
      <c r="E129" s="31"/>
      <c r="F129" s="30"/>
      <c r="G129" s="30"/>
      <c r="H129" s="30"/>
      <c r="I129" s="30"/>
      <c r="J129" s="30"/>
      <c r="K129" s="30"/>
      <c r="L129" s="30"/>
      <c r="M129" s="30"/>
    </row>
    <row r="130" spans="1:13" s="14" customFormat="1" x14ac:dyDescent="0.25">
      <c r="A130" s="13"/>
      <c r="D130" s="30"/>
      <c r="E130" s="31"/>
      <c r="F130" s="30"/>
      <c r="G130" s="30"/>
      <c r="H130" s="30"/>
      <c r="I130" s="30"/>
      <c r="J130" s="30"/>
      <c r="K130" s="30"/>
      <c r="L130" s="30"/>
      <c r="M130" s="30"/>
    </row>
    <row r="131" spans="1:13" s="14" customFormat="1" x14ac:dyDescent="0.25">
      <c r="A131" s="13"/>
      <c r="D131" s="30"/>
      <c r="E131" s="31"/>
      <c r="F131" s="30"/>
      <c r="G131" s="30"/>
      <c r="H131" s="30"/>
      <c r="I131" s="30"/>
      <c r="J131" s="30"/>
      <c r="K131" s="30"/>
      <c r="L131" s="30"/>
      <c r="M131" s="30"/>
    </row>
    <row r="132" spans="1:13" s="14" customFormat="1" x14ac:dyDescent="0.25">
      <c r="A132" s="13"/>
      <c r="D132" s="30"/>
      <c r="E132" s="31"/>
      <c r="F132" s="30"/>
      <c r="G132" s="30"/>
      <c r="H132" s="30"/>
      <c r="I132" s="30"/>
      <c r="J132" s="30"/>
      <c r="K132" s="30"/>
      <c r="L132" s="30"/>
      <c r="M132" s="30"/>
    </row>
    <row r="133" spans="1:13" s="14" customFormat="1" x14ac:dyDescent="0.25">
      <c r="A133" s="13"/>
      <c r="D133" s="30"/>
      <c r="E133" s="31"/>
      <c r="F133" s="30"/>
      <c r="G133" s="30"/>
      <c r="H133" s="30"/>
      <c r="I133" s="30"/>
      <c r="J133" s="30"/>
      <c r="K133" s="30"/>
      <c r="L133" s="30"/>
      <c r="M133" s="30"/>
    </row>
    <row r="134" spans="1:13" s="14" customFormat="1" x14ac:dyDescent="0.25">
      <c r="A134" s="13"/>
      <c r="D134" s="30"/>
      <c r="E134" s="31"/>
      <c r="F134" s="30"/>
      <c r="G134" s="30"/>
      <c r="H134" s="30"/>
      <c r="I134" s="30"/>
      <c r="J134" s="30"/>
      <c r="K134" s="30"/>
      <c r="L134" s="30"/>
      <c r="M134" s="30"/>
    </row>
    <row r="135" spans="1:13" s="14" customFormat="1" x14ac:dyDescent="0.25">
      <c r="A135" s="13"/>
      <c r="D135" s="30"/>
      <c r="E135" s="31"/>
      <c r="F135" s="30"/>
      <c r="G135" s="30"/>
      <c r="H135" s="30"/>
      <c r="I135" s="30"/>
      <c r="J135" s="30"/>
      <c r="K135" s="30"/>
      <c r="L135" s="30"/>
      <c r="M135" s="30"/>
    </row>
    <row r="136" spans="1:13" s="14" customFormat="1" x14ac:dyDescent="0.25">
      <c r="A136" s="13"/>
      <c r="D136" s="30"/>
      <c r="E136" s="31"/>
      <c r="F136" s="30"/>
      <c r="G136" s="30"/>
      <c r="H136" s="30"/>
      <c r="I136" s="30"/>
      <c r="J136" s="30"/>
      <c r="K136" s="30"/>
      <c r="L136" s="30"/>
      <c r="M136" s="30"/>
    </row>
    <row r="137" spans="1:13" s="14" customFormat="1" x14ac:dyDescent="0.25">
      <c r="A137" s="13"/>
      <c r="D137" s="30"/>
      <c r="E137" s="31"/>
      <c r="F137" s="30"/>
      <c r="G137" s="30"/>
      <c r="H137" s="30"/>
      <c r="I137" s="30"/>
      <c r="J137" s="30"/>
      <c r="K137" s="30"/>
      <c r="L137" s="30"/>
      <c r="M137" s="30"/>
    </row>
    <row r="138" spans="1:13" s="14" customFormat="1" x14ac:dyDescent="0.25">
      <c r="A138" s="13"/>
      <c r="D138" s="30"/>
      <c r="E138" s="31"/>
      <c r="F138" s="30"/>
      <c r="G138" s="30"/>
      <c r="H138" s="30"/>
      <c r="I138" s="30"/>
      <c r="J138" s="30"/>
      <c r="K138" s="30"/>
      <c r="L138" s="30"/>
      <c r="M138" s="30"/>
    </row>
    <row r="139" spans="1:13" s="14" customFormat="1" x14ac:dyDescent="0.25">
      <c r="A139" s="13"/>
      <c r="D139" s="30"/>
      <c r="E139" s="31"/>
      <c r="F139" s="30"/>
      <c r="G139" s="30"/>
      <c r="H139" s="30"/>
      <c r="I139" s="30"/>
      <c r="J139" s="30"/>
      <c r="K139" s="30"/>
      <c r="L139" s="30"/>
      <c r="M139" s="30"/>
    </row>
    <row r="140" spans="1:13" s="14" customFormat="1" x14ac:dyDescent="0.25">
      <c r="A140" s="13"/>
      <c r="D140" s="30"/>
      <c r="E140" s="31"/>
      <c r="F140" s="30"/>
      <c r="G140" s="30"/>
      <c r="H140" s="30"/>
      <c r="I140" s="30"/>
      <c r="J140" s="30"/>
      <c r="K140" s="30"/>
      <c r="L140" s="30"/>
      <c r="M140" s="30"/>
    </row>
    <row r="141" spans="1:13" s="14" customFormat="1" x14ac:dyDescent="0.25">
      <c r="A141" s="13"/>
      <c r="D141" s="30"/>
      <c r="E141" s="31"/>
      <c r="F141" s="30"/>
      <c r="G141" s="30"/>
      <c r="H141" s="30"/>
      <c r="I141" s="30"/>
      <c r="J141" s="30"/>
      <c r="K141" s="30"/>
      <c r="L141" s="30"/>
      <c r="M141" s="30"/>
    </row>
    <row r="142" spans="1:13" s="14" customFormat="1" x14ac:dyDescent="0.25">
      <c r="A142" s="13"/>
      <c r="D142" s="30"/>
      <c r="E142" s="31"/>
      <c r="F142" s="30"/>
      <c r="G142" s="30"/>
      <c r="H142" s="30"/>
      <c r="I142" s="30"/>
      <c r="J142" s="30"/>
      <c r="K142" s="30"/>
      <c r="L142" s="30"/>
      <c r="M142" s="30"/>
    </row>
    <row r="143" spans="1:13" s="14" customFormat="1" x14ac:dyDescent="0.25">
      <c r="A143" s="13"/>
      <c r="D143" s="30"/>
      <c r="E143" s="31"/>
      <c r="F143" s="30"/>
      <c r="G143" s="30"/>
      <c r="H143" s="30"/>
      <c r="I143" s="30"/>
      <c r="J143" s="30"/>
      <c r="K143" s="30"/>
      <c r="L143" s="30"/>
      <c r="M143" s="30"/>
    </row>
    <row r="144" spans="1:13" s="14" customFormat="1" x14ac:dyDescent="0.25">
      <c r="A144" s="13"/>
      <c r="D144" s="30"/>
      <c r="E144" s="31"/>
      <c r="F144" s="30"/>
      <c r="G144" s="30"/>
      <c r="H144" s="30"/>
      <c r="I144" s="30"/>
      <c r="J144" s="30"/>
      <c r="K144" s="30"/>
      <c r="L144" s="30"/>
      <c r="M144" s="30"/>
    </row>
    <row r="145" spans="1:13" s="14" customFormat="1" x14ac:dyDescent="0.25">
      <c r="A145" s="13"/>
      <c r="D145" s="30"/>
      <c r="E145" s="31"/>
      <c r="F145" s="30"/>
      <c r="G145" s="30"/>
      <c r="H145" s="30"/>
      <c r="I145" s="30"/>
      <c r="J145" s="30"/>
      <c r="K145" s="30"/>
      <c r="L145" s="30"/>
      <c r="M145" s="30"/>
    </row>
    <row r="146" spans="1:13" s="14" customFormat="1" x14ac:dyDescent="0.25">
      <c r="A146" s="13"/>
      <c r="D146" s="30"/>
      <c r="E146" s="31"/>
      <c r="F146" s="30"/>
      <c r="G146" s="30"/>
      <c r="H146" s="30"/>
      <c r="I146" s="30"/>
      <c r="J146" s="30"/>
      <c r="K146" s="30"/>
      <c r="L146" s="30"/>
      <c r="M146" s="30"/>
    </row>
    <row r="147" spans="1:13" s="14" customFormat="1" x14ac:dyDescent="0.25">
      <c r="A147" s="13"/>
      <c r="D147" s="30"/>
      <c r="E147" s="31"/>
      <c r="F147" s="30"/>
      <c r="G147" s="30"/>
      <c r="H147" s="30"/>
      <c r="I147" s="30"/>
      <c r="J147" s="30"/>
      <c r="K147" s="30"/>
      <c r="L147" s="30"/>
      <c r="M147" s="30"/>
    </row>
    <row r="148" spans="1:13" s="14" customFormat="1" x14ac:dyDescent="0.25">
      <c r="A148" s="13"/>
      <c r="D148" s="30"/>
      <c r="E148" s="31"/>
      <c r="F148" s="30"/>
      <c r="G148" s="30"/>
      <c r="H148" s="30"/>
      <c r="I148" s="30"/>
      <c r="J148" s="30"/>
      <c r="K148" s="30"/>
      <c r="L148" s="30"/>
      <c r="M148" s="30"/>
    </row>
    <row r="149" spans="1:13" s="14" customFormat="1" x14ac:dyDescent="0.25">
      <c r="A149" s="13"/>
      <c r="D149" s="30"/>
      <c r="E149" s="31"/>
      <c r="F149" s="30"/>
      <c r="G149" s="30"/>
      <c r="H149" s="30"/>
      <c r="I149" s="30"/>
      <c r="J149" s="30"/>
      <c r="K149" s="30"/>
      <c r="L149" s="30"/>
      <c r="M149" s="30"/>
    </row>
    <row r="150" spans="1:13" s="14" customFormat="1" x14ac:dyDescent="0.25">
      <c r="A150" s="13"/>
      <c r="D150" s="30"/>
      <c r="E150" s="31"/>
      <c r="F150" s="30"/>
      <c r="G150" s="30"/>
      <c r="H150" s="30"/>
      <c r="I150" s="30"/>
      <c r="J150" s="30"/>
      <c r="K150" s="30"/>
      <c r="L150" s="30"/>
      <c r="M150" s="30"/>
    </row>
    <row r="151" spans="1:13" s="14" customFormat="1" x14ac:dyDescent="0.25">
      <c r="A151" s="13"/>
      <c r="D151" s="30"/>
      <c r="E151" s="31"/>
      <c r="F151" s="30"/>
      <c r="G151" s="30"/>
      <c r="H151" s="30"/>
      <c r="I151" s="30"/>
      <c r="J151" s="30"/>
      <c r="K151" s="30"/>
      <c r="L151" s="30"/>
      <c r="M151" s="30"/>
    </row>
    <row r="152" spans="1:13" s="14" customFormat="1" x14ac:dyDescent="0.25">
      <c r="A152" s="13"/>
      <c r="D152" s="30"/>
      <c r="E152" s="31"/>
      <c r="F152" s="30"/>
      <c r="G152" s="30"/>
      <c r="H152" s="30"/>
      <c r="I152" s="30"/>
      <c r="J152" s="30"/>
      <c r="K152" s="30"/>
      <c r="L152" s="30"/>
      <c r="M152" s="30"/>
    </row>
    <row r="153" spans="1:13" s="14" customFormat="1" x14ac:dyDescent="0.25">
      <c r="A153" s="13"/>
      <c r="D153" s="30"/>
      <c r="E153" s="31"/>
      <c r="F153" s="30"/>
      <c r="G153" s="30"/>
      <c r="H153" s="30"/>
      <c r="I153" s="30"/>
      <c r="J153" s="30"/>
      <c r="K153" s="30"/>
      <c r="L153" s="30"/>
      <c r="M153" s="30"/>
    </row>
    <row r="154" spans="1:13" s="14" customFormat="1" x14ac:dyDescent="0.25">
      <c r="A154" s="13"/>
      <c r="D154" s="30"/>
      <c r="E154" s="31"/>
      <c r="F154" s="30"/>
      <c r="G154" s="30"/>
      <c r="H154" s="30"/>
      <c r="I154" s="30"/>
      <c r="J154" s="30"/>
      <c r="K154" s="30"/>
      <c r="L154" s="30"/>
      <c r="M154" s="30"/>
    </row>
    <row r="155" spans="1:13" s="14" customFormat="1" x14ac:dyDescent="0.25">
      <c r="A155" s="13"/>
      <c r="D155" s="30"/>
      <c r="E155" s="31"/>
      <c r="F155" s="30"/>
      <c r="G155" s="30"/>
      <c r="H155" s="30"/>
      <c r="I155" s="30"/>
      <c r="J155" s="30"/>
      <c r="K155" s="30"/>
      <c r="L155" s="30"/>
      <c r="M155" s="30"/>
    </row>
    <row r="156" spans="1:13" s="14" customFormat="1" x14ac:dyDescent="0.25">
      <c r="A156" s="13"/>
      <c r="D156" s="30"/>
      <c r="E156" s="31"/>
      <c r="F156" s="30"/>
      <c r="G156" s="30"/>
      <c r="H156" s="30"/>
      <c r="I156" s="30"/>
      <c r="J156" s="30"/>
      <c r="K156" s="30"/>
      <c r="L156" s="30"/>
      <c r="M156" s="30"/>
    </row>
    <row r="157" spans="1:13" s="14" customFormat="1" x14ac:dyDescent="0.25">
      <c r="A157" s="13"/>
      <c r="D157" s="30"/>
      <c r="E157" s="31"/>
      <c r="F157" s="30"/>
      <c r="G157" s="30"/>
      <c r="H157" s="30"/>
      <c r="I157" s="30"/>
      <c r="J157" s="30"/>
      <c r="K157" s="30"/>
      <c r="L157" s="30"/>
      <c r="M157" s="30"/>
    </row>
    <row r="158" spans="1:13" s="14" customFormat="1" x14ac:dyDescent="0.25">
      <c r="A158" s="13"/>
      <c r="D158" s="30"/>
      <c r="E158" s="31"/>
      <c r="F158" s="30"/>
      <c r="G158" s="30"/>
      <c r="H158" s="30"/>
      <c r="I158" s="30"/>
      <c r="J158" s="30"/>
      <c r="K158" s="30"/>
      <c r="L158" s="30"/>
      <c r="M158" s="30"/>
    </row>
    <row r="159" spans="1:13" s="14" customFormat="1" x14ac:dyDescent="0.25">
      <c r="A159" s="13"/>
      <c r="D159" s="30"/>
      <c r="E159" s="31"/>
      <c r="F159" s="30"/>
      <c r="G159" s="30"/>
      <c r="H159" s="30"/>
      <c r="I159" s="30"/>
      <c r="J159" s="30"/>
      <c r="K159" s="30"/>
      <c r="L159" s="30"/>
      <c r="M159" s="30"/>
    </row>
    <row r="160" spans="1:13" s="14" customFormat="1" x14ac:dyDescent="0.25">
      <c r="A160" s="13"/>
      <c r="D160" s="30"/>
      <c r="E160" s="31"/>
      <c r="F160" s="30"/>
      <c r="G160" s="30"/>
      <c r="H160" s="30"/>
      <c r="I160" s="30"/>
      <c r="J160" s="30"/>
      <c r="K160" s="30"/>
      <c r="L160" s="30"/>
      <c r="M160" s="30"/>
    </row>
    <row r="161" spans="1:13" s="14" customFormat="1" x14ac:dyDescent="0.25">
      <c r="A161" s="13"/>
      <c r="D161" s="30"/>
      <c r="E161" s="31"/>
      <c r="F161" s="30"/>
      <c r="G161" s="30"/>
      <c r="H161" s="30"/>
      <c r="I161" s="30"/>
      <c r="J161" s="30"/>
      <c r="K161" s="30"/>
      <c r="L161" s="30"/>
      <c r="M161" s="30"/>
    </row>
    <row r="162" spans="1:13" s="14" customFormat="1" x14ac:dyDescent="0.25">
      <c r="A162" s="13"/>
      <c r="D162" s="30"/>
      <c r="E162" s="31"/>
      <c r="F162" s="30"/>
      <c r="G162" s="30"/>
      <c r="H162" s="30"/>
      <c r="I162" s="30"/>
      <c r="J162" s="30"/>
      <c r="K162" s="30"/>
      <c r="L162" s="30"/>
      <c r="M162" s="30"/>
    </row>
    <row r="163" spans="1:13" s="14" customFormat="1" x14ac:dyDescent="0.25">
      <c r="A163" s="13"/>
      <c r="D163" s="30"/>
      <c r="E163" s="31"/>
      <c r="F163" s="30"/>
      <c r="G163" s="30"/>
      <c r="H163" s="30"/>
      <c r="I163" s="30"/>
      <c r="J163" s="30"/>
      <c r="K163" s="30"/>
      <c r="L163" s="30"/>
      <c r="M163" s="30"/>
    </row>
    <row r="164" spans="1:13" s="14" customFormat="1" x14ac:dyDescent="0.25">
      <c r="A164" s="13"/>
      <c r="D164" s="30"/>
      <c r="E164" s="31"/>
      <c r="F164" s="30"/>
      <c r="G164" s="30"/>
      <c r="H164" s="30"/>
      <c r="I164" s="30"/>
      <c r="J164" s="30"/>
      <c r="K164" s="30"/>
      <c r="L164" s="30"/>
      <c r="M164" s="30"/>
    </row>
    <row r="165" spans="1:13" s="14" customFormat="1" x14ac:dyDescent="0.25">
      <c r="A165" s="13"/>
      <c r="D165" s="30"/>
      <c r="E165" s="31"/>
      <c r="F165" s="30"/>
      <c r="G165" s="30"/>
      <c r="H165" s="30"/>
      <c r="I165" s="30"/>
      <c r="J165" s="30"/>
      <c r="K165" s="30"/>
      <c r="L165" s="30"/>
      <c r="M165" s="30"/>
    </row>
    <row r="166" spans="1:13" s="14" customFormat="1" x14ac:dyDescent="0.25">
      <c r="A166" s="13"/>
      <c r="D166" s="30"/>
      <c r="E166" s="31"/>
      <c r="F166" s="30"/>
      <c r="G166" s="30"/>
      <c r="H166" s="30"/>
      <c r="I166" s="30"/>
      <c r="J166" s="30"/>
      <c r="K166" s="30"/>
      <c r="L166" s="30"/>
      <c r="M166" s="30"/>
    </row>
    <row r="167" spans="1:13" s="14" customFormat="1" x14ac:dyDescent="0.25">
      <c r="A167" s="13"/>
      <c r="D167" s="30"/>
      <c r="E167" s="31"/>
      <c r="F167" s="30"/>
      <c r="G167" s="30"/>
      <c r="H167" s="30"/>
      <c r="I167" s="30"/>
      <c r="J167" s="30"/>
      <c r="K167" s="30"/>
      <c r="L167" s="30"/>
      <c r="M167" s="30"/>
    </row>
    <row r="168" spans="1:13" s="14" customFormat="1" x14ac:dyDescent="0.25">
      <c r="A168" s="13"/>
      <c r="D168" s="30"/>
      <c r="E168" s="31"/>
      <c r="F168" s="30"/>
      <c r="G168" s="30"/>
      <c r="H168" s="30"/>
      <c r="I168" s="30"/>
      <c r="J168" s="30"/>
      <c r="K168" s="30"/>
      <c r="L168" s="30"/>
      <c r="M168" s="30"/>
    </row>
    <row r="169" spans="1:13" s="14" customFormat="1" x14ac:dyDescent="0.25">
      <c r="A169" s="13"/>
      <c r="D169" s="30"/>
      <c r="E169" s="31"/>
      <c r="F169" s="30"/>
      <c r="G169" s="30"/>
      <c r="H169" s="30"/>
      <c r="I169" s="30"/>
      <c r="J169" s="30"/>
      <c r="K169" s="30"/>
      <c r="L169" s="30"/>
      <c r="M169" s="30"/>
    </row>
    <row r="170" spans="1:13" s="14" customFormat="1" x14ac:dyDescent="0.25">
      <c r="A170" s="13"/>
      <c r="D170" s="30"/>
      <c r="E170" s="31"/>
      <c r="F170" s="30"/>
      <c r="G170" s="30"/>
      <c r="H170" s="30"/>
      <c r="I170" s="30"/>
      <c r="J170" s="30"/>
      <c r="K170" s="30"/>
      <c r="L170" s="30"/>
      <c r="M170" s="30"/>
    </row>
    <row r="171" spans="1:13" s="14" customFormat="1" x14ac:dyDescent="0.25">
      <c r="A171" s="13"/>
      <c r="D171" s="30"/>
      <c r="E171" s="31"/>
      <c r="F171" s="30"/>
      <c r="G171" s="30"/>
      <c r="H171" s="30"/>
      <c r="I171" s="30"/>
      <c r="J171" s="30"/>
      <c r="K171" s="30"/>
      <c r="L171" s="30"/>
      <c r="M171" s="30"/>
    </row>
    <row r="172" spans="1:13" s="14" customFormat="1" x14ac:dyDescent="0.25">
      <c r="A172" s="13"/>
      <c r="D172" s="30"/>
      <c r="E172" s="31"/>
      <c r="F172" s="30"/>
      <c r="G172" s="30"/>
      <c r="H172" s="30"/>
      <c r="I172" s="30"/>
      <c r="J172" s="30"/>
      <c r="K172" s="30"/>
      <c r="L172" s="30"/>
      <c r="M172" s="30"/>
    </row>
    <row r="173" spans="1:13" s="14" customFormat="1" x14ac:dyDescent="0.25">
      <c r="A173" s="13"/>
      <c r="D173" s="30"/>
      <c r="E173" s="31"/>
      <c r="F173" s="30"/>
      <c r="G173" s="30"/>
      <c r="H173" s="30"/>
      <c r="I173" s="30"/>
      <c r="J173" s="30"/>
      <c r="K173" s="30"/>
      <c r="L173" s="30"/>
      <c r="M173" s="30"/>
    </row>
    <row r="174" spans="1:13" s="14" customFormat="1" x14ac:dyDescent="0.25">
      <c r="A174" s="13"/>
      <c r="D174" s="30"/>
      <c r="E174" s="31"/>
      <c r="F174" s="30"/>
      <c r="G174" s="30"/>
      <c r="H174" s="30"/>
      <c r="I174" s="30"/>
      <c r="J174" s="30"/>
      <c r="K174" s="30"/>
      <c r="L174" s="30"/>
      <c r="M174" s="30"/>
    </row>
    <row r="175" spans="1:13" s="14" customFormat="1" x14ac:dyDescent="0.25">
      <c r="A175" s="13"/>
      <c r="D175" s="30"/>
      <c r="E175" s="31"/>
      <c r="F175" s="30"/>
      <c r="G175" s="30"/>
      <c r="H175" s="30"/>
      <c r="I175" s="30"/>
      <c r="J175" s="30"/>
      <c r="K175" s="30"/>
      <c r="L175" s="30"/>
      <c r="M175" s="30"/>
    </row>
    <row r="176" spans="1:13" s="14" customFormat="1" x14ac:dyDescent="0.25">
      <c r="A176" s="13"/>
      <c r="D176" s="30"/>
      <c r="E176" s="31"/>
      <c r="F176" s="30"/>
      <c r="G176" s="30"/>
      <c r="H176" s="30"/>
      <c r="I176" s="30"/>
      <c r="J176" s="30"/>
      <c r="K176" s="30"/>
      <c r="L176" s="30"/>
      <c r="M176" s="30"/>
    </row>
    <row r="177" spans="1:13" s="14" customFormat="1" x14ac:dyDescent="0.25">
      <c r="A177" s="13"/>
      <c r="D177" s="30"/>
      <c r="E177" s="31"/>
      <c r="F177" s="30"/>
      <c r="G177" s="30"/>
      <c r="H177" s="30"/>
      <c r="I177" s="30"/>
      <c r="J177" s="30"/>
      <c r="K177" s="30"/>
      <c r="L177" s="30"/>
      <c r="M177" s="30"/>
    </row>
    <row r="178" spans="1:13" s="14" customFormat="1" x14ac:dyDescent="0.25">
      <c r="A178" s="13"/>
      <c r="D178" s="30"/>
      <c r="E178" s="31"/>
      <c r="F178" s="30"/>
      <c r="G178" s="30"/>
      <c r="H178" s="30"/>
      <c r="I178" s="30"/>
      <c r="J178" s="30"/>
      <c r="K178" s="30"/>
      <c r="L178" s="30"/>
      <c r="M178" s="30"/>
    </row>
    <row r="179" spans="1:13" s="14" customFormat="1" x14ac:dyDescent="0.25">
      <c r="A179" s="13"/>
      <c r="D179" s="30"/>
      <c r="E179" s="31"/>
      <c r="F179" s="30"/>
      <c r="G179" s="30"/>
      <c r="H179" s="30"/>
      <c r="I179" s="30"/>
      <c r="J179" s="30"/>
      <c r="K179" s="30"/>
      <c r="L179" s="30"/>
      <c r="M179" s="30"/>
    </row>
    <row r="180" spans="1:13" s="14" customFormat="1" x14ac:dyDescent="0.25">
      <c r="A180" s="13"/>
      <c r="D180" s="30"/>
      <c r="E180" s="31"/>
      <c r="F180" s="30"/>
      <c r="G180" s="30"/>
      <c r="H180" s="30"/>
      <c r="I180" s="30"/>
      <c r="J180" s="30"/>
      <c r="K180" s="30"/>
      <c r="L180" s="30"/>
      <c r="M180" s="30"/>
    </row>
    <row r="181" spans="1:13" s="14" customFormat="1" x14ac:dyDescent="0.25">
      <c r="A181" s="13"/>
      <c r="D181" s="30"/>
      <c r="E181" s="31"/>
      <c r="F181" s="30"/>
      <c r="G181" s="30"/>
      <c r="H181" s="30"/>
      <c r="I181" s="30"/>
      <c r="J181" s="30"/>
      <c r="K181" s="30"/>
      <c r="L181" s="30"/>
      <c r="M181" s="30"/>
    </row>
    <row r="182" spans="1:13" s="14" customFormat="1" x14ac:dyDescent="0.25">
      <c r="A182" s="13"/>
      <c r="D182" s="30"/>
      <c r="E182" s="31"/>
      <c r="F182" s="30"/>
      <c r="G182" s="30"/>
      <c r="H182" s="30"/>
      <c r="I182" s="30"/>
      <c r="J182" s="30"/>
      <c r="K182" s="30"/>
      <c r="L182" s="30"/>
      <c r="M182" s="30"/>
    </row>
    <row r="183" spans="1:13" s="14" customFormat="1" x14ac:dyDescent="0.25">
      <c r="A183" s="13"/>
      <c r="D183" s="30"/>
      <c r="E183" s="31"/>
      <c r="F183" s="30"/>
      <c r="G183" s="30"/>
      <c r="H183" s="30"/>
      <c r="I183" s="30"/>
      <c r="J183" s="30"/>
      <c r="K183" s="30"/>
      <c r="L183" s="30"/>
      <c r="M183" s="30"/>
    </row>
    <row r="184" spans="1:13" s="14" customFormat="1" x14ac:dyDescent="0.25">
      <c r="A184" s="13"/>
      <c r="D184" s="30"/>
      <c r="E184" s="31"/>
      <c r="F184" s="30"/>
      <c r="G184" s="30"/>
      <c r="H184" s="30"/>
      <c r="I184" s="30"/>
      <c r="J184" s="30"/>
      <c r="K184" s="30"/>
      <c r="L184" s="30"/>
      <c r="M184" s="30"/>
    </row>
    <row r="185" spans="1:13" s="14" customFormat="1" x14ac:dyDescent="0.25">
      <c r="A185" s="13"/>
      <c r="D185" s="30"/>
      <c r="E185" s="31"/>
      <c r="F185" s="30"/>
      <c r="G185" s="30"/>
      <c r="H185" s="30"/>
      <c r="I185" s="30"/>
      <c r="J185" s="30"/>
      <c r="K185" s="30"/>
      <c r="L185" s="30"/>
      <c r="M185" s="30"/>
    </row>
    <row r="186" spans="1:13" s="14" customFormat="1" x14ac:dyDescent="0.25">
      <c r="A186" s="13"/>
      <c r="D186" s="30"/>
      <c r="E186" s="31"/>
      <c r="F186" s="30"/>
      <c r="G186" s="30"/>
      <c r="H186" s="30"/>
      <c r="I186" s="30"/>
      <c r="J186" s="30"/>
      <c r="K186" s="30"/>
      <c r="L186" s="30"/>
      <c r="M186" s="30"/>
    </row>
    <row r="187" spans="1:13" s="14" customFormat="1" x14ac:dyDescent="0.25">
      <c r="A187" s="13"/>
      <c r="D187" s="30"/>
      <c r="E187" s="31"/>
      <c r="F187" s="30"/>
      <c r="G187" s="30"/>
      <c r="H187" s="30"/>
      <c r="I187" s="30"/>
      <c r="J187" s="30"/>
      <c r="K187" s="30"/>
      <c r="L187" s="30"/>
      <c r="M187" s="30"/>
    </row>
    <row r="188" spans="1:13" s="14" customFormat="1" x14ac:dyDescent="0.25">
      <c r="A188" s="13"/>
      <c r="D188" s="30"/>
      <c r="E188" s="31"/>
      <c r="F188" s="30"/>
      <c r="G188" s="30"/>
      <c r="H188" s="30"/>
      <c r="I188" s="30"/>
      <c r="J188" s="30"/>
      <c r="K188" s="30"/>
      <c r="L188" s="30"/>
      <c r="M188" s="30"/>
    </row>
    <row r="189" spans="1:13" s="14" customFormat="1" x14ac:dyDescent="0.25">
      <c r="A189" s="13"/>
      <c r="D189" s="30"/>
      <c r="E189" s="31"/>
      <c r="F189" s="30"/>
      <c r="G189" s="30"/>
      <c r="H189" s="30"/>
      <c r="I189" s="30"/>
      <c r="J189" s="30"/>
      <c r="K189" s="30"/>
      <c r="L189" s="30"/>
      <c r="M189" s="30"/>
    </row>
    <row r="190" spans="1:13" s="14" customFormat="1" x14ac:dyDescent="0.25">
      <c r="A190" s="13"/>
      <c r="D190" s="30"/>
      <c r="E190" s="31"/>
      <c r="F190" s="30"/>
      <c r="G190" s="30"/>
      <c r="H190" s="30"/>
      <c r="I190" s="30"/>
      <c r="J190" s="30"/>
      <c r="K190" s="30"/>
      <c r="L190" s="30"/>
      <c r="M190" s="30"/>
    </row>
    <row r="191" spans="1:13" s="14" customFormat="1" x14ac:dyDescent="0.25">
      <c r="A191" s="13"/>
      <c r="D191" s="30"/>
      <c r="E191" s="31"/>
      <c r="F191" s="30"/>
      <c r="G191" s="30"/>
      <c r="H191" s="30"/>
      <c r="I191" s="30"/>
      <c r="J191" s="30"/>
      <c r="K191" s="30"/>
      <c r="L191" s="30"/>
      <c r="M191" s="30"/>
    </row>
    <row r="192" spans="1:13" s="14" customFormat="1" x14ac:dyDescent="0.25">
      <c r="A192" s="13"/>
      <c r="D192" s="30"/>
      <c r="E192" s="31"/>
      <c r="F192" s="30"/>
      <c r="G192" s="30"/>
      <c r="H192" s="30"/>
      <c r="I192" s="30"/>
      <c r="J192" s="30"/>
      <c r="K192" s="30"/>
      <c r="L192" s="30"/>
      <c r="M192" s="30"/>
    </row>
    <row r="193" spans="1:13" s="14" customFormat="1" x14ac:dyDescent="0.25">
      <c r="A193" s="13"/>
      <c r="D193" s="30"/>
      <c r="E193" s="31"/>
      <c r="F193" s="30"/>
      <c r="G193" s="30"/>
      <c r="H193" s="30"/>
      <c r="I193" s="30"/>
      <c r="J193" s="30"/>
      <c r="K193" s="30"/>
      <c r="L193" s="30"/>
      <c r="M193" s="30"/>
    </row>
    <row r="194" spans="1:13" s="14" customFormat="1" x14ac:dyDescent="0.25">
      <c r="A194" s="13"/>
      <c r="D194" s="30"/>
      <c r="E194" s="31"/>
      <c r="F194" s="30"/>
      <c r="G194" s="30"/>
      <c r="H194" s="30"/>
      <c r="I194" s="30"/>
      <c r="J194" s="30"/>
      <c r="K194" s="30"/>
      <c r="L194" s="30"/>
      <c r="M194" s="30"/>
    </row>
    <row r="195" spans="1:13" s="14" customFormat="1" x14ac:dyDescent="0.25">
      <c r="A195" s="13"/>
      <c r="D195" s="30"/>
      <c r="E195" s="31"/>
      <c r="F195" s="30"/>
      <c r="G195" s="30"/>
      <c r="H195" s="30"/>
      <c r="I195" s="30"/>
      <c r="J195" s="30"/>
      <c r="K195" s="30"/>
      <c r="L195" s="30"/>
      <c r="M195" s="30"/>
    </row>
    <row r="196" spans="1:13" s="14" customFormat="1" x14ac:dyDescent="0.25">
      <c r="A196" s="13"/>
      <c r="D196" s="30"/>
      <c r="E196" s="31"/>
      <c r="F196" s="30"/>
      <c r="G196" s="30"/>
      <c r="H196" s="30"/>
      <c r="I196" s="30"/>
      <c r="J196" s="30"/>
      <c r="K196" s="30"/>
      <c r="L196" s="30"/>
      <c r="M196" s="30"/>
    </row>
    <row r="197" spans="1:13" s="14" customFormat="1" x14ac:dyDescent="0.25">
      <c r="A197" s="13"/>
      <c r="D197" s="30"/>
      <c r="E197" s="31"/>
      <c r="F197" s="30"/>
      <c r="G197" s="30"/>
      <c r="H197" s="30"/>
      <c r="I197" s="30"/>
      <c r="J197" s="30"/>
      <c r="K197" s="30"/>
      <c r="L197" s="30"/>
      <c r="M197" s="30"/>
    </row>
    <row r="198" spans="1:13" s="14" customFormat="1" x14ac:dyDescent="0.25">
      <c r="A198" s="13"/>
      <c r="D198" s="30"/>
      <c r="E198" s="31"/>
      <c r="F198" s="30"/>
      <c r="G198" s="30"/>
      <c r="H198" s="30"/>
      <c r="I198" s="30"/>
      <c r="J198" s="30"/>
      <c r="K198" s="30"/>
      <c r="L198" s="30"/>
      <c r="M198" s="30"/>
    </row>
    <row r="199" spans="1:13" s="14" customFormat="1" x14ac:dyDescent="0.25">
      <c r="A199" s="13"/>
      <c r="D199" s="30"/>
      <c r="E199" s="31"/>
      <c r="F199" s="30"/>
      <c r="G199" s="30"/>
      <c r="H199" s="30"/>
      <c r="I199" s="30"/>
      <c r="J199" s="30"/>
      <c r="K199" s="30"/>
      <c r="L199" s="30"/>
      <c r="M199" s="30"/>
    </row>
    <row r="200" spans="1:13" s="14" customFormat="1" x14ac:dyDescent="0.25">
      <c r="A200" s="13"/>
      <c r="D200" s="30"/>
      <c r="E200" s="31"/>
      <c r="F200" s="30"/>
      <c r="G200" s="30"/>
      <c r="H200" s="30"/>
      <c r="I200" s="30"/>
      <c r="J200" s="30"/>
      <c r="K200" s="30"/>
      <c r="L200" s="30"/>
      <c r="M200" s="30"/>
    </row>
    <row r="201" spans="1:13" s="14" customFormat="1" x14ac:dyDescent="0.25">
      <c r="A201" s="13"/>
      <c r="D201" s="30"/>
      <c r="E201" s="31"/>
      <c r="F201" s="30"/>
      <c r="G201" s="30"/>
      <c r="H201" s="30"/>
      <c r="I201" s="30"/>
      <c r="J201" s="30"/>
      <c r="K201" s="30"/>
      <c r="L201" s="30"/>
      <c r="M201" s="30"/>
    </row>
    <row r="202" spans="1:13" s="14" customFormat="1" x14ac:dyDescent="0.25">
      <c r="A202" s="13"/>
      <c r="D202" s="30"/>
      <c r="E202" s="31"/>
      <c r="F202" s="30"/>
      <c r="G202" s="30"/>
      <c r="H202" s="30"/>
      <c r="I202" s="30"/>
      <c r="J202" s="30"/>
      <c r="K202" s="30"/>
      <c r="L202" s="30"/>
      <c r="M202" s="30"/>
    </row>
    <row r="203" spans="1:13" s="14" customFormat="1" x14ac:dyDescent="0.25">
      <c r="A203" s="13"/>
      <c r="D203" s="30"/>
      <c r="E203" s="31"/>
      <c r="F203" s="30"/>
      <c r="G203" s="30"/>
      <c r="H203" s="30"/>
      <c r="I203" s="30"/>
      <c r="J203" s="30"/>
      <c r="K203" s="30"/>
      <c r="L203" s="30"/>
      <c r="M203" s="30"/>
    </row>
    <row r="204" spans="1:13" s="14" customFormat="1" x14ac:dyDescent="0.25">
      <c r="A204" s="13"/>
      <c r="D204" s="30"/>
      <c r="E204" s="31"/>
      <c r="F204" s="30"/>
      <c r="G204" s="30"/>
      <c r="H204" s="30"/>
      <c r="I204" s="30"/>
      <c r="J204" s="30"/>
      <c r="K204" s="30"/>
      <c r="L204" s="30"/>
      <c r="M204" s="30"/>
    </row>
    <row r="205" spans="1:13" s="14" customFormat="1" x14ac:dyDescent="0.25">
      <c r="A205" s="13"/>
      <c r="D205" s="30"/>
      <c r="E205" s="31"/>
      <c r="F205" s="30"/>
      <c r="G205" s="30"/>
      <c r="H205" s="30"/>
      <c r="I205" s="30"/>
      <c r="J205" s="30"/>
      <c r="K205" s="30"/>
      <c r="L205" s="30"/>
      <c r="M205" s="30"/>
    </row>
    <row r="206" spans="1:13" s="14" customFormat="1" x14ac:dyDescent="0.25">
      <c r="A206" s="13"/>
      <c r="D206" s="30"/>
      <c r="E206" s="31"/>
      <c r="F206" s="30"/>
      <c r="G206" s="30"/>
      <c r="H206" s="30"/>
      <c r="I206" s="30"/>
      <c r="J206" s="30"/>
      <c r="K206" s="30"/>
      <c r="L206" s="30"/>
      <c r="M206" s="30"/>
    </row>
    <row r="207" spans="1:13" s="14" customFormat="1" x14ac:dyDescent="0.25">
      <c r="A207" s="13"/>
      <c r="D207" s="30"/>
      <c r="E207" s="31"/>
      <c r="F207" s="30"/>
      <c r="G207" s="30"/>
      <c r="H207" s="30"/>
      <c r="I207" s="30"/>
      <c r="J207" s="30"/>
      <c r="K207" s="30"/>
      <c r="L207" s="30"/>
      <c r="M207" s="30"/>
    </row>
    <row r="208" spans="1:13" s="14" customFormat="1" x14ac:dyDescent="0.25">
      <c r="A208" s="13"/>
      <c r="D208" s="30"/>
      <c r="E208" s="31"/>
      <c r="F208" s="30"/>
      <c r="G208" s="30"/>
      <c r="H208" s="30"/>
      <c r="I208" s="30"/>
      <c r="J208" s="30"/>
      <c r="K208" s="30"/>
      <c r="L208" s="30"/>
      <c r="M208" s="30"/>
    </row>
    <row r="209" spans="1:13" s="14" customFormat="1" x14ac:dyDescent="0.25">
      <c r="A209" s="13"/>
      <c r="D209" s="30"/>
      <c r="E209" s="31"/>
      <c r="F209" s="30"/>
      <c r="G209" s="30"/>
      <c r="H209" s="30"/>
      <c r="I209" s="30"/>
      <c r="J209" s="30"/>
      <c r="K209" s="30"/>
      <c r="L209" s="30"/>
      <c r="M209" s="30"/>
    </row>
    <row r="210" spans="1:13" s="14" customFormat="1" x14ac:dyDescent="0.25">
      <c r="A210" s="13"/>
      <c r="D210" s="30"/>
      <c r="E210" s="31"/>
      <c r="F210" s="30"/>
      <c r="G210" s="30"/>
      <c r="H210" s="30"/>
      <c r="I210" s="30"/>
      <c r="J210" s="30"/>
      <c r="K210" s="30"/>
      <c r="L210" s="30"/>
      <c r="M210" s="30"/>
    </row>
    <row r="211" spans="1:13" s="14" customFormat="1" x14ac:dyDescent="0.25">
      <c r="A211" s="13"/>
      <c r="D211" s="30"/>
      <c r="E211" s="31"/>
      <c r="F211" s="30"/>
      <c r="G211" s="30"/>
      <c r="H211" s="30"/>
      <c r="I211" s="30"/>
      <c r="J211" s="30"/>
      <c r="K211" s="30"/>
      <c r="L211" s="30"/>
      <c r="M211" s="30"/>
    </row>
    <row r="212" spans="1:13" s="14" customFormat="1" x14ac:dyDescent="0.25">
      <c r="A212" s="13"/>
      <c r="D212" s="30"/>
      <c r="E212" s="31"/>
      <c r="F212" s="30"/>
      <c r="G212" s="30"/>
      <c r="H212" s="30"/>
      <c r="I212" s="30"/>
      <c r="J212" s="30"/>
      <c r="K212" s="30"/>
      <c r="L212" s="30"/>
      <c r="M212" s="30"/>
    </row>
    <row r="213" spans="1:13" s="14" customFormat="1" x14ac:dyDescent="0.25">
      <c r="A213" s="13"/>
      <c r="D213" s="30"/>
      <c r="E213" s="31"/>
      <c r="F213" s="30"/>
      <c r="G213" s="30"/>
      <c r="H213" s="30"/>
      <c r="I213" s="30"/>
      <c r="J213" s="30"/>
      <c r="K213" s="30"/>
      <c r="L213" s="30"/>
      <c r="M213" s="30"/>
    </row>
    <row r="214" spans="1:13" s="14" customFormat="1" x14ac:dyDescent="0.25">
      <c r="A214" s="13"/>
      <c r="D214" s="30"/>
      <c r="E214" s="31"/>
      <c r="F214" s="30"/>
      <c r="G214" s="30"/>
      <c r="H214" s="30"/>
      <c r="I214" s="30"/>
      <c r="J214" s="30"/>
      <c r="K214" s="30"/>
      <c r="L214" s="30"/>
      <c r="M214" s="30"/>
    </row>
    <row r="215" spans="1:13" s="14" customFormat="1" x14ac:dyDescent="0.25">
      <c r="A215" s="13"/>
      <c r="D215" s="30"/>
      <c r="E215" s="31"/>
      <c r="F215" s="30"/>
      <c r="G215" s="30"/>
      <c r="H215" s="30"/>
      <c r="I215" s="30"/>
      <c r="J215" s="30"/>
      <c r="K215" s="30"/>
      <c r="L215" s="30"/>
      <c r="M215" s="30"/>
    </row>
    <row r="216" spans="1:13" s="14" customFormat="1" x14ac:dyDescent="0.25">
      <c r="A216" s="13"/>
      <c r="D216" s="30"/>
      <c r="E216" s="31"/>
      <c r="F216" s="30"/>
      <c r="G216" s="30"/>
      <c r="H216" s="30"/>
      <c r="I216" s="30"/>
      <c r="J216" s="30"/>
      <c r="K216" s="30"/>
      <c r="L216" s="30"/>
      <c r="M216" s="30"/>
    </row>
    <row r="217" spans="1:13" s="14" customFormat="1" x14ac:dyDescent="0.25">
      <c r="A217" s="13"/>
      <c r="D217" s="30"/>
      <c r="E217" s="31"/>
      <c r="F217" s="30"/>
      <c r="G217" s="30"/>
      <c r="H217" s="30"/>
      <c r="I217" s="30"/>
      <c r="J217" s="30"/>
      <c r="K217" s="30"/>
      <c r="L217" s="30"/>
      <c r="M217" s="30"/>
    </row>
    <row r="218" spans="1:13" s="14" customFormat="1" x14ac:dyDescent="0.25">
      <c r="A218" s="13"/>
      <c r="D218" s="30"/>
      <c r="E218" s="31"/>
      <c r="F218" s="30"/>
      <c r="G218" s="30"/>
      <c r="H218" s="30"/>
      <c r="I218" s="30"/>
      <c r="J218" s="30"/>
      <c r="K218" s="30"/>
      <c r="L218" s="30"/>
      <c r="M218" s="30"/>
    </row>
    <row r="219" spans="1:13" s="14" customFormat="1" x14ac:dyDescent="0.25">
      <c r="A219" s="13"/>
      <c r="D219" s="30"/>
      <c r="E219" s="31"/>
      <c r="F219" s="30"/>
      <c r="G219" s="30"/>
      <c r="H219" s="30"/>
      <c r="I219" s="30"/>
      <c r="J219" s="30"/>
      <c r="K219" s="30"/>
      <c r="L219" s="30"/>
      <c r="M219" s="30"/>
    </row>
    <row r="220" spans="1:13" s="14" customFormat="1" x14ac:dyDescent="0.25">
      <c r="A220" s="13"/>
      <c r="D220" s="30"/>
      <c r="E220" s="31"/>
      <c r="F220" s="30"/>
      <c r="G220" s="30"/>
      <c r="H220" s="30"/>
      <c r="I220" s="30"/>
      <c r="J220" s="30"/>
      <c r="K220" s="30"/>
      <c r="L220" s="30"/>
      <c r="M220" s="30"/>
    </row>
    <row r="221" spans="1:13" s="14" customFormat="1" x14ac:dyDescent="0.25">
      <c r="A221" s="13"/>
      <c r="D221" s="30"/>
      <c r="E221" s="31"/>
      <c r="F221" s="30"/>
      <c r="G221" s="30"/>
      <c r="H221" s="30"/>
      <c r="I221" s="30"/>
      <c r="J221" s="30"/>
      <c r="K221" s="30"/>
      <c r="L221" s="30"/>
      <c r="M221" s="30"/>
    </row>
    <row r="222" spans="1:13" s="14" customFormat="1" x14ac:dyDescent="0.25">
      <c r="A222" s="13"/>
      <c r="D222" s="30"/>
      <c r="E222" s="31"/>
      <c r="F222" s="30"/>
      <c r="G222" s="30"/>
      <c r="H222" s="30"/>
      <c r="I222" s="30"/>
      <c r="J222" s="30"/>
      <c r="K222" s="30"/>
      <c r="L222" s="30"/>
      <c r="M222" s="30"/>
    </row>
    <row r="223" spans="1:13" s="14" customFormat="1" x14ac:dyDescent="0.25">
      <c r="A223" s="13"/>
      <c r="D223" s="30"/>
      <c r="E223" s="31"/>
      <c r="F223" s="30"/>
      <c r="G223" s="30"/>
      <c r="H223" s="30"/>
      <c r="I223" s="30"/>
      <c r="J223" s="30"/>
      <c r="K223" s="30"/>
      <c r="L223" s="30"/>
      <c r="M223" s="30"/>
    </row>
    <row r="224" spans="1:13" s="14" customFormat="1" x14ac:dyDescent="0.25">
      <c r="A224" s="13"/>
      <c r="D224" s="30"/>
      <c r="E224" s="31"/>
      <c r="F224" s="30"/>
      <c r="G224" s="30"/>
      <c r="H224" s="30"/>
      <c r="I224" s="30"/>
      <c r="J224" s="30"/>
      <c r="K224" s="30"/>
      <c r="L224" s="30"/>
      <c r="M224" s="30"/>
    </row>
    <row r="225" spans="1:13" s="14" customFormat="1" x14ac:dyDescent="0.25">
      <c r="A225" s="13"/>
      <c r="D225" s="30"/>
      <c r="E225" s="31"/>
      <c r="F225" s="30"/>
      <c r="G225" s="30"/>
      <c r="H225" s="30"/>
      <c r="I225" s="30"/>
      <c r="J225" s="30"/>
      <c r="K225" s="30"/>
      <c r="L225" s="30"/>
      <c r="M225" s="30"/>
    </row>
    <row r="226" spans="1:13" s="14" customFormat="1" x14ac:dyDescent="0.25">
      <c r="A226" s="13"/>
      <c r="D226" s="30"/>
      <c r="E226" s="31"/>
      <c r="F226" s="30"/>
      <c r="G226" s="30"/>
      <c r="H226" s="30"/>
      <c r="I226" s="30"/>
      <c r="J226" s="30"/>
      <c r="K226" s="30"/>
      <c r="L226" s="30"/>
      <c r="M226" s="30"/>
    </row>
    <row r="227" spans="1:13" s="14" customFormat="1" x14ac:dyDescent="0.25">
      <c r="A227" s="13"/>
      <c r="D227" s="30"/>
      <c r="E227" s="31"/>
      <c r="F227" s="30"/>
      <c r="G227" s="30"/>
      <c r="H227" s="30"/>
      <c r="I227" s="30"/>
      <c r="J227" s="30"/>
      <c r="K227" s="30"/>
      <c r="L227" s="30"/>
      <c r="M227" s="30"/>
    </row>
    <row r="228" spans="1:13" s="14" customFormat="1" x14ac:dyDescent="0.25">
      <c r="A228" s="13"/>
      <c r="D228" s="30"/>
      <c r="E228" s="31"/>
      <c r="F228" s="30"/>
      <c r="G228" s="30"/>
      <c r="H228" s="30"/>
      <c r="I228" s="30"/>
      <c r="J228" s="30"/>
      <c r="K228" s="30"/>
      <c r="L228" s="30"/>
      <c r="M228" s="30"/>
    </row>
    <row r="229" spans="1:13" s="14" customFormat="1" x14ac:dyDescent="0.25">
      <c r="A229" s="13"/>
      <c r="D229" s="30"/>
      <c r="E229" s="31"/>
      <c r="F229" s="30"/>
      <c r="G229" s="30"/>
      <c r="H229" s="30"/>
      <c r="I229" s="30"/>
      <c r="J229" s="30"/>
      <c r="K229" s="30"/>
      <c r="L229" s="30"/>
      <c r="M229" s="30"/>
    </row>
    <row r="230" spans="1:13" s="14" customFormat="1" x14ac:dyDescent="0.25">
      <c r="A230" s="13"/>
      <c r="D230" s="30"/>
      <c r="E230" s="31"/>
      <c r="F230" s="30"/>
      <c r="G230" s="30"/>
      <c r="H230" s="30"/>
      <c r="I230" s="30"/>
      <c r="J230" s="30"/>
      <c r="K230" s="30"/>
      <c r="L230" s="30"/>
      <c r="M230" s="30"/>
    </row>
    <row r="231" spans="1:13" s="14" customFormat="1" x14ac:dyDescent="0.25">
      <c r="A231" s="13"/>
      <c r="D231" s="30"/>
      <c r="E231" s="31"/>
      <c r="F231" s="30"/>
      <c r="G231" s="30"/>
      <c r="H231" s="30"/>
      <c r="I231" s="30"/>
      <c r="J231" s="30"/>
      <c r="K231" s="30"/>
      <c r="L231" s="30"/>
      <c r="M231" s="30"/>
    </row>
    <row r="232" spans="1:13" s="14" customFormat="1" x14ac:dyDescent="0.25">
      <c r="A232" s="13"/>
      <c r="D232" s="30"/>
      <c r="E232" s="31"/>
      <c r="F232" s="30"/>
      <c r="G232" s="30"/>
      <c r="H232" s="30"/>
      <c r="I232" s="30"/>
      <c r="J232" s="30"/>
      <c r="K232" s="30"/>
      <c r="L232" s="30"/>
      <c r="M232" s="30"/>
    </row>
    <row r="233" spans="1:13" s="14" customFormat="1" x14ac:dyDescent="0.25">
      <c r="A233" s="13"/>
      <c r="D233" s="30"/>
      <c r="E233" s="31"/>
      <c r="F233" s="30"/>
      <c r="G233" s="30"/>
      <c r="H233" s="30"/>
      <c r="I233" s="30"/>
      <c r="J233" s="30"/>
      <c r="K233" s="30"/>
      <c r="L233" s="30"/>
      <c r="M233" s="30"/>
    </row>
    <row r="234" spans="1:13" s="14" customFormat="1" x14ac:dyDescent="0.25">
      <c r="A234" s="13"/>
      <c r="D234" s="30"/>
      <c r="E234" s="31"/>
      <c r="F234" s="30"/>
      <c r="G234" s="30"/>
      <c r="H234" s="30"/>
      <c r="I234" s="30"/>
      <c r="J234" s="30"/>
      <c r="K234" s="30"/>
      <c r="L234" s="30"/>
      <c r="M234" s="30"/>
    </row>
    <row r="235" spans="1:13" s="14" customFormat="1" x14ac:dyDescent="0.25">
      <c r="A235" s="13"/>
      <c r="D235" s="30"/>
      <c r="E235" s="31"/>
      <c r="F235" s="30"/>
      <c r="G235" s="30"/>
      <c r="H235" s="30"/>
      <c r="I235" s="30"/>
      <c r="J235" s="30"/>
      <c r="K235" s="30"/>
      <c r="L235" s="30"/>
      <c r="M235" s="30"/>
    </row>
    <row r="236" spans="1:13" s="14" customFormat="1" x14ac:dyDescent="0.25">
      <c r="A236" s="13"/>
      <c r="D236" s="30"/>
      <c r="E236" s="31"/>
      <c r="F236" s="30"/>
      <c r="G236" s="30"/>
      <c r="H236" s="30"/>
      <c r="I236" s="30"/>
      <c r="J236" s="30"/>
      <c r="K236" s="30"/>
      <c r="L236" s="30"/>
      <c r="M236" s="30"/>
    </row>
    <row r="237" spans="1:13" s="14" customFormat="1" x14ac:dyDescent="0.25">
      <c r="A237" s="13"/>
      <c r="D237" s="30"/>
      <c r="E237" s="31"/>
      <c r="F237" s="30"/>
      <c r="G237" s="30"/>
      <c r="H237" s="30"/>
      <c r="I237" s="30"/>
      <c r="J237" s="30"/>
      <c r="K237" s="30"/>
      <c r="L237" s="30"/>
      <c r="M237" s="30"/>
    </row>
    <row r="238" spans="1:13" s="14" customFormat="1" x14ac:dyDescent="0.25">
      <c r="A238" s="13"/>
      <c r="D238" s="30"/>
      <c r="E238" s="31"/>
      <c r="F238" s="30"/>
      <c r="G238" s="30"/>
      <c r="H238" s="30"/>
      <c r="I238" s="30"/>
      <c r="J238" s="30"/>
      <c r="K238" s="30"/>
      <c r="L238" s="30"/>
      <c r="M238" s="30"/>
    </row>
    <row r="239" spans="1:13" s="14" customFormat="1" x14ac:dyDescent="0.25">
      <c r="A239" s="13"/>
      <c r="D239" s="30"/>
      <c r="E239" s="31"/>
      <c r="F239" s="30"/>
      <c r="G239" s="30"/>
      <c r="H239" s="30"/>
      <c r="I239" s="30"/>
      <c r="J239" s="30"/>
      <c r="K239" s="30"/>
      <c r="L239" s="30"/>
      <c r="M239" s="30"/>
    </row>
    <row r="240" spans="1:13" s="14" customFormat="1" x14ac:dyDescent="0.25">
      <c r="A240" s="13"/>
      <c r="D240" s="30"/>
      <c r="E240" s="31"/>
      <c r="F240" s="30"/>
      <c r="G240" s="30"/>
      <c r="H240" s="30"/>
      <c r="I240" s="30"/>
      <c r="J240" s="30"/>
      <c r="K240" s="30"/>
      <c r="L240" s="30"/>
      <c r="M240" s="30"/>
    </row>
    <row r="241" spans="1:13" s="14" customFormat="1" x14ac:dyDescent="0.25">
      <c r="A241" s="13"/>
      <c r="D241" s="30"/>
      <c r="E241" s="31"/>
      <c r="F241" s="30"/>
      <c r="G241" s="30"/>
      <c r="H241" s="30"/>
      <c r="I241" s="30"/>
      <c r="J241" s="30"/>
      <c r="K241" s="30"/>
      <c r="L241" s="30"/>
      <c r="M241" s="30"/>
    </row>
    <row r="242" spans="1:13" s="14" customFormat="1" x14ac:dyDescent="0.25">
      <c r="A242" s="13"/>
      <c r="D242" s="30"/>
      <c r="E242" s="31"/>
      <c r="F242" s="30"/>
      <c r="G242" s="30"/>
      <c r="H242" s="30"/>
      <c r="I242" s="30"/>
      <c r="J242" s="30"/>
      <c r="K242" s="30"/>
      <c r="L242" s="30"/>
      <c r="M242" s="30"/>
    </row>
    <row r="243" spans="1:13" s="14" customFormat="1" x14ac:dyDescent="0.25">
      <c r="A243" s="13"/>
      <c r="D243" s="30"/>
      <c r="E243" s="31"/>
      <c r="F243" s="30"/>
      <c r="G243" s="30"/>
      <c r="H243" s="30"/>
      <c r="I243" s="30"/>
      <c r="J243" s="30"/>
      <c r="K243" s="30"/>
      <c r="L243" s="30"/>
      <c r="M243" s="30"/>
    </row>
    <row r="244" spans="1:13" s="14" customFormat="1" x14ac:dyDescent="0.25">
      <c r="A244" s="13"/>
      <c r="D244" s="30"/>
      <c r="E244" s="31"/>
      <c r="F244" s="30"/>
      <c r="G244" s="30"/>
      <c r="H244" s="30"/>
      <c r="I244" s="30"/>
      <c r="J244" s="30"/>
      <c r="K244" s="30"/>
      <c r="L244" s="30"/>
      <c r="M244" s="30"/>
    </row>
    <row r="245" spans="1:13" s="14" customFormat="1" x14ac:dyDescent="0.25">
      <c r="A245" s="13"/>
      <c r="D245" s="30"/>
      <c r="E245" s="31"/>
      <c r="F245" s="30"/>
      <c r="G245" s="30"/>
      <c r="H245" s="30"/>
      <c r="I245" s="30"/>
      <c r="J245" s="30"/>
      <c r="K245" s="30"/>
      <c r="L245" s="30"/>
      <c r="M245" s="30"/>
    </row>
    <row r="246" spans="1:13" s="14" customFormat="1" x14ac:dyDescent="0.25">
      <c r="A246" s="13"/>
      <c r="D246" s="30"/>
      <c r="E246" s="31"/>
      <c r="F246" s="30"/>
      <c r="G246" s="30"/>
      <c r="H246" s="30"/>
      <c r="I246" s="30"/>
      <c r="J246" s="30"/>
      <c r="K246" s="30"/>
      <c r="L246" s="30"/>
      <c r="M246" s="30"/>
    </row>
    <row r="247" spans="1:13" s="14" customFormat="1" x14ac:dyDescent="0.25">
      <c r="A247" s="13"/>
      <c r="D247" s="30"/>
      <c r="E247" s="31"/>
      <c r="F247" s="30"/>
      <c r="G247" s="30"/>
      <c r="H247" s="30"/>
      <c r="I247" s="30"/>
      <c r="J247" s="30"/>
      <c r="K247" s="30"/>
      <c r="L247" s="30"/>
      <c r="M247" s="30"/>
    </row>
    <row r="248" spans="1:13" s="14" customFormat="1" x14ac:dyDescent="0.25">
      <c r="A248" s="13"/>
      <c r="D248" s="30"/>
      <c r="E248" s="31"/>
      <c r="F248" s="30"/>
      <c r="G248" s="30"/>
      <c r="H248" s="30"/>
      <c r="I248" s="30"/>
      <c r="J248" s="30"/>
      <c r="K248" s="30"/>
      <c r="L248" s="30"/>
      <c r="M248" s="30"/>
    </row>
    <row r="249" spans="1:13" s="14" customFormat="1" x14ac:dyDescent="0.25">
      <c r="A249" s="13"/>
      <c r="D249" s="30"/>
      <c r="E249" s="31"/>
      <c r="F249" s="30"/>
      <c r="G249" s="30"/>
      <c r="H249" s="30"/>
      <c r="I249" s="30"/>
      <c r="J249" s="30"/>
      <c r="K249" s="30"/>
      <c r="L249" s="30"/>
      <c r="M249" s="30"/>
    </row>
    <row r="250" spans="1:13" s="14" customFormat="1" x14ac:dyDescent="0.25">
      <c r="A250" s="13"/>
      <c r="D250" s="30"/>
      <c r="E250" s="31"/>
      <c r="F250" s="30"/>
      <c r="G250" s="30"/>
      <c r="H250" s="30"/>
      <c r="I250" s="30"/>
      <c r="J250" s="30"/>
      <c r="K250" s="30"/>
      <c r="L250" s="30"/>
      <c r="M250" s="30"/>
    </row>
    <row r="251" spans="1:13" s="14" customFormat="1" x14ac:dyDescent="0.25">
      <c r="A251" s="13"/>
      <c r="D251" s="30"/>
      <c r="E251" s="31"/>
      <c r="F251" s="30"/>
      <c r="G251" s="30"/>
      <c r="H251" s="30"/>
      <c r="I251" s="30"/>
      <c r="J251" s="30"/>
      <c r="K251" s="30"/>
      <c r="L251" s="30"/>
      <c r="M251" s="30"/>
    </row>
    <row r="252" spans="1:13" s="14" customFormat="1" x14ac:dyDescent="0.25">
      <c r="A252" s="13"/>
      <c r="D252" s="30"/>
      <c r="E252" s="31"/>
      <c r="F252" s="30"/>
      <c r="G252" s="30"/>
      <c r="H252" s="30"/>
      <c r="I252" s="30"/>
      <c r="J252" s="30"/>
      <c r="K252" s="30"/>
      <c r="L252" s="30"/>
      <c r="M252" s="30"/>
    </row>
    <row r="253" spans="1:13" s="14" customFormat="1" x14ac:dyDescent="0.25">
      <c r="A253" s="13"/>
      <c r="D253" s="30"/>
      <c r="E253" s="31"/>
      <c r="F253" s="30"/>
      <c r="G253" s="30"/>
      <c r="H253" s="30"/>
      <c r="I253" s="30"/>
      <c r="J253" s="30"/>
      <c r="K253" s="30"/>
      <c r="L253" s="30"/>
      <c r="M253" s="30"/>
    </row>
    <row r="254" spans="1:13" s="14" customFormat="1" x14ac:dyDescent="0.25">
      <c r="A254" s="13"/>
      <c r="D254" s="30"/>
      <c r="E254" s="31"/>
      <c r="F254" s="30"/>
      <c r="G254" s="30"/>
      <c r="H254" s="30"/>
      <c r="I254" s="30"/>
      <c r="J254" s="30"/>
      <c r="K254" s="30"/>
      <c r="L254" s="30"/>
      <c r="M254" s="30"/>
    </row>
    <row r="255" spans="1:13" s="14" customFormat="1" x14ac:dyDescent="0.25">
      <c r="A255" s="13"/>
      <c r="D255" s="30"/>
      <c r="E255" s="31"/>
      <c r="F255" s="30"/>
      <c r="G255" s="30"/>
      <c r="H255" s="30"/>
      <c r="I255" s="30"/>
      <c r="J255" s="30"/>
      <c r="K255" s="30"/>
      <c r="L255" s="30"/>
      <c r="M255" s="30"/>
    </row>
    <row r="256" spans="1:13" s="14" customFormat="1" x14ac:dyDescent="0.25">
      <c r="A256" s="13"/>
      <c r="D256" s="30"/>
      <c r="E256" s="31"/>
      <c r="F256" s="30"/>
      <c r="G256" s="30"/>
      <c r="H256" s="30"/>
      <c r="I256" s="30"/>
      <c r="J256" s="30"/>
      <c r="K256" s="30"/>
      <c r="L256" s="30"/>
      <c r="M256" s="30"/>
    </row>
    <row r="257" spans="1:13" s="14" customFormat="1" x14ac:dyDescent="0.25">
      <c r="A257" s="13"/>
      <c r="D257" s="30"/>
      <c r="E257" s="31"/>
      <c r="F257" s="30"/>
      <c r="G257" s="30"/>
      <c r="H257" s="30"/>
      <c r="I257" s="30"/>
      <c r="J257" s="30"/>
      <c r="K257" s="30"/>
      <c r="L257" s="30"/>
      <c r="M257" s="30"/>
    </row>
    <row r="258" spans="1:13" s="14" customFormat="1" x14ac:dyDescent="0.25">
      <c r="A258" s="13"/>
      <c r="D258" s="30"/>
      <c r="E258" s="31"/>
      <c r="F258" s="30"/>
      <c r="G258" s="30"/>
      <c r="H258" s="30"/>
      <c r="I258" s="30"/>
      <c r="J258" s="30"/>
      <c r="K258" s="30"/>
      <c r="L258" s="30"/>
      <c r="M258" s="30"/>
    </row>
    <row r="259" spans="1:13" s="14" customFormat="1" x14ac:dyDescent="0.25">
      <c r="A259" s="13"/>
      <c r="D259" s="30"/>
      <c r="E259" s="31"/>
      <c r="F259" s="30"/>
      <c r="G259" s="30"/>
      <c r="H259" s="30"/>
      <c r="I259" s="30"/>
      <c r="J259" s="30"/>
      <c r="K259" s="30"/>
      <c r="L259" s="30"/>
      <c r="M259" s="30"/>
    </row>
    <row r="260" spans="1:13" s="14" customFormat="1" x14ac:dyDescent="0.25">
      <c r="A260" s="13"/>
      <c r="D260" s="30"/>
      <c r="E260" s="31"/>
      <c r="F260" s="30"/>
      <c r="G260" s="30"/>
      <c r="H260" s="30"/>
      <c r="I260" s="30"/>
      <c r="J260" s="30"/>
      <c r="K260" s="30"/>
      <c r="L260" s="30"/>
      <c r="M260" s="30"/>
    </row>
    <row r="261" spans="1:13" s="14" customFormat="1" x14ac:dyDescent="0.25">
      <c r="A261" s="13"/>
      <c r="D261" s="30"/>
      <c r="E261" s="31"/>
      <c r="F261" s="30"/>
      <c r="G261" s="30"/>
      <c r="H261" s="30"/>
      <c r="I261" s="30"/>
      <c r="J261" s="30"/>
      <c r="K261" s="30"/>
      <c r="L261" s="30"/>
      <c r="M261" s="30"/>
    </row>
    <row r="262" spans="1:13" s="14" customFormat="1" x14ac:dyDescent="0.25">
      <c r="A262" s="13"/>
      <c r="D262" s="30"/>
      <c r="E262" s="31"/>
      <c r="F262" s="30"/>
      <c r="G262" s="30"/>
      <c r="H262" s="30"/>
      <c r="I262" s="30"/>
      <c r="J262" s="30"/>
      <c r="K262" s="30"/>
      <c r="L262" s="30"/>
      <c r="M262" s="30"/>
    </row>
    <row r="263" spans="1:13" s="14" customFormat="1" x14ac:dyDescent="0.25">
      <c r="A263" s="13"/>
      <c r="D263" s="30"/>
      <c r="E263" s="31"/>
      <c r="F263" s="30"/>
      <c r="G263" s="30"/>
      <c r="H263" s="30"/>
      <c r="I263" s="30"/>
      <c r="J263" s="30"/>
      <c r="K263" s="30"/>
      <c r="L263" s="30"/>
      <c r="M263" s="30"/>
    </row>
    <row r="264" spans="1:13" s="14" customFormat="1" x14ac:dyDescent="0.25">
      <c r="A264" s="13"/>
      <c r="D264" s="30"/>
      <c r="E264" s="31"/>
      <c r="F264" s="30"/>
      <c r="G264" s="30"/>
      <c r="H264" s="30"/>
      <c r="I264" s="30"/>
      <c r="J264" s="30"/>
      <c r="K264" s="30"/>
      <c r="L264" s="30"/>
      <c r="M264" s="30"/>
    </row>
    <row r="265" spans="1:13" s="14" customFormat="1" x14ac:dyDescent="0.25">
      <c r="A265" s="13"/>
      <c r="D265" s="30"/>
      <c r="E265" s="31"/>
      <c r="F265" s="30"/>
      <c r="G265" s="30"/>
      <c r="H265" s="30"/>
      <c r="I265" s="30"/>
      <c r="J265" s="30"/>
      <c r="K265" s="30"/>
      <c r="L265" s="30"/>
      <c r="M265" s="30"/>
    </row>
    <row r="266" spans="1:13" s="14" customFormat="1" x14ac:dyDescent="0.25">
      <c r="A266" s="13"/>
      <c r="D266" s="30"/>
      <c r="E266" s="31"/>
      <c r="F266" s="30"/>
      <c r="G266" s="30"/>
      <c r="H266" s="30"/>
      <c r="I266" s="30"/>
      <c r="J266" s="30"/>
      <c r="K266" s="30"/>
      <c r="L266" s="30"/>
      <c r="M266" s="30"/>
    </row>
    <row r="267" spans="1:13" s="14" customFormat="1" x14ac:dyDescent="0.25">
      <c r="A267" s="13"/>
      <c r="D267" s="30"/>
      <c r="E267" s="31"/>
      <c r="F267" s="30"/>
      <c r="G267" s="30"/>
      <c r="H267" s="30"/>
      <c r="I267" s="30"/>
      <c r="J267" s="30"/>
      <c r="K267" s="30"/>
      <c r="L267" s="30"/>
      <c r="M267" s="30"/>
    </row>
    <row r="268" spans="1:13" s="14" customFormat="1" x14ac:dyDescent="0.25">
      <c r="A268" s="13"/>
      <c r="D268" s="30"/>
      <c r="E268" s="31"/>
      <c r="F268" s="30"/>
      <c r="G268" s="30"/>
      <c r="H268" s="30"/>
      <c r="I268" s="30"/>
      <c r="J268" s="30"/>
      <c r="K268" s="30"/>
      <c r="L268" s="30"/>
      <c r="M268" s="30"/>
    </row>
    <row r="269" spans="1:13" s="14" customFormat="1" x14ac:dyDescent="0.25">
      <c r="A269" s="13"/>
      <c r="D269" s="30"/>
      <c r="E269" s="31"/>
      <c r="F269" s="30"/>
      <c r="G269" s="30"/>
      <c r="H269" s="30"/>
      <c r="I269" s="30"/>
      <c r="J269" s="30"/>
      <c r="K269" s="30"/>
      <c r="L269" s="30"/>
      <c r="M269" s="30"/>
    </row>
    <row r="270" spans="1:13" s="14" customFormat="1" x14ac:dyDescent="0.25">
      <c r="A270" s="13"/>
      <c r="D270" s="30"/>
      <c r="E270" s="31"/>
      <c r="F270" s="30"/>
      <c r="G270" s="30"/>
      <c r="H270" s="30"/>
      <c r="I270" s="30"/>
      <c r="J270" s="30"/>
      <c r="K270" s="30"/>
      <c r="L270" s="30"/>
      <c r="M270" s="30"/>
    </row>
    <row r="271" spans="1:13" s="14" customFormat="1" x14ac:dyDescent="0.25">
      <c r="A271" s="13"/>
      <c r="D271" s="30"/>
      <c r="E271" s="31"/>
      <c r="F271" s="30"/>
      <c r="G271" s="30"/>
      <c r="H271" s="30"/>
      <c r="I271" s="30"/>
      <c r="J271" s="30"/>
      <c r="K271" s="30"/>
      <c r="L271" s="30"/>
      <c r="M271" s="30"/>
    </row>
    <row r="272" spans="1:13" s="14" customFormat="1" x14ac:dyDescent="0.25">
      <c r="A272" s="13"/>
      <c r="D272" s="30"/>
      <c r="E272" s="31"/>
      <c r="F272" s="30"/>
      <c r="G272" s="30"/>
      <c r="H272" s="30"/>
      <c r="I272" s="30"/>
      <c r="J272" s="30"/>
      <c r="K272" s="30"/>
      <c r="L272" s="30"/>
      <c r="M272" s="30"/>
    </row>
    <row r="273" spans="1:13" s="14" customFormat="1" x14ac:dyDescent="0.25">
      <c r="A273" s="13"/>
      <c r="D273" s="30"/>
      <c r="E273" s="31"/>
      <c r="F273" s="30"/>
      <c r="G273" s="30"/>
      <c r="H273" s="30"/>
      <c r="I273" s="30"/>
      <c r="J273" s="30"/>
      <c r="K273" s="30"/>
      <c r="L273" s="30"/>
      <c r="M273" s="30"/>
    </row>
    <row r="274" spans="1:13" s="14" customFormat="1" x14ac:dyDescent="0.25">
      <c r="A274" s="13"/>
      <c r="D274" s="30"/>
      <c r="E274" s="31"/>
      <c r="F274" s="30"/>
      <c r="G274" s="30"/>
      <c r="H274" s="30"/>
      <c r="I274" s="30"/>
      <c r="J274" s="30"/>
      <c r="K274" s="30"/>
      <c r="L274" s="30"/>
      <c r="M274" s="30"/>
    </row>
    <row r="275" spans="1:13" s="14" customFormat="1" x14ac:dyDescent="0.25">
      <c r="A275" s="13"/>
      <c r="D275" s="30"/>
      <c r="E275" s="31"/>
      <c r="F275" s="30"/>
      <c r="G275" s="30"/>
      <c r="H275" s="30"/>
      <c r="I275" s="30"/>
      <c r="J275" s="30"/>
      <c r="K275" s="30"/>
      <c r="L275" s="30"/>
      <c r="M275" s="30"/>
    </row>
    <row r="276" spans="1:13" s="14" customFormat="1" x14ac:dyDescent="0.25">
      <c r="A276" s="13"/>
      <c r="D276" s="30"/>
      <c r="E276" s="31"/>
      <c r="F276" s="30"/>
      <c r="G276" s="30"/>
      <c r="H276" s="30"/>
      <c r="I276" s="30"/>
      <c r="J276" s="30"/>
      <c r="K276" s="30"/>
      <c r="L276" s="30"/>
      <c r="M276" s="30"/>
    </row>
    <row r="277" spans="1:13" s="14" customFormat="1" x14ac:dyDescent="0.25">
      <c r="A277" s="13"/>
      <c r="D277" s="30"/>
      <c r="E277" s="31"/>
      <c r="F277" s="30"/>
      <c r="G277" s="30"/>
      <c r="H277" s="30"/>
      <c r="I277" s="30"/>
      <c r="J277" s="30"/>
      <c r="K277" s="30"/>
      <c r="L277" s="30"/>
      <c r="M277" s="30"/>
    </row>
    <row r="278" spans="1:13" s="14" customFormat="1" x14ac:dyDescent="0.25">
      <c r="A278" s="13"/>
      <c r="D278" s="30"/>
      <c r="E278" s="31"/>
      <c r="F278" s="30"/>
      <c r="G278" s="30"/>
      <c r="H278" s="30"/>
      <c r="I278" s="30"/>
      <c r="J278" s="30"/>
      <c r="K278" s="30"/>
      <c r="L278" s="30"/>
      <c r="M278" s="30"/>
    </row>
    <row r="279" spans="1:13" s="14" customFormat="1" x14ac:dyDescent="0.25">
      <c r="A279" s="13"/>
      <c r="D279" s="30"/>
      <c r="E279" s="31"/>
      <c r="F279" s="30"/>
      <c r="G279" s="30"/>
      <c r="H279" s="30"/>
      <c r="I279" s="30"/>
      <c r="J279" s="30"/>
      <c r="K279" s="30"/>
      <c r="L279" s="30"/>
      <c r="M279" s="30"/>
    </row>
    <row r="280" spans="1:13" s="14" customFormat="1" x14ac:dyDescent="0.25">
      <c r="A280" s="13"/>
      <c r="D280" s="30"/>
      <c r="E280" s="31"/>
      <c r="F280" s="30"/>
      <c r="G280" s="30"/>
      <c r="H280" s="30"/>
      <c r="I280" s="30"/>
      <c r="J280" s="30"/>
      <c r="K280" s="30"/>
      <c r="L280" s="30"/>
      <c r="M280" s="30"/>
    </row>
    <row r="281" spans="1:13" s="14" customFormat="1" x14ac:dyDescent="0.25">
      <c r="A281" s="13"/>
      <c r="D281" s="30"/>
      <c r="E281" s="31"/>
      <c r="F281" s="30"/>
      <c r="G281" s="30"/>
      <c r="H281" s="30"/>
      <c r="I281" s="30"/>
      <c r="J281" s="30"/>
      <c r="K281" s="30"/>
      <c r="L281" s="30"/>
      <c r="M281" s="30"/>
    </row>
    <row r="282" spans="1:13" s="14" customFormat="1" x14ac:dyDescent="0.25">
      <c r="A282" s="13"/>
      <c r="D282" s="30"/>
      <c r="E282" s="31"/>
      <c r="F282" s="30"/>
      <c r="G282" s="30"/>
      <c r="H282" s="30"/>
      <c r="I282" s="30"/>
      <c r="J282" s="30"/>
      <c r="K282" s="30"/>
      <c r="L282" s="30"/>
      <c r="M282" s="30"/>
    </row>
    <row r="283" spans="1:13" s="14" customFormat="1" x14ac:dyDescent="0.25">
      <c r="A283" s="13"/>
      <c r="D283" s="30"/>
      <c r="E283" s="31"/>
      <c r="F283" s="30"/>
      <c r="G283" s="30"/>
      <c r="H283" s="30"/>
      <c r="I283" s="30"/>
      <c r="J283" s="30"/>
      <c r="K283" s="30"/>
      <c r="L283" s="30"/>
      <c r="M283" s="30"/>
    </row>
    <row r="284" spans="1:13" s="14" customFormat="1" x14ac:dyDescent="0.25">
      <c r="A284" s="13"/>
      <c r="D284" s="30"/>
      <c r="E284" s="31"/>
      <c r="F284" s="30"/>
      <c r="G284" s="30"/>
      <c r="H284" s="30"/>
      <c r="I284" s="30"/>
      <c r="J284" s="30"/>
      <c r="K284" s="30"/>
      <c r="L284" s="30"/>
      <c r="M284" s="30"/>
    </row>
    <row r="285" spans="1:13" s="14" customFormat="1" x14ac:dyDescent="0.25">
      <c r="A285" s="13"/>
      <c r="D285" s="30"/>
      <c r="E285" s="31"/>
      <c r="F285" s="30"/>
      <c r="G285" s="30"/>
      <c r="H285" s="30"/>
      <c r="I285" s="30"/>
      <c r="J285" s="30"/>
      <c r="K285" s="30"/>
      <c r="L285" s="30"/>
      <c r="M285" s="30"/>
    </row>
    <row r="286" spans="1:13" s="14" customFormat="1" x14ac:dyDescent="0.25">
      <c r="A286" s="13"/>
      <c r="D286" s="30"/>
      <c r="E286" s="31"/>
      <c r="F286" s="30"/>
      <c r="G286" s="30"/>
      <c r="H286" s="30"/>
      <c r="I286" s="30"/>
      <c r="J286" s="30"/>
      <c r="K286" s="30"/>
      <c r="L286" s="30"/>
      <c r="M286" s="30"/>
    </row>
    <row r="287" spans="1:13" s="14" customFormat="1" x14ac:dyDescent="0.25">
      <c r="A287" s="13"/>
      <c r="D287" s="30"/>
      <c r="E287" s="31"/>
      <c r="F287" s="30"/>
      <c r="G287" s="30"/>
      <c r="H287" s="30"/>
      <c r="I287" s="30"/>
      <c r="J287" s="30"/>
      <c r="K287" s="30"/>
      <c r="L287" s="30"/>
      <c r="M287" s="30"/>
    </row>
    <row r="288" spans="1:13" s="14" customFormat="1" x14ac:dyDescent="0.25">
      <c r="A288" s="13"/>
      <c r="D288" s="30"/>
      <c r="E288" s="31"/>
      <c r="F288" s="30"/>
      <c r="G288" s="30"/>
      <c r="H288" s="30"/>
      <c r="I288" s="30"/>
      <c r="J288" s="30"/>
      <c r="K288" s="30"/>
      <c r="L288" s="30"/>
      <c r="M288" s="30"/>
    </row>
    <row r="289" spans="1:13" s="14" customFormat="1" x14ac:dyDescent="0.25">
      <c r="A289" s="13"/>
      <c r="D289" s="30"/>
      <c r="E289" s="31"/>
      <c r="F289" s="30"/>
      <c r="G289" s="30"/>
      <c r="H289" s="30"/>
      <c r="I289" s="30"/>
      <c r="J289" s="30"/>
      <c r="K289" s="30"/>
      <c r="L289" s="30"/>
      <c r="M289" s="30"/>
    </row>
    <row r="290" spans="1:13" s="14" customFormat="1" x14ac:dyDescent="0.25">
      <c r="A290" s="13"/>
      <c r="D290" s="30"/>
      <c r="E290" s="31"/>
      <c r="F290" s="30"/>
      <c r="G290" s="30"/>
      <c r="H290" s="30"/>
      <c r="I290" s="30"/>
      <c r="J290" s="30"/>
      <c r="K290" s="30"/>
      <c r="L290" s="30"/>
      <c r="M290" s="30"/>
    </row>
    <row r="291" spans="1:13" s="14" customFormat="1" x14ac:dyDescent="0.25">
      <c r="A291" s="13"/>
      <c r="D291" s="30"/>
      <c r="E291" s="31"/>
      <c r="F291" s="30"/>
      <c r="G291" s="30"/>
      <c r="H291" s="30"/>
      <c r="I291" s="30"/>
      <c r="J291" s="30"/>
      <c r="K291" s="30"/>
      <c r="L291" s="30"/>
      <c r="M291" s="30"/>
    </row>
    <row r="292" spans="1:13" s="14" customFormat="1" x14ac:dyDescent="0.25">
      <c r="A292" s="13"/>
      <c r="D292" s="30"/>
      <c r="E292" s="31"/>
      <c r="F292" s="30"/>
      <c r="G292" s="30"/>
      <c r="H292" s="30"/>
      <c r="I292" s="30"/>
      <c r="J292" s="30"/>
      <c r="K292" s="30"/>
      <c r="L292" s="30"/>
      <c r="M292" s="30"/>
    </row>
    <row r="293" spans="1:13" s="14" customFormat="1" x14ac:dyDescent="0.25">
      <c r="A293" s="13"/>
      <c r="D293" s="30"/>
      <c r="E293" s="31"/>
      <c r="F293" s="30"/>
      <c r="G293" s="30"/>
      <c r="H293" s="30"/>
      <c r="I293" s="30"/>
      <c r="J293" s="30"/>
      <c r="K293" s="30"/>
      <c r="L293" s="30"/>
      <c r="M293" s="30"/>
    </row>
    <row r="294" spans="1:13" s="14" customFormat="1" x14ac:dyDescent="0.25">
      <c r="A294" s="13"/>
      <c r="D294" s="30"/>
      <c r="E294" s="31"/>
      <c r="F294" s="30"/>
      <c r="G294" s="30"/>
      <c r="H294" s="30"/>
      <c r="I294" s="30"/>
      <c r="J294" s="30"/>
      <c r="K294" s="30"/>
      <c r="L294" s="30"/>
      <c r="M294" s="30"/>
    </row>
    <row r="295" spans="1:13" s="14" customFormat="1" x14ac:dyDescent="0.25">
      <c r="A295" s="13"/>
      <c r="D295" s="30"/>
      <c r="E295" s="31"/>
      <c r="F295" s="30"/>
      <c r="G295" s="30"/>
      <c r="H295" s="30"/>
      <c r="I295" s="30"/>
      <c r="J295" s="30"/>
      <c r="K295" s="30"/>
      <c r="L295" s="30"/>
      <c r="M295" s="30"/>
    </row>
    <row r="296" spans="1:13" s="14" customFormat="1" x14ac:dyDescent="0.25">
      <c r="A296" s="13"/>
      <c r="D296" s="30"/>
      <c r="E296" s="31"/>
      <c r="F296" s="30"/>
      <c r="G296" s="30"/>
      <c r="H296" s="30"/>
      <c r="I296" s="30"/>
      <c r="J296" s="30"/>
      <c r="K296" s="30"/>
      <c r="L296" s="30"/>
      <c r="M296" s="30"/>
    </row>
    <row r="297" spans="1:13" s="14" customFormat="1" x14ac:dyDescent="0.25">
      <c r="A297" s="13"/>
      <c r="D297" s="30"/>
      <c r="E297" s="31"/>
      <c r="F297" s="30"/>
      <c r="G297" s="30"/>
      <c r="H297" s="30"/>
      <c r="I297" s="30"/>
      <c r="J297" s="30"/>
      <c r="K297" s="30"/>
      <c r="L297" s="30"/>
      <c r="M297" s="30"/>
    </row>
    <row r="298" spans="1:13" s="14" customFormat="1" x14ac:dyDescent="0.25">
      <c r="A298" s="13"/>
      <c r="D298" s="30"/>
      <c r="E298" s="31"/>
      <c r="F298" s="30"/>
      <c r="G298" s="30"/>
      <c r="H298" s="30"/>
      <c r="I298" s="30"/>
      <c r="J298" s="30"/>
      <c r="K298" s="30"/>
      <c r="L298" s="30"/>
      <c r="M298" s="30"/>
    </row>
    <row r="299" spans="1:13" s="14" customFormat="1" x14ac:dyDescent="0.25">
      <c r="A299" s="13"/>
      <c r="D299" s="30"/>
      <c r="E299" s="31"/>
      <c r="F299" s="30"/>
      <c r="G299" s="30"/>
      <c r="H299" s="30"/>
      <c r="I299" s="30"/>
      <c r="J299" s="30"/>
      <c r="K299" s="30"/>
      <c r="L299" s="30"/>
      <c r="M299" s="30"/>
    </row>
    <row r="300" spans="1:13" s="14" customFormat="1" x14ac:dyDescent="0.25">
      <c r="A300" s="13"/>
      <c r="D300" s="30"/>
      <c r="E300" s="31"/>
      <c r="F300" s="30"/>
      <c r="G300" s="30"/>
      <c r="H300" s="30"/>
      <c r="I300" s="30"/>
      <c r="J300" s="30"/>
      <c r="K300" s="30"/>
      <c r="L300" s="30"/>
      <c r="M300" s="30"/>
    </row>
    <row r="301" spans="1:13" s="14" customFormat="1" x14ac:dyDescent="0.25">
      <c r="A301" s="13"/>
      <c r="D301" s="30"/>
      <c r="E301" s="31"/>
      <c r="F301" s="30"/>
      <c r="G301" s="30"/>
      <c r="H301" s="30"/>
      <c r="I301" s="30"/>
      <c r="J301" s="30"/>
      <c r="K301" s="30"/>
      <c r="L301" s="30"/>
      <c r="M301" s="30"/>
    </row>
    <row r="302" spans="1:13" s="14" customFormat="1" x14ac:dyDescent="0.25">
      <c r="A302" s="13"/>
      <c r="D302" s="30"/>
      <c r="E302" s="31"/>
      <c r="F302" s="30"/>
      <c r="G302" s="30"/>
      <c r="H302" s="30"/>
      <c r="I302" s="30"/>
      <c r="J302" s="30"/>
      <c r="K302" s="30"/>
      <c r="L302" s="30"/>
      <c r="M302" s="30"/>
    </row>
    <row r="303" spans="1:13" s="14" customFormat="1" x14ac:dyDescent="0.25">
      <c r="A303" s="13"/>
      <c r="D303" s="30"/>
      <c r="E303" s="31"/>
      <c r="F303" s="30"/>
      <c r="G303" s="30"/>
      <c r="H303" s="30"/>
      <c r="I303" s="30"/>
      <c r="J303" s="30"/>
      <c r="K303" s="30"/>
      <c r="L303" s="30"/>
      <c r="M303" s="30"/>
    </row>
    <row r="304" spans="1:13" s="14" customFormat="1" x14ac:dyDescent="0.25">
      <c r="A304" s="13"/>
      <c r="D304" s="30"/>
      <c r="E304" s="31"/>
      <c r="F304" s="30"/>
      <c r="G304" s="30"/>
      <c r="H304" s="30"/>
      <c r="I304" s="30"/>
      <c r="J304" s="30"/>
      <c r="K304" s="30"/>
      <c r="L304" s="30"/>
      <c r="M304" s="30"/>
    </row>
    <row r="305" spans="1:13" s="14" customFormat="1" x14ac:dyDescent="0.25">
      <c r="A305" s="13"/>
      <c r="D305" s="30"/>
      <c r="E305" s="31"/>
      <c r="F305" s="30"/>
      <c r="G305" s="30"/>
      <c r="H305" s="30"/>
      <c r="I305" s="30"/>
      <c r="J305" s="30"/>
      <c r="K305" s="30"/>
      <c r="L305" s="30"/>
      <c r="M305" s="30"/>
    </row>
    <row r="306" spans="1:13" s="14" customFormat="1" x14ac:dyDescent="0.25">
      <c r="A306" s="13"/>
      <c r="D306" s="30"/>
      <c r="E306" s="31"/>
      <c r="F306" s="30"/>
      <c r="G306" s="30"/>
      <c r="H306" s="30"/>
      <c r="I306" s="30"/>
      <c r="J306" s="30"/>
      <c r="K306" s="30"/>
      <c r="L306" s="30"/>
      <c r="M306" s="30"/>
    </row>
    <row r="307" spans="1:13" s="14" customFormat="1" x14ac:dyDescent="0.25">
      <c r="A307" s="13"/>
      <c r="D307" s="30"/>
      <c r="E307" s="31"/>
      <c r="F307" s="30"/>
      <c r="G307" s="30"/>
      <c r="H307" s="30"/>
      <c r="I307" s="30"/>
      <c r="J307" s="30"/>
      <c r="K307" s="30"/>
      <c r="L307" s="30"/>
      <c r="M307" s="30"/>
    </row>
    <row r="308" spans="1:13" s="14" customFormat="1" x14ac:dyDescent="0.25">
      <c r="A308" s="13"/>
      <c r="D308" s="30"/>
      <c r="E308" s="31"/>
      <c r="F308" s="30"/>
      <c r="G308" s="30"/>
      <c r="H308" s="30"/>
      <c r="I308" s="30"/>
      <c r="J308" s="30"/>
      <c r="K308" s="30"/>
      <c r="L308" s="30"/>
      <c r="M308" s="30"/>
    </row>
    <row r="309" spans="1:13" s="14" customFormat="1" x14ac:dyDescent="0.25">
      <c r="A309" s="13"/>
      <c r="D309" s="30"/>
      <c r="E309" s="31"/>
      <c r="F309" s="30"/>
      <c r="G309" s="30"/>
      <c r="H309" s="30"/>
      <c r="I309" s="30"/>
      <c r="J309" s="30"/>
      <c r="K309" s="30"/>
      <c r="L309" s="30"/>
      <c r="M309" s="30"/>
    </row>
    <row r="310" spans="1:13" s="14" customFormat="1" x14ac:dyDescent="0.25">
      <c r="A310" s="13"/>
      <c r="D310" s="30"/>
      <c r="E310" s="31"/>
      <c r="F310" s="30"/>
      <c r="G310" s="30"/>
      <c r="H310" s="30"/>
      <c r="I310" s="30"/>
      <c r="J310" s="30"/>
      <c r="K310" s="30"/>
      <c r="L310" s="30"/>
      <c r="M310" s="30"/>
    </row>
    <row r="311" spans="1:13" s="14" customFormat="1" x14ac:dyDescent="0.25">
      <c r="A311" s="13"/>
      <c r="D311" s="30"/>
      <c r="E311" s="31"/>
      <c r="F311" s="30"/>
      <c r="G311" s="30"/>
      <c r="H311" s="30"/>
      <c r="I311" s="30"/>
      <c r="J311" s="30"/>
      <c r="K311" s="30"/>
      <c r="L311" s="30"/>
      <c r="M311" s="30"/>
    </row>
    <row r="312" spans="1:13" s="14" customFormat="1" x14ac:dyDescent="0.25">
      <c r="A312" s="13"/>
      <c r="D312" s="30"/>
      <c r="E312" s="31"/>
      <c r="F312" s="30"/>
      <c r="G312" s="30"/>
      <c r="H312" s="30"/>
      <c r="I312" s="30"/>
      <c r="J312" s="30"/>
      <c r="K312" s="30"/>
      <c r="L312" s="30"/>
      <c r="M312" s="30"/>
    </row>
    <row r="313" spans="1:13" s="14" customFormat="1" x14ac:dyDescent="0.25">
      <c r="A313" s="13"/>
      <c r="D313" s="30"/>
      <c r="E313" s="31"/>
      <c r="F313" s="30"/>
      <c r="G313" s="30"/>
      <c r="H313" s="30"/>
      <c r="I313" s="30"/>
      <c r="J313" s="30"/>
      <c r="K313" s="30"/>
      <c r="L313" s="30"/>
      <c r="M313" s="30"/>
    </row>
    <row r="314" spans="1:13" s="14" customFormat="1" x14ac:dyDescent="0.25">
      <c r="A314" s="13"/>
      <c r="D314" s="30"/>
      <c r="E314" s="31"/>
      <c r="F314" s="30"/>
      <c r="G314" s="30"/>
      <c r="H314" s="30"/>
      <c r="I314" s="30"/>
      <c r="J314" s="30"/>
      <c r="K314" s="30"/>
      <c r="L314" s="30"/>
      <c r="M314" s="30"/>
    </row>
    <row r="315" spans="1:13" s="14" customFormat="1" x14ac:dyDescent="0.25">
      <c r="A315" s="13"/>
      <c r="D315" s="30"/>
      <c r="E315" s="31"/>
      <c r="F315" s="30"/>
      <c r="G315" s="30"/>
      <c r="H315" s="30"/>
      <c r="I315" s="30"/>
      <c r="J315" s="30"/>
      <c r="K315" s="30"/>
      <c r="L315" s="30"/>
      <c r="M315" s="30"/>
    </row>
    <row r="316" spans="1:13" s="14" customFormat="1" x14ac:dyDescent="0.25">
      <c r="A316" s="13"/>
      <c r="D316" s="30"/>
      <c r="E316" s="31"/>
      <c r="F316" s="30"/>
      <c r="G316" s="30"/>
      <c r="H316" s="30"/>
      <c r="I316" s="30"/>
      <c r="J316" s="30"/>
      <c r="K316" s="30"/>
      <c r="L316" s="30"/>
      <c r="M316" s="30"/>
    </row>
    <row r="317" spans="1:13" s="14" customFormat="1" x14ac:dyDescent="0.25">
      <c r="A317" s="13"/>
      <c r="D317" s="30"/>
      <c r="E317" s="31"/>
      <c r="F317" s="30"/>
      <c r="G317" s="30"/>
      <c r="H317" s="30"/>
      <c r="I317" s="30"/>
      <c r="J317" s="30"/>
      <c r="K317" s="30"/>
      <c r="L317" s="30"/>
      <c r="M317" s="30"/>
    </row>
    <row r="318" spans="1:13" s="14" customFormat="1" x14ac:dyDescent="0.25">
      <c r="A318" s="13"/>
      <c r="D318" s="30"/>
      <c r="E318" s="31"/>
      <c r="F318" s="30"/>
      <c r="G318" s="30"/>
      <c r="H318" s="30"/>
      <c r="I318" s="30"/>
      <c r="J318" s="30"/>
      <c r="K318" s="30"/>
      <c r="L318" s="30"/>
      <c r="M318" s="30"/>
    </row>
    <row r="319" spans="1:13" s="14" customFormat="1" x14ac:dyDescent="0.25">
      <c r="A319" s="13"/>
      <c r="D319" s="30"/>
      <c r="E319" s="31"/>
      <c r="F319" s="30"/>
      <c r="G319" s="30"/>
      <c r="H319" s="30"/>
      <c r="I319" s="30"/>
      <c r="J319" s="30"/>
      <c r="K319" s="30"/>
      <c r="L319" s="30"/>
      <c r="M319" s="30"/>
    </row>
    <row r="320" spans="1:13" s="14" customFormat="1" x14ac:dyDescent="0.25">
      <c r="A320" s="13"/>
      <c r="D320" s="30"/>
      <c r="E320" s="31"/>
      <c r="F320" s="30"/>
      <c r="G320" s="30"/>
      <c r="H320" s="30"/>
      <c r="I320" s="30"/>
      <c r="J320" s="30"/>
      <c r="K320" s="30"/>
      <c r="L320" s="30"/>
      <c r="M320" s="30"/>
    </row>
    <row r="321" spans="1:13" s="14" customFormat="1" x14ac:dyDescent="0.25">
      <c r="A321" s="13"/>
      <c r="D321" s="30"/>
      <c r="E321" s="31"/>
      <c r="F321" s="30"/>
      <c r="G321" s="30"/>
      <c r="H321" s="30"/>
      <c r="I321" s="30"/>
      <c r="J321" s="30"/>
      <c r="K321" s="30"/>
      <c r="L321" s="30"/>
      <c r="M321" s="30"/>
    </row>
    <row r="322" spans="1:13" s="14" customFormat="1" x14ac:dyDescent="0.25">
      <c r="A322" s="13"/>
      <c r="D322" s="30"/>
      <c r="E322" s="31"/>
      <c r="F322" s="30"/>
      <c r="G322" s="30"/>
      <c r="H322" s="30"/>
      <c r="I322" s="30"/>
      <c r="J322" s="30"/>
      <c r="K322" s="30"/>
      <c r="L322" s="30"/>
      <c r="M322" s="30"/>
    </row>
    <row r="323" spans="1:13" s="14" customFormat="1" x14ac:dyDescent="0.25">
      <c r="A323" s="13"/>
      <c r="D323" s="30"/>
      <c r="E323" s="31"/>
      <c r="F323" s="30"/>
      <c r="G323" s="30"/>
      <c r="H323" s="30"/>
      <c r="I323" s="30"/>
      <c r="J323" s="30"/>
      <c r="K323" s="30"/>
      <c r="L323" s="30"/>
      <c r="M323" s="30"/>
    </row>
    <row r="324" spans="1:13" s="14" customFormat="1" x14ac:dyDescent="0.25">
      <c r="A324" s="13"/>
      <c r="D324" s="30"/>
      <c r="E324" s="31"/>
      <c r="F324" s="30"/>
      <c r="G324" s="30"/>
      <c r="H324" s="30"/>
      <c r="I324" s="30"/>
      <c r="J324" s="30"/>
      <c r="K324" s="30"/>
      <c r="L324" s="30"/>
      <c r="M324" s="30"/>
    </row>
    <row r="325" spans="1:13" s="14" customFormat="1" x14ac:dyDescent="0.25">
      <c r="A325" s="13"/>
      <c r="D325" s="30"/>
      <c r="E325" s="31"/>
      <c r="F325" s="30"/>
      <c r="G325" s="30"/>
      <c r="H325" s="30"/>
      <c r="I325" s="30"/>
      <c r="J325" s="30"/>
      <c r="K325" s="30"/>
      <c r="L325" s="30"/>
      <c r="M325" s="30"/>
    </row>
    <row r="326" spans="1:13" s="14" customFormat="1" x14ac:dyDescent="0.25">
      <c r="A326" s="13"/>
      <c r="D326" s="30"/>
      <c r="E326" s="31"/>
      <c r="F326" s="30"/>
      <c r="G326" s="30"/>
      <c r="H326" s="30"/>
      <c r="I326" s="30"/>
      <c r="J326" s="30"/>
      <c r="K326" s="30"/>
      <c r="L326" s="30"/>
      <c r="M326" s="30"/>
    </row>
    <row r="327" spans="1:13" s="14" customFormat="1" x14ac:dyDescent="0.25">
      <c r="A327" s="13"/>
      <c r="D327" s="30"/>
      <c r="E327" s="31"/>
      <c r="F327" s="30"/>
      <c r="G327" s="30"/>
      <c r="H327" s="30"/>
      <c r="I327" s="30"/>
      <c r="J327" s="30"/>
      <c r="K327" s="30"/>
      <c r="L327" s="30"/>
      <c r="M327" s="30"/>
    </row>
    <row r="328" spans="1:13" s="14" customFormat="1" x14ac:dyDescent="0.25">
      <c r="A328" s="13"/>
      <c r="D328" s="30"/>
      <c r="E328" s="31"/>
      <c r="F328" s="30"/>
      <c r="G328" s="30"/>
      <c r="H328" s="30"/>
      <c r="I328" s="30"/>
      <c r="J328" s="30"/>
      <c r="K328" s="30"/>
      <c r="L328" s="30"/>
      <c r="M328" s="30"/>
    </row>
    <row r="329" spans="1:13" s="14" customFormat="1" x14ac:dyDescent="0.25">
      <c r="A329" s="13"/>
      <c r="D329" s="30"/>
      <c r="E329" s="31"/>
      <c r="F329" s="30"/>
      <c r="G329" s="30"/>
      <c r="H329" s="30"/>
      <c r="I329" s="30"/>
      <c r="J329" s="30"/>
      <c r="K329" s="30"/>
      <c r="L329" s="30"/>
      <c r="M329" s="30"/>
    </row>
    <row r="330" spans="1:13" s="14" customFormat="1" x14ac:dyDescent="0.25">
      <c r="A330" s="13"/>
      <c r="D330" s="30"/>
      <c r="E330" s="31"/>
      <c r="F330" s="30"/>
      <c r="G330" s="30"/>
      <c r="H330" s="30"/>
      <c r="I330" s="30"/>
      <c r="J330" s="30"/>
      <c r="K330" s="30"/>
      <c r="L330" s="30"/>
      <c r="M330" s="30"/>
    </row>
    <row r="331" spans="1:13" s="14" customFormat="1" x14ac:dyDescent="0.25">
      <c r="A331" s="13"/>
      <c r="D331" s="30"/>
      <c r="E331" s="31"/>
      <c r="F331" s="30"/>
      <c r="G331" s="30"/>
      <c r="H331" s="30"/>
      <c r="I331" s="30"/>
      <c r="J331" s="30"/>
      <c r="K331" s="30"/>
      <c r="L331" s="30"/>
      <c r="M331" s="30"/>
    </row>
    <row r="332" spans="1:13" s="14" customFormat="1" x14ac:dyDescent="0.25">
      <c r="A332" s="13"/>
      <c r="D332" s="30"/>
      <c r="E332" s="31"/>
      <c r="F332" s="30"/>
      <c r="G332" s="30"/>
      <c r="H332" s="30"/>
      <c r="I332" s="30"/>
      <c r="J332" s="30"/>
      <c r="K332" s="30"/>
      <c r="L332" s="30"/>
      <c r="M332" s="30"/>
    </row>
    <row r="333" spans="1:13" s="14" customFormat="1" x14ac:dyDescent="0.25">
      <c r="A333" s="13"/>
      <c r="D333" s="30"/>
      <c r="E333" s="31"/>
      <c r="F333" s="30"/>
      <c r="G333" s="30"/>
      <c r="H333" s="30"/>
      <c r="I333" s="30"/>
      <c r="J333" s="30"/>
      <c r="K333" s="30"/>
      <c r="L333" s="30"/>
      <c r="M333" s="30"/>
    </row>
    <row r="334" spans="1:13" s="14" customFormat="1" x14ac:dyDescent="0.25">
      <c r="A334" s="13"/>
      <c r="D334" s="30"/>
      <c r="E334" s="31"/>
      <c r="F334" s="30"/>
      <c r="G334" s="30"/>
      <c r="H334" s="30"/>
      <c r="I334" s="30"/>
      <c r="J334" s="30"/>
      <c r="K334" s="30"/>
      <c r="L334" s="30"/>
      <c r="M334" s="30"/>
    </row>
    <row r="335" spans="1:13" s="14" customFormat="1" x14ac:dyDescent="0.25">
      <c r="A335" s="13"/>
      <c r="D335" s="30"/>
      <c r="E335" s="31"/>
      <c r="F335" s="30"/>
      <c r="G335" s="30"/>
      <c r="H335" s="30"/>
      <c r="I335" s="30"/>
      <c r="J335" s="30"/>
      <c r="K335" s="30"/>
      <c r="L335" s="30"/>
      <c r="M335" s="30"/>
    </row>
    <row r="336" spans="1:13" s="14" customFormat="1" x14ac:dyDescent="0.25">
      <c r="A336" s="13"/>
      <c r="D336" s="30"/>
      <c r="E336" s="31"/>
      <c r="F336" s="30"/>
      <c r="G336" s="30"/>
      <c r="H336" s="30"/>
      <c r="I336" s="30"/>
      <c r="J336" s="30"/>
      <c r="K336" s="30"/>
      <c r="L336" s="30"/>
      <c r="M336" s="30"/>
    </row>
    <row r="337" spans="1:13" s="14" customFormat="1" x14ac:dyDescent="0.25">
      <c r="A337" s="13"/>
      <c r="D337" s="30"/>
      <c r="E337" s="31"/>
      <c r="F337" s="30"/>
      <c r="G337" s="30"/>
      <c r="H337" s="30"/>
      <c r="I337" s="30"/>
      <c r="J337" s="30"/>
      <c r="K337" s="30"/>
      <c r="L337" s="30"/>
      <c r="M337" s="30"/>
    </row>
    <row r="338" spans="1:13" s="14" customFormat="1" x14ac:dyDescent="0.25">
      <c r="A338" s="13"/>
      <c r="D338" s="30"/>
      <c r="E338" s="31"/>
      <c r="F338" s="30"/>
      <c r="G338" s="30"/>
      <c r="H338" s="30"/>
      <c r="I338" s="30"/>
      <c r="J338" s="30"/>
      <c r="K338" s="30"/>
      <c r="L338" s="30"/>
      <c r="M338" s="30"/>
    </row>
    <row r="339" spans="1:13" s="14" customFormat="1" x14ac:dyDescent="0.25">
      <c r="A339" s="13"/>
      <c r="D339" s="30"/>
      <c r="E339" s="31"/>
      <c r="F339" s="30"/>
      <c r="G339" s="30"/>
      <c r="H339" s="30"/>
      <c r="I339" s="30"/>
      <c r="J339" s="30"/>
      <c r="K339" s="30"/>
      <c r="L339" s="30"/>
      <c r="M339" s="30"/>
    </row>
    <row r="340" spans="1:13" s="14" customFormat="1" x14ac:dyDescent="0.25">
      <c r="A340" s="13"/>
      <c r="D340" s="30"/>
      <c r="E340" s="31"/>
      <c r="F340" s="30"/>
      <c r="G340" s="30"/>
      <c r="H340" s="30"/>
      <c r="I340" s="30"/>
      <c r="J340" s="30"/>
      <c r="K340" s="30"/>
      <c r="L340" s="30"/>
      <c r="M340" s="30"/>
    </row>
    <row r="341" spans="1:13" s="14" customFormat="1" x14ac:dyDescent="0.25">
      <c r="A341" s="13"/>
      <c r="D341" s="30"/>
      <c r="E341" s="31"/>
      <c r="F341" s="30"/>
      <c r="G341" s="30"/>
      <c r="H341" s="30"/>
      <c r="I341" s="30"/>
      <c r="J341" s="30"/>
      <c r="K341" s="30"/>
      <c r="L341" s="30"/>
      <c r="M341" s="30"/>
    </row>
    <row r="342" spans="1:13" s="14" customFormat="1" x14ac:dyDescent="0.25">
      <c r="A342" s="13"/>
      <c r="D342" s="30"/>
      <c r="E342" s="31"/>
      <c r="F342" s="30"/>
      <c r="G342" s="30"/>
      <c r="H342" s="30"/>
      <c r="I342" s="30"/>
      <c r="J342" s="30"/>
      <c r="K342" s="30"/>
      <c r="L342" s="30"/>
      <c r="M342" s="30"/>
    </row>
    <row r="343" spans="1:13" s="14" customFormat="1" x14ac:dyDescent="0.25">
      <c r="A343" s="13"/>
      <c r="D343" s="30"/>
      <c r="E343" s="31"/>
      <c r="F343" s="30"/>
      <c r="G343" s="30"/>
      <c r="H343" s="30"/>
      <c r="I343" s="30"/>
      <c r="J343" s="30"/>
      <c r="K343" s="30"/>
      <c r="L343" s="30"/>
      <c r="M343" s="30"/>
    </row>
    <row r="344" spans="1:13" s="14" customFormat="1" x14ac:dyDescent="0.25">
      <c r="A344" s="13"/>
      <c r="D344" s="30"/>
      <c r="E344" s="31"/>
      <c r="F344" s="30"/>
      <c r="G344" s="30"/>
      <c r="H344" s="30"/>
      <c r="I344" s="30"/>
      <c r="J344" s="30"/>
      <c r="K344" s="30"/>
      <c r="L344" s="30"/>
      <c r="M344" s="30"/>
    </row>
    <row r="345" spans="1:13" s="14" customFormat="1" x14ac:dyDescent="0.25">
      <c r="A345" s="13"/>
      <c r="D345" s="30"/>
      <c r="E345" s="31"/>
      <c r="F345" s="30"/>
      <c r="G345" s="30"/>
      <c r="H345" s="30"/>
      <c r="I345" s="30"/>
      <c r="J345" s="30"/>
      <c r="K345" s="30"/>
      <c r="L345" s="30"/>
      <c r="M345" s="30"/>
    </row>
    <row r="346" spans="1:13" s="14" customFormat="1" x14ac:dyDescent="0.25">
      <c r="A346" s="13"/>
      <c r="D346" s="30"/>
      <c r="E346" s="31"/>
      <c r="F346" s="30"/>
      <c r="G346" s="30"/>
      <c r="H346" s="30"/>
      <c r="I346" s="30"/>
      <c r="J346" s="30"/>
      <c r="K346" s="30"/>
      <c r="L346" s="30"/>
      <c r="M346" s="30"/>
    </row>
    <row r="347" spans="1:13" s="14" customFormat="1" x14ac:dyDescent="0.25">
      <c r="A347" s="13"/>
      <c r="D347" s="30"/>
      <c r="E347" s="31"/>
      <c r="F347" s="30"/>
      <c r="G347" s="30"/>
      <c r="H347" s="30"/>
      <c r="I347" s="30"/>
      <c r="J347" s="30"/>
      <c r="K347" s="30"/>
      <c r="L347" s="30"/>
      <c r="M347" s="30"/>
    </row>
    <row r="348" spans="1:13" s="14" customFormat="1" x14ac:dyDescent="0.25">
      <c r="A348" s="13"/>
      <c r="D348" s="30"/>
      <c r="E348" s="31"/>
      <c r="F348" s="30"/>
      <c r="G348" s="30"/>
      <c r="H348" s="30"/>
      <c r="I348" s="30"/>
      <c r="J348" s="30"/>
      <c r="K348" s="30"/>
      <c r="L348" s="30"/>
      <c r="M348" s="30"/>
    </row>
    <row r="349" spans="1:13" s="14" customFormat="1" x14ac:dyDescent="0.25">
      <c r="A349" s="13"/>
      <c r="D349" s="30"/>
      <c r="E349" s="31"/>
      <c r="F349" s="30"/>
      <c r="G349" s="30"/>
      <c r="H349" s="30"/>
      <c r="I349" s="30"/>
      <c r="J349" s="30"/>
      <c r="K349" s="30"/>
      <c r="L349" s="30"/>
      <c r="M349" s="30"/>
    </row>
    <row r="350" spans="1:13" s="14" customFormat="1" x14ac:dyDescent="0.25">
      <c r="A350" s="13"/>
      <c r="D350" s="30"/>
      <c r="E350" s="31"/>
      <c r="F350" s="30"/>
      <c r="G350" s="30"/>
      <c r="H350" s="30"/>
      <c r="I350" s="30"/>
      <c r="J350" s="30"/>
      <c r="K350" s="30"/>
      <c r="L350" s="30"/>
      <c r="M350" s="30"/>
    </row>
    <row r="351" spans="1:13" s="14" customFormat="1" x14ac:dyDescent="0.25">
      <c r="A351" s="13"/>
      <c r="D351" s="30"/>
      <c r="E351" s="31"/>
      <c r="F351" s="30"/>
      <c r="G351" s="30"/>
      <c r="H351" s="30"/>
      <c r="I351" s="30"/>
      <c r="J351" s="30"/>
      <c r="K351" s="30"/>
      <c r="L351" s="30"/>
      <c r="M351" s="30"/>
    </row>
    <row r="352" spans="1:13" s="14" customFormat="1" x14ac:dyDescent="0.25">
      <c r="A352" s="13"/>
      <c r="D352" s="30"/>
      <c r="E352" s="31"/>
      <c r="F352" s="30"/>
      <c r="G352" s="30"/>
      <c r="H352" s="30"/>
      <c r="I352" s="30"/>
      <c r="J352" s="30"/>
      <c r="K352" s="30"/>
      <c r="L352" s="30"/>
      <c r="M352" s="30"/>
    </row>
    <row r="353" spans="1:13" s="14" customFormat="1" x14ac:dyDescent="0.25">
      <c r="A353" s="13"/>
      <c r="D353" s="30"/>
      <c r="E353" s="31"/>
      <c r="F353" s="30"/>
      <c r="G353" s="30"/>
      <c r="H353" s="30"/>
      <c r="I353" s="30"/>
      <c r="J353" s="30"/>
      <c r="K353" s="30"/>
      <c r="L353" s="30"/>
      <c r="M353" s="30"/>
    </row>
    <row r="354" spans="1:13" s="14" customFormat="1" x14ac:dyDescent="0.25">
      <c r="A354" s="13"/>
      <c r="D354" s="30"/>
      <c r="E354" s="31"/>
      <c r="F354" s="30"/>
      <c r="G354" s="30"/>
      <c r="H354" s="30"/>
      <c r="I354" s="30"/>
      <c r="J354" s="30"/>
      <c r="K354" s="30"/>
      <c r="L354" s="30"/>
      <c r="M354" s="30"/>
    </row>
    <row r="355" spans="1:13" s="14" customFormat="1" x14ac:dyDescent="0.25">
      <c r="A355" s="13"/>
      <c r="D355" s="30"/>
      <c r="E355" s="31"/>
      <c r="F355" s="30"/>
      <c r="G355" s="30"/>
      <c r="H355" s="30"/>
      <c r="I355" s="30"/>
      <c r="J355" s="30"/>
      <c r="K355" s="30"/>
      <c r="L355" s="30"/>
      <c r="M355" s="30"/>
    </row>
    <row r="356" spans="1:13" s="14" customFormat="1" x14ac:dyDescent="0.25">
      <c r="A356" s="13"/>
      <c r="D356" s="30"/>
      <c r="E356" s="31"/>
      <c r="F356" s="30"/>
      <c r="G356" s="30"/>
      <c r="H356" s="30"/>
      <c r="I356" s="30"/>
      <c r="J356" s="30"/>
      <c r="K356" s="30"/>
      <c r="L356" s="30"/>
      <c r="M356" s="30"/>
    </row>
    <row r="357" spans="1:13" s="14" customFormat="1" x14ac:dyDescent="0.25">
      <c r="A357" s="13"/>
      <c r="D357" s="30"/>
      <c r="E357" s="31"/>
      <c r="F357" s="30"/>
      <c r="G357" s="30"/>
      <c r="H357" s="30"/>
      <c r="I357" s="30"/>
      <c r="J357" s="30"/>
      <c r="K357" s="30"/>
      <c r="L357" s="30"/>
      <c r="M357" s="30"/>
    </row>
    <row r="358" spans="1:13" s="14" customFormat="1" x14ac:dyDescent="0.25">
      <c r="A358" s="13"/>
      <c r="D358" s="30"/>
      <c r="E358" s="31"/>
      <c r="F358" s="30"/>
      <c r="G358" s="30"/>
      <c r="H358" s="30"/>
      <c r="I358" s="30"/>
      <c r="J358" s="30"/>
      <c r="K358" s="30"/>
      <c r="L358" s="30"/>
      <c r="M358" s="30"/>
    </row>
    <row r="359" spans="1:13" s="14" customFormat="1" x14ac:dyDescent="0.25">
      <c r="A359" s="13"/>
      <c r="D359" s="30"/>
      <c r="E359" s="31"/>
      <c r="F359" s="30"/>
      <c r="G359" s="30"/>
      <c r="H359" s="30"/>
      <c r="I359" s="30"/>
      <c r="J359" s="30"/>
      <c r="K359" s="30"/>
      <c r="L359" s="30"/>
      <c r="M359" s="30"/>
    </row>
    <row r="360" spans="1:13" s="14" customFormat="1" x14ac:dyDescent="0.25">
      <c r="A360" s="13"/>
      <c r="D360" s="30"/>
      <c r="E360" s="31"/>
      <c r="F360" s="30"/>
      <c r="G360" s="30"/>
      <c r="H360" s="30"/>
      <c r="I360" s="30"/>
      <c r="J360" s="30"/>
      <c r="K360" s="30"/>
      <c r="L360" s="30"/>
      <c r="M360" s="30"/>
    </row>
    <row r="361" spans="1:13" s="14" customFormat="1" x14ac:dyDescent="0.25">
      <c r="A361" s="13"/>
      <c r="D361" s="30"/>
      <c r="E361" s="31"/>
      <c r="F361" s="30"/>
      <c r="G361" s="30"/>
      <c r="H361" s="30"/>
      <c r="I361" s="30"/>
      <c r="J361" s="30"/>
      <c r="K361" s="30"/>
      <c r="L361" s="30"/>
      <c r="M361" s="30"/>
    </row>
    <row r="362" spans="1:13" s="14" customFormat="1" x14ac:dyDescent="0.25">
      <c r="A362" s="13"/>
      <c r="D362" s="30"/>
      <c r="E362" s="31"/>
      <c r="F362" s="30"/>
      <c r="G362" s="30"/>
      <c r="H362" s="30"/>
      <c r="I362" s="30"/>
      <c r="J362" s="30"/>
      <c r="K362" s="30"/>
      <c r="L362" s="30"/>
      <c r="M362" s="30"/>
    </row>
    <row r="363" spans="1:13" s="14" customFormat="1" x14ac:dyDescent="0.25">
      <c r="A363" s="13"/>
      <c r="D363" s="30"/>
      <c r="E363" s="31"/>
      <c r="F363" s="30"/>
      <c r="G363" s="30"/>
      <c r="H363" s="30"/>
      <c r="I363" s="30"/>
      <c r="J363" s="30"/>
      <c r="K363" s="30"/>
      <c r="L363" s="30"/>
      <c r="M363" s="30"/>
    </row>
    <row r="364" spans="1:13" s="14" customFormat="1" x14ac:dyDescent="0.25">
      <c r="A364" s="13"/>
      <c r="D364" s="30"/>
      <c r="E364" s="31"/>
      <c r="F364" s="30"/>
      <c r="G364" s="30"/>
      <c r="H364" s="30"/>
      <c r="I364" s="30"/>
      <c r="J364" s="30"/>
      <c r="K364" s="30"/>
      <c r="L364" s="30"/>
      <c r="M364" s="30"/>
    </row>
    <row r="365" spans="1:13" s="14" customFormat="1" x14ac:dyDescent="0.25">
      <c r="A365" s="13"/>
      <c r="D365" s="30"/>
      <c r="E365" s="31"/>
      <c r="F365" s="30"/>
      <c r="G365" s="30"/>
      <c r="H365" s="30"/>
      <c r="I365" s="30"/>
      <c r="J365" s="30"/>
      <c r="K365" s="30"/>
      <c r="L365" s="30"/>
      <c r="M365" s="30"/>
    </row>
    <row r="366" spans="1:13" s="14" customFormat="1" x14ac:dyDescent="0.25">
      <c r="A366" s="13"/>
      <c r="D366" s="30"/>
      <c r="E366" s="31"/>
      <c r="F366" s="30"/>
      <c r="G366" s="30"/>
      <c r="H366" s="30"/>
      <c r="I366" s="30"/>
      <c r="J366" s="30"/>
      <c r="K366" s="30"/>
      <c r="L366" s="30"/>
      <c r="M366" s="30"/>
    </row>
    <row r="367" spans="1:13" s="14" customFormat="1" x14ac:dyDescent="0.25">
      <c r="A367" s="13"/>
      <c r="D367" s="30"/>
      <c r="E367" s="31"/>
      <c r="F367" s="30"/>
      <c r="G367" s="30"/>
      <c r="H367" s="30"/>
      <c r="I367" s="30"/>
      <c r="J367" s="30"/>
      <c r="K367" s="30"/>
      <c r="L367" s="30"/>
      <c r="M367" s="30"/>
    </row>
    <row r="368" spans="1:13" s="14" customFormat="1" x14ac:dyDescent="0.25">
      <c r="A368" s="13"/>
      <c r="D368" s="30"/>
      <c r="E368" s="31"/>
      <c r="F368" s="30"/>
      <c r="G368" s="30"/>
      <c r="H368" s="30"/>
      <c r="I368" s="30"/>
      <c r="J368" s="30"/>
      <c r="K368" s="30"/>
      <c r="L368" s="30"/>
      <c r="M368" s="30"/>
    </row>
    <row r="369" spans="1:13" s="14" customFormat="1" x14ac:dyDescent="0.25">
      <c r="A369" s="13"/>
      <c r="D369" s="30"/>
      <c r="E369" s="31"/>
      <c r="F369" s="30"/>
      <c r="G369" s="30"/>
      <c r="H369" s="30"/>
      <c r="I369" s="30"/>
      <c r="J369" s="30"/>
      <c r="K369" s="30"/>
      <c r="L369" s="30"/>
      <c r="M369" s="30"/>
    </row>
    <row r="370" spans="1:13" s="14" customFormat="1" x14ac:dyDescent="0.25">
      <c r="A370" s="13"/>
      <c r="D370" s="30"/>
      <c r="E370" s="31"/>
      <c r="F370" s="30"/>
      <c r="G370" s="30"/>
      <c r="H370" s="30"/>
      <c r="I370" s="30"/>
      <c r="J370" s="30"/>
      <c r="K370" s="30"/>
      <c r="L370" s="30"/>
      <c r="M370" s="30"/>
    </row>
    <row r="371" spans="1:13" s="14" customFormat="1" x14ac:dyDescent="0.25">
      <c r="A371" s="13"/>
      <c r="D371" s="30"/>
      <c r="E371" s="31"/>
      <c r="F371" s="30"/>
      <c r="G371" s="30"/>
      <c r="H371" s="30"/>
      <c r="I371" s="30"/>
      <c r="J371" s="30"/>
      <c r="K371" s="30"/>
      <c r="L371" s="30"/>
      <c r="M371" s="30"/>
    </row>
    <row r="372" spans="1:13" s="14" customFormat="1" x14ac:dyDescent="0.25">
      <c r="A372" s="13"/>
      <c r="D372" s="30"/>
      <c r="E372" s="31"/>
      <c r="F372" s="30"/>
      <c r="G372" s="30"/>
      <c r="H372" s="30"/>
      <c r="I372" s="30"/>
      <c r="J372" s="30"/>
      <c r="K372" s="30"/>
      <c r="L372" s="30"/>
      <c r="M372" s="30"/>
    </row>
    <row r="373" spans="1:13" s="14" customFormat="1" x14ac:dyDescent="0.25">
      <c r="A373" s="13"/>
      <c r="D373" s="30"/>
      <c r="E373" s="31"/>
      <c r="F373" s="30"/>
      <c r="G373" s="30"/>
      <c r="H373" s="30"/>
      <c r="I373" s="30"/>
      <c r="J373" s="30"/>
      <c r="K373" s="30"/>
      <c r="L373" s="30"/>
      <c r="M373" s="30"/>
    </row>
    <row r="374" spans="1:13" s="14" customFormat="1" x14ac:dyDescent="0.25">
      <c r="A374" s="13"/>
      <c r="D374" s="30"/>
      <c r="E374" s="31"/>
      <c r="F374" s="30"/>
      <c r="G374" s="30"/>
      <c r="H374" s="30"/>
      <c r="I374" s="30"/>
      <c r="J374" s="30"/>
      <c r="K374" s="30"/>
      <c r="L374" s="30"/>
      <c r="M374" s="30"/>
    </row>
    <row r="375" spans="1:13" s="14" customFormat="1" x14ac:dyDescent="0.25">
      <c r="A375" s="13"/>
      <c r="D375" s="30"/>
      <c r="E375" s="31"/>
      <c r="F375" s="30"/>
      <c r="G375" s="30"/>
      <c r="H375" s="30"/>
      <c r="I375" s="30"/>
      <c r="J375" s="30"/>
      <c r="K375" s="30"/>
      <c r="L375" s="30"/>
      <c r="M375" s="30"/>
    </row>
    <row r="376" spans="1:13" s="14" customFormat="1" x14ac:dyDescent="0.25">
      <c r="A376" s="13"/>
      <c r="D376" s="30"/>
      <c r="E376" s="31"/>
      <c r="F376" s="30"/>
      <c r="G376" s="30"/>
      <c r="H376" s="30"/>
      <c r="I376" s="30"/>
      <c r="J376" s="30"/>
      <c r="K376" s="30"/>
      <c r="L376" s="30"/>
      <c r="M376" s="30"/>
    </row>
    <row r="377" spans="1:13" s="14" customFormat="1" x14ac:dyDescent="0.25">
      <c r="A377" s="13"/>
      <c r="D377" s="30"/>
      <c r="E377" s="31"/>
      <c r="F377" s="30"/>
      <c r="G377" s="30"/>
      <c r="H377" s="30"/>
      <c r="I377" s="30"/>
      <c r="J377" s="30"/>
      <c r="K377" s="30"/>
      <c r="L377" s="30"/>
      <c r="M377" s="30"/>
    </row>
    <row r="378" spans="1:13" s="14" customFormat="1" x14ac:dyDescent="0.25">
      <c r="A378" s="13"/>
      <c r="D378" s="30"/>
      <c r="E378" s="31"/>
      <c r="F378" s="30"/>
      <c r="G378" s="30"/>
      <c r="H378" s="30"/>
      <c r="I378" s="30"/>
      <c r="J378" s="30"/>
      <c r="K378" s="30"/>
      <c r="L378" s="30"/>
      <c r="M378" s="30"/>
    </row>
    <row r="379" spans="1:13" s="14" customFormat="1" x14ac:dyDescent="0.25">
      <c r="A379" s="13"/>
      <c r="D379" s="30"/>
      <c r="E379" s="31"/>
      <c r="F379" s="30"/>
      <c r="G379" s="30"/>
      <c r="H379" s="30"/>
      <c r="I379" s="30"/>
      <c r="J379" s="30"/>
      <c r="K379" s="30"/>
      <c r="L379" s="30"/>
      <c r="M379" s="30"/>
    </row>
    <row r="380" spans="1:13" s="14" customFormat="1" x14ac:dyDescent="0.25">
      <c r="A380" s="13"/>
      <c r="D380" s="30"/>
      <c r="E380" s="31"/>
      <c r="F380" s="30"/>
      <c r="G380" s="30"/>
      <c r="H380" s="30"/>
      <c r="I380" s="30"/>
      <c r="J380" s="30"/>
      <c r="K380" s="30"/>
      <c r="L380" s="30"/>
      <c r="M380" s="30"/>
    </row>
    <row r="381" spans="1:13" s="14" customFormat="1" x14ac:dyDescent="0.25">
      <c r="A381" s="13"/>
      <c r="D381" s="30"/>
      <c r="E381" s="31"/>
      <c r="F381" s="30"/>
      <c r="G381" s="30"/>
      <c r="H381" s="30"/>
      <c r="I381" s="30"/>
      <c r="J381" s="30"/>
      <c r="K381" s="30"/>
      <c r="L381" s="30"/>
      <c r="M381" s="30"/>
    </row>
    <row r="382" spans="1:13" s="14" customFormat="1" x14ac:dyDescent="0.25">
      <c r="A382" s="13"/>
      <c r="D382" s="30"/>
      <c r="E382" s="31"/>
      <c r="F382" s="30"/>
      <c r="G382" s="30"/>
      <c r="H382" s="30"/>
      <c r="I382" s="30"/>
      <c r="J382" s="30"/>
      <c r="K382" s="30"/>
      <c r="L382" s="30"/>
      <c r="M382" s="30"/>
    </row>
    <row r="383" spans="1:13" s="14" customFormat="1" x14ac:dyDescent="0.25">
      <c r="A383" s="13"/>
      <c r="D383" s="30"/>
      <c r="E383" s="31"/>
      <c r="F383" s="30"/>
      <c r="G383" s="30"/>
      <c r="H383" s="30"/>
      <c r="I383" s="30"/>
      <c r="J383" s="30"/>
      <c r="K383" s="30"/>
      <c r="L383" s="30"/>
      <c r="M383" s="30"/>
    </row>
    <row r="384" spans="1:13" s="14" customFormat="1" x14ac:dyDescent="0.25">
      <c r="A384" s="13"/>
      <c r="D384" s="30"/>
      <c r="E384" s="31"/>
      <c r="F384" s="30"/>
      <c r="G384" s="30"/>
      <c r="H384" s="30"/>
      <c r="I384" s="30"/>
      <c r="J384" s="30"/>
      <c r="K384" s="30"/>
      <c r="L384" s="30"/>
      <c r="M384" s="30"/>
    </row>
    <row r="385" spans="1:13" s="14" customFormat="1" x14ac:dyDescent="0.25">
      <c r="A385" s="13"/>
      <c r="D385" s="30"/>
      <c r="E385" s="31"/>
      <c r="F385" s="30"/>
      <c r="G385" s="30"/>
      <c r="H385" s="30"/>
      <c r="I385" s="30"/>
      <c r="J385" s="30"/>
      <c r="K385" s="30"/>
      <c r="L385" s="30"/>
      <c r="M385" s="30"/>
    </row>
    <row r="386" spans="1:13" s="14" customFormat="1" x14ac:dyDescent="0.25">
      <c r="A386" s="13"/>
      <c r="D386" s="30"/>
      <c r="E386" s="31"/>
      <c r="F386" s="30"/>
      <c r="G386" s="30"/>
      <c r="H386" s="30"/>
      <c r="I386" s="30"/>
      <c r="J386" s="30"/>
      <c r="K386" s="30"/>
      <c r="L386" s="30"/>
      <c r="M386" s="30"/>
    </row>
    <row r="387" spans="1:13" s="14" customFormat="1" x14ac:dyDescent="0.25">
      <c r="A387" s="13"/>
      <c r="D387" s="30"/>
      <c r="E387" s="31"/>
      <c r="F387" s="30"/>
      <c r="G387" s="30"/>
      <c r="H387" s="30"/>
      <c r="I387" s="30"/>
      <c r="J387" s="30"/>
      <c r="K387" s="30"/>
      <c r="L387" s="30"/>
      <c r="M387" s="30"/>
    </row>
    <row r="388" spans="1:13" s="14" customFormat="1" x14ac:dyDescent="0.25">
      <c r="A388" s="13"/>
      <c r="D388" s="30"/>
      <c r="E388" s="31"/>
      <c r="F388" s="30"/>
      <c r="G388" s="30"/>
      <c r="H388" s="30"/>
      <c r="I388" s="30"/>
      <c r="J388" s="30"/>
      <c r="K388" s="30"/>
      <c r="L388" s="30"/>
      <c r="M388" s="30"/>
    </row>
    <row r="389" spans="1:13" s="14" customFormat="1" x14ac:dyDescent="0.25">
      <c r="A389" s="13"/>
      <c r="D389" s="30"/>
      <c r="E389" s="31"/>
      <c r="F389" s="30"/>
      <c r="G389" s="30"/>
      <c r="H389" s="30"/>
      <c r="I389" s="30"/>
      <c r="J389" s="30"/>
      <c r="K389" s="30"/>
      <c r="L389" s="30"/>
      <c r="M389" s="30"/>
    </row>
    <row r="390" spans="1:13" s="14" customFormat="1" x14ac:dyDescent="0.25">
      <c r="A390" s="13"/>
      <c r="D390" s="30"/>
      <c r="E390" s="31"/>
      <c r="F390" s="30"/>
      <c r="G390" s="30"/>
      <c r="H390" s="30"/>
      <c r="I390" s="30"/>
      <c r="J390" s="30"/>
      <c r="K390" s="30"/>
      <c r="L390" s="30"/>
      <c r="M390" s="30"/>
    </row>
    <row r="391" spans="1:13" s="14" customFormat="1" x14ac:dyDescent="0.25">
      <c r="A391" s="13"/>
      <c r="D391" s="30"/>
      <c r="E391" s="31"/>
      <c r="F391" s="30"/>
      <c r="G391" s="30"/>
      <c r="H391" s="30"/>
      <c r="I391" s="30"/>
      <c r="J391" s="30"/>
      <c r="K391" s="30"/>
      <c r="L391" s="30"/>
      <c r="M391" s="30"/>
    </row>
    <row r="392" spans="1:13" s="14" customFormat="1" x14ac:dyDescent="0.25">
      <c r="A392" s="13"/>
      <c r="D392" s="30"/>
      <c r="E392" s="31"/>
      <c r="F392" s="30"/>
      <c r="G392" s="30"/>
      <c r="H392" s="30"/>
      <c r="I392" s="30"/>
      <c r="J392" s="30"/>
      <c r="K392" s="30"/>
      <c r="L392" s="30"/>
      <c r="M392" s="30"/>
    </row>
    <row r="393" spans="1:13" s="14" customFormat="1" x14ac:dyDescent="0.25">
      <c r="A393" s="13"/>
      <c r="D393" s="30"/>
      <c r="E393" s="31"/>
      <c r="F393" s="30"/>
      <c r="G393" s="30"/>
      <c r="H393" s="30"/>
      <c r="I393" s="30"/>
      <c r="J393" s="30"/>
      <c r="K393" s="30"/>
      <c r="L393" s="30"/>
      <c r="M393" s="30"/>
    </row>
    <row r="394" spans="1:13" s="14" customFormat="1" x14ac:dyDescent="0.25">
      <c r="A394" s="13"/>
      <c r="D394" s="30"/>
      <c r="E394" s="31"/>
      <c r="F394" s="30"/>
      <c r="G394" s="30"/>
      <c r="H394" s="30"/>
      <c r="I394" s="30"/>
      <c r="J394" s="30"/>
      <c r="K394" s="30"/>
      <c r="L394" s="30"/>
      <c r="M394" s="30"/>
    </row>
    <row r="395" spans="1:13" s="14" customFormat="1" x14ac:dyDescent="0.25">
      <c r="A395" s="13"/>
      <c r="D395" s="30"/>
      <c r="E395" s="31"/>
      <c r="F395" s="30"/>
      <c r="G395" s="30"/>
      <c r="H395" s="30"/>
      <c r="I395" s="30"/>
      <c r="J395" s="30"/>
      <c r="K395" s="30"/>
      <c r="L395" s="30"/>
      <c r="M395" s="30"/>
    </row>
    <row r="396" spans="1:13" s="14" customFormat="1" x14ac:dyDescent="0.25">
      <c r="A396" s="13"/>
      <c r="D396" s="30"/>
      <c r="E396" s="31"/>
      <c r="F396" s="30"/>
      <c r="G396" s="30"/>
      <c r="H396" s="30"/>
      <c r="I396" s="30"/>
      <c r="J396" s="30"/>
      <c r="K396" s="30"/>
      <c r="L396" s="30"/>
      <c r="M396" s="30"/>
    </row>
    <row r="397" spans="1:13" s="14" customFormat="1" x14ac:dyDescent="0.25">
      <c r="A397" s="13"/>
      <c r="D397" s="30"/>
      <c r="E397" s="31"/>
      <c r="F397" s="30"/>
      <c r="G397" s="30"/>
      <c r="H397" s="30"/>
      <c r="I397" s="30"/>
      <c r="J397" s="30"/>
      <c r="K397" s="30"/>
      <c r="L397" s="30"/>
      <c r="M397" s="30"/>
    </row>
    <row r="398" spans="1:13" s="14" customFormat="1" x14ac:dyDescent="0.25">
      <c r="A398" s="13"/>
      <c r="D398" s="30"/>
      <c r="E398" s="31"/>
      <c r="F398" s="30"/>
      <c r="G398" s="30"/>
      <c r="H398" s="30"/>
      <c r="I398" s="30"/>
      <c r="J398" s="30"/>
      <c r="K398" s="30"/>
      <c r="L398" s="30"/>
      <c r="M398" s="30"/>
    </row>
    <row r="399" spans="1:13" s="14" customFormat="1" x14ac:dyDescent="0.25">
      <c r="A399" s="13"/>
      <c r="D399" s="30"/>
      <c r="E399" s="31"/>
      <c r="F399" s="30"/>
      <c r="G399" s="30"/>
      <c r="H399" s="30"/>
      <c r="I399" s="30"/>
      <c r="J399" s="30"/>
      <c r="K399" s="30"/>
      <c r="L399" s="30"/>
      <c r="M399" s="30"/>
    </row>
    <row r="400" spans="1:13" s="14" customFormat="1" x14ac:dyDescent="0.25">
      <c r="A400" s="13"/>
      <c r="D400" s="30"/>
      <c r="E400" s="31"/>
      <c r="F400" s="30"/>
      <c r="G400" s="30"/>
      <c r="H400" s="30"/>
      <c r="I400" s="30"/>
      <c r="J400" s="30"/>
      <c r="K400" s="30"/>
      <c r="L400" s="30"/>
      <c r="M400" s="30"/>
    </row>
    <row r="401" spans="1:13" s="14" customFormat="1" x14ac:dyDescent="0.25">
      <c r="A401" s="13"/>
      <c r="D401" s="30"/>
      <c r="E401" s="31"/>
      <c r="F401" s="30"/>
      <c r="G401" s="30"/>
      <c r="H401" s="30"/>
      <c r="I401" s="30"/>
      <c r="J401" s="30"/>
      <c r="K401" s="30"/>
      <c r="L401" s="30"/>
      <c r="M401" s="30"/>
    </row>
    <row r="402" spans="1:13" s="14" customFormat="1" x14ac:dyDescent="0.25">
      <c r="A402" s="13"/>
      <c r="D402" s="30"/>
      <c r="E402" s="31"/>
      <c r="F402" s="30"/>
      <c r="G402" s="30"/>
      <c r="H402" s="30"/>
      <c r="I402" s="30"/>
      <c r="J402" s="30"/>
      <c r="K402" s="30"/>
      <c r="L402" s="30"/>
      <c r="M402" s="30"/>
    </row>
    <row r="403" spans="1:13" s="14" customFormat="1" x14ac:dyDescent="0.25">
      <c r="A403" s="13"/>
      <c r="D403" s="30"/>
      <c r="E403" s="31"/>
      <c r="F403" s="30"/>
      <c r="G403" s="30"/>
      <c r="H403" s="30"/>
      <c r="I403" s="30"/>
      <c r="J403" s="30"/>
      <c r="K403" s="30"/>
      <c r="L403" s="30"/>
      <c r="M403" s="30"/>
    </row>
    <row r="404" spans="1:13" s="14" customFormat="1" x14ac:dyDescent="0.25">
      <c r="A404" s="13"/>
      <c r="D404" s="30"/>
      <c r="E404" s="31"/>
      <c r="F404" s="30"/>
      <c r="G404" s="30"/>
      <c r="H404" s="30"/>
      <c r="I404" s="30"/>
      <c r="J404" s="30"/>
      <c r="K404" s="30"/>
      <c r="L404" s="30"/>
      <c r="M404" s="30"/>
    </row>
    <row r="405" spans="1:13" s="14" customFormat="1" x14ac:dyDescent="0.25">
      <c r="A405" s="13"/>
      <c r="D405" s="30"/>
      <c r="E405" s="31"/>
      <c r="F405" s="30"/>
      <c r="G405" s="30"/>
      <c r="H405" s="30"/>
      <c r="I405" s="30"/>
      <c r="J405" s="30"/>
      <c r="K405" s="30"/>
      <c r="L405" s="30"/>
      <c r="M405" s="30"/>
    </row>
    <row r="406" spans="1:13" s="14" customFormat="1" x14ac:dyDescent="0.25">
      <c r="A406" s="13"/>
      <c r="D406" s="30"/>
      <c r="E406" s="31"/>
      <c r="F406" s="30"/>
      <c r="G406" s="30"/>
      <c r="H406" s="30"/>
      <c r="I406" s="30"/>
      <c r="J406" s="30"/>
      <c r="K406" s="30"/>
      <c r="L406" s="30"/>
      <c r="M406" s="30"/>
    </row>
    <row r="407" spans="1:13" s="14" customFormat="1" x14ac:dyDescent="0.25">
      <c r="A407" s="13"/>
      <c r="D407" s="30"/>
      <c r="E407" s="31"/>
      <c r="F407" s="30"/>
      <c r="G407" s="30"/>
      <c r="H407" s="30"/>
      <c r="I407" s="30"/>
      <c r="J407" s="30"/>
      <c r="K407" s="30"/>
      <c r="L407" s="30"/>
      <c r="M407" s="30"/>
    </row>
    <row r="408" spans="1:13" s="14" customFormat="1" x14ac:dyDescent="0.25">
      <c r="A408" s="13"/>
      <c r="D408" s="30"/>
      <c r="E408" s="31"/>
      <c r="F408" s="30"/>
      <c r="G408" s="30"/>
      <c r="H408" s="30"/>
      <c r="I408" s="30"/>
      <c r="J408" s="30"/>
      <c r="K408" s="30"/>
      <c r="L408" s="30"/>
      <c r="M408" s="30"/>
    </row>
    <row r="409" spans="1:13" s="14" customFormat="1" x14ac:dyDescent="0.25">
      <c r="A409" s="13"/>
      <c r="D409" s="30"/>
      <c r="E409" s="31"/>
      <c r="F409" s="30"/>
      <c r="G409" s="30"/>
      <c r="H409" s="30"/>
      <c r="I409" s="30"/>
      <c r="J409" s="30"/>
      <c r="K409" s="30"/>
      <c r="L409" s="30"/>
      <c r="M409" s="30"/>
    </row>
    <row r="410" spans="1:13" s="14" customFormat="1" x14ac:dyDescent="0.25">
      <c r="A410" s="13"/>
      <c r="D410" s="30"/>
      <c r="E410" s="31"/>
      <c r="F410" s="30"/>
      <c r="G410" s="30"/>
      <c r="H410" s="30"/>
      <c r="I410" s="30"/>
      <c r="J410" s="30"/>
      <c r="K410" s="30"/>
      <c r="L410" s="30"/>
      <c r="M410" s="30"/>
    </row>
    <row r="411" spans="1:13" s="14" customFormat="1" x14ac:dyDescent="0.25">
      <c r="A411" s="13"/>
      <c r="D411" s="30"/>
      <c r="E411" s="31"/>
      <c r="F411" s="30"/>
      <c r="G411" s="30"/>
      <c r="H411" s="30"/>
      <c r="I411" s="30"/>
      <c r="J411" s="30"/>
      <c r="K411" s="30"/>
      <c r="L411" s="30"/>
      <c r="M411" s="30"/>
    </row>
    <row r="412" spans="1:13" s="14" customFormat="1" x14ac:dyDescent="0.25">
      <c r="A412" s="13"/>
      <c r="D412" s="30"/>
      <c r="E412" s="31"/>
      <c r="F412" s="30"/>
      <c r="G412" s="30"/>
      <c r="H412" s="30"/>
      <c r="I412" s="30"/>
      <c r="J412" s="30"/>
      <c r="K412" s="30"/>
      <c r="L412" s="30"/>
      <c r="M412" s="30"/>
    </row>
    <row r="413" spans="1:13" s="14" customFormat="1" x14ac:dyDescent="0.25">
      <c r="A413" s="13"/>
      <c r="D413" s="30"/>
      <c r="E413" s="31"/>
      <c r="F413" s="30"/>
      <c r="G413" s="30"/>
      <c r="H413" s="30"/>
      <c r="I413" s="30"/>
      <c r="J413" s="30"/>
      <c r="K413" s="30"/>
      <c r="L413" s="30"/>
      <c r="M413" s="30"/>
    </row>
    <row r="414" spans="1:13" s="14" customFormat="1" x14ac:dyDescent="0.25">
      <c r="A414" s="13"/>
      <c r="D414" s="30"/>
      <c r="E414" s="31"/>
      <c r="F414" s="30"/>
      <c r="G414" s="30"/>
      <c r="H414" s="30"/>
      <c r="I414" s="30"/>
      <c r="J414" s="30"/>
      <c r="K414" s="30"/>
      <c r="L414" s="30"/>
      <c r="M414" s="30"/>
    </row>
    <row r="415" spans="1:13" s="14" customFormat="1" x14ac:dyDescent="0.25">
      <c r="A415" s="13"/>
      <c r="D415" s="30"/>
      <c r="E415" s="31"/>
      <c r="F415" s="30"/>
      <c r="G415" s="30"/>
      <c r="H415" s="30"/>
      <c r="I415" s="30"/>
      <c r="J415" s="30"/>
      <c r="K415" s="30"/>
      <c r="L415" s="30"/>
      <c r="M415" s="30"/>
    </row>
    <row r="416" spans="1:13" s="14" customFormat="1" x14ac:dyDescent="0.25">
      <c r="A416" s="13"/>
      <c r="D416" s="30"/>
      <c r="E416" s="31"/>
      <c r="F416" s="30"/>
      <c r="G416" s="30"/>
      <c r="H416" s="30"/>
      <c r="I416" s="30"/>
      <c r="J416" s="30"/>
      <c r="K416" s="30"/>
      <c r="L416" s="30"/>
      <c r="M416" s="30"/>
    </row>
    <row r="417" spans="1:13" s="14" customFormat="1" x14ac:dyDescent="0.25">
      <c r="A417" s="13"/>
      <c r="D417" s="30"/>
      <c r="E417" s="31"/>
      <c r="F417" s="30"/>
      <c r="G417" s="30"/>
      <c r="H417" s="30"/>
      <c r="I417" s="30"/>
      <c r="J417" s="30"/>
      <c r="K417" s="30"/>
      <c r="L417" s="30"/>
      <c r="M417" s="30"/>
    </row>
    <row r="418" spans="1:13" s="14" customFormat="1" x14ac:dyDescent="0.25">
      <c r="A418" s="13"/>
      <c r="D418" s="30"/>
      <c r="E418" s="31"/>
      <c r="F418" s="30"/>
      <c r="G418" s="30"/>
      <c r="H418" s="30"/>
      <c r="I418" s="30"/>
      <c r="J418" s="30"/>
      <c r="K418" s="30"/>
      <c r="L418" s="30"/>
      <c r="M418" s="30"/>
    </row>
    <row r="419" spans="1:13" s="14" customFormat="1" x14ac:dyDescent="0.25">
      <c r="A419" s="13"/>
      <c r="D419" s="30"/>
      <c r="E419" s="31"/>
      <c r="F419" s="30"/>
      <c r="G419" s="30"/>
      <c r="H419" s="30"/>
      <c r="I419" s="30"/>
      <c r="J419" s="30"/>
      <c r="K419" s="30"/>
      <c r="L419" s="30"/>
      <c r="M419" s="30"/>
    </row>
    <row r="420" spans="1:13" s="14" customFormat="1" x14ac:dyDescent="0.25">
      <c r="A420" s="13"/>
      <c r="D420" s="30"/>
      <c r="E420" s="31"/>
      <c r="F420" s="30"/>
      <c r="G420" s="30"/>
      <c r="H420" s="30"/>
      <c r="I420" s="30"/>
      <c r="J420" s="30"/>
      <c r="K420" s="30"/>
      <c r="L420" s="30"/>
      <c r="M420" s="30"/>
    </row>
    <row r="421" spans="1:13" s="14" customFormat="1" x14ac:dyDescent="0.25">
      <c r="A421" s="13"/>
      <c r="D421" s="30"/>
      <c r="E421" s="31"/>
      <c r="F421" s="30"/>
      <c r="G421" s="30"/>
      <c r="H421" s="30"/>
      <c r="I421" s="30"/>
      <c r="J421" s="30"/>
      <c r="K421" s="30"/>
      <c r="L421" s="30"/>
      <c r="M421" s="30"/>
    </row>
    <row r="422" spans="1:13" s="14" customFormat="1" x14ac:dyDescent="0.25">
      <c r="A422" s="13"/>
      <c r="D422" s="30"/>
      <c r="E422" s="31"/>
      <c r="F422" s="30"/>
      <c r="G422" s="30"/>
      <c r="H422" s="30"/>
      <c r="I422" s="30"/>
      <c r="J422" s="30"/>
      <c r="K422" s="30"/>
      <c r="L422" s="30"/>
      <c r="M422" s="30"/>
    </row>
    <row r="423" spans="1:13" s="14" customFormat="1" x14ac:dyDescent="0.25">
      <c r="A423" s="13"/>
      <c r="D423" s="30"/>
      <c r="E423" s="31"/>
      <c r="F423" s="30"/>
      <c r="G423" s="30"/>
      <c r="H423" s="30"/>
      <c r="I423" s="30"/>
      <c r="J423" s="30"/>
      <c r="K423" s="30"/>
      <c r="L423" s="30"/>
      <c r="M423" s="30"/>
    </row>
    <row r="424" spans="1:13" s="14" customFormat="1" x14ac:dyDescent="0.25">
      <c r="A424" s="13"/>
      <c r="D424" s="30"/>
      <c r="E424" s="31"/>
      <c r="F424" s="30"/>
      <c r="G424" s="30"/>
      <c r="H424" s="30"/>
      <c r="I424" s="30"/>
      <c r="J424" s="30"/>
      <c r="K424" s="30"/>
      <c r="L424" s="30"/>
      <c r="M424" s="30"/>
    </row>
    <row r="425" spans="1:13" s="14" customFormat="1" x14ac:dyDescent="0.25">
      <c r="A425" s="13"/>
      <c r="D425" s="30"/>
      <c r="E425" s="31"/>
      <c r="F425" s="30"/>
      <c r="G425" s="30"/>
      <c r="H425" s="30"/>
      <c r="I425" s="30"/>
      <c r="J425" s="30"/>
      <c r="K425" s="30"/>
      <c r="L425" s="30"/>
      <c r="M425" s="30"/>
    </row>
    <row r="426" spans="1:13" s="14" customFormat="1" x14ac:dyDescent="0.25">
      <c r="A426" s="13"/>
      <c r="D426" s="30"/>
      <c r="E426" s="31"/>
      <c r="F426" s="30"/>
      <c r="G426" s="30"/>
      <c r="H426" s="30"/>
      <c r="I426" s="30"/>
      <c r="J426" s="30"/>
      <c r="K426" s="30"/>
      <c r="L426" s="30"/>
      <c r="M426" s="30"/>
    </row>
    <row r="427" spans="1:13" s="14" customFormat="1" x14ac:dyDescent="0.25">
      <c r="A427" s="13"/>
      <c r="D427" s="30"/>
      <c r="E427" s="31"/>
      <c r="F427" s="30"/>
      <c r="G427" s="30"/>
      <c r="H427" s="30"/>
      <c r="I427" s="30"/>
      <c r="J427" s="30"/>
      <c r="K427" s="30"/>
      <c r="L427" s="30"/>
      <c r="M427" s="30"/>
    </row>
    <row r="428" spans="1:13" s="14" customFormat="1" x14ac:dyDescent="0.25">
      <c r="A428" s="13"/>
      <c r="D428" s="30"/>
      <c r="E428" s="31"/>
      <c r="F428" s="30"/>
      <c r="G428" s="30"/>
      <c r="H428" s="30"/>
      <c r="I428" s="30"/>
      <c r="J428" s="30"/>
      <c r="K428" s="30"/>
      <c r="L428" s="30"/>
      <c r="M428" s="30"/>
    </row>
    <row r="429" spans="1:13" s="14" customFormat="1" x14ac:dyDescent="0.25">
      <c r="A429" s="13"/>
      <c r="D429" s="30"/>
      <c r="E429" s="31"/>
      <c r="F429" s="30"/>
      <c r="G429" s="30"/>
      <c r="H429" s="30"/>
      <c r="I429" s="30"/>
      <c r="J429" s="30"/>
      <c r="K429" s="30"/>
      <c r="L429" s="30"/>
      <c r="M429" s="30"/>
    </row>
    <row r="430" spans="1:13" s="14" customFormat="1" x14ac:dyDescent="0.25">
      <c r="A430" s="13"/>
      <c r="D430" s="30"/>
      <c r="E430" s="31"/>
      <c r="F430" s="30"/>
      <c r="G430" s="30"/>
      <c r="H430" s="30"/>
      <c r="I430" s="30"/>
      <c r="J430" s="30"/>
      <c r="K430" s="30"/>
      <c r="L430" s="30"/>
      <c r="M430" s="30"/>
    </row>
    <row r="431" spans="1:13" s="14" customFormat="1" x14ac:dyDescent="0.25">
      <c r="A431" s="13"/>
      <c r="D431" s="30"/>
      <c r="E431" s="31"/>
      <c r="F431" s="30"/>
      <c r="G431" s="30"/>
      <c r="H431" s="30"/>
      <c r="I431" s="30"/>
      <c r="J431" s="30"/>
      <c r="K431" s="30"/>
      <c r="L431" s="30"/>
      <c r="M431" s="30"/>
    </row>
    <row r="432" spans="1:13" s="14" customFormat="1" x14ac:dyDescent="0.25">
      <c r="A432" s="13"/>
      <c r="D432" s="30"/>
      <c r="E432" s="31"/>
      <c r="F432" s="30"/>
      <c r="G432" s="30"/>
      <c r="H432" s="30"/>
      <c r="I432" s="30"/>
      <c r="J432" s="30"/>
      <c r="K432" s="30"/>
      <c r="L432" s="30"/>
      <c r="M432" s="30"/>
    </row>
    <row r="433" spans="1:13" s="14" customFormat="1" x14ac:dyDescent="0.25">
      <c r="A433" s="13"/>
      <c r="D433" s="30"/>
      <c r="E433" s="31"/>
      <c r="F433" s="30"/>
      <c r="G433" s="30"/>
      <c r="H433" s="30"/>
      <c r="I433" s="30"/>
      <c r="J433" s="30"/>
      <c r="K433" s="30"/>
      <c r="L433" s="30"/>
      <c r="M433" s="30"/>
    </row>
    <row r="434" spans="1:13" s="14" customFormat="1" x14ac:dyDescent="0.25">
      <c r="A434" s="13"/>
      <c r="D434" s="30"/>
      <c r="E434" s="31"/>
      <c r="F434" s="30"/>
      <c r="G434" s="30"/>
      <c r="H434" s="30"/>
      <c r="I434" s="30"/>
      <c r="J434" s="30"/>
      <c r="K434" s="30"/>
      <c r="L434" s="30"/>
      <c r="M434" s="30"/>
    </row>
    <row r="435" spans="1:13" s="14" customFormat="1" x14ac:dyDescent="0.25">
      <c r="A435" s="13"/>
      <c r="D435" s="30"/>
      <c r="E435" s="31"/>
      <c r="F435" s="30"/>
      <c r="G435" s="30"/>
      <c r="H435" s="30"/>
      <c r="I435" s="30"/>
      <c r="J435" s="30"/>
      <c r="K435" s="30"/>
      <c r="L435" s="30"/>
      <c r="M435" s="30"/>
    </row>
    <row r="436" spans="1:13" s="14" customFormat="1" x14ac:dyDescent="0.25">
      <c r="A436" s="13"/>
      <c r="D436" s="30"/>
      <c r="E436" s="31"/>
      <c r="F436" s="30"/>
      <c r="G436" s="30"/>
      <c r="H436" s="30"/>
      <c r="I436" s="30"/>
      <c r="J436" s="30"/>
      <c r="K436" s="30"/>
      <c r="L436" s="30"/>
      <c r="M436" s="30"/>
    </row>
    <row r="437" spans="1:13" s="14" customFormat="1" x14ac:dyDescent="0.25">
      <c r="A437" s="13"/>
      <c r="D437" s="30"/>
      <c r="E437" s="31"/>
      <c r="F437" s="30"/>
      <c r="G437" s="30"/>
      <c r="H437" s="30"/>
      <c r="I437" s="30"/>
      <c r="J437" s="30"/>
      <c r="K437" s="30"/>
      <c r="L437" s="30"/>
      <c r="M437" s="30"/>
    </row>
    <row r="438" spans="1:13" s="14" customFormat="1" x14ac:dyDescent="0.25">
      <c r="A438" s="13"/>
      <c r="D438" s="30"/>
      <c r="E438" s="31"/>
      <c r="F438" s="30"/>
      <c r="G438" s="30"/>
      <c r="H438" s="30"/>
      <c r="I438" s="30"/>
      <c r="J438" s="30"/>
      <c r="K438" s="30"/>
      <c r="L438" s="30"/>
      <c r="M438" s="30"/>
    </row>
    <row r="439" spans="1:13" s="14" customFormat="1" x14ac:dyDescent="0.25">
      <c r="A439" s="13"/>
      <c r="D439" s="30"/>
      <c r="E439" s="31"/>
      <c r="F439" s="30"/>
      <c r="G439" s="30"/>
      <c r="H439" s="30"/>
      <c r="I439" s="30"/>
      <c r="J439" s="30"/>
      <c r="K439" s="30"/>
      <c r="L439" s="30"/>
      <c r="M439" s="30"/>
    </row>
    <row r="440" spans="1:13" s="14" customFormat="1" x14ac:dyDescent="0.25">
      <c r="A440" s="13"/>
      <c r="D440" s="30"/>
      <c r="E440" s="31"/>
      <c r="F440" s="30"/>
      <c r="G440" s="30"/>
      <c r="H440" s="30"/>
      <c r="I440" s="30"/>
      <c r="J440" s="30"/>
      <c r="K440" s="30"/>
      <c r="L440" s="30"/>
      <c r="M440" s="30"/>
    </row>
    <row r="441" spans="1:13" s="14" customFormat="1" x14ac:dyDescent="0.25">
      <c r="A441" s="13"/>
      <c r="D441" s="30"/>
      <c r="E441" s="31"/>
      <c r="F441" s="30"/>
      <c r="G441" s="30"/>
      <c r="H441" s="30"/>
      <c r="I441" s="30"/>
      <c r="J441" s="30"/>
      <c r="K441" s="30"/>
      <c r="L441" s="30"/>
      <c r="M441" s="30"/>
    </row>
    <row r="442" spans="1:13" s="14" customFormat="1" x14ac:dyDescent="0.25">
      <c r="A442" s="13"/>
      <c r="D442" s="30"/>
      <c r="E442" s="31"/>
      <c r="F442" s="30"/>
      <c r="G442" s="30"/>
      <c r="H442" s="30"/>
      <c r="I442" s="30"/>
      <c r="J442" s="30"/>
      <c r="K442" s="30"/>
      <c r="L442" s="30"/>
      <c r="M442" s="30"/>
    </row>
    <row r="443" spans="1:13" s="14" customFormat="1" x14ac:dyDescent="0.25">
      <c r="A443" s="13"/>
      <c r="D443" s="30"/>
      <c r="E443" s="31"/>
      <c r="F443" s="30"/>
      <c r="G443" s="30"/>
      <c r="H443" s="30"/>
      <c r="I443" s="30"/>
      <c r="J443" s="30"/>
      <c r="K443" s="30"/>
      <c r="L443" s="30"/>
      <c r="M443" s="30"/>
    </row>
    <row r="444" spans="1:13" s="14" customFormat="1" x14ac:dyDescent="0.25">
      <c r="A444" s="13"/>
      <c r="D444" s="30"/>
      <c r="E444" s="31"/>
      <c r="F444" s="30"/>
      <c r="G444" s="30"/>
      <c r="H444" s="30"/>
      <c r="I444" s="30"/>
      <c r="J444" s="30"/>
      <c r="K444" s="30"/>
      <c r="L444" s="30"/>
      <c r="M444" s="30"/>
    </row>
    <row r="445" spans="1:13" s="14" customFormat="1" x14ac:dyDescent="0.25">
      <c r="A445" s="13"/>
      <c r="D445" s="30"/>
      <c r="E445" s="31"/>
      <c r="F445" s="30"/>
      <c r="G445" s="30"/>
      <c r="H445" s="30"/>
      <c r="I445" s="30"/>
      <c r="J445" s="30"/>
      <c r="K445" s="30"/>
      <c r="L445" s="30"/>
      <c r="M445" s="30"/>
    </row>
    <row r="446" spans="1:13" s="14" customFormat="1" x14ac:dyDescent="0.25">
      <c r="A446" s="13"/>
      <c r="D446" s="30"/>
      <c r="E446" s="31"/>
      <c r="F446" s="30"/>
      <c r="G446" s="30"/>
      <c r="H446" s="30"/>
      <c r="I446" s="30"/>
      <c r="J446" s="30"/>
      <c r="K446" s="30"/>
      <c r="L446" s="30"/>
      <c r="M446" s="30"/>
    </row>
    <row r="447" spans="1:13" s="14" customFormat="1" x14ac:dyDescent="0.25">
      <c r="A447" s="13"/>
      <c r="D447" s="30"/>
      <c r="E447" s="31"/>
      <c r="F447" s="30"/>
      <c r="G447" s="30"/>
      <c r="H447" s="30"/>
      <c r="I447" s="30"/>
      <c r="J447" s="30"/>
      <c r="K447" s="30"/>
      <c r="L447" s="30"/>
      <c r="M447" s="30"/>
    </row>
    <row r="448" spans="1:13" s="14" customFormat="1" x14ac:dyDescent="0.25">
      <c r="A448" s="13"/>
      <c r="D448" s="30"/>
      <c r="E448" s="31"/>
      <c r="F448" s="30"/>
      <c r="G448" s="30"/>
      <c r="H448" s="30"/>
      <c r="I448" s="30"/>
      <c r="J448" s="30"/>
      <c r="K448" s="30"/>
      <c r="L448" s="30"/>
      <c r="M448" s="30"/>
    </row>
    <row r="449" spans="1:13" s="14" customFormat="1" x14ac:dyDescent="0.25">
      <c r="A449" s="13"/>
      <c r="D449" s="30"/>
      <c r="E449" s="31"/>
      <c r="F449" s="30"/>
      <c r="G449" s="30"/>
      <c r="H449" s="30"/>
      <c r="I449" s="30"/>
      <c r="J449" s="30"/>
      <c r="K449" s="30"/>
      <c r="L449" s="30"/>
      <c r="M449" s="30"/>
    </row>
    <row r="450" spans="1:13" s="14" customFormat="1" x14ac:dyDescent="0.25">
      <c r="A450" s="13"/>
      <c r="D450" s="30"/>
      <c r="E450" s="31"/>
      <c r="F450" s="30"/>
      <c r="G450" s="30"/>
      <c r="H450" s="30"/>
      <c r="I450" s="30"/>
      <c r="J450" s="30"/>
      <c r="K450" s="30"/>
      <c r="L450" s="30"/>
      <c r="M450" s="30"/>
    </row>
    <row r="451" spans="1:13" s="14" customFormat="1" x14ac:dyDescent="0.25">
      <c r="A451" s="13"/>
      <c r="D451" s="30"/>
      <c r="E451" s="31"/>
      <c r="F451" s="30"/>
      <c r="G451" s="30"/>
      <c r="H451" s="30"/>
      <c r="I451" s="30"/>
      <c r="J451" s="30"/>
      <c r="K451" s="30"/>
      <c r="L451" s="30"/>
      <c r="M451" s="30"/>
    </row>
    <row r="452" spans="1:13" s="14" customFormat="1" x14ac:dyDescent="0.25">
      <c r="A452" s="13"/>
      <c r="D452" s="30"/>
      <c r="E452" s="31"/>
      <c r="F452" s="30"/>
      <c r="G452" s="30"/>
      <c r="H452" s="30"/>
      <c r="I452" s="30"/>
      <c r="J452" s="30"/>
      <c r="K452" s="30"/>
      <c r="L452" s="30"/>
      <c r="M452" s="30"/>
    </row>
    <row r="453" spans="1:13" s="14" customFormat="1" x14ac:dyDescent="0.25">
      <c r="A453" s="13"/>
      <c r="D453" s="30"/>
      <c r="E453" s="31"/>
      <c r="F453" s="30"/>
      <c r="G453" s="30"/>
      <c r="H453" s="30"/>
      <c r="I453" s="30"/>
      <c r="J453" s="30"/>
      <c r="K453" s="30"/>
      <c r="L453" s="30"/>
      <c r="M453" s="30"/>
    </row>
    <row r="454" spans="1:13" s="14" customFormat="1" x14ac:dyDescent="0.25">
      <c r="A454" s="13"/>
      <c r="D454" s="30"/>
      <c r="E454" s="31"/>
      <c r="F454" s="30"/>
      <c r="G454" s="30"/>
      <c r="H454" s="30"/>
      <c r="I454" s="30"/>
      <c r="J454" s="30"/>
      <c r="K454" s="30"/>
      <c r="L454" s="30"/>
      <c r="M454" s="30"/>
    </row>
    <row r="455" spans="1:13" s="14" customFormat="1" x14ac:dyDescent="0.25">
      <c r="A455" s="13"/>
      <c r="D455" s="30"/>
      <c r="E455" s="31"/>
      <c r="F455" s="30"/>
      <c r="G455" s="30"/>
      <c r="H455" s="30"/>
      <c r="I455" s="30"/>
      <c r="J455" s="30"/>
      <c r="K455" s="30"/>
      <c r="L455" s="30"/>
      <c r="M455" s="30"/>
    </row>
    <row r="456" spans="1:13" s="14" customFormat="1" x14ac:dyDescent="0.25">
      <c r="A456" s="13"/>
      <c r="D456" s="30"/>
      <c r="E456" s="31"/>
      <c r="F456" s="30"/>
      <c r="G456" s="30"/>
      <c r="H456" s="30"/>
      <c r="I456" s="30"/>
      <c r="J456" s="30"/>
      <c r="K456" s="30"/>
      <c r="L456" s="30"/>
      <c r="M456" s="30"/>
    </row>
    <row r="457" spans="1:13" s="14" customFormat="1" x14ac:dyDescent="0.25">
      <c r="A457" s="13"/>
      <c r="D457" s="30"/>
      <c r="E457" s="31"/>
      <c r="F457" s="30"/>
      <c r="G457" s="30"/>
      <c r="H457" s="30"/>
      <c r="I457" s="30"/>
      <c r="J457" s="30"/>
      <c r="K457" s="30"/>
      <c r="L457" s="30"/>
      <c r="M457" s="30"/>
    </row>
    <row r="458" spans="1:13" s="14" customFormat="1" x14ac:dyDescent="0.25">
      <c r="A458" s="13"/>
      <c r="D458" s="30"/>
      <c r="E458" s="31"/>
      <c r="F458" s="30"/>
      <c r="G458" s="30"/>
      <c r="H458" s="30"/>
      <c r="I458" s="30"/>
      <c r="J458" s="30"/>
      <c r="K458" s="30"/>
      <c r="L458" s="30"/>
      <c r="M458" s="30"/>
    </row>
    <row r="459" spans="1:13" s="14" customFormat="1" x14ac:dyDescent="0.25">
      <c r="A459" s="13"/>
      <c r="D459" s="30"/>
      <c r="E459" s="31"/>
      <c r="F459" s="30"/>
      <c r="G459" s="30"/>
      <c r="H459" s="30"/>
      <c r="I459" s="30"/>
      <c r="J459" s="30"/>
      <c r="K459" s="30"/>
      <c r="L459" s="30"/>
      <c r="M459" s="30"/>
    </row>
    <row r="460" spans="1:13" s="14" customFormat="1" x14ac:dyDescent="0.25">
      <c r="A460" s="13"/>
      <c r="D460" s="30"/>
      <c r="E460" s="31"/>
      <c r="F460" s="30"/>
      <c r="G460" s="30"/>
      <c r="H460" s="30"/>
      <c r="I460" s="30"/>
      <c r="J460" s="30"/>
      <c r="K460" s="30"/>
      <c r="L460" s="30"/>
      <c r="M460" s="30"/>
    </row>
    <row r="461" spans="1:13" s="14" customFormat="1" x14ac:dyDescent="0.25">
      <c r="A461" s="13"/>
      <c r="D461" s="30"/>
      <c r="E461" s="31"/>
      <c r="F461" s="30"/>
      <c r="G461" s="30"/>
      <c r="H461" s="30"/>
      <c r="I461" s="30"/>
      <c r="J461" s="30"/>
      <c r="K461" s="30"/>
      <c r="L461" s="30"/>
      <c r="M461" s="30"/>
    </row>
    <row r="462" spans="1:13" s="14" customFormat="1" x14ac:dyDescent="0.25">
      <c r="A462" s="13"/>
      <c r="D462" s="30"/>
      <c r="E462" s="31"/>
      <c r="F462" s="30"/>
      <c r="G462" s="30"/>
      <c r="H462" s="30"/>
      <c r="I462" s="30"/>
      <c r="J462" s="30"/>
      <c r="K462" s="30"/>
      <c r="L462" s="30"/>
      <c r="M462" s="30"/>
    </row>
    <row r="463" spans="1:13" s="14" customFormat="1" x14ac:dyDescent="0.25">
      <c r="A463" s="13"/>
      <c r="D463" s="30"/>
      <c r="E463" s="31"/>
      <c r="F463" s="30"/>
      <c r="G463" s="30"/>
      <c r="H463" s="30"/>
      <c r="I463" s="30"/>
      <c r="J463" s="30"/>
      <c r="K463" s="30"/>
      <c r="L463" s="30"/>
      <c r="M463" s="30"/>
    </row>
    <row r="464" spans="1:13" s="14" customFormat="1" x14ac:dyDescent="0.25">
      <c r="A464" s="13"/>
      <c r="D464" s="30"/>
      <c r="E464" s="31"/>
      <c r="F464" s="30"/>
      <c r="G464" s="30"/>
      <c r="H464" s="30"/>
      <c r="I464" s="30"/>
      <c r="J464" s="30"/>
      <c r="K464" s="30"/>
      <c r="L464" s="30"/>
      <c r="M464" s="30"/>
    </row>
    <row r="465" spans="1:13" s="14" customFormat="1" x14ac:dyDescent="0.25">
      <c r="A465" s="13"/>
      <c r="D465" s="30"/>
      <c r="E465" s="31"/>
      <c r="F465" s="30"/>
      <c r="G465" s="30"/>
      <c r="H465" s="30"/>
      <c r="I465" s="30"/>
      <c r="J465" s="30"/>
      <c r="K465" s="30"/>
      <c r="L465" s="30"/>
      <c r="M465" s="30"/>
    </row>
    <row r="466" spans="1:13" s="14" customFormat="1" x14ac:dyDescent="0.25">
      <c r="A466" s="13"/>
      <c r="D466" s="30"/>
      <c r="E466" s="31"/>
      <c r="F466" s="30"/>
      <c r="G466" s="30"/>
      <c r="H466" s="30"/>
      <c r="I466" s="30"/>
      <c r="J466" s="30"/>
      <c r="K466" s="30"/>
      <c r="L466" s="30"/>
      <c r="M466" s="30"/>
    </row>
    <row r="467" spans="1:13" s="14" customFormat="1" x14ac:dyDescent="0.25">
      <c r="A467" s="13"/>
      <c r="D467" s="30"/>
      <c r="E467" s="31"/>
      <c r="F467" s="30"/>
      <c r="G467" s="30"/>
      <c r="H467" s="30"/>
      <c r="I467" s="30"/>
      <c r="J467" s="30"/>
      <c r="K467" s="30"/>
      <c r="L467" s="30"/>
      <c r="M467" s="30"/>
    </row>
    <row r="468" spans="1:13" s="14" customFormat="1" x14ac:dyDescent="0.25">
      <c r="A468" s="13"/>
      <c r="D468" s="30"/>
      <c r="E468" s="31"/>
      <c r="F468" s="30"/>
      <c r="G468" s="30"/>
      <c r="H468" s="30"/>
      <c r="I468" s="30"/>
      <c r="J468" s="30"/>
      <c r="K468" s="30"/>
      <c r="L468" s="30"/>
      <c r="M468" s="30"/>
    </row>
    <row r="469" spans="1:13" s="14" customFormat="1" x14ac:dyDescent="0.25">
      <c r="A469" s="13"/>
      <c r="D469" s="30"/>
      <c r="E469" s="31"/>
      <c r="F469" s="30"/>
      <c r="G469" s="30"/>
      <c r="H469" s="30"/>
      <c r="I469" s="30"/>
      <c r="J469" s="30"/>
      <c r="K469" s="30"/>
      <c r="L469" s="30"/>
      <c r="M469" s="30"/>
    </row>
    <row r="470" spans="1:13" s="14" customFormat="1" x14ac:dyDescent="0.25">
      <c r="A470" s="13"/>
      <c r="D470" s="30"/>
      <c r="E470" s="31"/>
      <c r="F470" s="30"/>
      <c r="G470" s="30"/>
      <c r="H470" s="30"/>
      <c r="I470" s="30"/>
      <c r="J470" s="30"/>
      <c r="K470" s="30"/>
      <c r="L470" s="30"/>
      <c r="M470" s="30"/>
    </row>
    <row r="471" spans="1:13" s="14" customFormat="1" x14ac:dyDescent="0.25">
      <c r="A471" s="13"/>
      <c r="D471" s="30"/>
      <c r="E471" s="31"/>
      <c r="F471" s="30"/>
      <c r="G471" s="30"/>
      <c r="H471" s="30"/>
      <c r="I471" s="30"/>
      <c r="J471" s="30"/>
      <c r="K471" s="30"/>
      <c r="L471" s="30"/>
      <c r="M471" s="30"/>
    </row>
    <row r="472" spans="1:13" s="14" customFormat="1" x14ac:dyDescent="0.25">
      <c r="A472" s="13"/>
      <c r="D472" s="30"/>
      <c r="E472" s="31"/>
      <c r="F472" s="30"/>
      <c r="G472" s="30"/>
      <c r="H472" s="30"/>
      <c r="I472" s="30"/>
      <c r="J472" s="30"/>
      <c r="K472" s="30"/>
      <c r="L472" s="30"/>
      <c r="M472" s="30"/>
    </row>
    <row r="473" spans="1:13" s="14" customFormat="1" x14ac:dyDescent="0.25">
      <c r="A473" s="13"/>
      <c r="D473" s="30"/>
      <c r="E473" s="31"/>
      <c r="F473" s="30"/>
      <c r="G473" s="30"/>
      <c r="H473" s="30"/>
      <c r="I473" s="30"/>
      <c r="J473" s="30"/>
      <c r="K473" s="30"/>
      <c r="L473" s="30"/>
      <c r="M473" s="30"/>
    </row>
    <row r="474" spans="1:13" s="14" customFormat="1" x14ac:dyDescent="0.25">
      <c r="A474" s="13"/>
      <c r="D474" s="30"/>
      <c r="E474" s="31"/>
      <c r="F474" s="30"/>
      <c r="G474" s="30"/>
      <c r="H474" s="30"/>
      <c r="I474" s="30"/>
      <c r="J474" s="30"/>
      <c r="K474" s="30"/>
      <c r="L474" s="30"/>
      <c r="M474" s="30"/>
    </row>
    <row r="475" spans="1:13" s="14" customFormat="1" x14ac:dyDescent="0.25">
      <c r="A475" s="13"/>
      <c r="D475" s="30"/>
      <c r="E475" s="31"/>
      <c r="F475" s="30"/>
      <c r="G475" s="30"/>
      <c r="H475" s="30"/>
      <c r="I475" s="30"/>
      <c r="J475" s="30"/>
      <c r="K475" s="30"/>
      <c r="L475" s="30"/>
      <c r="M475" s="30"/>
    </row>
    <row r="476" spans="1:13" s="14" customFormat="1" x14ac:dyDescent="0.25">
      <c r="A476" s="13"/>
      <c r="D476" s="30"/>
      <c r="E476" s="31"/>
      <c r="F476" s="30"/>
      <c r="G476" s="30"/>
      <c r="H476" s="30"/>
      <c r="I476" s="30"/>
      <c r="J476" s="30"/>
      <c r="K476" s="30"/>
      <c r="L476" s="30"/>
      <c r="M476" s="30"/>
    </row>
    <row r="477" spans="1:13" s="14" customFormat="1" x14ac:dyDescent="0.25">
      <c r="A477" s="13"/>
      <c r="D477" s="30"/>
      <c r="E477" s="31"/>
      <c r="F477" s="30"/>
      <c r="G477" s="30"/>
      <c r="H477" s="30"/>
      <c r="I477" s="30"/>
      <c r="J477" s="30"/>
      <c r="K477" s="30"/>
      <c r="L477" s="30"/>
      <c r="M477" s="30"/>
    </row>
    <row r="478" spans="1:13" s="14" customFormat="1" x14ac:dyDescent="0.25">
      <c r="A478" s="13"/>
      <c r="D478" s="30"/>
      <c r="E478" s="31"/>
      <c r="F478" s="30"/>
      <c r="G478" s="30"/>
      <c r="H478" s="30"/>
      <c r="I478" s="30"/>
      <c r="J478" s="30"/>
      <c r="K478" s="30"/>
      <c r="L478" s="30"/>
      <c r="M478" s="30"/>
    </row>
    <row r="479" spans="1:13" s="14" customFormat="1" x14ac:dyDescent="0.25">
      <c r="A479" s="13"/>
      <c r="D479" s="30"/>
      <c r="E479" s="31"/>
      <c r="F479" s="30"/>
      <c r="G479" s="30"/>
      <c r="H479" s="30"/>
      <c r="I479" s="30"/>
      <c r="J479" s="30"/>
      <c r="K479" s="30"/>
      <c r="L479" s="30"/>
      <c r="M479" s="30"/>
    </row>
    <row r="480" spans="1:13" s="14" customFormat="1" x14ac:dyDescent="0.25">
      <c r="A480" s="13"/>
      <c r="D480" s="30"/>
      <c r="E480" s="31"/>
      <c r="F480" s="30"/>
      <c r="G480" s="30"/>
      <c r="H480" s="30"/>
      <c r="I480" s="30"/>
      <c r="J480" s="30"/>
      <c r="K480" s="30"/>
      <c r="L480" s="30"/>
      <c r="M480" s="30"/>
    </row>
    <row r="481" spans="1:13" s="14" customFormat="1" x14ac:dyDescent="0.25">
      <c r="A481" s="13"/>
      <c r="D481" s="30"/>
      <c r="E481" s="31"/>
      <c r="F481" s="30"/>
      <c r="G481" s="30"/>
      <c r="H481" s="30"/>
      <c r="I481" s="30"/>
      <c r="J481" s="30"/>
      <c r="K481" s="30"/>
      <c r="L481" s="30"/>
      <c r="M481" s="30"/>
    </row>
    <row r="482" spans="1:13" s="14" customFormat="1" x14ac:dyDescent="0.25">
      <c r="A482" s="13"/>
      <c r="D482" s="30"/>
      <c r="E482" s="31"/>
      <c r="F482" s="30"/>
      <c r="G482" s="30"/>
      <c r="H482" s="30"/>
      <c r="I482" s="30"/>
      <c r="J482" s="30"/>
      <c r="K482" s="30"/>
      <c r="L482" s="30"/>
      <c r="M482" s="30"/>
    </row>
    <row r="483" spans="1:13" s="14" customFormat="1" x14ac:dyDescent="0.25">
      <c r="A483" s="13"/>
      <c r="D483" s="30"/>
      <c r="E483" s="31"/>
      <c r="F483" s="30"/>
      <c r="G483" s="30"/>
      <c r="H483" s="30"/>
      <c r="I483" s="30"/>
      <c r="J483" s="30"/>
      <c r="K483" s="30"/>
      <c r="L483" s="30"/>
      <c r="M483" s="30"/>
    </row>
    <row r="484" spans="1:13" s="14" customFormat="1" x14ac:dyDescent="0.25">
      <c r="A484" s="13"/>
      <c r="D484" s="30"/>
      <c r="E484" s="31"/>
      <c r="F484" s="30"/>
      <c r="G484" s="30"/>
      <c r="H484" s="30"/>
      <c r="I484" s="30"/>
      <c r="J484" s="30"/>
      <c r="K484" s="30"/>
      <c r="L484" s="30"/>
      <c r="M484" s="30"/>
    </row>
    <row r="485" spans="1:13" s="14" customFormat="1" x14ac:dyDescent="0.25">
      <c r="A485" s="13"/>
      <c r="D485" s="30"/>
      <c r="E485" s="31"/>
      <c r="F485" s="30"/>
      <c r="G485" s="30"/>
      <c r="H485" s="30"/>
      <c r="I485" s="30"/>
      <c r="J485" s="30"/>
      <c r="K485" s="30"/>
      <c r="L485" s="30"/>
      <c r="M485" s="30"/>
    </row>
    <row r="486" spans="1:13" s="14" customFormat="1" x14ac:dyDescent="0.25">
      <c r="A486" s="13"/>
      <c r="D486" s="30"/>
      <c r="E486" s="31"/>
      <c r="F486" s="30"/>
      <c r="G486" s="30"/>
      <c r="H486" s="30"/>
      <c r="I486" s="30"/>
      <c r="J486" s="30"/>
      <c r="K486" s="30"/>
      <c r="L486" s="30"/>
      <c r="M486" s="30"/>
    </row>
    <row r="487" spans="1:13" s="14" customFormat="1" x14ac:dyDescent="0.25">
      <c r="A487" s="13"/>
      <c r="D487" s="30"/>
      <c r="E487" s="31"/>
      <c r="F487" s="30"/>
      <c r="G487" s="30"/>
      <c r="H487" s="30"/>
      <c r="I487" s="30"/>
      <c r="J487" s="30"/>
      <c r="K487" s="30"/>
      <c r="L487" s="30"/>
      <c r="M487" s="30"/>
    </row>
    <row r="488" spans="1:13" s="14" customFormat="1" x14ac:dyDescent="0.25">
      <c r="A488" s="13"/>
      <c r="D488" s="30"/>
      <c r="E488" s="31"/>
      <c r="F488" s="30"/>
      <c r="G488" s="30"/>
      <c r="H488" s="30"/>
      <c r="I488" s="30"/>
      <c r="J488" s="30"/>
      <c r="K488" s="30"/>
      <c r="L488" s="30"/>
      <c r="M488" s="30"/>
    </row>
    <row r="489" spans="1:13" s="14" customFormat="1" x14ac:dyDescent="0.25">
      <c r="A489" s="13"/>
      <c r="D489" s="30"/>
      <c r="E489" s="31"/>
      <c r="F489" s="30"/>
      <c r="G489" s="30"/>
      <c r="H489" s="30"/>
      <c r="I489" s="30"/>
      <c r="J489" s="30"/>
      <c r="K489" s="30"/>
      <c r="L489" s="30"/>
      <c r="M489" s="30"/>
    </row>
    <row r="490" spans="1:13" s="14" customFormat="1" x14ac:dyDescent="0.25">
      <c r="A490" s="13"/>
      <c r="D490" s="30"/>
      <c r="E490" s="31"/>
      <c r="F490" s="30"/>
      <c r="G490" s="30"/>
      <c r="H490" s="30"/>
      <c r="I490" s="30"/>
      <c r="J490" s="30"/>
      <c r="K490" s="30"/>
      <c r="L490" s="30"/>
      <c r="M490" s="30"/>
    </row>
    <row r="491" spans="1:13" s="14" customFormat="1" x14ac:dyDescent="0.25">
      <c r="A491" s="13"/>
      <c r="D491" s="30"/>
      <c r="E491" s="31"/>
      <c r="F491" s="30"/>
      <c r="G491" s="30"/>
      <c r="H491" s="30"/>
      <c r="I491" s="30"/>
      <c r="J491" s="30"/>
      <c r="K491" s="30"/>
      <c r="L491" s="30"/>
      <c r="M491" s="30"/>
    </row>
    <row r="492" spans="1:13" s="14" customFormat="1" x14ac:dyDescent="0.25">
      <c r="A492" s="13"/>
      <c r="D492" s="30"/>
      <c r="E492" s="31"/>
      <c r="F492" s="30"/>
      <c r="G492" s="30"/>
      <c r="H492" s="30"/>
      <c r="I492" s="30"/>
      <c r="J492" s="30"/>
      <c r="K492" s="30"/>
      <c r="L492" s="30"/>
      <c r="M492" s="30"/>
    </row>
    <row r="493" spans="1:13" s="14" customFormat="1" x14ac:dyDescent="0.25">
      <c r="A493" s="13"/>
      <c r="D493" s="30"/>
      <c r="E493" s="31"/>
      <c r="F493" s="30"/>
      <c r="G493" s="30"/>
      <c r="H493" s="30"/>
      <c r="I493" s="30"/>
      <c r="J493" s="30"/>
      <c r="K493" s="30"/>
      <c r="L493" s="30"/>
      <c r="M493" s="30"/>
    </row>
    <row r="494" spans="1:13" s="14" customFormat="1" x14ac:dyDescent="0.25">
      <c r="A494" s="13"/>
      <c r="D494" s="30"/>
      <c r="E494" s="31"/>
      <c r="F494" s="30"/>
      <c r="G494" s="30"/>
      <c r="H494" s="30"/>
      <c r="I494" s="30"/>
      <c r="J494" s="30"/>
      <c r="K494" s="30"/>
      <c r="L494" s="30"/>
      <c r="M494" s="30"/>
    </row>
    <row r="495" spans="1:13" s="14" customFormat="1" x14ac:dyDescent="0.25">
      <c r="A495" s="13"/>
      <c r="D495" s="30"/>
      <c r="E495" s="31"/>
      <c r="F495" s="30"/>
      <c r="G495" s="30"/>
      <c r="H495" s="30"/>
      <c r="I495" s="30"/>
      <c r="J495" s="30"/>
      <c r="K495" s="30"/>
      <c r="L495" s="30"/>
      <c r="M495" s="30"/>
    </row>
    <row r="496" spans="1:13" s="14" customFormat="1" x14ac:dyDescent="0.25">
      <c r="A496" s="13"/>
      <c r="D496" s="30"/>
      <c r="E496" s="31"/>
      <c r="F496" s="30"/>
      <c r="G496" s="30"/>
      <c r="H496" s="30"/>
      <c r="I496" s="30"/>
      <c r="J496" s="30"/>
      <c r="K496" s="30"/>
      <c r="L496" s="30"/>
      <c r="M496" s="30"/>
    </row>
    <row r="497" spans="1:13" s="14" customFormat="1" x14ac:dyDescent="0.25">
      <c r="A497" s="13"/>
      <c r="D497" s="30"/>
      <c r="E497" s="31"/>
      <c r="F497" s="30"/>
      <c r="G497" s="30"/>
      <c r="H497" s="30"/>
      <c r="I497" s="30"/>
      <c r="J497" s="30"/>
      <c r="K497" s="30"/>
      <c r="L497" s="30"/>
      <c r="M497" s="30"/>
    </row>
    <row r="498" spans="1:13" s="14" customFormat="1" x14ac:dyDescent="0.25">
      <c r="A498" s="13"/>
      <c r="D498" s="30"/>
      <c r="E498" s="31"/>
      <c r="F498" s="30"/>
      <c r="G498" s="30"/>
      <c r="H498" s="30"/>
      <c r="I498" s="30"/>
      <c r="J498" s="30"/>
      <c r="K498" s="30"/>
      <c r="L498" s="30"/>
      <c r="M498" s="30"/>
    </row>
    <row r="499" spans="1:13" s="14" customFormat="1" x14ac:dyDescent="0.25">
      <c r="A499" s="13"/>
      <c r="D499" s="30"/>
      <c r="E499" s="31"/>
      <c r="F499" s="30"/>
      <c r="G499" s="30"/>
      <c r="H499" s="30"/>
      <c r="I499" s="30"/>
      <c r="J499" s="30"/>
      <c r="K499" s="30"/>
      <c r="L499" s="30"/>
      <c r="M499" s="30"/>
    </row>
    <row r="500" spans="1:13" s="14" customFormat="1" x14ac:dyDescent="0.25">
      <c r="A500" s="13"/>
      <c r="D500" s="30"/>
      <c r="E500" s="31"/>
      <c r="F500" s="30"/>
      <c r="G500" s="30"/>
      <c r="H500" s="30"/>
      <c r="I500" s="30"/>
      <c r="J500" s="30"/>
      <c r="K500" s="30"/>
      <c r="L500" s="30"/>
      <c r="M500" s="30"/>
    </row>
    <row r="501" spans="1:13" s="14" customFormat="1" x14ac:dyDescent="0.25">
      <c r="A501" s="13"/>
      <c r="D501" s="30"/>
      <c r="E501" s="31"/>
      <c r="F501" s="30"/>
      <c r="G501" s="30"/>
      <c r="H501" s="30"/>
      <c r="I501" s="30"/>
      <c r="J501" s="30"/>
      <c r="K501" s="30"/>
      <c r="L501" s="30"/>
      <c r="M501" s="30"/>
    </row>
    <row r="502" spans="1:13" s="14" customFormat="1" x14ac:dyDescent="0.25">
      <c r="A502" s="13"/>
      <c r="D502" s="30"/>
      <c r="E502" s="31"/>
      <c r="F502" s="30"/>
      <c r="G502" s="30"/>
      <c r="H502" s="30"/>
      <c r="I502" s="30"/>
      <c r="J502" s="30"/>
      <c r="K502" s="30"/>
      <c r="L502" s="30"/>
      <c r="M502" s="30"/>
    </row>
    <row r="503" spans="1:13" s="14" customFormat="1" x14ac:dyDescent="0.25">
      <c r="A503" s="13"/>
      <c r="D503" s="30"/>
      <c r="E503" s="31"/>
      <c r="F503" s="30"/>
      <c r="G503" s="30"/>
      <c r="H503" s="30"/>
      <c r="I503" s="30"/>
      <c r="J503" s="30"/>
      <c r="K503" s="30"/>
      <c r="L503" s="30"/>
      <c r="M503" s="30"/>
    </row>
    <row r="504" spans="1:13" s="14" customFormat="1" x14ac:dyDescent="0.25">
      <c r="A504" s="13"/>
      <c r="D504" s="30"/>
      <c r="E504" s="31"/>
      <c r="F504" s="30"/>
      <c r="G504" s="30"/>
      <c r="H504" s="30"/>
      <c r="I504" s="30"/>
      <c r="J504" s="30"/>
      <c r="K504" s="30"/>
      <c r="L504" s="30"/>
      <c r="M504" s="30"/>
    </row>
    <row r="505" spans="1:13" s="14" customFormat="1" x14ac:dyDescent="0.25">
      <c r="A505" s="13"/>
      <c r="D505" s="30"/>
      <c r="E505" s="31"/>
      <c r="F505" s="30"/>
      <c r="G505" s="30"/>
      <c r="H505" s="30"/>
      <c r="I505" s="30"/>
      <c r="J505" s="30"/>
      <c r="K505" s="30"/>
      <c r="L505" s="30"/>
      <c r="M505" s="30"/>
    </row>
    <row r="506" spans="1:13" s="14" customFormat="1" x14ac:dyDescent="0.25">
      <c r="A506" s="13"/>
      <c r="D506" s="30"/>
      <c r="E506" s="31"/>
      <c r="F506" s="30"/>
      <c r="G506" s="30"/>
      <c r="H506" s="30"/>
      <c r="I506" s="30"/>
      <c r="J506" s="30"/>
      <c r="K506" s="30"/>
      <c r="L506" s="30"/>
      <c r="M506" s="30"/>
    </row>
    <row r="507" spans="1:13" s="14" customFormat="1" x14ac:dyDescent="0.25">
      <c r="A507" s="13"/>
      <c r="D507" s="30"/>
      <c r="E507" s="31"/>
      <c r="F507" s="30"/>
      <c r="G507" s="30"/>
      <c r="H507" s="30"/>
      <c r="I507" s="30"/>
      <c r="J507" s="30"/>
      <c r="K507" s="30"/>
      <c r="L507" s="30"/>
      <c r="M507" s="30"/>
    </row>
    <row r="508" spans="1:13" s="14" customFormat="1" x14ac:dyDescent="0.25">
      <c r="A508" s="13"/>
      <c r="D508" s="30"/>
      <c r="E508" s="31"/>
      <c r="F508" s="30"/>
      <c r="G508" s="30"/>
      <c r="H508" s="30"/>
      <c r="I508" s="30"/>
      <c r="J508" s="30"/>
      <c r="K508" s="30"/>
      <c r="L508" s="30"/>
      <c r="M508" s="30"/>
    </row>
    <row r="509" spans="1:13" s="14" customFormat="1" x14ac:dyDescent="0.25">
      <c r="A509" s="13"/>
      <c r="D509" s="30"/>
      <c r="E509" s="31"/>
      <c r="F509" s="30"/>
      <c r="G509" s="30"/>
      <c r="H509" s="30"/>
      <c r="I509" s="30"/>
      <c r="J509" s="30"/>
      <c r="K509" s="30"/>
      <c r="L509" s="30"/>
      <c r="M509" s="30"/>
    </row>
    <row r="510" spans="1:13" s="14" customFormat="1" x14ac:dyDescent="0.25">
      <c r="A510" s="13"/>
      <c r="D510" s="30"/>
      <c r="E510" s="31"/>
      <c r="F510" s="30"/>
      <c r="G510" s="30"/>
      <c r="H510" s="30"/>
      <c r="I510" s="30"/>
      <c r="J510" s="30"/>
      <c r="K510" s="30"/>
      <c r="L510" s="30"/>
      <c r="M510" s="30"/>
    </row>
    <row r="511" spans="1:13" s="14" customFormat="1" x14ac:dyDescent="0.25">
      <c r="A511" s="13"/>
      <c r="D511" s="30"/>
      <c r="E511" s="31"/>
      <c r="F511" s="30"/>
      <c r="G511" s="30"/>
      <c r="H511" s="30"/>
      <c r="I511" s="30"/>
      <c r="J511" s="30"/>
      <c r="K511" s="30"/>
      <c r="L511" s="30"/>
      <c r="M511" s="30"/>
    </row>
    <row r="512" spans="1:13" s="14" customFormat="1" x14ac:dyDescent="0.25">
      <c r="A512" s="13"/>
      <c r="D512" s="30"/>
      <c r="E512" s="31"/>
      <c r="F512" s="30"/>
      <c r="G512" s="30"/>
      <c r="H512" s="30"/>
      <c r="I512" s="30"/>
      <c r="J512" s="30"/>
      <c r="K512" s="30"/>
      <c r="L512" s="30"/>
      <c r="M512" s="30"/>
    </row>
    <row r="513" spans="1:13" s="14" customFormat="1" x14ac:dyDescent="0.25">
      <c r="A513" s="13"/>
      <c r="D513" s="30"/>
      <c r="E513" s="31"/>
      <c r="F513" s="30"/>
      <c r="G513" s="30"/>
      <c r="H513" s="30"/>
      <c r="I513" s="30"/>
      <c r="J513" s="30"/>
      <c r="K513" s="30"/>
      <c r="L513" s="30"/>
      <c r="M513" s="30"/>
    </row>
    <row r="514" spans="1:13" s="14" customFormat="1" x14ac:dyDescent="0.25">
      <c r="A514" s="13"/>
      <c r="D514" s="30"/>
      <c r="E514" s="31"/>
      <c r="F514" s="30"/>
      <c r="G514" s="30"/>
      <c r="H514" s="30"/>
      <c r="I514" s="30"/>
      <c r="J514" s="30"/>
      <c r="K514" s="30"/>
      <c r="L514" s="30"/>
      <c r="M514" s="30"/>
    </row>
    <row r="515" spans="1:13" s="14" customFormat="1" x14ac:dyDescent="0.25">
      <c r="A515" s="13"/>
      <c r="D515" s="30"/>
      <c r="E515" s="31"/>
      <c r="F515" s="30"/>
      <c r="G515" s="30"/>
      <c r="H515" s="30"/>
      <c r="I515" s="30"/>
      <c r="J515" s="30"/>
      <c r="K515" s="30"/>
      <c r="L515" s="30"/>
      <c r="M515" s="30"/>
    </row>
    <row r="516" spans="1:13" s="14" customFormat="1" x14ac:dyDescent="0.25">
      <c r="A516" s="13"/>
      <c r="D516" s="30"/>
      <c r="E516" s="31"/>
      <c r="F516" s="30"/>
      <c r="G516" s="30"/>
      <c r="H516" s="30"/>
      <c r="I516" s="30"/>
      <c r="J516" s="30"/>
      <c r="K516" s="30"/>
      <c r="L516" s="30"/>
      <c r="M516" s="30"/>
    </row>
    <row r="517" spans="1:13" s="14" customFormat="1" x14ac:dyDescent="0.25">
      <c r="A517" s="13"/>
      <c r="D517" s="30"/>
      <c r="E517" s="31"/>
      <c r="F517" s="30"/>
      <c r="G517" s="30"/>
      <c r="H517" s="30"/>
      <c r="I517" s="30"/>
      <c r="J517" s="30"/>
      <c r="K517" s="30"/>
      <c r="L517" s="30"/>
      <c r="M517" s="30"/>
    </row>
    <row r="518" spans="1:13" s="14" customFormat="1" x14ac:dyDescent="0.25">
      <c r="A518" s="13"/>
      <c r="D518" s="30"/>
      <c r="E518" s="31"/>
      <c r="F518" s="30"/>
      <c r="G518" s="30"/>
      <c r="H518" s="30"/>
      <c r="I518" s="30"/>
      <c r="J518" s="30"/>
      <c r="K518" s="30"/>
      <c r="L518" s="30"/>
      <c r="M518" s="30"/>
    </row>
    <row r="519" spans="1:13" s="14" customFormat="1" x14ac:dyDescent="0.25">
      <c r="A519" s="13"/>
      <c r="D519" s="30"/>
      <c r="E519" s="31"/>
      <c r="F519" s="30"/>
      <c r="G519" s="30"/>
      <c r="H519" s="30"/>
      <c r="I519" s="30"/>
      <c r="J519" s="30"/>
      <c r="K519" s="30"/>
      <c r="L519" s="30"/>
      <c r="M519" s="30"/>
    </row>
    <row r="520" spans="1:13" s="14" customFormat="1" x14ac:dyDescent="0.25">
      <c r="A520" s="13"/>
      <c r="D520" s="30"/>
      <c r="E520" s="31"/>
      <c r="F520" s="30"/>
      <c r="G520" s="30"/>
      <c r="H520" s="30"/>
      <c r="I520" s="30"/>
      <c r="J520" s="30"/>
      <c r="K520" s="30"/>
      <c r="L520" s="30"/>
      <c r="M520" s="30"/>
    </row>
    <row r="521" spans="1:13" s="14" customFormat="1" x14ac:dyDescent="0.25">
      <c r="A521" s="13"/>
      <c r="D521" s="30"/>
      <c r="E521" s="31"/>
      <c r="F521" s="30"/>
      <c r="G521" s="30"/>
      <c r="H521" s="30"/>
      <c r="I521" s="30"/>
      <c r="J521" s="30"/>
      <c r="K521" s="30"/>
      <c r="L521" s="30"/>
      <c r="M521" s="30"/>
    </row>
    <row r="522" spans="1:13" s="14" customFormat="1" x14ac:dyDescent="0.25">
      <c r="A522" s="13"/>
      <c r="D522" s="30"/>
      <c r="E522" s="31"/>
      <c r="F522" s="30"/>
      <c r="G522" s="30"/>
      <c r="H522" s="30"/>
      <c r="I522" s="30"/>
      <c r="J522" s="30"/>
      <c r="K522" s="30"/>
      <c r="L522" s="30"/>
      <c r="M522" s="30"/>
    </row>
    <row r="523" spans="1:13" s="14" customFormat="1" x14ac:dyDescent="0.25">
      <c r="A523" s="13"/>
      <c r="D523" s="30"/>
      <c r="E523" s="31"/>
      <c r="F523" s="30"/>
      <c r="G523" s="30"/>
      <c r="H523" s="30"/>
      <c r="I523" s="30"/>
      <c r="J523" s="30"/>
      <c r="K523" s="30"/>
      <c r="L523" s="30"/>
      <c r="M523" s="30"/>
    </row>
    <row r="524" spans="1:13" s="14" customFormat="1" x14ac:dyDescent="0.25">
      <c r="A524" s="13"/>
      <c r="D524" s="30"/>
      <c r="E524" s="31"/>
      <c r="F524" s="30"/>
      <c r="G524" s="30"/>
      <c r="H524" s="30"/>
      <c r="I524" s="30"/>
      <c r="J524" s="30"/>
      <c r="K524" s="30"/>
      <c r="L524" s="30"/>
      <c r="M524" s="30"/>
    </row>
    <row r="525" spans="1:13" s="14" customFormat="1" x14ac:dyDescent="0.25">
      <c r="A525" s="13"/>
      <c r="D525" s="30"/>
      <c r="E525" s="31"/>
      <c r="F525" s="30"/>
      <c r="G525" s="30"/>
      <c r="H525" s="30"/>
      <c r="I525" s="30"/>
      <c r="J525" s="30"/>
      <c r="K525" s="30"/>
      <c r="L525" s="30"/>
      <c r="M525" s="30"/>
    </row>
    <row r="526" spans="1:13" s="14" customFormat="1" x14ac:dyDescent="0.25">
      <c r="A526" s="13"/>
      <c r="D526" s="30"/>
      <c r="E526" s="31"/>
      <c r="F526" s="30"/>
      <c r="G526" s="30"/>
      <c r="H526" s="30"/>
      <c r="I526" s="30"/>
      <c r="J526" s="30"/>
      <c r="K526" s="30"/>
      <c r="L526" s="30"/>
      <c r="M526" s="30"/>
    </row>
    <row r="527" spans="1:13" s="14" customFormat="1" x14ac:dyDescent="0.25">
      <c r="A527" s="13"/>
      <c r="D527" s="30"/>
      <c r="E527" s="31"/>
      <c r="F527" s="30"/>
      <c r="G527" s="30"/>
      <c r="H527" s="30"/>
      <c r="I527" s="30"/>
      <c r="J527" s="30"/>
      <c r="K527" s="30"/>
      <c r="L527" s="30"/>
      <c r="M527" s="30"/>
    </row>
    <row r="528" spans="1:13" s="14" customFormat="1" x14ac:dyDescent="0.25">
      <c r="A528" s="13"/>
      <c r="D528" s="30"/>
      <c r="E528" s="31"/>
      <c r="F528" s="30"/>
      <c r="G528" s="30"/>
      <c r="H528" s="30"/>
      <c r="I528" s="30"/>
      <c r="J528" s="30"/>
      <c r="K528" s="30"/>
      <c r="L528" s="30"/>
      <c r="M528" s="30"/>
    </row>
    <row r="529" spans="1:13" s="14" customFormat="1" x14ac:dyDescent="0.25">
      <c r="A529" s="13"/>
      <c r="D529" s="30"/>
      <c r="E529" s="31"/>
      <c r="F529" s="30"/>
      <c r="G529" s="30"/>
      <c r="H529" s="30"/>
      <c r="I529" s="30"/>
      <c r="J529" s="30"/>
      <c r="K529" s="30"/>
      <c r="L529" s="30"/>
      <c r="M529" s="30"/>
    </row>
    <row r="530" spans="1:13" s="14" customFormat="1" x14ac:dyDescent="0.25">
      <c r="A530" s="13"/>
      <c r="D530" s="30"/>
      <c r="E530" s="31"/>
      <c r="F530" s="30"/>
      <c r="G530" s="30"/>
      <c r="H530" s="30"/>
      <c r="I530" s="30"/>
      <c r="J530" s="30"/>
      <c r="K530" s="30"/>
      <c r="L530" s="30"/>
      <c r="M530" s="30"/>
    </row>
    <row r="531" spans="1:13" s="14" customFormat="1" x14ac:dyDescent="0.25">
      <c r="A531" s="13"/>
      <c r="D531" s="30"/>
      <c r="E531" s="31"/>
      <c r="F531" s="30"/>
      <c r="G531" s="30"/>
      <c r="H531" s="30"/>
      <c r="I531" s="30"/>
      <c r="J531" s="30"/>
      <c r="K531" s="30"/>
      <c r="L531" s="30"/>
      <c r="M531" s="30"/>
    </row>
    <row r="532" spans="1:13" s="14" customFormat="1" x14ac:dyDescent="0.25">
      <c r="A532" s="13"/>
      <c r="D532" s="30"/>
      <c r="E532" s="31"/>
      <c r="F532" s="30"/>
      <c r="G532" s="30"/>
      <c r="H532" s="30"/>
      <c r="I532" s="30"/>
      <c r="J532" s="30"/>
      <c r="K532" s="30"/>
      <c r="L532" s="30"/>
      <c r="M532" s="30"/>
    </row>
    <row r="533" spans="1:13" s="14" customFormat="1" x14ac:dyDescent="0.25">
      <c r="A533" s="13"/>
      <c r="D533" s="30"/>
      <c r="E533" s="31"/>
      <c r="F533" s="30"/>
      <c r="G533" s="30"/>
      <c r="H533" s="30"/>
      <c r="I533" s="30"/>
      <c r="J533" s="30"/>
      <c r="K533" s="30"/>
      <c r="L533" s="30"/>
      <c r="M533" s="30"/>
    </row>
    <row r="534" spans="1:13" s="14" customFormat="1" x14ac:dyDescent="0.25">
      <c r="A534" s="13"/>
      <c r="D534" s="30"/>
      <c r="E534" s="31"/>
      <c r="F534" s="30"/>
      <c r="G534" s="30"/>
      <c r="H534" s="30"/>
      <c r="I534" s="30"/>
      <c r="J534" s="30"/>
      <c r="K534" s="30"/>
      <c r="L534" s="30"/>
      <c r="M534" s="30"/>
    </row>
    <row r="535" spans="1:13" s="14" customFormat="1" x14ac:dyDescent="0.25">
      <c r="A535" s="13"/>
      <c r="D535" s="30"/>
      <c r="E535" s="31"/>
      <c r="F535" s="30"/>
      <c r="G535" s="30"/>
      <c r="H535" s="30"/>
      <c r="I535" s="30"/>
      <c r="J535" s="30"/>
      <c r="K535" s="30"/>
      <c r="L535" s="30"/>
      <c r="M535" s="30"/>
    </row>
    <row r="536" spans="1:13" s="14" customFormat="1" x14ac:dyDescent="0.25">
      <c r="A536" s="13"/>
      <c r="D536" s="30"/>
      <c r="E536" s="31"/>
      <c r="F536" s="30"/>
      <c r="G536" s="30"/>
      <c r="H536" s="30"/>
      <c r="I536" s="30"/>
      <c r="J536" s="30"/>
      <c r="K536" s="30"/>
      <c r="L536" s="30"/>
      <c r="M536" s="30"/>
    </row>
    <row r="537" spans="1:13" s="14" customFormat="1" x14ac:dyDescent="0.25">
      <c r="A537" s="13"/>
      <c r="D537" s="30"/>
      <c r="E537" s="31"/>
      <c r="F537" s="30"/>
      <c r="G537" s="30"/>
      <c r="H537" s="30"/>
      <c r="I537" s="30"/>
      <c r="J537" s="30"/>
      <c r="K537" s="30"/>
      <c r="L537" s="30"/>
      <c r="M537" s="30"/>
    </row>
    <row r="538" spans="1:13" s="14" customFormat="1" x14ac:dyDescent="0.25">
      <c r="A538" s="13"/>
      <c r="D538" s="30"/>
      <c r="E538" s="31"/>
      <c r="F538" s="30"/>
      <c r="G538" s="30"/>
      <c r="H538" s="30"/>
      <c r="I538" s="30"/>
      <c r="J538" s="30"/>
      <c r="K538" s="30"/>
      <c r="L538" s="30"/>
      <c r="M538" s="30"/>
    </row>
    <row r="539" spans="1:13" s="14" customFormat="1" x14ac:dyDescent="0.25">
      <c r="A539" s="13"/>
      <c r="D539" s="30"/>
      <c r="E539" s="31"/>
      <c r="F539" s="30"/>
      <c r="G539" s="30"/>
      <c r="H539" s="30"/>
      <c r="I539" s="30"/>
      <c r="J539" s="30"/>
      <c r="K539" s="30"/>
      <c r="L539" s="30"/>
      <c r="M539" s="30"/>
    </row>
    <row r="540" spans="1:13" s="14" customFormat="1" x14ac:dyDescent="0.25">
      <c r="A540" s="13"/>
      <c r="D540" s="30"/>
      <c r="E540" s="31"/>
      <c r="F540" s="30"/>
      <c r="G540" s="30"/>
      <c r="H540" s="30"/>
      <c r="I540" s="30"/>
      <c r="J540" s="30"/>
      <c r="K540" s="30"/>
      <c r="L540" s="30"/>
      <c r="M540" s="30"/>
    </row>
    <row r="541" spans="1:13" s="14" customFormat="1" x14ac:dyDescent="0.25">
      <c r="A541" s="13"/>
      <c r="D541" s="30"/>
      <c r="E541" s="31"/>
      <c r="F541" s="30"/>
      <c r="G541" s="30"/>
      <c r="H541" s="30"/>
      <c r="I541" s="30"/>
      <c r="J541" s="30"/>
      <c r="K541" s="30"/>
      <c r="L541" s="30"/>
      <c r="M541" s="30"/>
    </row>
    <row r="542" spans="1:13" s="14" customFormat="1" x14ac:dyDescent="0.25">
      <c r="A542" s="13"/>
      <c r="D542" s="30"/>
      <c r="E542" s="31"/>
      <c r="F542" s="30"/>
      <c r="G542" s="30"/>
      <c r="H542" s="30"/>
      <c r="I542" s="30"/>
      <c r="J542" s="30"/>
      <c r="K542" s="30"/>
      <c r="L542" s="30"/>
      <c r="M542" s="30"/>
    </row>
    <row r="543" spans="1:13" s="14" customFormat="1" x14ac:dyDescent="0.25">
      <c r="A543" s="13"/>
      <c r="D543" s="30"/>
      <c r="E543" s="31"/>
      <c r="F543" s="30"/>
      <c r="G543" s="30"/>
      <c r="H543" s="30"/>
      <c r="I543" s="30"/>
      <c r="J543" s="30"/>
      <c r="K543" s="30"/>
      <c r="L543" s="30"/>
      <c r="M543" s="30"/>
    </row>
    <row r="544" spans="1:13" s="14" customFormat="1" x14ac:dyDescent="0.25">
      <c r="A544" s="13"/>
      <c r="D544" s="30"/>
      <c r="E544" s="31"/>
      <c r="F544" s="30"/>
      <c r="G544" s="30"/>
      <c r="H544" s="30"/>
      <c r="I544" s="30"/>
      <c r="J544" s="30"/>
      <c r="K544" s="30"/>
      <c r="L544" s="30"/>
      <c r="M544" s="30"/>
    </row>
    <row r="545" spans="1:13" s="14" customFormat="1" x14ac:dyDescent="0.25">
      <c r="A545" s="13"/>
      <c r="D545" s="30"/>
      <c r="E545" s="31"/>
      <c r="F545" s="30"/>
      <c r="G545" s="30"/>
      <c r="H545" s="30"/>
      <c r="I545" s="30"/>
      <c r="J545" s="30"/>
      <c r="K545" s="30"/>
      <c r="L545" s="30"/>
      <c r="M545" s="30"/>
    </row>
    <row r="546" spans="1:13" s="14" customFormat="1" x14ac:dyDescent="0.25">
      <c r="A546" s="13"/>
      <c r="D546" s="30"/>
      <c r="E546" s="31"/>
      <c r="F546" s="30"/>
      <c r="G546" s="30"/>
      <c r="H546" s="30"/>
      <c r="I546" s="30"/>
      <c r="J546" s="30"/>
      <c r="K546" s="30"/>
      <c r="L546" s="30"/>
      <c r="M546" s="30"/>
    </row>
    <row r="547" spans="1:13" s="14" customFormat="1" x14ac:dyDescent="0.25">
      <c r="A547" s="13"/>
      <c r="D547" s="30"/>
      <c r="E547" s="31"/>
      <c r="F547" s="30"/>
      <c r="G547" s="30"/>
      <c r="H547" s="30"/>
      <c r="I547" s="30"/>
      <c r="J547" s="30"/>
      <c r="K547" s="30"/>
      <c r="L547" s="30"/>
      <c r="M547" s="30"/>
    </row>
    <row r="548" spans="1:13" s="14" customFormat="1" x14ac:dyDescent="0.25">
      <c r="A548" s="13"/>
      <c r="D548" s="30"/>
      <c r="E548" s="31"/>
      <c r="F548" s="30"/>
      <c r="G548" s="30"/>
      <c r="H548" s="30"/>
      <c r="I548" s="30"/>
      <c r="J548" s="30"/>
      <c r="K548" s="30"/>
      <c r="L548" s="30"/>
      <c r="M548" s="30"/>
    </row>
    <row r="549" spans="1:13" s="14" customFormat="1" x14ac:dyDescent="0.25">
      <c r="A549" s="13"/>
      <c r="D549" s="30"/>
      <c r="E549" s="31"/>
      <c r="F549" s="30"/>
      <c r="G549" s="30"/>
      <c r="H549" s="30"/>
      <c r="I549" s="30"/>
      <c r="J549" s="30"/>
      <c r="K549" s="30"/>
      <c r="L549" s="30"/>
      <c r="M549" s="30"/>
    </row>
    <row r="550" spans="1:13" s="14" customFormat="1" x14ac:dyDescent="0.25">
      <c r="A550" s="13"/>
      <c r="D550" s="30"/>
      <c r="E550" s="31"/>
      <c r="F550" s="30"/>
      <c r="G550" s="30"/>
      <c r="H550" s="30"/>
      <c r="I550" s="30"/>
      <c r="J550" s="30"/>
      <c r="K550" s="30"/>
      <c r="L550" s="30"/>
      <c r="M550" s="30"/>
    </row>
    <row r="551" spans="1:13" s="14" customFormat="1" x14ac:dyDescent="0.25">
      <c r="A551" s="13"/>
      <c r="D551" s="30"/>
      <c r="E551" s="31"/>
      <c r="F551" s="30"/>
      <c r="G551" s="30"/>
      <c r="H551" s="30"/>
      <c r="I551" s="30"/>
      <c r="J551" s="30"/>
      <c r="K551" s="30"/>
      <c r="L551" s="30"/>
      <c r="M551" s="30"/>
    </row>
    <row r="552" spans="1:13" s="14" customFormat="1" x14ac:dyDescent="0.25">
      <c r="A552" s="13"/>
      <c r="D552" s="30"/>
      <c r="E552" s="31"/>
      <c r="F552" s="30"/>
      <c r="G552" s="30"/>
      <c r="H552" s="30"/>
      <c r="I552" s="30"/>
      <c r="J552" s="30"/>
      <c r="K552" s="30"/>
      <c r="L552" s="30"/>
      <c r="M552" s="30"/>
    </row>
    <row r="553" spans="1:13" s="14" customFormat="1" x14ac:dyDescent="0.25">
      <c r="A553" s="13"/>
      <c r="D553" s="30"/>
      <c r="E553" s="31"/>
      <c r="F553" s="30"/>
      <c r="G553" s="30"/>
      <c r="H553" s="30"/>
      <c r="I553" s="30"/>
      <c r="J553" s="30"/>
      <c r="K553" s="30"/>
      <c r="L553" s="30"/>
      <c r="M553" s="30"/>
    </row>
    <row r="554" spans="1:13" s="14" customFormat="1" x14ac:dyDescent="0.25">
      <c r="A554" s="13"/>
      <c r="D554" s="30"/>
      <c r="E554" s="31"/>
      <c r="F554" s="30"/>
      <c r="G554" s="30"/>
      <c r="H554" s="30"/>
      <c r="I554" s="30"/>
      <c r="J554" s="30"/>
      <c r="K554" s="30"/>
      <c r="L554" s="30"/>
      <c r="M554" s="30"/>
    </row>
    <row r="555" spans="1:13" s="14" customFormat="1" x14ac:dyDescent="0.25">
      <c r="A555" s="13"/>
      <c r="D555" s="30"/>
      <c r="E555" s="31"/>
      <c r="F555" s="30"/>
      <c r="G555" s="30"/>
      <c r="H555" s="30"/>
      <c r="I555" s="30"/>
      <c r="J555" s="30"/>
      <c r="K555" s="30"/>
      <c r="L555" s="30"/>
      <c r="M555" s="30"/>
    </row>
    <row r="556" spans="1:13" s="14" customFormat="1" x14ac:dyDescent="0.25">
      <c r="A556" s="13"/>
      <c r="D556" s="30"/>
      <c r="E556" s="31"/>
      <c r="F556" s="30"/>
      <c r="G556" s="30"/>
      <c r="H556" s="30"/>
      <c r="I556" s="30"/>
      <c r="J556" s="30"/>
      <c r="K556" s="30"/>
      <c r="L556" s="30"/>
      <c r="M556" s="30"/>
    </row>
    <row r="557" spans="1:13" s="14" customFormat="1" x14ac:dyDescent="0.25">
      <c r="A557" s="13"/>
      <c r="D557" s="30"/>
      <c r="E557" s="31"/>
      <c r="F557" s="30"/>
      <c r="G557" s="30"/>
      <c r="H557" s="30"/>
      <c r="I557" s="30"/>
      <c r="J557" s="30"/>
      <c r="K557" s="30"/>
      <c r="L557" s="30"/>
      <c r="M557" s="30"/>
    </row>
    <row r="558" spans="1:13" s="14" customFormat="1" x14ac:dyDescent="0.25">
      <c r="A558" s="13"/>
      <c r="D558" s="30"/>
      <c r="E558" s="31"/>
      <c r="F558" s="30"/>
      <c r="G558" s="30"/>
      <c r="H558" s="30"/>
      <c r="I558" s="30"/>
      <c r="J558" s="30"/>
      <c r="K558" s="30"/>
      <c r="L558" s="30"/>
      <c r="M558" s="30"/>
    </row>
    <row r="559" spans="1:13" s="14" customFormat="1" x14ac:dyDescent="0.25">
      <c r="A559" s="13"/>
      <c r="D559" s="30"/>
      <c r="E559" s="31"/>
      <c r="F559" s="30"/>
      <c r="G559" s="30"/>
      <c r="H559" s="30"/>
      <c r="I559" s="30"/>
      <c r="J559" s="30"/>
      <c r="K559" s="30"/>
      <c r="L559" s="30"/>
      <c r="M559" s="30"/>
    </row>
    <row r="560" spans="1:13" s="14" customFormat="1" x14ac:dyDescent="0.25">
      <c r="A560" s="13"/>
      <c r="D560" s="30"/>
      <c r="E560" s="31"/>
      <c r="F560" s="30"/>
      <c r="G560" s="30"/>
      <c r="H560" s="30"/>
      <c r="I560" s="30"/>
      <c r="J560" s="30"/>
      <c r="K560" s="30"/>
      <c r="L560" s="30"/>
      <c r="M560" s="30"/>
    </row>
    <row r="561" spans="1:13" s="14" customFormat="1" x14ac:dyDescent="0.25">
      <c r="A561" s="13"/>
      <c r="D561" s="30"/>
      <c r="E561" s="31"/>
      <c r="F561" s="30"/>
      <c r="G561" s="30"/>
      <c r="H561" s="30"/>
      <c r="I561" s="30"/>
      <c r="J561" s="30"/>
      <c r="K561" s="30"/>
      <c r="L561" s="30"/>
      <c r="M561" s="30"/>
    </row>
    <row r="562" spans="1:13" s="14" customFormat="1" x14ac:dyDescent="0.25">
      <c r="A562" s="13"/>
      <c r="D562" s="30"/>
      <c r="E562" s="31"/>
      <c r="F562" s="30"/>
      <c r="G562" s="30"/>
      <c r="H562" s="30"/>
      <c r="I562" s="30"/>
      <c r="J562" s="30"/>
      <c r="K562" s="30"/>
      <c r="L562" s="30"/>
      <c r="M562" s="30"/>
    </row>
    <row r="563" spans="1:13" s="14" customFormat="1" x14ac:dyDescent="0.25">
      <c r="A563" s="13"/>
      <c r="D563" s="30"/>
      <c r="E563" s="31"/>
      <c r="F563" s="30"/>
      <c r="G563" s="30"/>
      <c r="H563" s="30"/>
      <c r="I563" s="30"/>
      <c r="J563" s="30"/>
      <c r="K563" s="30"/>
      <c r="L563" s="30"/>
      <c r="M563" s="30"/>
    </row>
    <row r="564" spans="1:13" s="14" customFormat="1" x14ac:dyDescent="0.25">
      <c r="A564" s="13"/>
      <c r="D564" s="30"/>
      <c r="E564" s="31"/>
      <c r="F564" s="30"/>
      <c r="G564" s="30"/>
      <c r="H564" s="30"/>
      <c r="I564" s="30"/>
      <c r="J564" s="30"/>
      <c r="K564" s="30"/>
      <c r="L564" s="30"/>
      <c r="M564" s="30"/>
    </row>
    <row r="565" spans="1:13" s="14" customFormat="1" x14ac:dyDescent="0.25">
      <c r="A565" s="13"/>
      <c r="D565" s="30"/>
      <c r="E565" s="31"/>
      <c r="F565" s="30"/>
      <c r="G565" s="30"/>
      <c r="H565" s="30"/>
      <c r="I565" s="30"/>
      <c r="J565" s="30"/>
      <c r="K565" s="30"/>
      <c r="L565" s="30"/>
      <c r="M565" s="30"/>
    </row>
    <row r="566" spans="1:13" s="14" customFormat="1" x14ac:dyDescent="0.25">
      <c r="A566" s="13"/>
      <c r="D566" s="30"/>
      <c r="E566" s="31"/>
      <c r="F566" s="30"/>
      <c r="G566" s="30"/>
      <c r="H566" s="30"/>
      <c r="I566" s="30"/>
      <c r="J566" s="30"/>
      <c r="K566" s="30"/>
      <c r="L566" s="30"/>
      <c r="M566" s="30"/>
    </row>
    <row r="567" spans="1:13" s="14" customFormat="1" x14ac:dyDescent="0.25">
      <c r="A567" s="13"/>
      <c r="D567" s="30"/>
      <c r="E567" s="31"/>
      <c r="F567" s="30"/>
      <c r="G567" s="30"/>
      <c r="H567" s="30"/>
      <c r="I567" s="30"/>
      <c r="J567" s="30"/>
      <c r="K567" s="30"/>
      <c r="L567" s="30"/>
      <c r="M567" s="30"/>
    </row>
    <row r="568" spans="1:13" s="14" customFormat="1" x14ac:dyDescent="0.25">
      <c r="A568" s="13"/>
      <c r="D568" s="30"/>
      <c r="E568" s="31"/>
      <c r="F568" s="30"/>
      <c r="G568" s="30"/>
      <c r="H568" s="30"/>
      <c r="I568" s="30"/>
      <c r="J568" s="30"/>
      <c r="K568" s="30"/>
      <c r="L568" s="30"/>
      <c r="M568" s="30"/>
    </row>
    <row r="569" spans="1:13" s="14" customFormat="1" x14ac:dyDescent="0.25">
      <c r="A569" s="13"/>
      <c r="D569" s="30"/>
      <c r="E569" s="31"/>
      <c r="F569" s="30"/>
      <c r="G569" s="30"/>
      <c r="H569" s="30"/>
      <c r="I569" s="30"/>
      <c r="J569" s="30"/>
      <c r="K569" s="30"/>
      <c r="L569" s="30"/>
      <c r="M569" s="30"/>
    </row>
    <row r="570" spans="1:13" s="14" customFormat="1" x14ac:dyDescent="0.25">
      <c r="A570" s="13"/>
      <c r="D570" s="30"/>
      <c r="E570" s="31"/>
      <c r="F570" s="30"/>
      <c r="G570" s="30"/>
      <c r="H570" s="30"/>
      <c r="I570" s="30"/>
      <c r="J570" s="30"/>
      <c r="K570" s="30"/>
      <c r="L570" s="30"/>
      <c r="M570" s="30"/>
    </row>
    <row r="571" spans="1:13" s="14" customFormat="1" x14ac:dyDescent="0.25">
      <c r="A571" s="13"/>
      <c r="D571" s="30"/>
      <c r="E571" s="31"/>
      <c r="F571" s="30"/>
      <c r="G571" s="30"/>
      <c r="H571" s="30"/>
      <c r="I571" s="30"/>
      <c r="J571" s="30"/>
      <c r="K571" s="30"/>
      <c r="L571" s="30"/>
      <c r="M571" s="30"/>
    </row>
    <row r="572" spans="1:13" s="14" customFormat="1" x14ac:dyDescent="0.25">
      <c r="A572" s="13"/>
      <c r="D572" s="30"/>
      <c r="E572" s="31"/>
      <c r="F572" s="30"/>
      <c r="G572" s="30"/>
      <c r="H572" s="30"/>
      <c r="I572" s="30"/>
      <c r="J572" s="30"/>
      <c r="K572" s="30"/>
      <c r="L572" s="30"/>
      <c r="M572" s="30"/>
    </row>
    <row r="573" spans="1:13" s="14" customFormat="1" x14ac:dyDescent="0.25">
      <c r="A573" s="13"/>
      <c r="D573" s="30"/>
      <c r="E573" s="31"/>
      <c r="F573" s="30"/>
      <c r="G573" s="30"/>
      <c r="H573" s="30"/>
      <c r="I573" s="30"/>
      <c r="J573" s="30"/>
      <c r="K573" s="30"/>
      <c r="L573" s="30"/>
      <c r="M573" s="30"/>
    </row>
    <row r="574" spans="1:13" s="14" customFormat="1" x14ac:dyDescent="0.25">
      <c r="A574" s="13"/>
      <c r="D574" s="30"/>
      <c r="E574" s="31"/>
      <c r="F574" s="30"/>
      <c r="G574" s="30"/>
      <c r="H574" s="30"/>
      <c r="I574" s="30"/>
      <c r="J574" s="30"/>
      <c r="K574" s="30"/>
      <c r="L574" s="30"/>
      <c r="M574" s="30"/>
    </row>
    <row r="575" spans="1:13" s="14" customFormat="1" x14ac:dyDescent="0.25">
      <c r="A575" s="13"/>
      <c r="D575" s="30"/>
      <c r="E575" s="31"/>
      <c r="F575" s="30"/>
      <c r="G575" s="30"/>
      <c r="H575" s="30"/>
      <c r="I575" s="30"/>
      <c r="J575" s="30"/>
      <c r="K575" s="30"/>
      <c r="L575" s="30"/>
      <c r="M575" s="30"/>
    </row>
    <row r="576" spans="1:13" s="14" customFormat="1" x14ac:dyDescent="0.25">
      <c r="A576" s="13"/>
      <c r="D576" s="30"/>
      <c r="E576" s="31"/>
      <c r="F576" s="30"/>
      <c r="G576" s="30"/>
      <c r="H576" s="30"/>
      <c r="I576" s="30"/>
      <c r="J576" s="30"/>
      <c r="K576" s="30"/>
      <c r="L576" s="30"/>
      <c r="M576" s="30"/>
    </row>
    <row r="577" spans="1:13" s="14" customFormat="1" x14ac:dyDescent="0.25">
      <c r="A577" s="13"/>
      <c r="D577" s="30"/>
      <c r="E577" s="31"/>
      <c r="F577" s="30"/>
      <c r="G577" s="30"/>
      <c r="H577" s="30"/>
      <c r="I577" s="30"/>
      <c r="J577" s="30"/>
      <c r="K577" s="30"/>
      <c r="L577" s="30"/>
      <c r="M577" s="30"/>
    </row>
    <row r="578" spans="1:13" s="14" customFormat="1" x14ac:dyDescent="0.25">
      <c r="A578" s="13"/>
      <c r="D578" s="30"/>
      <c r="E578" s="31"/>
      <c r="F578" s="30"/>
      <c r="G578" s="30"/>
      <c r="H578" s="30"/>
      <c r="I578" s="30"/>
      <c r="J578" s="30"/>
      <c r="K578" s="30"/>
      <c r="L578" s="30"/>
      <c r="M578" s="30"/>
    </row>
    <row r="579" spans="1:13" s="14" customFormat="1" x14ac:dyDescent="0.25">
      <c r="A579" s="13"/>
      <c r="D579" s="30"/>
      <c r="E579" s="31"/>
      <c r="F579" s="30"/>
      <c r="G579" s="30"/>
      <c r="H579" s="30"/>
      <c r="I579" s="30"/>
      <c r="J579" s="30"/>
      <c r="K579" s="30"/>
      <c r="L579" s="30"/>
      <c r="M579" s="30"/>
    </row>
    <row r="580" spans="1:13" s="14" customFormat="1" x14ac:dyDescent="0.25">
      <c r="A580" s="13"/>
      <c r="D580" s="30"/>
      <c r="E580" s="31"/>
      <c r="F580" s="30"/>
      <c r="G580" s="30"/>
      <c r="H580" s="30"/>
      <c r="I580" s="30"/>
      <c r="J580" s="30"/>
      <c r="K580" s="30"/>
      <c r="L580" s="30"/>
      <c r="M580" s="30"/>
    </row>
    <row r="581" spans="1:13" s="14" customFormat="1" x14ac:dyDescent="0.25">
      <c r="A581" s="13"/>
      <c r="D581" s="30"/>
      <c r="E581" s="31"/>
      <c r="F581" s="30"/>
      <c r="G581" s="30"/>
      <c r="H581" s="30"/>
      <c r="I581" s="30"/>
      <c r="J581" s="30"/>
      <c r="K581" s="30"/>
      <c r="L581" s="30"/>
      <c r="M581" s="30"/>
    </row>
    <row r="582" spans="1:13" s="14" customFormat="1" x14ac:dyDescent="0.25">
      <c r="A582" s="13"/>
      <c r="D582" s="30"/>
      <c r="E582" s="31"/>
      <c r="F582" s="30"/>
      <c r="G582" s="30"/>
      <c r="H582" s="30"/>
      <c r="I582" s="30"/>
      <c r="J582" s="30"/>
      <c r="K582" s="30"/>
      <c r="L582" s="30"/>
      <c r="M582" s="30"/>
    </row>
    <row r="583" spans="1:13" s="14" customFormat="1" x14ac:dyDescent="0.25">
      <c r="A583" s="13"/>
      <c r="D583" s="30"/>
      <c r="E583" s="31"/>
      <c r="F583" s="30"/>
      <c r="G583" s="30"/>
      <c r="H583" s="30"/>
      <c r="I583" s="30"/>
      <c r="J583" s="30"/>
      <c r="K583" s="30"/>
      <c r="L583" s="30"/>
      <c r="M583" s="30"/>
    </row>
    <row r="584" spans="1:13" s="14" customFormat="1" x14ac:dyDescent="0.25">
      <c r="A584" s="13"/>
      <c r="D584" s="30"/>
      <c r="E584" s="31"/>
      <c r="F584" s="30"/>
      <c r="G584" s="30"/>
      <c r="H584" s="30"/>
      <c r="I584" s="30"/>
      <c r="J584" s="30"/>
      <c r="K584" s="30"/>
      <c r="L584" s="30"/>
      <c r="M584" s="30"/>
    </row>
    <row r="585" spans="1:13" s="14" customFormat="1" x14ac:dyDescent="0.25">
      <c r="A585" s="13"/>
      <c r="D585" s="30"/>
      <c r="E585" s="31"/>
      <c r="F585" s="30"/>
      <c r="G585" s="30"/>
      <c r="H585" s="30"/>
      <c r="I585" s="30"/>
      <c r="J585" s="30"/>
      <c r="K585" s="30"/>
      <c r="L585" s="30"/>
      <c r="M585" s="30"/>
    </row>
    <row r="586" spans="1:13" s="14" customFormat="1" x14ac:dyDescent="0.25">
      <c r="A586" s="13"/>
      <c r="D586" s="30"/>
      <c r="E586" s="31"/>
      <c r="F586" s="30"/>
      <c r="G586" s="30"/>
      <c r="H586" s="30"/>
      <c r="I586" s="30"/>
      <c r="J586" s="30"/>
      <c r="K586" s="30"/>
      <c r="L586" s="30"/>
      <c r="M586" s="30"/>
    </row>
    <row r="587" spans="1:13" s="14" customFormat="1" x14ac:dyDescent="0.25">
      <c r="A587" s="13"/>
      <c r="D587" s="30"/>
      <c r="E587" s="31"/>
      <c r="F587" s="30"/>
      <c r="G587" s="30"/>
      <c r="H587" s="30"/>
      <c r="I587" s="30"/>
      <c r="J587" s="30"/>
      <c r="K587" s="30"/>
      <c r="L587" s="30"/>
      <c r="M587" s="30"/>
    </row>
    <row r="588" spans="1:13" s="14" customFormat="1" x14ac:dyDescent="0.25">
      <c r="A588" s="13"/>
      <c r="D588" s="30"/>
      <c r="E588" s="31"/>
      <c r="F588" s="30"/>
      <c r="G588" s="30"/>
      <c r="H588" s="30"/>
      <c r="I588" s="30"/>
      <c r="J588" s="30"/>
      <c r="K588" s="30"/>
      <c r="L588" s="30"/>
      <c r="M588" s="30"/>
    </row>
    <row r="589" spans="1:13" s="14" customFormat="1" x14ac:dyDescent="0.25">
      <c r="A589" s="13"/>
      <c r="D589" s="30"/>
      <c r="E589" s="31"/>
      <c r="F589" s="30"/>
      <c r="G589" s="30"/>
      <c r="H589" s="30"/>
      <c r="I589" s="30"/>
      <c r="J589" s="30"/>
      <c r="K589" s="30"/>
      <c r="L589" s="30"/>
      <c r="M589" s="30"/>
    </row>
    <row r="590" spans="1:13" s="14" customFormat="1" x14ac:dyDescent="0.25">
      <c r="A590" s="13"/>
      <c r="D590" s="30"/>
      <c r="E590" s="31"/>
      <c r="F590" s="30"/>
      <c r="G590" s="30"/>
      <c r="H590" s="30"/>
      <c r="I590" s="30"/>
      <c r="J590" s="30"/>
      <c r="K590" s="30"/>
      <c r="L590" s="30"/>
      <c r="M590" s="30"/>
    </row>
    <row r="591" spans="1:13" s="14" customFormat="1" x14ac:dyDescent="0.25">
      <c r="A591" s="13"/>
      <c r="D591" s="30"/>
      <c r="E591" s="31"/>
      <c r="F591" s="30"/>
      <c r="G591" s="30"/>
      <c r="H591" s="30"/>
      <c r="I591" s="30"/>
      <c r="J591" s="30"/>
      <c r="K591" s="30"/>
      <c r="L591" s="30"/>
      <c r="M591" s="30"/>
    </row>
    <row r="592" spans="1:13" s="14" customFormat="1" x14ac:dyDescent="0.25">
      <c r="A592" s="13"/>
      <c r="D592" s="30"/>
      <c r="E592" s="31"/>
      <c r="F592" s="30"/>
      <c r="G592" s="30"/>
      <c r="H592" s="30"/>
      <c r="I592" s="30"/>
      <c r="J592" s="30"/>
      <c r="K592" s="30"/>
      <c r="L592" s="30"/>
      <c r="M592" s="30"/>
    </row>
    <row r="593" spans="1:13" s="14" customFormat="1" x14ac:dyDescent="0.25">
      <c r="A593" s="13"/>
      <c r="D593" s="30"/>
      <c r="E593" s="31"/>
      <c r="F593" s="30"/>
      <c r="G593" s="30"/>
      <c r="H593" s="30"/>
      <c r="I593" s="30"/>
      <c r="J593" s="30"/>
      <c r="K593" s="30"/>
      <c r="L593" s="30"/>
      <c r="M593" s="30"/>
    </row>
    <row r="594" spans="1:13" s="14" customFormat="1" x14ac:dyDescent="0.25">
      <c r="A594" s="13"/>
      <c r="D594" s="30"/>
      <c r="E594" s="31"/>
      <c r="F594" s="30"/>
      <c r="G594" s="30"/>
      <c r="H594" s="30"/>
      <c r="I594" s="30"/>
      <c r="J594" s="30"/>
      <c r="K594" s="30"/>
      <c r="L594" s="30"/>
      <c r="M594" s="30"/>
    </row>
    <row r="595" spans="1:13" s="14" customFormat="1" x14ac:dyDescent="0.25">
      <c r="A595" s="13"/>
      <c r="D595" s="30"/>
      <c r="E595" s="31"/>
      <c r="F595" s="30"/>
      <c r="G595" s="30"/>
      <c r="H595" s="30"/>
      <c r="I595" s="30"/>
      <c r="J595" s="30"/>
      <c r="K595" s="30"/>
      <c r="L595" s="30"/>
      <c r="M595" s="30"/>
    </row>
    <row r="596" spans="1:13" s="14" customFormat="1" x14ac:dyDescent="0.25">
      <c r="A596" s="13"/>
      <c r="D596" s="30"/>
      <c r="E596" s="31"/>
      <c r="F596" s="30"/>
      <c r="G596" s="30"/>
      <c r="H596" s="30"/>
      <c r="I596" s="30"/>
      <c r="J596" s="30"/>
      <c r="K596" s="30"/>
      <c r="L596" s="30"/>
      <c r="M596" s="30"/>
    </row>
    <row r="597" spans="1:13" s="14" customFormat="1" x14ac:dyDescent="0.25">
      <c r="A597" s="13"/>
      <c r="D597" s="30"/>
      <c r="E597" s="31"/>
      <c r="F597" s="30"/>
      <c r="G597" s="30"/>
      <c r="H597" s="30"/>
      <c r="I597" s="30"/>
      <c r="J597" s="30"/>
      <c r="K597" s="30"/>
      <c r="L597" s="30"/>
      <c r="M597" s="30"/>
    </row>
    <row r="598" spans="1:13" s="14" customFormat="1" x14ac:dyDescent="0.25">
      <c r="A598" s="13"/>
      <c r="D598" s="30"/>
      <c r="E598" s="31"/>
      <c r="F598" s="30"/>
      <c r="G598" s="30"/>
      <c r="H598" s="30"/>
      <c r="I598" s="30"/>
      <c r="J598" s="30"/>
      <c r="K598" s="30"/>
      <c r="L598" s="30"/>
      <c r="M598" s="30"/>
    </row>
    <row r="599" spans="1:13" s="14" customFormat="1" x14ac:dyDescent="0.25">
      <c r="A599" s="13"/>
      <c r="D599" s="30"/>
      <c r="E599" s="31"/>
      <c r="F599" s="30"/>
      <c r="G599" s="30"/>
      <c r="H599" s="30"/>
      <c r="I599" s="30"/>
      <c r="J599" s="30"/>
      <c r="K599" s="30"/>
      <c r="L599" s="30"/>
      <c r="M599" s="30"/>
    </row>
    <row r="600" spans="1:13" s="14" customFormat="1" x14ac:dyDescent="0.25">
      <c r="A600" s="13"/>
      <c r="D600" s="30"/>
      <c r="E600" s="31"/>
      <c r="F600" s="30"/>
      <c r="G600" s="30"/>
      <c r="H600" s="30"/>
      <c r="I600" s="30"/>
      <c r="J600" s="30"/>
      <c r="K600" s="30"/>
      <c r="L600" s="30"/>
      <c r="M600" s="30"/>
    </row>
    <row r="601" spans="1:13" s="14" customFormat="1" x14ac:dyDescent="0.25">
      <c r="A601" s="13"/>
      <c r="D601" s="30"/>
      <c r="E601" s="31"/>
      <c r="F601" s="30"/>
      <c r="G601" s="30"/>
      <c r="H601" s="30"/>
      <c r="I601" s="30"/>
      <c r="J601" s="30"/>
      <c r="K601" s="30"/>
      <c r="L601" s="30"/>
      <c r="M601" s="30"/>
    </row>
    <row r="602" spans="1:13" s="14" customFormat="1" x14ac:dyDescent="0.25">
      <c r="A602" s="13"/>
      <c r="D602" s="30"/>
      <c r="E602" s="31"/>
      <c r="F602" s="30"/>
      <c r="G602" s="30"/>
      <c r="H602" s="30"/>
      <c r="I602" s="30"/>
      <c r="J602" s="30"/>
      <c r="K602" s="30"/>
      <c r="L602" s="30"/>
      <c r="M602" s="30"/>
    </row>
    <row r="603" spans="1:13" s="14" customFormat="1" x14ac:dyDescent="0.25">
      <c r="A603" s="13"/>
      <c r="D603" s="30"/>
      <c r="E603" s="31"/>
      <c r="F603" s="30"/>
      <c r="G603" s="30"/>
      <c r="H603" s="30"/>
      <c r="I603" s="30"/>
      <c r="J603" s="30"/>
      <c r="K603" s="30"/>
      <c r="L603" s="30"/>
      <c r="M603" s="30"/>
    </row>
    <row r="604" spans="1:13" s="14" customFormat="1" x14ac:dyDescent="0.25">
      <c r="A604" s="13"/>
      <c r="D604" s="30"/>
      <c r="E604" s="31"/>
      <c r="F604" s="30"/>
      <c r="G604" s="30"/>
      <c r="H604" s="30"/>
      <c r="I604" s="30"/>
      <c r="J604" s="30"/>
      <c r="K604" s="30"/>
      <c r="L604" s="30"/>
      <c r="M604" s="30"/>
    </row>
    <row r="605" spans="1:13" s="14" customFormat="1" x14ac:dyDescent="0.25">
      <c r="A605" s="13"/>
      <c r="D605" s="30"/>
      <c r="E605" s="31"/>
      <c r="F605" s="30"/>
      <c r="G605" s="30"/>
      <c r="H605" s="30"/>
      <c r="I605" s="30"/>
      <c r="J605" s="30"/>
      <c r="K605" s="30"/>
      <c r="L605" s="30"/>
      <c r="M605" s="30"/>
    </row>
    <row r="606" spans="1:13" s="14" customFormat="1" x14ac:dyDescent="0.25">
      <c r="A606" s="13"/>
      <c r="D606" s="30"/>
      <c r="E606" s="31"/>
      <c r="F606" s="30"/>
      <c r="G606" s="30"/>
      <c r="H606" s="30"/>
      <c r="I606" s="30"/>
      <c r="J606" s="30"/>
      <c r="K606" s="30"/>
      <c r="L606" s="30"/>
      <c r="M606" s="30"/>
    </row>
    <row r="607" spans="1:13" s="14" customFormat="1" x14ac:dyDescent="0.25">
      <c r="A607" s="13"/>
      <c r="D607" s="30"/>
      <c r="E607" s="31"/>
      <c r="F607" s="30"/>
      <c r="G607" s="30"/>
      <c r="H607" s="30"/>
      <c r="I607" s="30"/>
      <c r="J607" s="30"/>
      <c r="K607" s="30"/>
      <c r="L607" s="30"/>
      <c r="M607" s="30"/>
    </row>
    <row r="608" spans="1:13" s="14" customFormat="1" x14ac:dyDescent="0.25">
      <c r="A608" s="13"/>
      <c r="D608" s="30"/>
      <c r="E608" s="31"/>
      <c r="F608" s="30"/>
      <c r="G608" s="30"/>
      <c r="H608" s="30"/>
      <c r="I608" s="30"/>
      <c r="J608" s="30"/>
      <c r="K608" s="30"/>
      <c r="L608" s="30"/>
      <c r="M608" s="30"/>
    </row>
    <row r="609" spans="1:13" s="14" customFormat="1" x14ac:dyDescent="0.25">
      <c r="A609" s="13"/>
      <c r="D609" s="30"/>
      <c r="E609" s="31"/>
      <c r="F609" s="30"/>
      <c r="G609" s="30"/>
      <c r="H609" s="30"/>
      <c r="I609" s="30"/>
      <c r="J609" s="30"/>
      <c r="K609" s="30"/>
      <c r="L609" s="30"/>
      <c r="M609" s="30"/>
    </row>
    <row r="610" spans="1:13" s="14" customFormat="1" x14ac:dyDescent="0.25">
      <c r="A610" s="13"/>
      <c r="D610" s="30"/>
      <c r="E610" s="31"/>
      <c r="F610" s="30"/>
      <c r="G610" s="30"/>
      <c r="H610" s="30"/>
      <c r="I610" s="30"/>
      <c r="J610" s="30"/>
      <c r="K610" s="30"/>
      <c r="L610" s="30"/>
      <c r="M610" s="30"/>
    </row>
    <row r="611" spans="1:13" s="14" customFormat="1" x14ac:dyDescent="0.25">
      <c r="A611" s="13"/>
      <c r="D611" s="30"/>
      <c r="E611" s="31"/>
      <c r="F611" s="30"/>
      <c r="G611" s="30"/>
      <c r="H611" s="30"/>
      <c r="I611" s="30"/>
      <c r="J611" s="30"/>
      <c r="K611" s="30"/>
      <c r="L611" s="30"/>
      <c r="M611" s="30"/>
    </row>
    <row r="612" spans="1:13" s="14" customFormat="1" x14ac:dyDescent="0.25">
      <c r="A612" s="13"/>
      <c r="D612" s="30"/>
      <c r="E612" s="31"/>
      <c r="F612" s="30"/>
      <c r="G612" s="30"/>
      <c r="H612" s="30"/>
      <c r="I612" s="30"/>
      <c r="J612" s="30"/>
      <c r="K612" s="30"/>
      <c r="L612" s="30"/>
      <c r="M612" s="30"/>
    </row>
    <row r="613" spans="1:13" s="14" customFormat="1" x14ac:dyDescent="0.25">
      <c r="A613" s="13"/>
      <c r="D613" s="30"/>
      <c r="E613" s="31"/>
      <c r="F613" s="30"/>
      <c r="G613" s="30"/>
      <c r="H613" s="30"/>
      <c r="I613" s="30"/>
      <c r="J613" s="30"/>
      <c r="K613" s="30"/>
      <c r="L613" s="30"/>
      <c r="M613" s="30"/>
    </row>
    <row r="614" spans="1:13" s="14" customFormat="1" x14ac:dyDescent="0.25">
      <c r="A614" s="13"/>
      <c r="D614" s="30"/>
      <c r="E614" s="31"/>
      <c r="F614" s="30"/>
      <c r="G614" s="30"/>
      <c r="H614" s="30"/>
      <c r="I614" s="30"/>
      <c r="J614" s="30"/>
      <c r="K614" s="30"/>
      <c r="L614" s="30"/>
      <c r="M614" s="30"/>
    </row>
    <row r="615" spans="1:13" s="14" customFormat="1" x14ac:dyDescent="0.25">
      <c r="A615" s="13"/>
      <c r="D615" s="30"/>
      <c r="E615" s="31"/>
      <c r="F615" s="30"/>
      <c r="G615" s="30"/>
      <c r="H615" s="30"/>
      <c r="I615" s="30"/>
      <c r="J615" s="30"/>
      <c r="K615" s="30"/>
      <c r="L615" s="30"/>
      <c r="M615" s="30"/>
    </row>
    <row r="616" spans="1:13" s="14" customFormat="1" x14ac:dyDescent="0.25">
      <c r="A616" s="13"/>
      <c r="D616" s="30"/>
      <c r="E616" s="31"/>
      <c r="F616" s="30"/>
      <c r="G616" s="30"/>
      <c r="H616" s="30"/>
      <c r="I616" s="30"/>
      <c r="J616" s="30"/>
      <c r="K616" s="30"/>
      <c r="L616" s="30"/>
      <c r="M616" s="30"/>
    </row>
    <row r="617" spans="1:13" s="14" customFormat="1" x14ac:dyDescent="0.25">
      <c r="A617" s="13"/>
      <c r="D617" s="30"/>
      <c r="E617" s="31"/>
      <c r="F617" s="30"/>
      <c r="G617" s="30"/>
      <c r="H617" s="30"/>
      <c r="I617" s="30"/>
      <c r="J617" s="30"/>
      <c r="K617" s="30"/>
      <c r="L617" s="30"/>
      <c r="M617" s="30"/>
    </row>
    <row r="618" spans="1:13" s="14" customFormat="1" x14ac:dyDescent="0.25">
      <c r="A618" s="13"/>
      <c r="D618" s="30"/>
      <c r="E618" s="31"/>
      <c r="F618" s="30"/>
      <c r="G618" s="30"/>
      <c r="H618" s="30"/>
      <c r="I618" s="30"/>
      <c r="J618" s="30"/>
      <c r="K618" s="30"/>
      <c r="L618" s="30"/>
      <c r="M618" s="30"/>
    </row>
    <row r="619" spans="1:13" s="14" customFormat="1" x14ac:dyDescent="0.25">
      <c r="A619" s="13"/>
      <c r="D619" s="30"/>
      <c r="E619" s="31"/>
      <c r="F619" s="30"/>
      <c r="G619" s="30"/>
      <c r="H619" s="30"/>
      <c r="I619" s="30"/>
      <c r="J619" s="30"/>
      <c r="K619" s="30"/>
      <c r="L619" s="30"/>
      <c r="M619" s="30"/>
    </row>
    <row r="620" spans="1:13" s="14" customFormat="1" x14ac:dyDescent="0.25">
      <c r="A620" s="13"/>
      <c r="D620" s="30"/>
      <c r="E620" s="31"/>
      <c r="F620" s="30"/>
      <c r="G620" s="30"/>
      <c r="H620" s="30"/>
      <c r="I620" s="30"/>
      <c r="J620" s="30"/>
      <c r="K620" s="30"/>
      <c r="L620" s="30"/>
      <c r="M620" s="30"/>
    </row>
    <row r="621" spans="1:13" s="14" customFormat="1" x14ac:dyDescent="0.25">
      <c r="A621" s="13"/>
      <c r="D621" s="30"/>
      <c r="E621" s="31"/>
      <c r="F621" s="30"/>
      <c r="G621" s="30"/>
      <c r="H621" s="30"/>
      <c r="I621" s="30"/>
      <c r="J621" s="30"/>
      <c r="K621" s="30"/>
      <c r="L621" s="30"/>
      <c r="M621" s="30"/>
    </row>
    <row r="622" spans="1:13" s="14" customFormat="1" x14ac:dyDescent="0.25">
      <c r="A622" s="13"/>
      <c r="D622" s="30"/>
      <c r="E622" s="31"/>
      <c r="F622" s="30"/>
      <c r="G622" s="30"/>
      <c r="H622" s="30"/>
      <c r="I622" s="30"/>
      <c r="J622" s="30"/>
      <c r="K622" s="30"/>
      <c r="L622" s="30"/>
      <c r="M622" s="30"/>
    </row>
    <row r="623" spans="1:13" s="14" customFormat="1" x14ac:dyDescent="0.25">
      <c r="A623" s="13"/>
      <c r="D623" s="30"/>
      <c r="E623" s="31"/>
      <c r="F623" s="30"/>
      <c r="G623" s="30"/>
      <c r="H623" s="30"/>
      <c r="I623" s="30"/>
      <c r="J623" s="30"/>
      <c r="K623" s="30"/>
      <c r="L623" s="30"/>
      <c r="M623" s="30"/>
    </row>
    <row r="624" spans="1:13" s="14" customFormat="1" x14ac:dyDescent="0.25">
      <c r="A624" s="13"/>
      <c r="D624" s="30"/>
      <c r="E624" s="31"/>
      <c r="F624" s="30"/>
      <c r="G624" s="30"/>
      <c r="H624" s="30"/>
      <c r="I624" s="30"/>
      <c r="J624" s="30"/>
      <c r="K624" s="30"/>
      <c r="L624" s="30"/>
      <c r="M624" s="30"/>
    </row>
    <row r="625" spans="1:13" s="14" customFormat="1" x14ac:dyDescent="0.25">
      <c r="A625" s="13"/>
      <c r="D625" s="30"/>
      <c r="E625" s="31"/>
      <c r="F625" s="30"/>
      <c r="G625" s="30"/>
      <c r="H625" s="30"/>
      <c r="I625" s="30"/>
      <c r="J625" s="30"/>
      <c r="K625" s="30"/>
      <c r="L625" s="30"/>
      <c r="M625" s="30"/>
    </row>
    <row r="626" spans="1:13" s="14" customFormat="1" x14ac:dyDescent="0.25">
      <c r="A626" s="13"/>
      <c r="D626" s="30"/>
      <c r="E626" s="31"/>
      <c r="F626" s="30"/>
      <c r="G626" s="30"/>
      <c r="H626" s="30"/>
      <c r="I626" s="30"/>
      <c r="J626" s="30"/>
      <c r="K626" s="30"/>
      <c r="L626" s="30"/>
      <c r="M626" s="30"/>
    </row>
    <row r="627" spans="1:13" s="14" customFormat="1" x14ac:dyDescent="0.25">
      <c r="A627" s="13"/>
      <c r="D627" s="30"/>
      <c r="E627" s="31"/>
      <c r="F627" s="30"/>
      <c r="G627" s="30"/>
      <c r="H627" s="30"/>
      <c r="I627" s="30"/>
      <c r="J627" s="30"/>
      <c r="K627" s="30"/>
      <c r="L627" s="30"/>
      <c r="M627" s="30"/>
    </row>
    <row r="628" spans="1:13" s="14" customFormat="1" x14ac:dyDescent="0.25">
      <c r="A628" s="13"/>
      <c r="D628" s="30"/>
      <c r="E628" s="31"/>
      <c r="F628" s="30"/>
      <c r="G628" s="30"/>
      <c r="H628" s="30"/>
      <c r="I628" s="30"/>
      <c r="J628" s="30"/>
      <c r="K628" s="30"/>
      <c r="L628" s="30"/>
      <c r="M628" s="30"/>
    </row>
    <row r="629" spans="1:13" s="14" customFormat="1" x14ac:dyDescent="0.25">
      <c r="A629" s="13"/>
      <c r="D629" s="30"/>
      <c r="E629" s="31"/>
      <c r="F629" s="30"/>
      <c r="G629" s="30"/>
      <c r="H629" s="30"/>
      <c r="I629" s="30"/>
      <c r="J629" s="30"/>
      <c r="K629" s="30"/>
      <c r="L629" s="30"/>
      <c r="M629" s="30"/>
    </row>
    <row r="630" spans="1:13" s="14" customFormat="1" x14ac:dyDescent="0.25">
      <c r="A630" s="13"/>
      <c r="D630" s="30"/>
      <c r="E630" s="31"/>
      <c r="F630" s="30"/>
      <c r="G630" s="30"/>
      <c r="H630" s="30"/>
      <c r="I630" s="30"/>
      <c r="J630" s="30"/>
      <c r="K630" s="30"/>
      <c r="L630" s="30"/>
      <c r="M630" s="30"/>
    </row>
    <row r="631" spans="1:13" s="14" customFormat="1" x14ac:dyDescent="0.25">
      <c r="A631" s="13"/>
      <c r="D631" s="30"/>
      <c r="E631" s="31"/>
      <c r="F631" s="30"/>
      <c r="G631" s="30"/>
      <c r="H631" s="30"/>
      <c r="I631" s="30"/>
      <c r="J631" s="30"/>
      <c r="K631" s="30"/>
      <c r="L631" s="30"/>
      <c r="M631" s="30"/>
    </row>
    <row r="632" spans="1:13" s="14" customFormat="1" x14ac:dyDescent="0.25">
      <c r="A632" s="13"/>
      <c r="D632" s="30"/>
      <c r="E632" s="31"/>
      <c r="F632" s="30"/>
      <c r="G632" s="30"/>
      <c r="H632" s="30"/>
      <c r="I632" s="30"/>
      <c r="J632" s="30"/>
      <c r="K632" s="30"/>
      <c r="L632" s="30"/>
      <c r="M632" s="30"/>
    </row>
    <row r="633" spans="1:13" s="14" customFormat="1" x14ac:dyDescent="0.25">
      <c r="A633" s="13"/>
      <c r="D633" s="30"/>
      <c r="E633" s="31"/>
      <c r="F633" s="30"/>
      <c r="G633" s="30"/>
      <c r="H633" s="30"/>
      <c r="I633" s="30"/>
      <c r="J633" s="30"/>
      <c r="K633" s="30"/>
      <c r="L633" s="30"/>
      <c r="M633" s="30"/>
    </row>
    <row r="634" spans="1:13" s="14" customFormat="1" x14ac:dyDescent="0.25">
      <c r="A634" s="13"/>
      <c r="D634" s="30"/>
      <c r="E634" s="31"/>
      <c r="F634" s="30"/>
      <c r="G634" s="30"/>
      <c r="H634" s="30"/>
      <c r="I634" s="30"/>
      <c r="J634" s="30"/>
      <c r="K634" s="30"/>
      <c r="L634" s="30"/>
      <c r="M634" s="30"/>
    </row>
    <row r="635" spans="1:13" s="14" customFormat="1" x14ac:dyDescent="0.25">
      <c r="A635" s="13"/>
      <c r="D635" s="30"/>
      <c r="E635" s="31"/>
      <c r="F635" s="30"/>
      <c r="G635" s="30"/>
      <c r="H635" s="30"/>
      <c r="I635" s="30"/>
      <c r="J635" s="30"/>
      <c r="K635" s="30"/>
      <c r="L635" s="30"/>
      <c r="M635" s="30"/>
    </row>
    <row r="636" spans="1:13" s="14" customFormat="1" x14ac:dyDescent="0.25">
      <c r="A636" s="13"/>
      <c r="D636" s="30"/>
      <c r="E636" s="31"/>
      <c r="F636" s="30"/>
      <c r="G636" s="30"/>
      <c r="H636" s="30"/>
      <c r="I636" s="30"/>
      <c r="J636" s="30"/>
      <c r="K636" s="30"/>
      <c r="L636" s="30"/>
      <c r="M636" s="30"/>
    </row>
    <row r="637" spans="1:13" s="14" customFormat="1" x14ac:dyDescent="0.25">
      <c r="A637" s="13"/>
      <c r="D637" s="30"/>
      <c r="E637" s="31"/>
      <c r="F637" s="30"/>
      <c r="G637" s="30"/>
      <c r="H637" s="30"/>
      <c r="I637" s="30"/>
      <c r="J637" s="30"/>
      <c r="K637" s="30"/>
      <c r="L637" s="30"/>
      <c r="M637" s="30"/>
    </row>
    <row r="638" spans="1:13" s="14" customFormat="1" x14ac:dyDescent="0.25">
      <c r="A638" s="13"/>
      <c r="D638" s="30"/>
      <c r="E638" s="31"/>
      <c r="F638" s="30"/>
      <c r="G638" s="30"/>
      <c r="H638" s="30"/>
      <c r="I638" s="30"/>
      <c r="J638" s="30"/>
      <c r="K638" s="30"/>
      <c r="L638" s="30"/>
      <c r="M638" s="30"/>
    </row>
    <row r="639" spans="1:13" s="14" customFormat="1" x14ac:dyDescent="0.25">
      <c r="A639" s="13"/>
      <c r="D639" s="30"/>
      <c r="E639" s="31"/>
      <c r="F639" s="30"/>
      <c r="G639" s="30"/>
      <c r="H639" s="30"/>
      <c r="I639" s="30"/>
      <c r="J639" s="30"/>
      <c r="K639" s="30"/>
      <c r="L639" s="30"/>
      <c r="M639" s="30"/>
    </row>
    <row r="640" spans="1:13" s="14" customFormat="1" x14ac:dyDescent="0.25">
      <c r="A640" s="13"/>
      <c r="D640" s="30"/>
      <c r="E640" s="31"/>
      <c r="F640" s="30"/>
      <c r="G640" s="30"/>
      <c r="H640" s="30"/>
      <c r="I640" s="30"/>
      <c r="J640" s="30"/>
      <c r="K640" s="30"/>
      <c r="L640" s="30"/>
      <c r="M640" s="30"/>
    </row>
    <row r="641" spans="1:13" s="14" customFormat="1" x14ac:dyDescent="0.25">
      <c r="A641" s="13"/>
      <c r="D641" s="30"/>
      <c r="E641" s="31"/>
      <c r="F641" s="30"/>
      <c r="G641" s="30"/>
      <c r="H641" s="30"/>
      <c r="I641" s="30"/>
      <c r="J641" s="30"/>
      <c r="K641" s="30"/>
      <c r="L641" s="30"/>
      <c r="M641" s="30"/>
    </row>
    <row r="642" spans="1:13" s="14" customFormat="1" x14ac:dyDescent="0.25">
      <c r="A642" s="13"/>
      <c r="D642" s="30"/>
      <c r="E642" s="31"/>
      <c r="F642" s="30"/>
      <c r="G642" s="30"/>
      <c r="H642" s="30"/>
      <c r="I642" s="30"/>
      <c r="J642" s="30"/>
      <c r="K642" s="30"/>
      <c r="L642" s="30"/>
      <c r="M642" s="30"/>
    </row>
    <row r="643" spans="1:13" s="14" customFormat="1" x14ac:dyDescent="0.25">
      <c r="A643" s="13"/>
      <c r="D643" s="30"/>
      <c r="E643" s="31"/>
      <c r="F643" s="30"/>
      <c r="G643" s="30"/>
      <c r="H643" s="30"/>
      <c r="I643" s="30"/>
      <c r="J643" s="30"/>
      <c r="K643" s="30"/>
      <c r="L643" s="30"/>
      <c r="M643" s="30"/>
    </row>
    <row r="644" spans="1:13" s="14" customFormat="1" x14ac:dyDescent="0.25">
      <c r="A644" s="13"/>
      <c r="D644" s="30"/>
      <c r="E644" s="31"/>
      <c r="F644" s="30"/>
      <c r="G644" s="30"/>
      <c r="H644" s="30"/>
      <c r="I644" s="30"/>
      <c r="J644" s="30"/>
      <c r="K644" s="30"/>
      <c r="L644" s="30"/>
      <c r="M644" s="30"/>
    </row>
    <row r="645" spans="1:13" s="14" customFormat="1" x14ac:dyDescent="0.25">
      <c r="A645" s="13"/>
      <c r="D645" s="30"/>
      <c r="E645" s="31"/>
      <c r="F645" s="30"/>
      <c r="G645" s="30"/>
      <c r="H645" s="30"/>
      <c r="I645" s="30"/>
      <c r="J645" s="30"/>
      <c r="K645" s="30"/>
      <c r="L645" s="30"/>
      <c r="M645" s="30"/>
    </row>
    <row r="646" spans="1:13" s="14" customFormat="1" x14ac:dyDescent="0.25">
      <c r="A646" s="13"/>
      <c r="D646" s="30"/>
      <c r="E646" s="31"/>
      <c r="F646" s="30"/>
      <c r="G646" s="30"/>
      <c r="H646" s="30"/>
      <c r="I646" s="30"/>
      <c r="J646" s="30"/>
      <c r="K646" s="30"/>
      <c r="L646" s="30"/>
      <c r="M646" s="30"/>
    </row>
    <row r="647" spans="1:13" s="14" customFormat="1" x14ac:dyDescent="0.25">
      <c r="A647" s="13"/>
      <c r="D647" s="30"/>
      <c r="E647" s="31"/>
      <c r="F647" s="30"/>
      <c r="G647" s="30"/>
      <c r="H647" s="30"/>
      <c r="I647" s="30"/>
      <c r="J647" s="30"/>
      <c r="K647" s="30"/>
      <c r="L647" s="30"/>
      <c r="M647" s="30"/>
    </row>
    <row r="648" spans="1:13" s="14" customFormat="1" x14ac:dyDescent="0.25">
      <c r="A648" s="13"/>
      <c r="D648" s="30"/>
      <c r="E648" s="31"/>
      <c r="F648" s="30"/>
      <c r="G648" s="30"/>
      <c r="H648" s="30"/>
      <c r="I648" s="30"/>
      <c r="J648" s="30"/>
      <c r="K648" s="30"/>
      <c r="L648" s="30"/>
      <c r="M648" s="30"/>
    </row>
    <row r="649" spans="1:13" s="14" customFormat="1" x14ac:dyDescent="0.25">
      <c r="A649" s="13"/>
      <c r="D649" s="30"/>
      <c r="E649" s="31"/>
      <c r="F649" s="30"/>
      <c r="G649" s="30"/>
      <c r="H649" s="30"/>
      <c r="I649" s="30"/>
      <c r="J649" s="30"/>
      <c r="K649" s="30"/>
      <c r="L649" s="30"/>
      <c r="M649" s="30"/>
    </row>
    <row r="650" spans="1:13" s="14" customFormat="1" x14ac:dyDescent="0.25">
      <c r="A650" s="13"/>
      <c r="D650" s="30"/>
      <c r="E650" s="31"/>
      <c r="F650" s="30"/>
      <c r="G650" s="30"/>
      <c r="H650" s="30"/>
      <c r="I650" s="30"/>
      <c r="J650" s="30"/>
      <c r="K650" s="30"/>
      <c r="L650" s="30"/>
      <c r="M650" s="30"/>
    </row>
    <row r="651" spans="1:13" s="14" customFormat="1" x14ac:dyDescent="0.25">
      <c r="A651" s="13"/>
      <c r="D651" s="30"/>
      <c r="E651" s="31"/>
      <c r="F651" s="30"/>
      <c r="G651" s="30"/>
      <c r="H651" s="30"/>
      <c r="I651" s="30"/>
      <c r="J651" s="30"/>
      <c r="K651" s="30"/>
      <c r="L651" s="30"/>
      <c r="M651" s="30"/>
    </row>
    <row r="652" spans="1:13" s="14" customFormat="1" x14ac:dyDescent="0.25">
      <c r="A652" s="13"/>
      <c r="D652" s="30"/>
      <c r="E652" s="31"/>
      <c r="F652" s="30"/>
      <c r="G652" s="30"/>
      <c r="H652" s="30"/>
      <c r="I652" s="30"/>
      <c r="J652" s="30"/>
      <c r="K652" s="30"/>
      <c r="L652" s="30"/>
      <c r="M652" s="30"/>
    </row>
    <row r="653" spans="1:13" s="14" customFormat="1" x14ac:dyDescent="0.25">
      <c r="A653" s="13"/>
      <c r="D653" s="30"/>
      <c r="E653" s="31"/>
      <c r="F653" s="30"/>
      <c r="G653" s="30"/>
      <c r="H653" s="30"/>
      <c r="I653" s="30"/>
      <c r="J653" s="30"/>
      <c r="K653" s="30"/>
      <c r="L653" s="30"/>
      <c r="M653" s="30"/>
    </row>
    <row r="654" spans="1:13" s="14" customFormat="1" x14ac:dyDescent="0.25">
      <c r="A654" s="13"/>
      <c r="D654" s="30"/>
      <c r="E654" s="31"/>
      <c r="F654" s="30"/>
      <c r="G654" s="30"/>
      <c r="H654" s="30"/>
      <c r="I654" s="30"/>
      <c r="J654" s="30"/>
      <c r="K654" s="30"/>
      <c r="L654" s="30"/>
      <c r="M654" s="30"/>
    </row>
    <row r="655" spans="1:13" s="14" customFormat="1" x14ac:dyDescent="0.25">
      <c r="A655" s="13"/>
      <c r="D655" s="30"/>
      <c r="E655" s="31"/>
      <c r="F655" s="30"/>
      <c r="G655" s="30"/>
      <c r="H655" s="30"/>
      <c r="I655" s="30"/>
      <c r="J655" s="30"/>
      <c r="K655" s="30"/>
      <c r="L655" s="30"/>
      <c r="M655" s="30"/>
    </row>
    <row r="656" spans="1:13" s="14" customFormat="1" x14ac:dyDescent="0.25">
      <c r="A656" s="13"/>
      <c r="D656" s="30"/>
      <c r="E656" s="31"/>
      <c r="F656" s="30"/>
      <c r="G656" s="30"/>
      <c r="H656" s="30"/>
      <c r="I656" s="30"/>
      <c r="J656" s="30"/>
      <c r="K656" s="30"/>
      <c r="L656" s="30"/>
      <c r="M656" s="30"/>
    </row>
    <row r="657" spans="1:13" s="14" customFormat="1" x14ac:dyDescent="0.25">
      <c r="A657" s="13"/>
      <c r="D657" s="30"/>
      <c r="E657" s="31"/>
      <c r="F657" s="30"/>
      <c r="G657" s="30"/>
      <c r="H657" s="30"/>
      <c r="I657" s="30"/>
      <c r="J657" s="30"/>
      <c r="K657" s="30"/>
      <c r="L657" s="30"/>
      <c r="M657" s="30"/>
    </row>
    <row r="658" spans="1:13" s="14" customFormat="1" x14ac:dyDescent="0.25">
      <c r="A658" s="13"/>
      <c r="D658" s="30"/>
      <c r="E658" s="31"/>
      <c r="F658" s="30"/>
      <c r="G658" s="30"/>
      <c r="H658" s="30"/>
      <c r="I658" s="30"/>
      <c r="J658" s="30"/>
      <c r="K658" s="30"/>
      <c r="L658" s="30"/>
      <c r="M658" s="30"/>
    </row>
    <row r="659" spans="1:13" s="14" customFormat="1" x14ac:dyDescent="0.25">
      <c r="A659" s="13"/>
      <c r="D659" s="30"/>
      <c r="E659" s="31"/>
      <c r="F659" s="30"/>
      <c r="G659" s="30"/>
      <c r="H659" s="30"/>
      <c r="I659" s="30"/>
      <c r="J659" s="30"/>
      <c r="K659" s="30"/>
      <c r="L659" s="30"/>
      <c r="M659" s="30"/>
    </row>
    <row r="660" spans="1:13" s="14" customFormat="1" x14ac:dyDescent="0.25">
      <c r="A660" s="13"/>
      <c r="D660" s="30"/>
      <c r="E660" s="31"/>
      <c r="F660" s="30"/>
      <c r="G660" s="30"/>
      <c r="H660" s="30"/>
      <c r="I660" s="30"/>
      <c r="J660" s="30"/>
      <c r="K660" s="30"/>
      <c r="L660" s="30"/>
      <c r="M660" s="30"/>
    </row>
    <row r="661" spans="1:13" s="14" customFormat="1" x14ac:dyDescent="0.25">
      <c r="A661" s="13"/>
      <c r="D661" s="30"/>
      <c r="E661" s="31"/>
      <c r="F661" s="30"/>
      <c r="G661" s="30"/>
      <c r="H661" s="30"/>
      <c r="I661" s="30"/>
      <c r="J661" s="30"/>
      <c r="K661" s="30"/>
      <c r="L661" s="30"/>
      <c r="M661" s="30"/>
    </row>
    <row r="662" spans="1:13" s="14" customFormat="1" x14ac:dyDescent="0.25">
      <c r="A662" s="13"/>
      <c r="D662" s="30"/>
      <c r="E662" s="31"/>
      <c r="F662" s="30"/>
      <c r="G662" s="30"/>
      <c r="H662" s="30"/>
      <c r="I662" s="30"/>
      <c r="J662" s="30"/>
      <c r="K662" s="30"/>
      <c r="L662" s="30"/>
      <c r="M662" s="30"/>
    </row>
    <row r="663" spans="1:13" s="14" customFormat="1" x14ac:dyDescent="0.25">
      <c r="A663" s="13"/>
      <c r="D663" s="30"/>
      <c r="E663" s="31"/>
      <c r="F663" s="30"/>
      <c r="G663" s="30"/>
      <c r="H663" s="30"/>
      <c r="I663" s="30"/>
      <c r="J663" s="30"/>
      <c r="K663" s="30"/>
      <c r="L663" s="30"/>
      <c r="M663" s="30"/>
    </row>
    <row r="664" spans="1:13" s="14" customFormat="1" x14ac:dyDescent="0.25">
      <c r="A664" s="13"/>
      <c r="D664" s="30"/>
      <c r="E664" s="31"/>
      <c r="F664" s="30"/>
      <c r="G664" s="30"/>
      <c r="H664" s="30"/>
      <c r="I664" s="30"/>
      <c r="J664" s="30"/>
      <c r="K664" s="30"/>
      <c r="L664" s="30"/>
      <c r="M664" s="30"/>
    </row>
    <row r="665" spans="1:13" s="14" customFormat="1" x14ac:dyDescent="0.25">
      <c r="A665" s="13"/>
      <c r="D665" s="30"/>
      <c r="E665" s="31"/>
      <c r="F665" s="30"/>
      <c r="G665" s="30"/>
      <c r="H665" s="30"/>
      <c r="I665" s="30"/>
      <c r="J665" s="30"/>
      <c r="K665" s="30"/>
      <c r="L665" s="30"/>
      <c r="M665" s="30"/>
    </row>
    <row r="666" spans="1:13" s="14" customFormat="1" x14ac:dyDescent="0.25">
      <c r="A666" s="13"/>
      <c r="D666" s="30"/>
      <c r="E666" s="31"/>
      <c r="F666" s="30"/>
      <c r="G666" s="30"/>
      <c r="H666" s="30"/>
      <c r="I666" s="30"/>
      <c r="J666" s="30"/>
      <c r="K666" s="30"/>
      <c r="L666" s="30"/>
      <c r="M666" s="30"/>
    </row>
    <row r="667" spans="1:13" s="14" customFormat="1" x14ac:dyDescent="0.25">
      <c r="A667" s="13"/>
      <c r="D667" s="30"/>
      <c r="E667" s="31"/>
      <c r="F667" s="30"/>
      <c r="G667" s="30"/>
      <c r="H667" s="30"/>
      <c r="I667" s="30"/>
      <c r="J667" s="30"/>
      <c r="K667" s="30"/>
      <c r="L667" s="30"/>
      <c r="M667" s="30"/>
    </row>
    <row r="668" spans="1:13" s="14" customFormat="1" x14ac:dyDescent="0.25">
      <c r="A668" s="13"/>
      <c r="D668" s="30"/>
      <c r="E668" s="31"/>
      <c r="F668" s="30"/>
      <c r="G668" s="30"/>
      <c r="H668" s="30"/>
      <c r="I668" s="30"/>
      <c r="J668" s="30"/>
      <c r="K668" s="30"/>
      <c r="L668" s="30"/>
      <c r="M668" s="30"/>
    </row>
    <row r="669" spans="1:13" s="14" customFormat="1" x14ac:dyDescent="0.25">
      <c r="A669" s="13"/>
      <c r="D669" s="30"/>
      <c r="E669" s="31"/>
      <c r="F669" s="30"/>
      <c r="G669" s="30"/>
      <c r="H669" s="30"/>
      <c r="I669" s="30"/>
      <c r="J669" s="30"/>
      <c r="K669" s="30"/>
      <c r="L669" s="30"/>
      <c r="M669" s="30"/>
    </row>
    <row r="670" spans="1:13" s="14" customFormat="1" x14ac:dyDescent="0.25">
      <c r="A670" s="13"/>
      <c r="D670" s="30"/>
      <c r="E670" s="31"/>
      <c r="F670" s="30"/>
      <c r="G670" s="30"/>
      <c r="H670" s="30"/>
      <c r="I670" s="30"/>
      <c r="J670" s="30"/>
      <c r="K670" s="30"/>
      <c r="L670" s="30"/>
      <c r="M670" s="30"/>
    </row>
    <row r="671" spans="1:13" s="14" customFormat="1" x14ac:dyDescent="0.25">
      <c r="A671" s="13"/>
      <c r="D671" s="30"/>
      <c r="E671" s="31"/>
      <c r="F671" s="30"/>
      <c r="G671" s="30"/>
      <c r="H671" s="30"/>
      <c r="I671" s="30"/>
      <c r="J671" s="30"/>
      <c r="K671" s="30"/>
      <c r="L671" s="30"/>
      <c r="M671" s="30"/>
    </row>
    <row r="672" spans="1:13" s="14" customFormat="1" x14ac:dyDescent="0.25">
      <c r="A672" s="13"/>
      <c r="D672" s="30"/>
      <c r="E672" s="31"/>
      <c r="F672" s="30"/>
      <c r="G672" s="30"/>
      <c r="H672" s="30"/>
      <c r="I672" s="30"/>
      <c r="J672" s="30"/>
      <c r="K672" s="30"/>
      <c r="L672" s="30"/>
      <c r="M672" s="30"/>
    </row>
    <row r="673" spans="1:13" s="14" customFormat="1" x14ac:dyDescent="0.25">
      <c r="A673" s="13"/>
      <c r="D673" s="30"/>
      <c r="E673" s="31"/>
      <c r="F673" s="30"/>
      <c r="G673" s="30"/>
      <c r="H673" s="30"/>
      <c r="I673" s="30"/>
      <c r="J673" s="30"/>
      <c r="K673" s="30"/>
      <c r="L673" s="30"/>
      <c r="M673" s="30"/>
    </row>
    <row r="674" spans="1:13" s="14" customFormat="1" x14ac:dyDescent="0.25">
      <c r="A674" s="13"/>
      <c r="D674" s="30"/>
      <c r="E674" s="31"/>
      <c r="F674" s="30"/>
      <c r="G674" s="30"/>
      <c r="H674" s="30"/>
      <c r="I674" s="30"/>
      <c r="J674" s="30"/>
      <c r="K674" s="30"/>
      <c r="L674" s="30"/>
      <c r="M674" s="30"/>
    </row>
    <row r="675" spans="1:13" s="14" customFormat="1" x14ac:dyDescent="0.25">
      <c r="A675" s="13"/>
      <c r="D675" s="30"/>
      <c r="E675" s="31"/>
      <c r="F675" s="30"/>
      <c r="G675" s="30"/>
      <c r="H675" s="30"/>
      <c r="I675" s="30"/>
      <c r="J675" s="30"/>
      <c r="K675" s="30"/>
      <c r="L675" s="30"/>
      <c r="M675" s="30"/>
    </row>
    <row r="676" spans="1:13" s="14" customFormat="1" x14ac:dyDescent="0.25">
      <c r="A676" s="13"/>
      <c r="D676" s="30"/>
      <c r="E676" s="31"/>
      <c r="F676" s="30"/>
      <c r="G676" s="30"/>
      <c r="H676" s="30"/>
      <c r="I676" s="30"/>
      <c r="J676" s="30"/>
      <c r="K676" s="30"/>
      <c r="L676" s="30"/>
      <c r="M676" s="30"/>
    </row>
    <row r="677" spans="1:13" s="14" customFormat="1" x14ac:dyDescent="0.25">
      <c r="A677" s="13"/>
      <c r="D677" s="30"/>
      <c r="E677" s="31"/>
      <c r="F677" s="30"/>
      <c r="G677" s="30"/>
      <c r="H677" s="30"/>
      <c r="I677" s="30"/>
      <c r="J677" s="30"/>
      <c r="K677" s="30"/>
      <c r="L677" s="30"/>
      <c r="M677" s="30"/>
    </row>
    <row r="678" spans="1:13" s="14" customFormat="1" x14ac:dyDescent="0.25">
      <c r="A678" s="13"/>
      <c r="D678" s="30"/>
      <c r="E678" s="31"/>
      <c r="F678" s="30"/>
      <c r="G678" s="30"/>
      <c r="H678" s="30"/>
      <c r="I678" s="30"/>
      <c r="J678" s="30"/>
      <c r="K678" s="30"/>
      <c r="L678" s="30"/>
      <c r="M678" s="30"/>
    </row>
    <row r="679" spans="1:13" s="14" customFormat="1" x14ac:dyDescent="0.25">
      <c r="A679" s="13"/>
      <c r="D679" s="30"/>
      <c r="E679" s="31"/>
      <c r="F679" s="30"/>
      <c r="G679" s="30"/>
      <c r="H679" s="30"/>
      <c r="I679" s="30"/>
      <c r="J679" s="30"/>
      <c r="K679" s="30"/>
      <c r="L679" s="30"/>
      <c r="M679" s="30"/>
    </row>
    <row r="680" spans="1:13" s="14" customFormat="1" x14ac:dyDescent="0.25">
      <c r="A680" s="13"/>
      <c r="D680" s="30"/>
      <c r="E680" s="31"/>
      <c r="F680" s="30"/>
      <c r="G680" s="30"/>
      <c r="H680" s="30"/>
      <c r="I680" s="30"/>
      <c r="J680" s="30"/>
      <c r="K680" s="30"/>
      <c r="L680" s="30"/>
      <c r="M680" s="30"/>
    </row>
    <row r="681" spans="1:13" s="14" customFormat="1" x14ac:dyDescent="0.25">
      <c r="A681" s="13"/>
      <c r="D681" s="30"/>
      <c r="E681" s="31"/>
      <c r="F681" s="30"/>
      <c r="G681" s="30"/>
      <c r="H681" s="30"/>
      <c r="I681" s="30"/>
      <c r="J681" s="30"/>
      <c r="K681" s="30"/>
      <c r="L681" s="30"/>
      <c r="M681" s="30"/>
    </row>
    <row r="682" spans="1:13" s="14" customFormat="1" x14ac:dyDescent="0.25">
      <c r="A682" s="13"/>
      <c r="D682" s="30"/>
      <c r="E682" s="31"/>
      <c r="F682" s="30"/>
      <c r="G682" s="30"/>
      <c r="H682" s="30"/>
      <c r="I682" s="30"/>
      <c r="J682" s="30"/>
      <c r="K682" s="30"/>
      <c r="L682" s="30"/>
      <c r="M682" s="30"/>
    </row>
    <row r="683" spans="1:13" s="14" customFormat="1" x14ac:dyDescent="0.25">
      <c r="A683" s="13"/>
      <c r="D683" s="30"/>
      <c r="E683" s="31"/>
      <c r="F683" s="30"/>
      <c r="G683" s="30"/>
      <c r="H683" s="30"/>
      <c r="I683" s="30"/>
      <c r="J683" s="30"/>
      <c r="K683" s="30"/>
      <c r="L683" s="30"/>
      <c r="M683" s="30"/>
    </row>
    <row r="684" spans="1:13" s="14" customFormat="1" x14ac:dyDescent="0.25">
      <c r="A684" s="13"/>
      <c r="D684" s="30"/>
      <c r="E684" s="31"/>
      <c r="F684" s="30"/>
      <c r="G684" s="30"/>
      <c r="H684" s="30"/>
      <c r="I684" s="30"/>
      <c r="J684" s="30"/>
      <c r="K684" s="30"/>
      <c r="L684" s="30"/>
      <c r="M684" s="30"/>
    </row>
    <row r="685" spans="1:13" s="14" customFormat="1" x14ac:dyDescent="0.25">
      <c r="A685" s="13"/>
      <c r="D685" s="30"/>
      <c r="E685" s="31"/>
      <c r="F685" s="30"/>
      <c r="G685" s="30"/>
      <c r="H685" s="30"/>
      <c r="I685" s="30"/>
      <c r="J685" s="30"/>
      <c r="K685" s="30"/>
      <c r="L685" s="30"/>
      <c r="M685" s="30"/>
    </row>
    <row r="686" spans="1:13" s="14" customFormat="1" x14ac:dyDescent="0.25">
      <c r="A686" s="13"/>
      <c r="D686" s="30"/>
      <c r="E686" s="31"/>
      <c r="F686" s="30"/>
      <c r="G686" s="30"/>
      <c r="H686" s="30"/>
      <c r="I686" s="30"/>
      <c r="J686" s="30"/>
      <c r="K686" s="30"/>
      <c r="L686" s="30"/>
      <c r="M686" s="30"/>
    </row>
    <row r="687" spans="1:13" s="14" customFormat="1" x14ac:dyDescent="0.25">
      <c r="A687" s="13"/>
      <c r="D687" s="30"/>
      <c r="E687" s="31"/>
      <c r="F687" s="30"/>
      <c r="G687" s="30"/>
      <c r="H687" s="30"/>
      <c r="I687" s="30"/>
      <c r="J687" s="30"/>
      <c r="K687" s="30"/>
      <c r="L687" s="30"/>
      <c r="M687" s="30"/>
    </row>
    <row r="688" spans="1:13" s="14" customFormat="1" x14ac:dyDescent="0.25">
      <c r="A688" s="13"/>
      <c r="D688" s="30"/>
      <c r="E688" s="31"/>
      <c r="F688" s="30"/>
      <c r="G688" s="30"/>
      <c r="H688" s="30"/>
      <c r="I688" s="30"/>
      <c r="J688" s="30"/>
      <c r="K688" s="30"/>
      <c r="L688" s="30"/>
      <c r="M688" s="30"/>
    </row>
    <row r="689" spans="1:13" s="14" customFormat="1" x14ac:dyDescent="0.25">
      <c r="A689" s="13"/>
      <c r="D689" s="30"/>
      <c r="E689" s="31"/>
      <c r="F689" s="30"/>
      <c r="G689" s="30"/>
      <c r="H689" s="30"/>
      <c r="I689" s="30"/>
      <c r="J689" s="30"/>
      <c r="K689" s="30"/>
      <c r="L689" s="30"/>
      <c r="M689" s="30"/>
    </row>
    <row r="690" spans="1:13" s="14" customFormat="1" x14ac:dyDescent="0.25">
      <c r="A690" s="13"/>
      <c r="D690" s="30"/>
      <c r="E690" s="31"/>
      <c r="F690" s="30"/>
      <c r="G690" s="30"/>
      <c r="H690" s="30"/>
      <c r="I690" s="30"/>
      <c r="J690" s="30"/>
      <c r="K690" s="30"/>
      <c r="L690" s="30"/>
      <c r="M690" s="30"/>
    </row>
    <row r="691" spans="1:13" s="14" customFormat="1" x14ac:dyDescent="0.25">
      <c r="A691" s="13"/>
      <c r="D691" s="30"/>
      <c r="E691" s="31"/>
      <c r="F691" s="30"/>
      <c r="G691" s="30"/>
      <c r="H691" s="30"/>
      <c r="I691" s="30"/>
      <c r="J691" s="30"/>
      <c r="K691" s="30"/>
      <c r="L691" s="30"/>
      <c r="M691" s="30"/>
    </row>
    <row r="692" spans="1:13" s="14" customFormat="1" x14ac:dyDescent="0.25">
      <c r="A692" s="13"/>
      <c r="D692" s="30"/>
      <c r="E692" s="31"/>
      <c r="F692" s="30"/>
      <c r="G692" s="30"/>
      <c r="H692" s="30"/>
      <c r="I692" s="30"/>
      <c r="J692" s="30"/>
      <c r="K692" s="30"/>
      <c r="L692" s="30"/>
      <c r="M692" s="30"/>
    </row>
    <row r="693" spans="1:13" s="14" customFormat="1" x14ac:dyDescent="0.25">
      <c r="A693" s="13"/>
      <c r="D693" s="30"/>
      <c r="E693" s="31"/>
      <c r="F693" s="30"/>
      <c r="G693" s="30"/>
      <c r="H693" s="30"/>
      <c r="I693" s="30"/>
      <c r="J693" s="30"/>
      <c r="K693" s="30"/>
      <c r="L693" s="30"/>
      <c r="M693" s="30"/>
    </row>
    <row r="694" spans="1:13" s="14" customFormat="1" x14ac:dyDescent="0.25">
      <c r="A694" s="13"/>
      <c r="D694" s="30"/>
      <c r="E694" s="31"/>
      <c r="F694" s="30"/>
      <c r="G694" s="30"/>
      <c r="H694" s="30"/>
      <c r="I694" s="30"/>
      <c r="J694" s="30"/>
      <c r="K694" s="30"/>
      <c r="L694" s="30"/>
      <c r="M694" s="30"/>
    </row>
    <row r="695" spans="1:13" s="14" customFormat="1" x14ac:dyDescent="0.25">
      <c r="A695" s="13"/>
      <c r="D695" s="30"/>
      <c r="E695" s="31"/>
      <c r="F695" s="30"/>
      <c r="G695" s="30"/>
      <c r="H695" s="30"/>
      <c r="I695" s="30"/>
      <c r="J695" s="30"/>
      <c r="K695" s="30"/>
      <c r="L695" s="30"/>
      <c r="M695" s="30"/>
    </row>
    <row r="696" spans="1:13" s="14" customFormat="1" x14ac:dyDescent="0.25">
      <c r="A696" s="13"/>
      <c r="D696" s="30"/>
      <c r="E696" s="31"/>
      <c r="F696" s="30"/>
      <c r="G696" s="30"/>
      <c r="H696" s="30"/>
      <c r="I696" s="30"/>
      <c r="J696" s="30"/>
      <c r="K696" s="30"/>
      <c r="L696" s="30"/>
      <c r="M696" s="30"/>
    </row>
    <row r="697" spans="1:13" s="14" customFormat="1" x14ac:dyDescent="0.25">
      <c r="A697" s="13"/>
      <c r="D697" s="30"/>
      <c r="E697" s="31"/>
      <c r="F697" s="30"/>
      <c r="G697" s="30"/>
      <c r="H697" s="30"/>
      <c r="I697" s="30"/>
      <c r="J697" s="30"/>
      <c r="K697" s="30"/>
      <c r="L697" s="30"/>
      <c r="M697" s="30"/>
    </row>
    <row r="698" spans="1:13" s="14" customFormat="1" x14ac:dyDescent="0.25">
      <c r="A698" s="13"/>
      <c r="D698" s="30"/>
      <c r="E698" s="31"/>
      <c r="F698" s="30"/>
      <c r="G698" s="30"/>
      <c r="H698" s="30"/>
      <c r="I698" s="30"/>
      <c r="J698" s="30"/>
      <c r="K698" s="30"/>
      <c r="L698" s="30"/>
      <c r="M698" s="30"/>
    </row>
    <row r="699" spans="1:13" s="14" customFormat="1" x14ac:dyDescent="0.25">
      <c r="A699" s="13"/>
      <c r="D699" s="30"/>
      <c r="E699" s="31"/>
      <c r="F699" s="30"/>
      <c r="G699" s="30"/>
      <c r="H699" s="30"/>
      <c r="I699" s="30"/>
      <c r="J699" s="30"/>
      <c r="K699" s="30"/>
      <c r="L699" s="30"/>
      <c r="M699" s="30"/>
    </row>
    <row r="700" spans="1:13" s="14" customFormat="1" x14ac:dyDescent="0.25">
      <c r="A700" s="13"/>
      <c r="D700" s="30"/>
      <c r="E700" s="31"/>
      <c r="F700" s="30"/>
      <c r="G700" s="30"/>
      <c r="H700" s="30"/>
      <c r="I700" s="30"/>
      <c r="J700" s="30"/>
      <c r="K700" s="30"/>
      <c r="L700" s="30"/>
      <c r="M700" s="30"/>
    </row>
    <row r="701" spans="1:13" s="14" customFormat="1" x14ac:dyDescent="0.25">
      <c r="A701" s="13"/>
      <c r="D701" s="30"/>
      <c r="E701" s="31"/>
      <c r="F701" s="30"/>
      <c r="G701" s="30"/>
      <c r="H701" s="30"/>
      <c r="I701" s="30"/>
      <c r="J701" s="30"/>
      <c r="K701" s="30"/>
      <c r="L701" s="30"/>
      <c r="M701" s="30"/>
    </row>
    <row r="702" spans="1:13" s="14" customFormat="1" x14ac:dyDescent="0.25">
      <c r="A702" s="13"/>
      <c r="D702" s="30"/>
      <c r="E702" s="31"/>
      <c r="F702" s="30"/>
      <c r="G702" s="30"/>
      <c r="H702" s="30"/>
      <c r="I702" s="30"/>
      <c r="J702" s="30"/>
      <c r="K702" s="30"/>
      <c r="L702" s="30"/>
      <c r="M702" s="30"/>
    </row>
    <row r="703" spans="1:13" s="14" customFormat="1" x14ac:dyDescent="0.25">
      <c r="A703" s="13"/>
      <c r="D703" s="30"/>
      <c r="E703" s="31"/>
      <c r="F703" s="30"/>
      <c r="G703" s="30"/>
      <c r="H703" s="30"/>
      <c r="I703" s="30"/>
      <c r="J703" s="30"/>
      <c r="K703" s="30"/>
      <c r="L703" s="30"/>
      <c r="M703" s="30"/>
    </row>
    <row r="704" spans="1:13" s="14" customFormat="1" x14ac:dyDescent="0.25">
      <c r="A704" s="13"/>
      <c r="D704" s="30"/>
      <c r="E704" s="31"/>
      <c r="F704" s="30"/>
      <c r="G704" s="30"/>
      <c r="H704" s="30"/>
      <c r="I704" s="30"/>
      <c r="J704" s="30"/>
      <c r="K704" s="30"/>
      <c r="L704" s="30"/>
      <c r="M704" s="30"/>
    </row>
    <row r="705" spans="1:13" s="14" customFormat="1" x14ac:dyDescent="0.25">
      <c r="A705" s="13"/>
      <c r="D705" s="30"/>
      <c r="E705" s="31"/>
      <c r="F705" s="30"/>
      <c r="G705" s="30"/>
      <c r="H705" s="30"/>
      <c r="I705" s="30"/>
      <c r="J705" s="30"/>
      <c r="K705" s="30"/>
      <c r="L705" s="30"/>
      <c r="M705" s="30"/>
    </row>
    <row r="706" spans="1:13" s="14" customFormat="1" x14ac:dyDescent="0.25">
      <c r="A706" s="13"/>
      <c r="D706" s="30"/>
      <c r="E706" s="31"/>
      <c r="F706" s="30"/>
      <c r="G706" s="30"/>
      <c r="H706" s="30"/>
      <c r="I706" s="30"/>
      <c r="J706" s="30"/>
      <c r="K706" s="30"/>
      <c r="L706" s="30"/>
      <c r="M706" s="30"/>
    </row>
    <row r="707" spans="1:13" s="14" customFormat="1" x14ac:dyDescent="0.25">
      <c r="A707" s="13"/>
      <c r="D707" s="30"/>
      <c r="E707" s="31"/>
      <c r="F707" s="30"/>
      <c r="G707" s="30"/>
      <c r="H707" s="30"/>
      <c r="I707" s="30"/>
      <c r="J707" s="30"/>
      <c r="K707" s="30"/>
      <c r="L707" s="30"/>
      <c r="M707" s="30"/>
    </row>
    <row r="708" spans="1:13" s="14" customFormat="1" x14ac:dyDescent="0.25">
      <c r="A708" s="13"/>
      <c r="D708" s="30"/>
      <c r="E708" s="31"/>
      <c r="F708" s="30"/>
      <c r="G708" s="30"/>
      <c r="H708" s="30"/>
      <c r="I708" s="30"/>
      <c r="J708" s="30"/>
      <c r="K708" s="30"/>
      <c r="L708" s="30"/>
      <c r="M708" s="30"/>
    </row>
    <row r="709" spans="1:13" s="14" customFormat="1" x14ac:dyDescent="0.25">
      <c r="A709" s="13"/>
      <c r="D709" s="30"/>
      <c r="E709" s="31"/>
      <c r="F709" s="30"/>
      <c r="G709" s="30"/>
      <c r="H709" s="30"/>
      <c r="I709" s="30"/>
      <c r="J709" s="30"/>
      <c r="K709" s="30"/>
      <c r="L709" s="30"/>
      <c r="M709" s="30"/>
    </row>
    <row r="710" spans="1:13" s="14" customFormat="1" x14ac:dyDescent="0.25">
      <c r="A710" s="13"/>
      <c r="D710" s="30"/>
      <c r="E710" s="31"/>
      <c r="F710" s="30"/>
      <c r="G710" s="30"/>
      <c r="H710" s="30"/>
      <c r="I710" s="30"/>
      <c r="J710" s="30"/>
      <c r="K710" s="30"/>
      <c r="L710" s="30"/>
      <c r="M710" s="30"/>
    </row>
    <row r="711" spans="1:13" s="14" customFormat="1" x14ac:dyDescent="0.25">
      <c r="A711" s="13"/>
      <c r="D711" s="30"/>
      <c r="E711" s="31"/>
      <c r="F711" s="30"/>
      <c r="G711" s="30"/>
      <c r="H711" s="30"/>
      <c r="I711" s="30"/>
      <c r="J711" s="30"/>
      <c r="K711" s="30"/>
      <c r="L711" s="30"/>
      <c r="M711" s="30"/>
    </row>
    <row r="712" spans="1:13" s="14" customFormat="1" x14ac:dyDescent="0.25">
      <c r="A712" s="13"/>
      <c r="D712" s="30"/>
      <c r="E712" s="31"/>
      <c r="F712" s="30"/>
      <c r="G712" s="30"/>
      <c r="H712" s="30"/>
      <c r="I712" s="30"/>
      <c r="J712" s="30"/>
      <c r="K712" s="30"/>
      <c r="L712" s="30"/>
      <c r="M712" s="30"/>
    </row>
    <row r="713" spans="1:13" s="14" customFormat="1" x14ac:dyDescent="0.25">
      <c r="A713" s="13"/>
      <c r="D713" s="30"/>
      <c r="E713" s="31"/>
      <c r="F713" s="30"/>
      <c r="G713" s="30"/>
      <c r="H713" s="30"/>
      <c r="I713" s="30"/>
      <c r="J713" s="30"/>
      <c r="K713" s="30"/>
      <c r="L713" s="30"/>
      <c r="M713" s="30"/>
    </row>
    <row r="714" spans="1:13" s="14" customFormat="1" x14ac:dyDescent="0.25">
      <c r="A714" s="13"/>
      <c r="D714" s="30"/>
      <c r="E714" s="31"/>
      <c r="F714" s="30"/>
      <c r="G714" s="30"/>
      <c r="H714" s="30"/>
      <c r="I714" s="30"/>
      <c r="J714" s="30"/>
      <c r="K714" s="30"/>
      <c r="L714" s="30"/>
      <c r="M714" s="30"/>
    </row>
    <row r="715" spans="1:13" s="14" customFormat="1" x14ac:dyDescent="0.25">
      <c r="A715" s="13"/>
      <c r="D715" s="30"/>
      <c r="E715" s="31"/>
      <c r="F715" s="30"/>
      <c r="G715" s="30"/>
      <c r="H715" s="30"/>
      <c r="I715" s="30"/>
      <c r="J715" s="30"/>
      <c r="K715" s="30"/>
      <c r="L715" s="30"/>
      <c r="M715" s="30"/>
    </row>
    <row r="716" spans="1:13" s="14" customFormat="1" x14ac:dyDescent="0.25">
      <c r="A716" s="13"/>
      <c r="D716" s="30"/>
      <c r="E716" s="31"/>
      <c r="F716" s="30"/>
      <c r="G716" s="30"/>
      <c r="H716" s="30"/>
      <c r="I716" s="30"/>
      <c r="J716" s="30"/>
      <c r="K716" s="30"/>
      <c r="L716" s="30"/>
      <c r="M716" s="30"/>
    </row>
    <row r="717" spans="1:13" s="14" customFormat="1" x14ac:dyDescent="0.25">
      <c r="A717" s="13"/>
      <c r="D717" s="30"/>
      <c r="E717" s="31"/>
      <c r="F717" s="30"/>
      <c r="G717" s="30"/>
      <c r="H717" s="30"/>
      <c r="I717" s="30"/>
      <c r="J717" s="30"/>
      <c r="K717" s="30"/>
      <c r="L717" s="30"/>
      <c r="M717" s="30"/>
    </row>
    <row r="718" spans="1:13" s="14" customFormat="1" x14ac:dyDescent="0.25">
      <c r="A718" s="13"/>
      <c r="D718" s="30"/>
      <c r="E718" s="31"/>
      <c r="F718" s="30"/>
      <c r="G718" s="30"/>
      <c r="H718" s="30"/>
      <c r="I718" s="30"/>
      <c r="J718" s="30"/>
      <c r="K718" s="30"/>
      <c r="L718" s="30"/>
      <c r="M718" s="30"/>
    </row>
    <row r="719" spans="1:13" s="14" customFormat="1" x14ac:dyDescent="0.25">
      <c r="A719" s="13"/>
      <c r="D719" s="30"/>
      <c r="E719" s="31"/>
      <c r="F719" s="30"/>
      <c r="G719" s="30"/>
      <c r="H719" s="30"/>
      <c r="I719" s="30"/>
      <c r="J719" s="30"/>
      <c r="K719" s="30"/>
      <c r="L719" s="30"/>
      <c r="M719" s="30"/>
    </row>
    <row r="720" spans="1:13" s="14" customFormat="1" x14ac:dyDescent="0.25">
      <c r="A720" s="13"/>
      <c r="D720" s="30"/>
      <c r="E720" s="31"/>
      <c r="F720" s="30"/>
      <c r="G720" s="30"/>
      <c r="H720" s="30"/>
      <c r="I720" s="30"/>
      <c r="J720" s="30"/>
      <c r="K720" s="30"/>
      <c r="L720" s="30"/>
      <c r="M720" s="30"/>
    </row>
    <row r="721" spans="1:13" s="14" customFormat="1" x14ac:dyDescent="0.25">
      <c r="A721" s="13"/>
      <c r="D721" s="30"/>
      <c r="E721" s="31"/>
      <c r="F721" s="30"/>
      <c r="G721" s="30"/>
      <c r="H721" s="30"/>
      <c r="I721" s="30"/>
      <c r="J721" s="30"/>
      <c r="K721" s="30"/>
      <c r="L721" s="30"/>
      <c r="M721" s="30"/>
    </row>
    <row r="722" spans="1:13" s="14" customFormat="1" x14ac:dyDescent="0.25">
      <c r="A722" s="13"/>
      <c r="D722" s="30"/>
      <c r="E722" s="31"/>
      <c r="F722" s="30"/>
      <c r="G722" s="30"/>
      <c r="H722" s="30"/>
      <c r="I722" s="30"/>
      <c r="J722" s="30"/>
      <c r="K722" s="30"/>
      <c r="L722" s="30"/>
      <c r="M722" s="30"/>
    </row>
    <row r="723" spans="1:13" s="14" customFormat="1" x14ac:dyDescent="0.25">
      <c r="A723" s="13"/>
      <c r="D723" s="30"/>
      <c r="E723" s="31"/>
      <c r="F723" s="30"/>
      <c r="G723" s="30"/>
      <c r="H723" s="30"/>
      <c r="I723" s="30"/>
      <c r="J723" s="30"/>
      <c r="K723" s="30"/>
      <c r="L723" s="30"/>
      <c r="M723" s="30"/>
    </row>
    <row r="724" spans="1:13" s="14" customFormat="1" x14ac:dyDescent="0.25">
      <c r="A724" s="13"/>
      <c r="D724" s="30"/>
      <c r="E724" s="31"/>
      <c r="F724" s="30"/>
      <c r="G724" s="30"/>
      <c r="H724" s="30"/>
      <c r="I724" s="30"/>
      <c r="J724" s="30"/>
      <c r="K724" s="30"/>
      <c r="L724" s="30"/>
      <c r="M724" s="30"/>
    </row>
    <row r="725" spans="1:13" s="14" customFormat="1" x14ac:dyDescent="0.25">
      <c r="A725" s="13"/>
      <c r="D725" s="30"/>
      <c r="E725" s="31"/>
      <c r="F725" s="30"/>
      <c r="G725" s="30"/>
      <c r="H725" s="30"/>
      <c r="I725" s="30"/>
      <c r="J725" s="30"/>
      <c r="K725" s="30"/>
      <c r="L725" s="30"/>
      <c r="M725" s="30"/>
    </row>
    <row r="726" spans="1:13" s="14" customFormat="1" x14ac:dyDescent="0.25">
      <c r="A726" s="13"/>
      <c r="D726" s="30"/>
      <c r="E726" s="31"/>
      <c r="F726" s="30"/>
      <c r="G726" s="30"/>
      <c r="H726" s="30"/>
      <c r="I726" s="30"/>
      <c r="J726" s="30"/>
      <c r="K726" s="30"/>
      <c r="L726" s="30"/>
      <c r="M726" s="30"/>
    </row>
    <row r="727" spans="1:13" s="14" customFormat="1" x14ac:dyDescent="0.25">
      <c r="A727" s="13"/>
      <c r="D727" s="30"/>
      <c r="E727" s="31"/>
      <c r="F727" s="30"/>
      <c r="G727" s="30"/>
      <c r="H727" s="30"/>
      <c r="I727" s="30"/>
      <c r="J727" s="30"/>
      <c r="K727" s="30"/>
      <c r="L727" s="30"/>
      <c r="M727" s="30"/>
    </row>
    <row r="728" spans="1:13" s="14" customFormat="1" x14ac:dyDescent="0.25">
      <c r="A728" s="13"/>
      <c r="D728" s="30"/>
      <c r="E728" s="31"/>
      <c r="F728" s="30"/>
      <c r="G728" s="30"/>
      <c r="H728" s="30"/>
      <c r="I728" s="30"/>
      <c r="J728" s="30"/>
      <c r="K728" s="30"/>
      <c r="L728" s="30"/>
      <c r="M728" s="30"/>
    </row>
    <row r="729" spans="1:13" s="14" customFormat="1" x14ac:dyDescent="0.25">
      <c r="A729" s="13"/>
      <c r="D729" s="30"/>
      <c r="E729" s="31"/>
      <c r="F729" s="30"/>
      <c r="G729" s="30"/>
      <c r="H729" s="30"/>
      <c r="I729" s="30"/>
      <c r="J729" s="30"/>
      <c r="K729" s="30"/>
      <c r="L729" s="30"/>
      <c r="M729" s="30"/>
    </row>
    <row r="730" spans="1:13" s="14" customFormat="1" x14ac:dyDescent="0.25">
      <c r="A730" s="13"/>
      <c r="D730" s="30"/>
      <c r="E730" s="31"/>
      <c r="F730" s="30"/>
      <c r="G730" s="30"/>
      <c r="H730" s="30"/>
      <c r="I730" s="30"/>
      <c r="J730" s="30"/>
      <c r="K730" s="30"/>
      <c r="L730" s="30"/>
      <c r="M730" s="30"/>
    </row>
    <row r="731" spans="1:13" s="14" customFormat="1" x14ac:dyDescent="0.25">
      <c r="A731" s="13"/>
      <c r="D731" s="30"/>
      <c r="E731" s="31"/>
      <c r="F731" s="30"/>
      <c r="G731" s="30"/>
      <c r="H731" s="30"/>
      <c r="I731" s="30"/>
      <c r="J731" s="30"/>
      <c r="K731" s="30"/>
      <c r="L731" s="30"/>
      <c r="M731" s="30"/>
    </row>
    <row r="732" spans="1:13" s="14" customFormat="1" x14ac:dyDescent="0.25">
      <c r="A732" s="13"/>
      <c r="D732" s="30"/>
      <c r="E732" s="31"/>
      <c r="F732" s="30"/>
      <c r="G732" s="30"/>
      <c r="H732" s="30"/>
      <c r="I732" s="30"/>
      <c r="J732" s="30"/>
      <c r="K732" s="30"/>
      <c r="L732" s="30"/>
      <c r="M732" s="30"/>
    </row>
    <row r="733" spans="1:13" s="14" customFormat="1" x14ac:dyDescent="0.25">
      <c r="A733" s="13"/>
      <c r="D733" s="30"/>
      <c r="E733" s="31"/>
      <c r="F733" s="30"/>
      <c r="G733" s="30"/>
      <c r="H733" s="30"/>
      <c r="I733" s="30"/>
      <c r="J733" s="30"/>
      <c r="K733" s="30"/>
      <c r="L733" s="30"/>
      <c r="M733" s="30"/>
    </row>
    <row r="734" spans="1:13" s="14" customFormat="1" x14ac:dyDescent="0.25">
      <c r="A734" s="13"/>
      <c r="D734" s="30"/>
      <c r="E734" s="31"/>
      <c r="F734" s="30"/>
      <c r="G734" s="30"/>
      <c r="H734" s="30"/>
      <c r="I734" s="30"/>
      <c r="J734" s="30"/>
      <c r="K734" s="30"/>
      <c r="L734" s="30"/>
      <c r="M734" s="30"/>
    </row>
    <row r="735" spans="1:13" s="14" customFormat="1" x14ac:dyDescent="0.25">
      <c r="A735" s="13"/>
      <c r="D735" s="30"/>
      <c r="E735" s="31"/>
      <c r="F735" s="30"/>
      <c r="G735" s="30"/>
      <c r="H735" s="30"/>
      <c r="I735" s="30"/>
      <c r="J735" s="30"/>
      <c r="K735" s="30"/>
      <c r="L735" s="30"/>
      <c r="M735" s="30"/>
    </row>
    <row r="736" spans="1:13" s="14" customFormat="1" x14ac:dyDescent="0.25">
      <c r="A736" s="13"/>
      <c r="D736" s="30"/>
      <c r="E736" s="31"/>
      <c r="F736" s="30"/>
      <c r="G736" s="30"/>
      <c r="H736" s="30"/>
      <c r="I736" s="30"/>
      <c r="J736" s="30"/>
      <c r="K736" s="30"/>
      <c r="L736" s="30"/>
      <c r="M736" s="30"/>
    </row>
    <row r="737" spans="1:13" s="14" customFormat="1" x14ac:dyDescent="0.25">
      <c r="A737" s="13"/>
      <c r="D737" s="30"/>
      <c r="E737" s="31"/>
      <c r="F737" s="30"/>
      <c r="G737" s="30"/>
      <c r="H737" s="30"/>
      <c r="I737" s="30"/>
      <c r="J737" s="30"/>
      <c r="K737" s="30"/>
      <c r="L737" s="30"/>
      <c r="M737" s="30"/>
    </row>
    <row r="738" spans="1:13" s="14" customFormat="1" x14ac:dyDescent="0.25">
      <c r="A738" s="13"/>
      <c r="D738" s="30"/>
      <c r="E738" s="31"/>
      <c r="F738" s="30"/>
      <c r="G738" s="30"/>
      <c r="H738" s="30"/>
      <c r="I738" s="30"/>
      <c r="J738" s="30"/>
      <c r="K738" s="30"/>
      <c r="L738" s="30"/>
      <c r="M738" s="30"/>
    </row>
    <row r="739" spans="1:13" s="14" customFormat="1" x14ac:dyDescent="0.25">
      <c r="A739" s="13"/>
      <c r="D739" s="30"/>
      <c r="E739" s="31"/>
      <c r="F739" s="30"/>
      <c r="G739" s="30"/>
      <c r="H739" s="30"/>
      <c r="I739" s="30"/>
      <c r="J739" s="30"/>
      <c r="K739" s="30"/>
      <c r="L739" s="30"/>
      <c r="M739" s="30"/>
    </row>
    <row r="740" spans="1:13" s="14" customFormat="1" x14ac:dyDescent="0.25">
      <c r="A740" s="13"/>
      <c r="D740" s="30"/>
      <c r="E740" s="31"/>
      <c r="F740" s="30"/>
      <c r="G740" s="30"/>
      <c r="H740" s="30"/>
      <c r="I740" s="30"/>
      <c r="J740" s="30"/>
      <c r="K740" s="30"/>
      <c r="L740" s="30"/>
      <c r="M740" s="30"/>
    </row>
    <row r="741" spans="1:13" s="14" customFormat="1" x14ac:dyDescent="0.25">
      <c r="A741" s="13"/>
      <c r="D741" s="30"/>
      <c r="E741" s="31"/>
      <c r="F741" s="30"/>
      <c r="G741" s="30"/>
      <c r="H741" s="30"/>
      <c r="I741" s="30"/>
      <c r="J741" s="30"/>
      <c r="K741" s="30"/>
      <c r="L741" s="30"/>
      <c r="M741" s="30"/>
    </row>
    <row r="742" spans="1:13" s="14" customFormat="1" x14ac:dyDescent="0.25">
      <c r="A742" s="13"/>
      <c r="D742" s="30"/>
      <c r="E742" s="31"/>
      <c r="F742" s="30"/>
      <c r="G742" s="30"/>
      <c r="H742" s="30"/>
      <c r="I742" s="30"/>
      <c r="J742" s="30"/>
      <c r="K742" s="30"/>
      <c r="L742" s="30"/>
      <c r="M742" s="30"/>
    </row>
    <row r="743" spans="1:13" s="14" customFormat="1" x14ac:dyDescent="0.25">
      <c r="A743" s="13"/>
      <c r="D743" s="30"/>
      <c r="E743" s="31"/>
      <c r="F743" s="30"/>
      <c r="G743" s="30"/>
      <c r="H743" s="30"/>
      <c r="I743" s="30"/>
      <c r="J743" s="30"/>
      <c r="K743" s="30"/>
      <c r="L743" s="30"/>
      <c r="M743" s="30"/>
    </row>
    <row r="744" spans="1:13" s="14" customFormat="1" x14ac:dyDescent="0.25">
      <c r="A744" s="13"/>
      <c r="D744" s="30"/>
      <c r="E744" s="31"/>
      <c r="F744" s="30"/>
      <c r="G744" s="30"/>
      <c r="H744" s="30"/>
      <c r="I744" s="30"/>
      <c r="J744" s="30"/>
      <c r="K744" s="30"/>
      <c r="L744" s="30"/>
      <c r="M744" s="30"/>
    </row>
    <row r="745" spans="1:13" s="14" customFormat="1" x14ac:dyDescent="0.25">
      <c r="A745" s="13"/>
      <c r="D745" s="30"/>
      <c r="E745" s="31"/>
      <c r="F745" s="30"/>
      <c r="G745" s="30"/>
      <c r="H745" s="30"/>
      <c r="I745" s="30"/>
      <c r="J745" s="30"/>
      <c r="K745" s="30"/>
      <c r="L745" s="30"/>
      <c r="M745" s="30"/>
    </row>
    <row r="746" spans="1:13" s="14" customFormat="1" x14ac:dyDescent="0.25">
      <c r="A746" s="13"/>
      <c r="D746" s="30"/>
      <c r="E746" s="31"/>
      <c r="F746" s="30"/>
      <c r="G746" s="30"/>
      <c r="H746" s="30"/>
      <c r="I746" s="30"/>
      <c r="J746" s="30"/>
      <c r="K746" s="30"/>
      <c r="L746" s="30"/>
      <c r="M746" s="30"/>
    </row>
    <row r="747" spans="1:13" s="14" customFormat="1" x14ac:dyDescent="0.25">
      <c r="A747" s="13"/>
      <c r="D747" s="30"/>
      <c r="E747" s="31"/>
      <c r="F747" s="30"/>
      <c r="G747" s="30"/>
      <c r="H747" s="30"/>
      <c r="I747" s="30"/>
      <c r="J747" s="30"/>
      <c r="K747" s="30"/>
      <c r="L747" s="30"/>
      <c r="M747" s="30"/>
    </row>
    <row r="748" spans="1:13" s="14" customFormat="1" x14ac:dyDescent="0.25">
      <c r="A748" s="13"/>
      <c r="D748" s="30"/>
      <c r="E748" s="31"/>
      <c r="F748" s="30"/>
      <c r="G748" s="30"/>
      <c r="H748" s="30"/>
      <c r="I748" s="30"/>
      <c r="J748" s="30"/>
      <c r="K748" s="30"/>
      <c r="L748" s="30"/>
      <c r="M748" s="30"/>
    </row>
    <row r="749" spans="1:13" s="14" customFormat="1" x14ac:dyDescent="0.25">
      <c r="A749" s="13"/>
      <c r="D749" s="30"/>
      <c r="E749" s="31"/>
      <c r="F749" s="30"/>
      <c r="G749" s="30"/>
      <c r="H749" s="30"/>
      <c r="I749" s="30"/>
      <c r="J749" s="30"/>
      <c r="K749" s="30"/>
      <c r="L749" s="30"/>
      <c r="M749" s="30"/>
    </row>
    <row r="750" spans="1:13" s="14" customFormat="1" x14ac:dyDescent="0.25">
      <c r="A750" s="13"/>
      <c r="D750" s="30"/>
      <c r="E750" s="31"/>
      <c r="F750" s="30"/>
      <c r="G750" s="30"/>
      <c r="H750" s="30"/>
      <c r="I750" s="30"/>
      <c r="J750" s="30"/>
      <c r="K750" s="30"/>
      <c r="L750" s="30"/>
      <c r="M750" s="30"/>
    </row>
    <row r="751" spans="1:13" s="14" customFormat="1" x14ac:dyDescent="0.25">
      <c r="A751" s="13"/>
      <c r="D751" s="30"/>
      <c r="E751" s="31"/>
      <c r="F751" s="30"/>
      <c r="G751" s="30"/>
      <c r="H751" s="30"/>
      <c r="I751" s="30"/>
      <c r="J751" s="30"/>
      <c r="K751" s="30"/>
      <c r="L751" s="30"/>
      <c r="M751" s="30"/>
    </row>
    <row r="752" spans="1:13" s="14" customFormat="1" x14ac:dyDescent="0.25">
      <c r="A752" s="13"/>
      <c r="D752" s="30"/>
      <c r="E752" s="31"/>
      <c r="F752" s="30"/>
      <c r="G752" s="30"/>
      <c r="H752" s="30"/>
      <c r="I752" s="30"/>
      <c r="J752" s="30"/>
      <c r="K752" s="30"/>
      <c r="L752" s="30"/>
      <c r="M752" s="30"/>
    </row>
    <row r="753" spans="1:13" s="14" customFormat="1" x14ac:dyDescent="0.25">
      <c r="A753" s="13"/>
      <c r="D753" s="30"/>
      <c r="E753" s="31"/>
      <c r="F753" s="30"/>
      <c r="G753" s="30"/>
      <c r="H753" s="30"/>
      <c r="I753" s="30"/>
      <c r="J753" s="30"/>
      <c r="K753" s="30"/>
      <c r="L753" s="30"/>
      <c r="M753" s="30"/>
    </row>
    <row r="754" spans="1:13" s="14" customFormat="1" x14ac:dyDescent="0.25">
      <c r="A754" s="13"/>
      <c r="D754" s="30"/>
      <c r="E754" s="31"/>
      <c r="F754" s="30"/>
      <c r="G754" s="30"/>
      <c r="H754" s="30"/>
      <c r="I754" s="30"/>
      <c r="J754" s="30"/>
      <c r="K754" s="30"/>
      <c r="L754" s="30"/>
      <c r="M754" s="30"/>
    </row>
    <row r="755" spans="1:13" s="14" customFormat="1" x14ac:dyDescent="0.25">
      <c r="A755" s="13"/>
      <c r="D755" s="30"/>
      <c r="E755" s="31"/>
      <c r="F755" s="30"/>
      <c r="G755" s="30"/>
      <c r="H755" s="30"/>
      <c r="I755" s="30"/>
      <c r="J755" s="30"/>
      <c r="K755" s="30"/>
      <c r="L755" s="30"/>
      <c r="M755" s="30"/>
    </row>
    <row r="756" spans="1:13" s="14" customFormat="1" x14ac:dyDescent="0.25">
      <c r="A756" s="13"/>
      <c r="D756" s="30"/>
      <c r="E756" s="31"/>
      <c r="F756" s="30"/>
      <c r="G756" s="30"/>
      <c r="H756" s="30"/>
      <c r="I756" s="30"/>
      <c r="J756" s="30"/>
      <c r="K756" s="30"/>
      <c r="L756" s="30"/>
      <c r="M756" s="30"/>
    </row>
    <row r="757" spans="1:13" s="14" customFormat="1" x14ac:dyDescent="0.25">
      <c r="A757" s="13"/>
      <c r="D757" s="30"/>
      <c r="E757" s="31"/>
      <c r="F757" s="30"/>
      <c r="G757" s="30"/>
      <c r="H757" s="30"/>
      <c r="I757" s="30"/>
      <c r="J757" s="30"/>
      <c r="K757" s="30"/>
      <c r="L757" s="30"/>
      <c r="M757" s="30"/>
    </row>
    <row r="758" spans="1:13" s="14" customFormat="1" x14ac:dyDescent="0.25">
      <c r="A758" s="13"/>
      <c r="D758" s="30"/>
      <c r="E758" s="31"/>
      <c r="F758" s="30"/>
      <c r="G758" s="30"/>
      <c r="H758" s="30"/>
      <c r="I758" s="30"/>
      <c r="J758" s="30"/>
      <c r="K758" s="30"/>
      <c r="L758" s="30"/>
      <c r="M758" s="30"/>
    </row>
    <row r="759" spans="1:13" s="14" customFormat="1" x14ac:dyDescent="0.25">
      <c r="A759" s="13"/>
      <c r="D759" s="30"/>
      <c r="E759" s="31"/>
      <c r="F759" s="30"/>
      <c r="G759" s="30"/>
      <c r="H759" s="30"/>
      <c r="I759" s="30"/>
      <c r="J759" s="30"/>
      <c r="K759" s="30"/>
      <c r="L759" s="30"/>
      <c r="M759" s="30"/>
    </row>
    <row r="760" spans="1:13" s="14" customFormat="1" x14ac:dyDescent="0.25">
      <c r="A760" s="13"/>
      <c r="D760" s="30"/>
      <c r="E760" s="31"/>
      <c r="F760" s="30"/>
      <c r="G760" s="30"/>
      <c r="H760" s="30"/>
      <c r="I760" s="30"/>
      <c r="J760" s="30"/>
      <c r="K760" s="30"/>
      <c r="L760" s="30"/>
      <c r="M760" s="30"/>
    </row>
    <row r="761" spans="1:13" s="14" customFormat="1" x14ac:dyDescent="0.25">
      <c r="A761" s="13"/>
      <c r="D761" s="30"/>
      <c r="E761" s="31"/>
      <c r="F761" s="30"/>
      <c r="G761" s="30"/>
      <c r="H761" s="30"/>
      <c r="I761" s="30"/>
      <c r="J761" s="30"/>
      <c r="K761" s="30"/>
      <c r="L761" s="30"/>
      <c r="M761" s="30"/>
    </row>
    <row r="762" spans="1:13" s="14" customFormat="1" x14ac:dyDescent="0.25">
      <c r="A762" s="13"/>
      <c r="D762" s="30"/>
      <c r="E762" s="31"/>
      <c r="F762" s="30"/>
      <c r="G762" s="30"/>
      <c r="H762" s="30"/>
      <c r="I762" s="30"/>
      <c r="J762" s="30"/>
      <c r="K762" s="30"/>
      <c r="L762" s="30"/>
      <c r="M762" s="30"/>
    </row>
    <row r="763" spans="1:13" s="14" customFormat="1" x14ac:dyDescent="0.25">
      <c r="A763" s="13"/>
      <c r="D763" s="30"/>
      <c r="E763" s="31"/>
      <c r="F763" s="30"/>
      <c r="G763" s="30"/>
      <c r="H763" s="30"/>
      <c r="I763" s="30"/>
      <c r="J763" s="30"/>
      <c r="K763" s="30"/>
      <c r="L763" s="30"/>
      <c r="M763" s="30"/>
    </row>
    <row r="764" spans="1:13" s="14" customFormat="1" x14ac:dyDescent="0.25">
      <c r="A764" s="13"/>
      <c r="D764" s="30"/>
      <c r="E764" s="31"/>
      <c r="F764" s="30"/>
      <c r="G764" s="30"/>
      <c r="H764" s="30"/>
      <c r="I764" s="30"/>
      <c r="J764" s="30"/>
      <c r="K764" s="30"/>
      <c r="L764" s="30"/>
      <c r="M764" s="30"/>
    </row>
    <row r="765" spans="1:13" s="14" customFormat="1" x14ac:dyDescent="0.25">
      <c r="A765" s="13"/>
      <c r="D765" s="30"/>
      <c r="E765" s="31"/>
      <c r="F765" s="30"/>
      <c r="G765" s="30"/>
      <c r="H765" s="30"/>
      <c r="I765" s="30"/>
      <c r="J765" s="30"/>
      <c r="K765" s="30"/>
      <c r="L765" s="30"/>
      <c r="M765" s="30"/>
    </row>
    <row r="766" spans="1:13" s="14" customFormat="1" x14ac:dyDescent="0.25">
      <c r="A766" s="13"/>
      <c r="D766" s="30"/>
      <c r="E766" s="31"/>
      <c r="F766" s="30"/>
      <c r="G766" s="30"/>
      <c r="H766" s="30"/>
      <c r="I766" s="30"/>
      <c r="J766" s="30"/>
      <c r="K766" s="30"/>
      <c r="L766" s="30"/>
      <c r="M766" s="30"/>
    </row>
    <row r="767" spans="1:13" s="14" customFormat="1" x14ac:dyDescent="0.25">
      <c r="A767" s="13"/>
      <c r="D767" s="30"/>
      <c r="E767" s="31"/>
      <c r="F767" s="30"/>
      <c r="G767" s="30"/>
      <c r="H767" s="30"/>
      <c r="I767" s="30"/>
      <c r="J767" s="30"/>
      <c r="K767" s="30"/>
      <c r="L767" s="30"/>
      <c r="M767" s="30"/>
    </row>
    <row r="768" spans="1:13" s="14" customFormat="1" x14ac:dyDescent="0.25">
      <c r="A768" s="13"/>
      <c r="D768" s="30"/>
      <c r="E768" s="31"/>
      <c r="F768" s="30"/>
      <c r="G768" s="30"/>
      <c r="H768" s="30"/>
      <c r="I768" s="30"/>
      <c r="J768" s="30"/>
      <c r="K768" s="30"/>
      <c r="L768" s="30"/>
      <c r="M768" s="30"/>
    </row>
    <row r="769" spans="1:13" s="14" customFormat="1" x14ac:dyDescent="0.25">
      <c r="A769" s="13"/>
      <c r="D769" s="30"/>
      <c r="E769" s="31"/>
      <c r="F769" s="30"/>
      <c r="G769" s="30"/>
      <c r="H769" s="30"/>
      <c r="I769" s="30"/>
      <c r="J769" s="30"/>
      <c r="K769" s="30"/>
      <c r="L769" s="30"/>
      <c r="M769" s="30"/>
    </row>
    <row r="770" spans="1:13" s="14" customFormat="1" x14ac:dyDescent="0.25">
      <c r="A770" s="13"/>
      <c r="D770" s="30"/>
      <c r="E770" s="31"/>
      <c r="F770" s="30"/>
      <c r="G770" s="30"/>
      <c r="H770" s="30"/>
      <c r="I770" s="30"/>
      <c r="J770" s="30"/>
      <c r="K770" s="30"/>
      <c r="L770" s="30"/>
      <c r="M770" s="30"/>
    </row>
    <row r="771" spans="1:13" s="14" customFormat="1" x14ac:dyDescent="0.25">
      <c r="A771" s="13"/>
      <c r="D771" s="30"/>
      <c r="E771" s="31"/>
      <c r="F771" s="30"/>
      <c r="G771" s="30"/>
      <c r="H771" s="30"/>
      <c r="I771" s="30"/>
      <c r="J771" s="30"/>
      <c r="K771" s="30"/>
      <c r="L771" s="30"/>
      <c r="M771" s="30"/>
    </row>
    <row r="772" spans="1:13" s="14" customFormat="1" x14ac:dyDescent="0.25">
      <c r="A772" s="13"/>
      <c r="D772" s="30"/>
      <c r="E772" s="31"/>
      <c r="F772" s="30"/>
      <c r="G772" s="30"/>
      <c r="H772" s="30"/>
      <c r="I772" s="30"/>
      <c r="J772" s="30"/>
      <c r="K772" s="30"/>
      <c r="L772" s="30"/>
      <c r="M772" s="30"/>
    </row>
    <row r="773" spans="1:13" s="14" customFormat="1" x14ac:dyDescent="0.25">
      <c r="A773" s="13"/>
      <c r="D773" s="30"/>
      <c r="E773" s="31"/>
      <c r="F773" s="30"/>
      <c r="G773" s="30"/>
      <c r="H773" s="30"/>
      <c r="I773" s="30"/>
      <c r="J773" s="30"/>
      <c r="K773" s="30"/>
      <c r="L773" s="30"/>
      <c r="M773" s="30"/>
    </row>
    <row r="774" spans="1:13" s="14" customFormat="1" x14ac:dyDescent="0.25">
      <c r="A774" s="13"/>
      <c r="D774" s="30"/>
      <c r="E774" s="31"/>
      <c r="F774" s="30"/>
      <c r="G774" s="30"/>
      <c r="H774" s="30"/>
      <c r="I774" s="30"/>
      <c r="J774" s="30"/>
      <c r="K774" s="30"/>
      <c r="L774" s="30"/>
      <c r="M774" s="30"/>
    </row>
    <row r="775" spans="1:13" s="14" customFormat="1" x14ac:dyDescent="0.25">
      <c r="A775" s="13"/>
      <c r="D775" s="30"/>
      <c r="E775" s="31"/>
      <c r="F775" s="30"/>
      <c r="G775" s="30"/>
      <c r="H775" s="30"/>
      <c r="I775" s="30"/>
      <c r="J775" s="30"/>
      <c r="K775" s="30"/>
      <c r="L775" s="30"/>
      <c r="M775" s="30"/>
    </row>
    <row r="776" spans="1:13" s="14" customFormat="1" x14ac:dyDescent="0.25">
      <c r="A776" s="13"/>
      <c r="D776" s="30"/>
      <c r="E776" s="31"/>
      <c r="F776" s="30"/>
      <c r="G776" s="30"/>
      <c r="H776" s="30"/>
      <c r="I776" s="30"/>
      <c r="J776" s="30"/>
      <c r="K776" s="30"/>
      <c r="L776" s="30"/>
      <c r="M776" s="30"/>
    </row>
    <row r="777" spans="1:13" s="14" customFormat="1" x14ac:dyDescent="0.25">
      <c r="A777" s="13"/>
      <c r="D777" s="30"/>
      <c r="E777" s="31"/>
      <c r="F777" s="30"/>
      <c r="G777" s="30"/>
      <c r="H777" s="30"/>
      <c r="I777" s="30"/>
      <c r="J777" s="30"/>
      <c r="K777" s="30"/>
      <c r="L777" s="30"/>
      <c r="M777" s="30"/>
    </row>
    <row r="778" spans="1:13" s="14" customFormat="1" x14ac:dyDescent="0.25">
      <c r="A778" s="13"/>
      <c r="D778" s="30"/>
      <c r="E778" s="31"/>
      <c r="F778" s="30"/>
      <c r="G778" s="30"/>
      <c r="H778" s="30"/>
      <c r="I778" s="30"/>
      <c r="J778" s="30"/>
      <c r="K778" s="30"/>
      <c r="L778" s="30"/>
      <c r="M778" s="30"/>
    </row>
    <row r="779" spans="1:13" s="14" customFormat="1" x14ac:dyDescent="0.25">
      <c r="A779" s="13"/>
      <c r="D779" s="30"/>
      <c r="E779" s="31"/>
      <c r="F779" s="30"/>
      <c r="G779" s="30"/>
      <c r="H779" s="30"/>
      <c r="I779" s="30"/>
      <c r="J779" s="30"/>
      <c r="K779" s="30"/>
      <c r="L779" s="30"/>
      <c r="M779" s="30"/>
    </row>
    <row r="780" spans="1:13" s="14" customFormat="1" x14ac:dyDescent="0.25">
      <c r="A780" s="13"/>
      <c r="D780" s="30"/>
      <c r="E780" s="31"/>
      <c r="F780" s="30"/>
      <c r="G780" s="30"/>
      <c r="H780" s="30"/>
      <c r="I780" s="30"/>
      <c r="J780" s="30"/>
      <c r="K780" s="30"/>
      <c r="L780" s="30"/>
      <c r="M780" s="30"/>
    </row>
    <row r="781" spans="1:13" s="14" customFormat="1" x14ac:dyDescent="0.25">
      <c r="A781" s="13"/>
      <c r="D781" s="30"/>
      <c r="E781" s="31"/>
      <c r="F781" s="30"/>
      <c r="G781" s="30"/>
      <c r="H781" s="30"/>
      <c r="I781" s="30"/>
      <c r="J781" s="30"/>
      <c r="K781" s="30"/>
      <c r="L781" s="30"/>
      <c r="M781" s="30"/>
    </row>
    <row r="782" spans="1:13" s="14" customFormat="1" x14ac:dyDescent="0.25">
      <c r="A782" s="13"/>
      <c r="D782" s="30"/>
      <c r="E782" s="31"/>
      <c r="F782" s="30"/>
      <c r="G782" s="30"/>
      <c r="H782" s="30"/>
      <c r="I782" s="30"/>
      <c r="J782" s="30"/>
      <c r="K782" s="30"/>
      <c r="L782" s="30"/>
      <c r="M782" s="30"/>
    </row>
    <row r="783" spans="1:13" s="14" customFormat="1" x14ac:dyDescent="0.25">
      <c r="A783" s="13"/>
      <c r="D783" s="30"/>
      <c r="E783" s="31"/>
      <c r="F783" s="30"/>
      <c r="G783" s="30"/>
      <c r="H783" s="30"/>
      <c r="I783" s="30"/>
      <c r="J783" s="30"/>
      <c r="K783" s="30"/>
      <c r="L783" s="30"/>
      <c r="M783" s="30"/>
    </row>
    <row r="784" spans="1:13" s="14" customFormat="1" x14ac:dyDescent="0.25">
      <c r="A784" s="13"/>
      <c r="D784" s="30"/>
      <c r="E784" s="31"/>
      <c r="F784" s="30"/>
      <c r="G784" s="30"/>
      <c r="H784" s="30"/>
      <c r="I784" s="30"/>
      <c r="J784" s="30"/>
      <c r="K784" s="30"/>
      <c r="L784" s="30"/>
      <c r="M784" s="30"/>
    </row>
    <row r="785" spans="1:13" s="14" customFormat="1" x14ac:dyDescent="0.25">
      <c r="A785" s="13"/>
      <c r="D785" s="30"/>
      <c r="E785" s="31"/>
      <c r="F785" s="30"/>
      <c r="G785" s="30"/>
      <c r="H785" s="30"/>
      <c r="I785" s="30"/>
      <c r="J785" s="30"/>
      <c r="K785" s="30"/>
      <c r="L785" s="30"/>
      <c r="M785" s="30"/>
    </row>
    <row r="786" spans="1:13" s="14" customFormat="1" x14ac:dyDescent="0.25">
      <c r="A786" s="13"/>
      <c r="D786" s="30"/>
      <c r="E786" s="31"/>
      <c r="F786" s="30"/>
      <c r="G786" s="30"/>
      <c r="H786" s="30"/>
      <c r="I786" s="30"/>
      <c r="J786" s="30"/>
      <c r="K786" s="30"/>
      <c r="L786" s="30"/>
      <c r="M786" s="30"/>
    </row>
    <row r="787" spans="1:13" s="14" customFormat="1" x14ac:dyDescent="0.25">
      <c r="A787" s="13"/>
      <c r="D787" s="30"/>
      <c r="E787" s="31"/>
      <c r="F787" s="30"/>
      <c r="G787" s="30"/>
      <c r="H787" s="30"/>
      <c r="I787" s="30"/>
      <c r="J787" s="30"/>
      <c r="K787" s="30"/>
      <c r="L787" s="30"/>
      <c r="M787" s="30"/>
    </row>
    <row r="788" spans="1:13" s="14" customFormat="1" x14ac:dyDescent="0.25">
      <c r="A788" s="13"/>
      <c r="D788" s="30"/>
      <c r="E788" s="31"/>
      <c r="F788" s="30"/>
      <c r="G788" s="30"/>
      <c r="H788" s="30"/>
      <c r="I788" s="30"/>
      <c r="J788" s="30"/>
      <c r="K788" s="30"/>
      <c r="L788" s="30"/>
      <c r="M788" s="30"/>
    </row>
    <row r="789" spans="1:13" s="14" customFormat="1" x14ac:dyDescent="0.25">
      <c r="A789" s="13"/>
      <c r="D789" s="30"/>
      <c r="E789" s="31"/>
      <c r="F789" s="30"/>
      <c r="G789" s="30"/>
      <c r="H789" s="30"/>
      <c r="I789" s="30"/>
      <c r="J789" s="30"/>
      <c r="K789" s="30"/>
      <c r="L789" s="30"/>
      <c r="M789" s="30"/>
    </row>
    <row r="790" spans="1:13" s="14" customFormat="1" x14ac:dyDescent="0.25">
      <c r="A790" s="13"/>
      <c r="D790" s="30"/>
      <c r="E790" s="31"/>
      <c r="F790" s="30"/>
      <c r="G790" s="30"/>
      <c r="H790" s="30"/>
      <c r="I790" s="30"/>
      <c r="J790" s="30"/>
      <c r="K790" s="30"/>
      <c r="L790" s="30"/>
      <c r="M790" s="30"/>
    </row>
    <row r="791" spans="1:13" s="14" customFormat="1" x14ac:dyDescent="0.25">
      <c r="A791" s="13"/>
      <c r="D791" s="30"/>
      <c r="E791" s="31"/>
      <c r="F791" s="30"/>
      <c r="G791" s="30"/>
      <c r="H791" s="30"/>
      <c r="I791" s="30"/>
      <c r="J791" s="30"/>
      <c r="K791" s="30"/>
      <c r="L791" s="30"/>
      <c r="M791" s="30"/>
    </row>
    <row r="792" spans="1:13" s="14" customFormat="1" x14ac:dyDescent="0.25">
      <c r="A792" s="13"/>
      <c r="D792" s="30"/>
      <c r="E792" s="31"/>
      <c r="F792" s="30"/>
      <c r="G792" s="30"/>
      <c r="H792" s="30"/>
      <c r="I792" s="30"/>
      <c r="J792" s="30"/>
      <c r="K792" s="30"/>
      <c r="L792" s="30"/>
      <c r="M792" s="30"/>
    </row>
    <row r="793" spans="1:13" s="14" customFormat="1" x14ac:dyDescent="0.25">
      <c r="A793" s="13"/>
      <c r="D793" s="30"/>
      <c r="E793" s="31"/>
      <c r="F793" s="30"/>
      <c r="G793" s="30"/>
      <c r="H793" s="30"/>
      <c r="I793" s="30"/>
      <c r="J793" s="30"/>
      <c r="K793" s="30"/>
      <c r="L793" s="30"/>
      <c r="M793" s="30"/>
    </row>
    <row r="794" spans="1:13" s="14" customFormat="1" x14ac:dyDescent="0.25">
      <c r="A794" s="13"/>
      <c r="D794" s="30"/>
      <c r="E794" s="31"/>
      <c r="F794" s="30"/>
      <c r="G794" s="30"/>
      <c r="H794" s="30"/>
      <c r="I794" s="30"/>
      <c r="J794" s="30"/>
      <c r="K794" s="30"/>
      <c r="L794" s="30"/>
      <c r="M794" s="30"/>
    </row>
    <row r="795" spans="1:13" s="14" customFormat="1" x14ac:dyDescent="0.25">
      <c r="A795" s="13"/>
      <c r="D795" s="30"/>
      <c r="E795" s="31"/>
      <c r="F795" s="30"/>
      <c r="G795" s="30"/>
      <c r="H795" s="30"/>
      <c r="I795" s="30"/>
      <c r="J795" s="30"/>
      <c r="K795" s="30"/>
      <c r="L795" s="30"/>
      <c r="M795" s="30"/>
    </row>
    <row r="796" spans="1:13" s="14" customFormat="1" x14ac:dyDescent="0.25">
      <c r="A796" s="13"/>
      <c r="D796" s="30"/>
      <c r="E796" s="31"/>
      <c r="F796" s="30"/>
      <c r="G796" s="30"/>
      <c r="H796" s="30"/>
      <c r="I796" s="30"/>
      <c r="J796" s="30"/>
      <c r="K796" s="30"/>
      <c r="L796" s="30"/>
      <c r="M796" s="30"/>
    </row>
    <row r="797" spans="1:13" s="14" customFormat="1" x14ac:dyDescent="0.25">
      <c r="A797" s="13"/>
      <c r="D797" s="30"/>
      <c r="E797" s="31"/>
      <c r="F797" s="30"/>
      <c r="G797" s="30"/>
      <c r="H797" s="30"/>
      <c r="I797" s="30"/>
      <c r="J797" s="30"/>
      <c r="K797" s="30"/>
      <c r="L797" s="30"/>
      <c r="M797" s="30"/>
    </row>
    <row r="798" spans="1:13" s="14" customFormat="1" x14ac:dyDescent="0.25">
      <c r="A798" s="13"/>
      <c r="D798" s="30"/>
      <c r="E798" s="31"/>
      <c r="F798" s="30"/>
      <c r="G798" s="30"/>
      <c r="H798" s="30"/>
      <c r="I798" s="30"/>
      <c r="J798" s="30"/>
      <c r="K798" s="30"/>
      <c r="L798" s="30"/>
      <c r="M798" s="30"/>
    </row>
    <row r="799" spans="1:13" s="14" customFormat="1" x14ac:dyDescent="0.25">
      <c r="A799" s="13"/>
      <c r="D799" s="30"/>
      <c r="E799" s="31"/>
      <c r="F799" s="30"/>
      <c r="G799" s="30"/>
      <c r="H799" s="30"/>
      <c r="I799" s="30"/>
      <c r="J799" s="30"/>
      <c r="K799" s="30"/>
      <c r="L799" s="30"/>
      <c r="M799" s="30"/>
    </row>
    <row r="800" spans="1:13" s="14" customFormat="1" x14ac:dyDescent="0.25">
      <c r="A800" s="13"/>
      <c r="D800" s="30"/>
      <c r="E800" s="31"/>
      <c r="F800" s="30"/>
      <c r="G800" s="30"/>
      <c r="H800" s="30"/>
      <c r="I800" s="30"/>
      <c r="J800" s="30"/>
      <c r="K800" s="30"/>
      <c r="L800" s="30"/>
      <c r="M800" s="30"/>
    </row>
    <row r="801" spans="1:13" s="14" customFormat="1" x14ac:dyDescent="0.25">
      <c r="A801" s="13"/>
      <c r="D801" s="30"/>
      <c r="E801" s="31"/>
      <c r="F801" s="30"/>
      <c r="G801" s="30"/>
      <c r="H801" s="30"/>
      <c r="I801" s="30"/>
      <c r="J801" s="30"/>
      <c r="K801" s="30"/>
      <c r="L801" s="30"/>
      <c r="M801" s="30"/>
    </row>
    <row r="802" spans="1:13" s="14" customFormat="1" x14ac:dyDescent="0.25">
      <c r="A802" s="13"/>
      <c r="D802" s="30"/>
      <c r="E802" s="31"/>
      <c r="F802" s="30"/>
      <c r="G802" s="30"/>
      <c r="H802" s="30"/>
      <c r="I802" s="30"/>
      <c r="J802" s="30"/>
      <c r="K802" s="30"/>
      <c r="L802" s="30"/>
      <c r="M802" s="30"/>
    </row>
    <row r="803" spans="1:13" s="14" customFormat="1" x14ac:dyDescent="0.25">
      <c r="A803" s="13"/>
      <c r="D803" s="30"/>
      <c r="E803" s="31"/>
      <c r="F803" s="30"/>
      <c r="G803" s="30"/>
      <c r="H803" s="30"/>
      <c r="I803" s="30"/>
      <c r="J803" s="30"/>
      <c r="K803" s="30"/>
      <c r="L803" s="30"/>
      <c r="M803" s="30"/>
    </row>
    <row r="804" spans="1:13" s="14" customFormat="1" x14ac:dyDescent="0.25">
      <c r="A804" s="13"/>
      <c r="D804" s="30"/>
      <c r="E804" s="31"/>
      <c r="F804" s="30"/>
      <c r="G804" s="30"/>
      <c r="H804" s="30"/>
      <c r="I804" s="30"/>
      <c r="J804" s="30"/>
      <c r="K804" s="30"/>
      <c r="L804" s="30"/>
      <c r="M804" s="30"/>
    </row>
    <row r="805" spans="1:13" s="14" customFormat="1" x14ac:dyDescent="0.25">
      <c r="A805" s="13"/>
      <c r="D805" s="30"/>
      <c r="E805" s="31"/>
      <c r="F805" s="30"/>
      <c r="G805" s="30"/>
      <c r="H805" s="30"/>
      <c r="I805" s="30"/>
      <c r="J805" s="30"/>
      <c r="K805" s="30"/>
      <c r="L805" s="30"/>
      <c r="M805" s="30"/>
    </row>
    <row r="806" spans="1:13" s="14" customFormat="1" x14ac:dyDescent="0.25">
      <c r="A806" s="13"/>
      <c r="D806" s="30"/>
      <c r="E806" s="31"/>
      <c r="F806" s="30"/>
      <c r="G806" s="30"/>
      <c r="H806" s="30"/>
      <c r="I806" s="30"/>
      <c r="J806" s="30"/>
      <c r="K806" s="30"/>
      <c r="L806" s="30"/>
      <c r="M806" s="30"/>
    </row>
    <row r="807" spans="1:13" s="14" customFormat="1" x14ac:dyDescent="0.25">
      <c r="A807" s="13"/>
      <c r="D807" s="30"/>
      <c r="E807" s="31"/>
      <c r="F807" s="30"/>
      <c r="G807" s="30"/>
      <c r="H807" s="30"/>
      <c r="I807" s="30"/>
      <c r="J807" s="30"/>
      <c r="K807" s="30"/>
      <c r="L807" s="30"/>
      <c r="M807" s="30"/>
    </row>
    <row r="808" spans="1:13" s="14" customFormat="1" x14ac:dyDescent="0.25">
      <c r="A808" s="13"/>
      <c r="D808" s="30"/>
      <c r="E808" s="31"/>
      <c r="F808" s="30"/>
      <c r="G808" s="30"/>
      <c r="H808" s="30"/>
      <c r="I808" s="30"/>
      <c r="J808" s="30"/>
      <c r="K808" s="30"/>
      <c r="L808" s="30"/>
      <c r="M808" s="30"/>
    </row>
    <row r="809" spans="1:13" s="14" customFormat="1" x14ac:dyDescent="0.25">
      <c r="A809" s="13"/>
      <c r="D809" s="30"/>
      <c r="E809" s="31"/>
      <c r="F809" s="30"/>
      <c r="G809" s="30"/>
      <c r="H809" s="30"/>
      <c r="I809" s="30"/>
      <c r="J809" s="30"/>
      <c r="K809" s="30"/>
      <c r="L809" s="30"/>
      <c r="M809" s="30"/>
    </row>
    <row r="810" spans="1:13" s="14" customFormat="1" x14ac:dyDescent="0.25">
      <c r="A810" s="13"/>
      <c r="D810" s="30"/>
      <c r="E810" s="31"/>
      <c r="F810" s="30"/>
      <c r="G810" s="30"/>
      <c r="H810" s="30"/>
      <c r="I810" s="30"/>
      <c r="J810" s="30"/>
      <c r="K810" s="30"/>
      <c r="L810" s="30"/>
      <c r="M810" s="30"/>
    </row>
    <row r="811" spans="1:13" s="14" customFormat="1" x14ac:dyDescent="0.25">
      <c r="A811" s="13"/>
      <c r="D811" s="30"/>
      <c r="E811" s="31"/>
      <c r="F811" s="30"/>
      <c r="G811" s="30"/>
      <c r="H811" s="30"/>
      <c r="I811" s="30"/>
      <c r="J811" s="30"/>
      <c r="K811" s="30"/>
      <c r="L811" s="30"/>
      <c r="M811" s="30"/>
    </row>
    <row r="812" spans="1:13" s="14" customFormat="1" x14ac:dyDescent="0.25">
      <c r="A812" s="13"/>
      <c r="D812" s="30"/>
      <c r="E812" s="31"/>
      <c r="F812" s="30"/>
      <c r="G812" s="30"/>
      <c r="H812" s="30"/>
      <c r="I812" s="30"/>
      <c r="J812" s="30"/>
      <c r="K812" s="30"/>
      <c r="L812" s="30"/>
      <c r="M812" s="30"/>
    </row>
    <row r="813" spans="1:13" s="14" customFormat="1" x14ac:dyDescent="0.25">
      <c r="A813" s="13"/>
      <c r="D813" s="30"/>
      <c r="E813" s="31"/>
      <c r="F813" s="30"/>
      <c r="G813" s="30"/>
      <c r="H813" s="30"/>
      <c r="I813" s="30"/>
      <c r="J813" s="30"/>
      <c r="K813" s="30"/>
      <c r="L813" s="30"/>
      <c r="M813" s="30"/>
    </row>
    <row r="814" spans="1:13" s="14" customFormat="1" x14ac:dyDescent="0.25">
      <c r="A814" s="13"/>
      <c r="D814" s="30"/>
      <c r="E814" s="31"/>
      <c r="F814" s="30"/>
      <c r="G814" s="30"/>
      <c r="H814" s="30"/>
      <c r="I814" s="30"/>
      <c r="J814" s="30"/>
      <c r="K814" s="30"/>
      <c r="L814" s="30"/>
      <c r="M814" s="30"/>
    </row>
    <row r="815" spans="1:13" s="14" customFormat="1" x14ac:dyDescent="0.25">
      <c r="A815" s="13"/>
      <c r="D815" s="30"/>
      <c r="E815" s="31"/>
      <c r="F815" s="30"/>
      <c r="G815" s="30"/>
      <c r="H815" s="30"/>
      <c r="I815" s="30"/>
      <c r="J815" s="30"/>
      <c r="K815" s="30"/>
      <c r="L815" s="30"/>
      <c r="M815" s="30"/>
    </row>
    <row r="816" spans="1:13" s="14" customFormat="1" x14ac:dyDescent="0.25">
      <c r="A816" s="13"/>
      <c r="D816" s="30"/>
      <c r="E816" s="31"/>
      <c r="F816" s="30"/>
      <c r="G816" s="30"/>
      <c r="H816" s="30"/>
      <c r="I816" s="30"/>
      <c r="J816" s="30"/>
      <c r="K816" s="30"/>
      <c r="L816" s="30"/>
      <c r="M816" s="30"/>
    </row>
    <row r="817" spans="1:13" s="14" customFormat="1" x14ac:dyDescent="0.25">
      <c r="A817" s="13"/>
      <c r="D817" s="30"/>
      <c r="E817" s="31"/>
      <c r="F817" s="30"/>
      <c r="G817" s="30"/>
      <c r="H817" s="30"/>
      <c r="I817" s="30"/>
      <c r="J817" s="30"/>
      <c r="K817" s="30"/>
      <c r="L817" s="30"/>
      <c r="M817" s="30"/>
    </row>
    <row r="818" spans="1:13" s="14" customFormat="1" x14ac:dyDescent="0.25">
      <c r="A818" s="13"/>
      <c r="D818" s="30"/>
      <c r="E818" s="31"/>
      <c r="F818" s="30"/>
      <c r="G818" s="30"/>
      <c r="H818" s="30"/>
      <c r="I818" s="30"/>
      <c r="J818" s="30"/>
      <c r="K818" s="30"/>
      <c r="L818" s="30"/>
      <c r="M818" s="30"/>
    </row>
    <row r="819" spans="1:13" s="14" customFormat="1" x14ac:dyDescent="0.25">
      <c r="A819" s="13"/>
      <c r="D819" s="30"/>
      <c r="E819" s="31"/>
      <c r="F819" s="30"/>
      <c r="G819" s="30"/>
      <c r="H819" s="30"/>
      <c r="I819" s="30"/>
      <c r="J819" s="30"/>
      <c r="K819" s="30"/>
      <c r="L819" s="30"/>
      <c r="M819" s="30"/>
    </row>
    <row r="820" spans="1:13" s="14" customFormat="1" x14ac:dyDescent="0.25">
      <c r="A820" s="13"/>
      <c r="D820" s="30"/>
      <c r="E820" s="31"/>
      <c r="F820" s="30"/>
      <c r="G820" s="30"/>
      <c r="H820" s="30"/>
      <c r="I820" s="30"/>
      <c r="J820" s="30"/>
      <c r="K820" s="30"/>
      <c r="L820" s="30"/>
      <c r="M820" s="30"/>
    </row>
    <row r="821" spans="1:13" s="14" customFormat="1" x14ac:dyDescent="0.25">
      <c r="A821" s="13"/>
      <c r="D821" s="30"/>
      <c r="E821" s="31"/>
      <c r="F821" s="30"/>
      <c r="G821" s="30"/>
      <c r="H821" s="30"/>
      <c r="I821" s="30"/>
      <c r="J821" s="30"/>
      <c r="K821" s="30"/>
      <c r="L821" s="30"/>
      <c r="M821" s="30"/>
    </row>
    <row r="822" spans="1:13" s="14" customFormat="1" x14ac:dyDescent="0.25">
      <c r="A822" s="13"/>
      <c r="D822" s="30"/>
      <c r="E822" s="31"/>
      <c r="F822" s="30"/>
      <c r="G822" s="30"/>
      <c r="H822" s="30"/>
      <c r="I822" s="30"/>
      <c r="J822" s="30"/>
      <c r="K822" s="30"/>
      <c r="L822" s="30"/>
      <c r="M822" s="30"/>
    </row>
    <row r="823" spans="1:13" s="14" customFormat="1" x14ac:dyDescent="0.25">
      <c r="A823" s="13"/>
      <c r="D823" s="30"/>
      <c r="E823" s="31"/>
      <c r="F823" s="30"/>
      <c r="G823" s="30"/>
      <c r="H823" s="30"/>
      <c r="I823" s="30"/>
      <c r="J823" s="30"/>
      <c r="K823" s="30"/>
      <c r="L823" s="30"/>
      <c r="M823" s="30"/>
    </row>
    <row r="824" spans="1:13" s="14" customFormat="1" x14ac:dyDescent="0.25">
      <c r="A824" s="13"/>
      <c r="D824" s="30"/>
      <c r="E824" s="31"/>
      <c r="F824" s="30"/>
      <c r="G824" s="30"/>
      <c r="H824" s="30"/>
      <c r="I824" s="30"/>
      <c r="J824" s="30"/>
      <c r="K824" s="30"/>
      <c r="L824" s="30"/>
      <c r="M824" s="30"/>
    </row>
    <row r="825" spans="1:13" s="14" customFormat="1" x14ac:dyDescent="0.25">
      <c r="A825" s="13"/>
      <c r="D825" s="30"/>
      <c r="E825" s="31"/>
      <c r="F825" s="30"/>
      <c r="G825" s="30"/>
      <c r="H825" s="30"/>
      <c r="I825" s="30"/>
      <c r="J825" s="30"/>
      <c r="K825" s="30"/>
      <c r="L825" s="30"/>
      <c r="M825" s="30"/>
    </row>
    <row r="826" spans="1:13" s="14" customFormat="1" x14ac:dyDescent="0.25">
      <c r="A826" s="13"/>
      <c r="D826" s="30"/>
      <c r="E826" s="31"/>
      <c r="F826" s="30"/>
      <c r="G826" s="30"/>
      <c r="H826" s="30"/>
      <c r="I826" s="30"/>
      <c r="J826" s="30"/>
      <c r="K826" s="30"/>
      <c r="L826" s="30"/>
      <c r="M826" s="30"/>
    </row>
    <row r="827" spans="1:13" s="14" customFormat="1" x14ac:dyDescent="0.25">
      <c r="A827" s="13"/>
      <c r="D827" s="30"/>
      <c r="E827" s="31"/>
      <c r="F827" s="30"/>
      <c r="G827" s="30"/>
      <c r="H827" s="30"/>
      <c r="I827" s="30"/>
      <c r="J827" s="30"/>
      <c r="K827" s="30"/>
      <c r="L827" s="30"/>
      <c r="M827" s="30"/>
    </row>
    <row r="828" spans="1:13" s="14" customFormat="1" x14ac:dyDescent="0.25">
      <c r="A828" s="13"/>
      <c r="D828" s="30"/>
      <c r="E828" s="31"/>
      <c r="F828" s="30"/>
      <c r="G828" s="30"/>
      <c r="H828" s="30"/>
      <c r="I828" s="30"/>
      <c r="J828" s="30"/>
      <c r="K828" s="30"/>
      <c r="L828" s="30"/>
      <c r="M828" s="30"/>
    </row>
    <row r="829" spans="1:13" s="14" customFormat="1" x14ac:dyDescent="0.25">
      <c r="A829" s="13"/>
      <c r="D829" s="30"/>
      <c r="E829" s="31"/>
      <c r="F829" s="30"/>
      <c r="G829" s="30"/>
      <c r="H829" s="30"/>
      <c r="I829" s="30"/>
      <c r="J829" s="30"/>
      <c r="K829" s="30"/>
      <c r="L829" s="30"/>
      <c r="M829" s="30"/>
    </row>
    <row r="830" spans="1:13" s="14" customFormat="1" x14ac:dyDescent="0.25">
      <c r="A830" s="13"/>
      <c r="D830" s="30"/>
      <c r="E830" s="31"/>
      <c r="F830" s="30"/>
      <c r="G830" s="30"/>
      <c r="H830" s="30"/>
      <c r="I830" s="30"/>
      <c r="J830" s="30"/>
      <c r="K830" s="30"/>
      <c r="L830" s="30"/>
      <c r="M830" s="30"/>
    </row>
    <row r="831" spans="1:13" s="14" customFormat="1" x14ac:dyDescent="0.25">
      <c r="A831" s="13"/>
      <c r="D831" s="30"/>
      <c r="E831" s="31"/>
      <c r="F831" s="30"/>
      <c r="G831" s="30"/>
      <c r="H831" s="30"/>
      <c r="I831" s="30"/>
      <c r="J831" s="30"/>
      <c r="K831" s="30"/>
      <c r="L831" s="30"/>
      <c r="M831" s="30"/>
    </row>
    <row r="832" spans="1:13" s="14" customFormat="1" x14ac:dyDescent="0.25">
      <c r="A832" s="13"/>
      <c r="D832" s="30"/>
      <c r="E832" s="31"/>
      <c r="F832" s="30"/>
      <c r="G832" s="30"/>
      <c r="H832" s="30"/>
      <c r="I832" s="30"/>
      <c r="J832" s="30"/>
      <c r="K832" s="30"/>
      <c r="L832" s="30"/>
      <c r="M832" s="30"/>
    </row>
    <row r="833" spans="1:13" s="14" customFormat="1" x14ac:dyDescent="0.25">
      <c r="A833" s="13"/>
      <c r="D833" s="30"/>
      <c r="E833" s="31"/>
      <c r="F833" s="30"/>
      <c r="G833" s="30"/>
      <c r="H833" s="30"/>
      <c r="I833" s="30"/>
      <c r="J833" s="30"/>
      <c r="K833" s="30"/>
      <c r="L833" s="30"/>
      <c r="M833" s="30"/>
    </row>
    <row r="834" spans="1:13" s="14" customFormat="1" x14ac:dyDescent="0.25">
      <c r="A834" s="13"/>
      <c r="D834" s="30"/>
      <c r="E834" s="31"/>
      <c r="F834" s="30"/>
      <c r="G834" s="30"/>
      <c r="H834" s="30"/>
      <c r="I834" s="30"/>
      <c r="J834" s="30"/>
      <c r="K834" s="30"/>
      <c r="L834" s="30"/>
      <c r="M834" s="30"/>
    </row>
    <row r="835" spans="1:13" s="14" customFormat="1" x14ac:dyDescent="0.25">
      <c r="A835" s="13"/>
      <c r="D835" s="30"/>
      <c r="E835" s="31"/>
      <c r="F835" s="30"/>
      <c r="G835" s="30"/>
      <c r="H835" s="30"/>
      <c r="I835" s="30"/>
      <c r="J835" s="30"/>
      <c r="K835" s="30"/>
      <c r="L835" s="30"/>
      <c r="M835" s="30"/>
    </row>
    <row r="836" spans="1:13" s="14" customFormat="1" x14ac:dyDescent="0.25">
      <c r="A836" s="13"/>
      <c r="D836" s="30"/>
      <c r="E836" s="31"/>
      <c r="F836" s="30"/>
      <c r="G836" s="30"/>
      <c r="H836" s="30"/>
      <c r="I836" s="30"/>
      <c r="J836" s="30"/>
      <c r="K836" s="30"/>
      <c r="L836" s="30"/>
      <c r="M836" s="30"/>
    </row>
    <row r="837" spans="1:13" s="14" customFormat="1" x14ac:dyDescent="0.25">
      <c r="A837" s="13"/>
      <c r="D837" s="30"/>
      <c r="E837" s="31"/>
      <c r="F837" s="30"/>
      <c r="G837" s="30"/>
      <c r="H837" s="30"/>
      <c r="I837" s="30"/>
      <c r="J837" s="30"/>
      <c r="K837" s="30"/>
      <c r="L837" s="30"/>
      <c r="M837" s="30"/>
    </row>
    <row r="838" spans="1:13" s="14" customFormat="1" x14ac:dyDescent="0.25">
      <c r="A838" s="13"/>
      <c r="D838" s="30"/>
      <c r="E838" s="31"/>
      <c r="F838" s="30"/>
      <c r="G838" s="30"/>
      <c r="H838" s="30"/>
      <c r="I838" s="30"/>
      <c r="J838" s="30"/>
      <c r="K838" s="30"/>
      <c r="L838" s="30"/>
      <c r="M838" s="30"/>
    </row>
    <row r="839" spans="1:13" s="14" customFormat="1" x14ac:dyDescent="0.25">
      <c r="A839" s="13"/>
      <c r="D839" s="30"/>
      <c r="E839" s="31"/>
      <c r="F839" s="30"/>
      <c r="G839" s="30"/>
      <c r="H839" s="30"/>
      <c r="I839" s="30"/>
      <c r="J839" s="30"/>
      <c r="K839" s="30"/>
      <c r="L839" s="30"/>
      <c r="M839" s="30"/>
    </row>
    <row r="840" spans="1:13" s="14" customFormat="1" x14ac:dyDescent="0.25">
      <c r="A840" s="13"/>
      <c r="D840" s="30"/>
      <c r="E840" s="31"/>
      <c r="F840" s="30"/>
      <c r="G840" s="30"/>
      <c r="H840" s="30"/>
      <c r="I840" s="30"/>
      <c r="J840" s="30"/>
      <c r="K840" s="30"/>
      <c r="L840" s="30"/>
      <c r="M840" s="30"/>
    </row>
    <row r="841" spans="1:13" s="14" customFormat="1" x14ac:dyDescent="0.25">
      <c r="A841" s="13"/>
      <c r="D841" s="30"/>
      <c r="E841" s="31"/>
      <c r="F841" s="30"/>
      <c r="G841" s="30"/>
      <c r="H841" s="30"/>
      <c r="I841" s="30"/>
      <c r="J841" s="30"/>
      <c r="K841" s="30"/>
      <c r="L841" s="30"/>
      <c r="M841" s="30"/>
    </row>
    <row r="842" spans="1:13" s="14" customFormat="1" x14ac:dyDescent="0.25">
      <c r="A842" s="13"/>
      <c r="D842" s="30"/>
      <c r="E842" s="31"/>
      <c r="F842" s="30"/>
      <c r="G842" s="30"/>
      <c r="H842" s="30"/>
      <c r="I842" s="30"/>
      <c r="J842" s="30"/>
      <c r="K842" s="30"/>
      <c r="L842" s="30"/>
      <c r="M842" s="30"/>
    </row>
    <row r="843" spans="1:13" s="14" customFormat="1" x14ac:dyDescent="0.25">
      <c r="A843" s="13"/>
      <c r="D843" s="30"/>
      <c r="E843" s="31"/>
      <c r="F843" s="30"/>
      <c r="G843" s="30"/>
      <c r="H843" s="30"/>
      <c r="I843" s="30"/>
      <c r="J843" s="30"/>
      <c r="K843" s="30"/>
      <c r="L843" s="30"/>
      <c r="M843" s="30"/>
    </row>
    <row r="844" spans="1:13" s="14" customFormat="1" x14ac:dyDescent="0.25">
      <c r="A844" s="13"/>
      <c r="D844" s="30"/>
      <c r="E844" s="31"/>
      <c r="F844" s="30"/>
      <c r="G844" s="30"/>
      <c r="H844" s="30"/>
      <c r="I844" s="30"/>
      <c r="J844" s="30"/>
      <c r="K844" s="30"/>
      <c r="L844" s="30"/>
      <c r="M844" s="30"/>
    </row>
    <row r="845" spans="1:13" s="14" customFormat="1" x14ac:dyDescent="0.25">
      <c r="A845" s="13"/>
      <c r="D845" s="30"/>
      <c r="E845" s="31"/>
      <c r="F845" s="30"/>
      <c r="G845" s="30"/>
      <c r="H845" s="30"/>
      <c r="I845" s="30"/>
      <c r="J845" s="30"/>
      <c r="K845" s="30"/>
      <c r="L845" s="30"/>
      <c r="M845" s="30"/>
    </row>
    <row r="846" spans="1:13" s="14" customFormat="1" x14ac:dyDescent="0.25">
      <c r="A846" s="13"/>
      <c r="D846" s="30"/>
      <c r="E846" s="31"/>
      <c r="F846" s="30"/>
      <c r="G846" s="30"/>
      <c r="H846" s="30"/>
      <c r="I846" s="30"/>
      <c r="J846" s="30"/>
      <c r="K846" s="30"/>
      <c r="L846" s="30"/>
      <c r="M846" s="30"/>
    </row>
    <row r="847" spans="1:13" s="14" customFormat="1" x14ac:dyDescent="0.25">
      <c r="A847" s="13"/>
      <c r="D847" s="30"/>
      <c r="E847" s="31"/>
      <c r="F847" s="30"/>
      <c r="G847" s="30"/>
      <c r="H847" s="30"/>
      <c r="I847" s="30"/>
      <c r="J847" s="30"/>
      <c r="K847" s="30"/>
      <c r="L847" s="30"/>
      <c r="M847" s="30"/>
    </row>
    <row r="848" spans="1:13" s="14" customFormat="1" x14ac:dyDescent="0.25">
      <c r="A848" s="13"/>
      <c r="D848" s="30"/>
      <c r="E848" s="31"/>
      <c r="F848" s="30"/>
      <c r="G848" s="30"/>
      <c r="H848" s="30"/>
      <c r="I848" s="30"/>
      <c r="J848" s="30"/>
      <c r="K848" s="30"/>
      <c r="L848" s="30"/>
      <c r="M848" s="30"/>
    </row>
    <row r="849" spans="1:13" s="14" customFormat="1" x14ac:dyDescent="0.25">
      <c r="A849" s="13"/>
      <c r="D849" s="30"/>
      <c r="E849" s="31"/>
      <c r="F849" s="30"/>
      <c r="G849" s="30"/>
      <c r="H849" s="30"/>
      <c r="I849" s="30"/>
      <c r="J849" s="30"/>
      <c r="K849" s="30"/>
      <c r="L849" s="30"/>
      <c r="M849" s="30"/>
    </row>
    <row r="850" spans="1:13" s="14" customFormat="1" x14ac:dyDescent="0.25">
      <c r="A850" s="13"/>
      <c r="D850" s="30"/>
      <c r="E850" s="31"/>
      <c r="F850" s="30"/>
      <c r="G850" s="30"/>
      <c r="H850" s="30"/>
      <c r="I850" s="30"/>
      <c r="J850" s="30"/>
      <c r="K850" s="30"/>
      <c r="L850" s="30"/>
      <c r="M850" s="30"/>
    </row>
    <row r="851" spans="1:13" s="14" customFormat="1" x14ac:dyDescent="0.25">
      <c r="A851" s="13"/>
      <c r="D851" s="30"/>
      <c r="E851" s="31"/>
      <c r="F851" s="30"/>
      <c r="G851" s="30"/>
      <c r="H851" s="30"/>
      <c r="I851" s="30"/>
      <c r="J851" s="30"/>
      <c r="K851" s="30"/>
      <c r="L851" s="30"/>
      <c r="M851" s="30"/>
    </row>
    <row r="852" spans="1:13" s="14" customFormat="1" x14ac:dyDescent="0.25">
      <c r="A852" s="13"/>
      <c r="D852" s="30"/>
      <c r="E852" s="31"/>
      <c r="F852" s="30"/>
      <c r="G852" s="30"/>
      <c r="H852" s="30"/>
      <c r="I852" s="30"/>
      <c r="J852" s="30"/>
      <c r="K852" s="30"/>
      <c r="L852" s="30"/>
      <c r="M852" s="30"/>
    </row>
    <row r="853" spans="1:13" s="14" customFormat="1" x14ac:dyDescent="0.25">
      <c r="A853" s="13"/>
      <c r="D853" s="30"/>
      <c r="E853" s="31"/>
      <c r="F853" s="30"/>
      <c r="G853" s="30"/>
      <c r="H853" s="30"/>
      <c r="I853" s="30"/>
      <c r="J853" s="30"/>
      <c r="K853" s="30"/>
      <c r="L853" s="30"/>
      <c r="M853" s="30"/>
    </row>
    <row r="854" spans="1:13" s="14" customFormat="1" x14ac:dyDescent="0.25">
      <c r="A854" s="13"/>
      <c r="D854" s="30"/>
      <c r="E854" s="31"/>
      <c r="F854" s="30"/>
      <c r="G854" s="30"/>
      <c r="H854" s="30"/>
      <c r="I854" s="30"/>
      <c r="J854" s="30"/>
      <c r="K854" s="30"/>
      <c r="L854" s="30"/>
      <c r="M854" s="30"/>
    </row>
    <row r="855" spans="1:13" s="14" customFormat="1" x14ac:dyDescent="0.25">
      <c r="A855" s="13"/>
      <c r="D855" s="30"/>
      <c r="E855" s="31"/>
      <c r="F855" s="30"/>
      <c r="G855" s="30"/>
      <c r="H855" s="30"/>
      <c r="I855" s="30"/>
      <c r="J855" s="30"/>
      <c r="K855" s="30"/>
      <c r="L855" s="30"/>
      <c r="M855" s="30"/>
    </row>
    <row r="856" spans="1:13" s="14" customFormat="1" x14ac:dyDescent="0.25">
      <c r="A856" s="13"/>
      <c r="D856" s="30"/>
      <c r="E856" s="31"/>
      <c r="F856" s="30"/>
      <c r="G856" s="30"/>
      <c r="H856" s="30"/>
      <c r="I856" s="30"/>
      <c r="J856" s="30"/>
      <c r="K856" s="30"/>
      <c r="L856" s="30"/>
      <c r="M856" s="30"/>
    </row>
    <row r="857" spans="1:13" s="14" customFormat="1" x14ac:dyDescent="0.25">
      <c r="A857" s="13"/>
      <c r="D857" s="30"/>
      <c r="E857" s="31"/>
      <c r="F857" s="30"/>
      <c r="G857" s="30"/>
      <c r="H857" s="30"/>
      <c r="I857" s="30"/>
      <c r="J857" s="30"/>
      <c r="K857" s="30"/>
      <c r="L857" s="30"/>
      <c r="M857" s="30"/>
    </row>
    <row r="858" spans="1:13" s="14" customFormat="1" x14ac:dyDescent="0.25">
      <c r="A858" s="13"/>
      <c r="D858" s="30"/>
      <c r="E858" s="31"/>
      <c r="F858" s="30"/>
      <c r="G858" s="30"/>
      <c r="H858" s="30"/>
      <c r="I858" s="30"/>
      <c r="J858" s="30"/>
      <c r="K858" s="30"/>
      <c r="L858" s="30"/>
      <c r="M858" s="30"/>
    </row>
    <row r="859" spans="1:13" s="14" customFormat="1" x14ac:dyDescent="0.25">
      <c r="A859" s="13"/>
      <c r="D859" s="30"/>
      <c r="E859" s="31"/>
      <c r="F859" s="30"/>
      <c r="G859" s="30"/>
      <c r="H859" s="30"/>
      <c r="I859" s="30"/>
      <c r="J859" s="30"/>
      <c r="K859" s="30"/>
      <c r="L859" s="30"/>
      <c r="M859" s="30"/>
    </row>
    <row r="860" spans="1:13" s="14" customFormat="1" x14ac:dyDescent="0.25">
      <c r="A860" s="13"/>
      <c r="D860" s="30"/>
      <c r="E860" s="31"/>
      <c r="F860" s="30"/>
      <c r="G860" s="30"/>
      <c r="H860" s="30"/>
      <c r="I860" s="30"/>
      <c r="J860" s="30"/>
      <c r="K860" s="30"/>
      <c r="L860" s="30"/>
      <c r="M860" s="30"/>
    </row>
    <row r="861" spans="1:13" s="14" customFormat="1" x14ac:dyDescent="0.25">
      <c r="A861" s="13"/>
      <c r="D861" s="30"/>
      <c r="E861" s="31"/>
      <c r="F861" s="30"/>
      <c r="G861" s="30"/>
      <c r="H861" s="30"/>
      <c r="I861" s="30"/>
      <c r="J861" s="30"/>
      <c r="K861" s="30"/>
      <c r="L861" s="30"/>
      <c r="M861" s="30"/>
    </row>
    <row r="862" spans="1:13" s="14" customFormat="1" x14ac:dyDescent="0.25">
      <c r="A862" s="13"/>
      <c r="D862" s="30"/>
      <c r="E862" s="31"/>
      <c r="F862" s="30"/>
      <c r="G862" s="30"/>
      <c r="H862" s="30"/>
      <c r="I862" s="30"/>
      <c r="J862" s="30"/>
      <c r="K862" s="30"/>
      <c r="L862" s="30"/>
      <c r="M862" s="30"/>
    </row>
    <row r="863" spans="1:13" s="14" customFormat="1" x14ac:dyDescent="0.25">
      <c r="A863" s="13"/>
      <c r="D863" s="30"/>
      <c r="E863" s="31"/>
      <c r="F863" s="30"/>
      <c r="G863" s="30"/>
      <c r="H863" s="30"/>
      <c r="I863" s="30"/>
      <c r="J863" s="30"/>
      <c r="K863" s="30"/>
      <c r="L863" s="30"/>
      <c r="M863" s="30"/>
    </row>
    <row r="864" spans="1:13" s="14" customFormat="1" x14ac:dyDescent="0.25">
      <c r="A864" s="13"/>
      <c r="D864" s="30"/>
      <c r="E864" s="31"/>
      <c r="F864" s="30"/>
      <c r="G864" s="30"/>
      <c r="H864" s="30"/>
      <c r="I864" s="30"/>
      <c r="J864" s="30"/>
      <c r="K864" s="30"/>
      <c r="L864" s="30"/>
      <c r="M864" s="30"/>
    </row>
    <row r="865" spans="1:13" s="14" customFormat="1" x14ac:dyDescent="0.25">
      <c r="A865" s="13"/>
      <c r="D865" s="30"/>
      <c r="E865" s="31"/>
      <c r="F865" s="30"/>
      <c r="G865" s="30"/>
      <c r="H865" s="30"/>
      <c r="I865" s="30"/>
      <c r="J865" s="30"/>
      <c r="K865" s="30"/>
      <c r="L865" s="30"/>
      <c r="M865" s="30"/>
    </row>
    <row r="866" spans="1:13" s="14" customFormat="1" x14ac:dyDescent="0.25">
      <c r="A866" s="13"/>
      <c r="D866" s="30"/>
      <c r="E866" s="31"/>
      <c r="F866" s="30"/>
      <c r="G866" s="30"/>
      <c r="H866" s="30"/>
      <c r="I866" s="30"/>
      <c r="J866" s="30"/>
      <c r="K866" s="30"/>
      <c r="L866" s="30"/>
      <c r="M866" s="30"/>
    </row>
    <row r="867" spans="1:13" s="14" customFormat="1" x14ac:dyDescent="0.25">
      <c r="A867" s="13"/>
      <c r="D867" s="30"/>
      <c r="E867" s="31"/>
      <c r="F867" s="30"/>
      <c r="G867" s="30"/>
      <c r="H867" s="30"/>
      <c r="I867" s="30"/>
      <c r="J867" s="30"/>
      <c r="K867" s="30"/>
      <c r="L867" s="30"/>
      <c r="M867" s="30"/>
    </row>
    <row r="868" spans="1:13" s="14" customFormat="1" x14ac:dyDescent="0.25">
      <c r="A868" s="13"/>
      <c r="D868" s="30"/>
      <c r="E868" s="31"/>
      <c r="F868" s="30"/>
      <c r="G868" s="30"/>
      <c r="H868" s="30"/>
      <c r="I868" s="30"/>
      <c r="J868" s="30"/>
      <c r="K868" s="30"/>
      <c r="L868" s="30"/>
      <c r="M868" s="30"/>
    </row>
    <row r="869" spans="1:13" s="14" customFormat="1" x14ac:dyDescent="0.25">
      <c r="A869" s="13"/>
      <c r="D869" s="30"/>
      <c r="E869" s="31"/>
      <c r="F869" s="30"/>
      <c r="G869" s="30"/>
      <c r="H869" s="30"/>
      <c r="I869" s="30"/>
      <c r="J869" s="30"/>
      <c r="K869" s="30"/>
      <c r="L869" s="30"/>
      <c r="M869" s="30"/>
    </row>
    <row r="870" spans="1:13" s="14" customFormat="1" x14ac:dyDescent="0.25">
      <c r="A870" s="13"/>
      <c r="D870" s="30"/>
      <c r="E870" s="31"/>
      <c r="F870" s="30"/>
      <c r="G870" s="30"/>
      <c r="H870" s="30"/>
      <c r="I870" s="30"/>
      <c r="J870" s="30"/>
      <c r="K870" s="30"/>
      <c r="L870" s="30"/>
      <c r="M870" s="30"/>
    </row>
    <row r="871" spans="1:13" s="14" customFormat="1" x14ac:dyDescent="0.25">
      <c r="A871" s="13"/>
      <c r="D871" s="30"/>
      <c r="E871" s="31"/>
      <c r="F871" s="30"/>
      <c r="G871" s="30"/>
      <c r="H871" s="30"/>
      <c r="I871" s="30"/>
      <c r="J871" s="30"/>
      <c r="K871" s="30"/>
      <c r="L871" s="30"/>
      <c r="M871" s="30"/>
    </row>
    <row r="872" spans="1:13" s="14" customFormat="1" x14ac:dyDescent="0.25">
      <c r="A872" s="13"/>
      <c r="D872" s="30"/>
      <c r="E872" s="31"/>
      <c r="F872" s="30"/>
      <c r="G872" s="30"/>
      <c r="H872" s="30"/>
      <c r="I872" s="30"/>
      <c r="J872" s="30"/>
      <c r="K872" s="30"/>
      <c r="L872" s="30"/>
      <c r="M872" s="30"/>
    </row>
    <row r="873" spans="1:13" s="14" customFormat="1" x14ac:dyDescent="0.25">
      <c r="A873" s="13"/>
      <c r="D873" s="30"/>
      <c r="E873" s="31"/>
      <c r="F873" s="30"/>
      <c r="G873" s="30"/>
      <c r="H873" s="30"/>
      <c r="I873" s="30"/>
      <c r="J873" s="30"/>
      <c r="K873" s="30"/>
      <c r="L873" s="30"/>
      <c r="M873" s="30"/>
    </row>
    <row r="874" spans="1:13" s="14" customFormat="1" x14ac:dyDescent="0.25">
      <c r="A874" s="13"/>
      <c r="D874" s="30"/>
      <c r="E874" s="31"/>
      <c r="F874" s="30"/>
      <c r="G874" s="30"/>
      <c r="H874" s="30"/>
      <c r="I874" s="30"/>
      <c r="J874" s="30"/>
      <c r="K874" s="30"/>
      <c r="L874" s="30"/>
      <c r="M874" s="30"/>
    </row>
    <row r="875" spans="1:13" s="14" customFormat="1" x14ac:dyDescent="0.25">
      <c r="A875" s="13"/>
      <c r="D875" s="30"/>
      <c r="E875" s="31"/>
      <c r="F875" s="30"/>
      <c r="G875" s="30"/>
      <c r="H875" s="30"/>
      <c r="I875" s="30"/>
      <c r="J875" s="30"/>
      <c r="K875" s="30"/>
      <c r="L875" s="30"/>
      <c r="M875" s="30"/>
    </row>
    <row r="876" spans="1:13" s="14" customFormat="1" x14ac:dyDescent="0.25">
      <c r="A876" s="13"/>
      <c r="D876" s="30"/>
      <c r="E876" s="31"/>
      <c r="F876" s="30"/>
      <c r="G876" s="30"/>
      <c r="H876" s="30"/>
      <c r="I876" s="30"/>
      <c r="J876" s="30"/>
      <c r="K876" s="30"/>
      <c r="L876" s="30"/>
      <c r="M876" s="30"/>
    </row>
    <row r="877" spans="1:13" s="14" customFormat="1" x14ac:dyDescent="0.25">
      <c r="A877" s="13"/>
      <c r="D877" s="30"/>
      <c r="E877" s="31"/>
      <c r="F877" s="30"/>
      <c r="G877" s="30"/>
      <c r="H877" s="30"/>
      <c r="I877" s="30"/>
      <c r="J877" s="30"/>
      <c r="K877" s="30"/>
      <c r="L877" s="30"/>
      <c r="M877" s="30"/>
    </row>
    <row r="878" spans="1:13" s="14" customFormat="1" x14ac:dyDescent="0.25">
      <c r="A878" s="13"/>
      <c r="D878" s="30"/>
      <c r="E878" s="31"/>
      <c r="F878" s="30"/>
      <c r="G878" s="30"/>
      <c r="H878" s="30"/>
      <c r="I878" s="30"/>
      <c r="J878" s="30"/>
      <c r="K878" s="30"/>
      <c r="L878" s="30"/>
      <c r="M878" s="30"/>
    </row>
    <row r="879" spans="1:13" s="14" customFormat="1" x14ac:dyDescent="0.25">
      <c r="A879" s="13"/>
      <c r="D879" s="30"/>
      <c r="E879" s="31"/>
      <c r="F879" s="30"/>
      <c r="G879" s="30"/>
      <c r="H879" s="30"/>
      <c r="I879" s="30"/>
      <c r="J879" s="30"/>
      <c r="K879" s="30"/>
      <c r="L879" s="30"/>
      <c r="M879" s="30"/>
    </row>
    <row r="880" spans="1:13" s="14" customFormat="1" x14ac:dyDescent="0.25">
      <c r="A880" s="13"/>
      <c r="D880" s="30"/>
      <c r="E880" s="31"/>
      <c r="F880" s="30"/>
      <c r="G880" s="30"/>
      <c r="H880" s="30"/>
      <c r="I880" s="30"/>
      <c r="J880" s="30"/>
      <c r="K880" s="30"/>
      <c r="L880" s="30"/>
      <c r="M880" s="30"/>
    </row>
    <row r="881" spans="1:13" s="14" customFormat="1" x14ac:dyDescent="0.25">
      <c r="A881" s="13"/>
      <c r="D881" s="30"/>
      <c r="E881" s="31"/>
      <c r="F881" s="30"/>
      <c r="G881" s="30"/>
      <c r="H881" s="30"/>
      <c r="I881" s="30"/>
      <c r="J881" s="30"/>
      <c r="K881" s="30"/>
      <c r="L881" s="30"/>
      <c r="M881" s="30"/>
    </row>
    <row r="882" spans="1:13" s="14" customFormat="1" x14ac:dyDescent="0.25">
      <c r="A882" s="13"/>
      <c r="D882" s="30"/>
      <c r="E882" s="31"/>
      <c r="F882" s="30"/>
      <c r="G882" s="30"/>
      <c r="H882" s="30"/>
      <c r="I882" s="30"/>
      <c r="J882" s="30"/>
      <c r="K882" s="30"/>
      <c r="L882" s="30"/>
      <c r="M882" s="30"/>
    </row>
    <row r="883" spans="1:13" s="14" customFormat="1" x14ac:dyDescent="0.25">
      <c r="A883" s="13"/>
      <c r="D883" s="30"/>
      <c r="E883" s="31"/>
      <c r="F883" s="30"/>
      <c r="G883" s="30"/>
      <c r="H883" s="30"/>
      <c r="I883" s="30"/>
      <c r="J883" s="30"/>
      <c r="K883" s="30"/>
      <c r="L883" s="30"/>
      <c r="M883" s="30"/>
    </row>
    <row r="884" spans="1:13" s="14" customFormat="1" x14ac:dyDescent="0.25">
      <c r="A884" s="13"/>
      <c r="D884" s="30"/>
      <c r="E884" s="31"/>
      <c r="F884" s="30"/>
      <c r="G884" s="30"/>
      <c r="H884" s="30"/>
      <c r="I884" s="30"/>
      <c r="J884" s="30"/>
      <c r="K884" s="30"/>
      <c r="L884" s="30"/>
      <c r="M884" s="30"/>
    </row>
    <row r="885" spans="1:13" s="14" customFormat="1" x14ac:dyDescent="0.25">
      <c r="A885" s="13"/>
      <c r="D885" s="30"/>
      <c r="E885" s="31"/>
      <c r="F885" s="30"/>
      <c r="G885" s="30"/>
      <c r="H885" s="30"/>
      <c r="I885" s="30"/>
      <c r="J885" s="30"/>
      <c r="K885" s="30"/>
      <c r="L885" s="30"/>
      <c r="M885" s="30"/>
    </row>
    <row r="886" spans="1:13" s="14" customFormat="1" x14ac:dyDescent="0.25">
      <c r="A886" s="13"/>
      <c r="D886" s="30"/>
      <c r="E886" s="31"/>
      <c r="F886" s="30"/>
      <c r="G886" s="30"/>
      <c r="H886" s="30"/>
      <c r="I886" s="30"/>
      <c r="J886" s="30"/>
      <c r="K886" s="30"/>
      <c r="L886" s="30"/>
      <c r="M886" s="30"/>
    </row>
    <row r="887" spans="1:13" s="14" customFormat="1" x14ac:dyDescent="0.25">
      <c r="A887" s="13"/>
      <c r="D887" s="30"/>
      <c r="E887" s="31"/>
      <c r="F887" s="30"/>
      <c r="G887" s="30"/>
      <c r="H887" s="30"/>
      <c r="I887" s="30"/>
      <c r="J887" s="30"/>
      <c r="K887" s="30"/>
      <c r="L887" s="30"/>
      <c r="M887" s="30"/>
    </row>
    <row r="888" spans="1:13" s="14" customFormat="1" x14ac:dyDescent="0.25">
      <c r="A888" s="13"/>
      <c r="D888" s="30"/>
      <c r="E888" s="31"/>
      <c r="F888" s="30"/>
      <c r="G888" s="30"/>
      <c r="H888" s="30"/>
      <c r="I888" s="30"/>
      <c r="J888" s="30"/>
      <c r="K888" s="30"/>
      <c r="L888" s="30"/>
      <c r="M888" s="30"/>
    </row>
    <row r="889" spans="1:13" s="14" customFormat="1" x14ac:dyDescent="0.25">
      <c r="A889" s="13"/>
      <c r="D889" s="30"/>
      <c r="E889" s="31"/>
      <c r="F889" s="30"/>
      <c r="G889" s="30"/>
      <c r="H889" s="30"/>
      <c r="I889" s="30"/>
      <c r="J889" s="30"/>
      <c r="K889" s="30"/>
      <c r="L889" s="30"/>
      <c r="M889" s="30"/>
    </row>
    <row r="890" spans="1:13" s="14" customFormat="1" x14ac:dyDescent="0.25">
      <c r="A890" s="13"/>
      <c r="D890" s="30"/>
      <c r="E890" s="31"/>
      <c r="F890" s="30"/>
      <c r="G890" s="30"/>
      <c r="H890" s="30"/>
      <c r="I890" s="30"/>
      <c r="J890" s="30"/>
      <c r="K890" s="30"/>
      <c r="L890" s="30"/>
      <c r="M890" s="30"/>
    </row>
    <row r="891" spans="1:13" s="14" customFormat="1" x14ac:dyDescent="0.25">
      <c r="A891" s="13"/>
      <c r="D891" s="30"/>
      <c r="E891" s="31"/>
      <c r="F891" s="30"/>
      <c r="G891" s="30"/>
      <c r="H891" s="30"/>
      <c r="I891" s="30"/>
      <c r="J891" s="30"/>
      <c r="K891" s="30"/>
      <c r="L891" s="30"/>
      <c r="M891" s="30"/>
    </row>
    <row r="892" spans="1:13" s="14" customFormat="1" x14ac:dyDescent="0.25">
      <c r="A892" s="13"/>
      <c r="D892" s="30"/>
      <c r="E892" s="31"/>
      <c r="F892" s="30"/>
      <c r="G892" s="30"/>
      <c r="H892" s="30"/>
      <c r="I892" s="30"/>
      <c r="J892" s="30"/>
      <c r="K892" s="30"/>
      <c r="L892" s="30"/>
      <c r="M892" s="30"/>
    </row>
    <row r="893" spans="1:13" s="14" customFormat="1" x14ac:dyDescent="0.25">
      <c r="A893" s="13"/>
      <c r="D893" s="30"/>
      <c r="E893" s="31"/>
      <c r="F893" s="30"/>
      <c r="G893" s="30"/>
      <c r="H893" s="30"/>
      <c r="I893" s="30"/>
      <c r="J893" s="30"/>
      <c r="K893" s="30"/>
      <c r="L893" s="30"/>
      <c r="M893" s="30"/>
    </row>
    <row r="894" spans="1:13" s="14" customFormat="1" x14ac:dyDescent="0.25">
      <c r="A894" s="13"/>
      <c r="D894" s="30"/>
      <c r="E894" s="31"/>
      <c r="F894" s="30"/>
      <c r="G894" s="30"/>
      <c r="H894" s="30"/>
      <c r="I894" s="30"/>
      <c r="J894" s="30"/>
      <c r="K894" s="30"/>
      <c r="L894" s="30"/>
      <c r="M894" s="30"/>
    </row>
    <row r="895" spans="1:13" s="14" customFormat="1" x14ac:dyDescent="0.25">
      <c r="A895" s="13"/>
      <c r="D895" s="30"/>
      <c r="E895" s="31"/>
      <c r="F895" s="30"/>
      <c r="G895" s="30"/>
      <c r="H895" s="30"/>
      <c r="I895" s="30"/>
      <c r="J895" s="30"/>
      <c r="K895" s="30"/>
      <c r="L895" s="30"/>
      <c r="M895" s="30"/>
    </row>
    <row r="896" spans="1:13" s="14" customFormat="1" x14ac:dyDescent="0.25">
      <c r="A896" s="13"/>
      <c r="D896" s="30"/>
      <c r="E896" s="31"/>
      <c r="F896" s="30"/>
      <c r="G896" s="30"/>
      <c r="H896" s="30"/>
      <c r="I896" s="30"/>
      <c r="J896" s="30"/>
      <c r="K896" s="30"/>
      <c r="L896" s="30"/>
      <c r="M896" s="30"/>
    </row>
    <row r="897" spans="1:13" s="14" customFormat="1" x14ac:dyDescent="0.25">
      <c r="A897" s="13"/>
      <c r="D897" s="30"/>
      <c r="E897" s="31"/>
      <c r="F897" s="30"/>
      <c r="G897" s="30"/>
      <c r="H897" s="30"/>
      <c r="I897" s="30"/>
      <c r="J897" s="30"/>
      <c r="K897" s="30"/>
      <c r="L897" s="30"/>
      <c r="M897" s="30"/>
    </row>
    <row r="898" spans="1:13" s="14" customFormat="1" x14ac:dyDescent="0.25">
      <c r="A898" s="13"/>
      <c r="D898" s="30"/>
      <c r="E898" s="31"/>
      <c r="F898" s="30"/>
      <c r="G898" s="30"/>
      <c r="H898" s="30"/>
      <c r="I898" s="30"/>
      <c r="J898" s="30"/>
      <c r="K898" s="30"/>
      <c r="L898" s="30"/>
      <c r="M898" s="30"/>
    </row>
    <row r="899" spans="1:13" s="14" customFormat="1" x14ac:dyDescent="0.25">
      <c r="A899" s="13"/>
      <c r="D899" s="30"/>
      <c r="E899" s="31"/>
      <c r="F899" s="30"/>
      <c r="G899" s="30"/>
      <c r="H899" s="30"/>
      <c r="I899" s="30"/>
      <c r="J899" s="30"/>
      <c r="K899" s="30"/>
      <c r="L899" s="30"/>
      <c r="M899" s="30"/>
    </row>
    <row r="900" spans="1:13" s="14" customFormat="1" x14ac:dyDescent="0.25">
      <c r="A900" s="13"/>
      <c r="D900" s="30"/>
      <c r="E900" s="31"/>
      <c r="F900" s="30"/>
      <c r="G900" s="30"/>
      <c r="H900" s="30"/>
      <c r="I900" s="30"/>
      <c r="J900" s="30"/>
      <c r="K900" s="30"/>
      <c r="L900" s="30"/>
      <c r="M900" s="30"/>
    </row>
    <row r="901" spans="1:13" s="14" customFormat="1" x14ac:dyDescent="0.25">
      <c r="A901" s="13"/>
      <c r="D901" s="30"/>
      <c r="E901" s="31"/>
      <c r="F901" s="30"/>
      <c r="G901" s="30"/>
      <c r="H901" s="30"/>
      <c r="I901" s="30"/>
      <c r="J901" s="30"/>
      <c r="K901" s="30"/>
      <c r="L901" s="30"/>
      <c r="M901" s="30"/>
    </row>
    <row r="902" spans="1:13" s="14" customFormat="1" x14ac:dyDescent="0.25">
      <c r="A902" s="13"/>
      <c r="D902" s="30"/>
      <c r="E902" s="31"/>
      <c r="F902" s="30"/>
      <c r="G902" s="30"/>
      <c r="H902" s="30"/>
      <c r="I902" s="30"/>
      <c r="J902" s="30"/>
      <c r="K902" s="30"/>
      <c r="L902" s="30"/>
      <c r="M902" s="30"/>
    </row>
    <row r="903" spans="1:13" s="14" customFormat="1" x14ac:dyDescent="0.25">
      <c r="A903" s="13"/>
      <c r="D903" s="30"/>
      <c r="E903" s="31"/>
      <c r="F903" s="30"/>
      <c r="G903" s="30"/>
      <c r="H903" s="30"/>
      <c r="I903" s="30"/>
      <c r="J903" s="30"/>
      <c r="K903" s="30"/>
      <c r="L903" s="30"/>
      <c r="M903" s="30"/>
    </row>
    <row r="904" spans="1:13" s="14" customFormat="1" x14ac:dyDescent="0.25">
      <c r="A904" s="13"/>
      <c r="D904" s="30"/>
      <c r="E904" s="31"/>
      <c r="F904" s="30"/>
      <c r="G904" s="30"/>
      <c r="H904" s="30"/>
      <c r="I904" s="30"/>
      <c r="J904" s="30"/>
      <c r="K904" s="30"/>
      <c r="L904" s="30"/>
      <c r="M904" s="30"/>
    </row>
    <row r="905" spans="1:13" s="14" customFormat="1" x14ac:dyDescent="0.25">
      <c r="A905" s="13"/>
      <c r="D905" s="30"/>
      <c r="E905" s="31"/>
      <c r="F905" s="30"/>
      <c r="G905" s="30"/>
      <c r="H905" s="30"/>
      <c r="I905" s="30"/>
      <c r="J905" s="30"/>
      <c r="K905" s="30"/>
      <c r="L905" s="30"/>
      <c r="M905" s="30"/>
    </row>
    <row r="906" spans="1:13" s="14" customFormat="1" x14ac:dyDescent="0.25">
      <c r="A906" s="13"/>
      <c r="D906" s="30"/>
      <c r="E906" s="31"/>
      <c r="F906" s="30"/>
      <c r="G906" s="30"/>
      <c r="H906" s="30"/>
      <c r="I906" s="30"/>
      <c r="J906" s="30"/>
      <c r="K906" s="30"/>
      <c r="L906" s="30"/>
      <c r="M906" s="30"/>
    </row>
    <row r="907" spans="1:13" s="14" customFormat="1" x14ac:dyDescent="0.25">
      <c r="A907" s="13"/>
      <c r="D907" s="30"/>
      <c r="E907" s="31"/>
      <c r="F907" s="30"/>
      <c r="G907" s="30"/>
      <c r="H907" s="30"/>
      <c r="I907" s="30"/>
      <c r="J907" s="30"/>
      <c r="K907" s="30"/>
      <c r="L907" s="30"/>
      <c r="M907" s="30"/>
    </row>
    <row r="908" spans="1:13" s="14" customFormat="1" x14ac:dyDescent="0.25">
      <c r="A908" s="13"/>
      <c r="D908" s="30"/>
      <c r="E908" s="31"/>
      <c r="F908" s="30"/>
      <c r="G908" s="30"/>
      <c r="H908" s="30"/>
      <c r="I908" s="30"/>
      <c r="J908" s="30"/>
      <c r="K908" s="30"/>
      <c r="L908" s="30"/>
      <c r="M908" s="30"/>
    </row>
    <row r="909" spans="1:13" s="14" customFormat="1" x14ac:dyDescent="0.25">
      <c r="A909" s="13"/>
      <c r="D909" s="30"/>
      <c r="E909" s="31"/>
      <c r="F909" s="30"/>
      <c r="G909" s="30"/>
      <c r="H909" s="30"/>
      <c r="I909" s="30"/>
      <c r="J909" s="30"/>
      <c r="K909" s="30"/>
      <c r="L909" s="30"/>
      <c r="M909" s="30"/>
    </row>
    <row r="910" spans="1:13" s="14" customFormat="1" x14ac:dyDescent="0.25">
      <c r="A910" s="13"/>
      <c r="D910" s="30"/>
      <c r="E910" s="31"/>
      <c r="F910" s="30"/>
      <c r="G910" s="30"/>
      <c r="H910" s="30"/>
      <c r="I910" s="30"/>
      <c r="J910" s="30"/>
      <c r="K910" s="30"/>
      <c r="L910" s="30"/>
      <c r="M910" s="30"/>
    </row>
    <row r="911" spans="1:13" s="14" customFormat="1" x14ac:dyDescent="0.25">
      <c r="A911" s="13"/>
      <c r="D911" s="30"/>
      <c r="E911" s="31"/>
      <c r="F911" s="30"/>
      <c r="G911" s="30"/>
      <c r="H911" s="30"/>
      <c r="I911" s="30"/>
      <c r="J911" s="30"/>
      <c r="K911" s="30"/>
      <c r="L911" s="30"/>
      <c r="M911" s="30"/>
    </row>
    <row r="912" spans="1:13" s="14" customFormat="1" x14ac:dyDescent="0.25">
      <c r="A912" s="13"/>
      <c r="D912" s="30"/>
      <c r="E912" s="31"/>
      <c r="F912" s="30"/>
      <c r="G912" s="30"/>
      <c r="H912" s="30"/>
      <c r="I912" s="30"/>
      <c r="J912" s="30"/>
      <c r="K912" s="30"/>
      <c r="L912" s="30"/>
      <c r="M912" s="30"/>
    </row>
    <row r="913" spans="1:13" s="14" customFormat="1" x14ac:dyDescent="0.25">
      <c r="A913" s="13"/>
      <c r="D913" s="30"/>
      <c r="E913" s="31"/>
      <c r="F913" s="30"/>
      <c r="G913" s="30"/>
      <c r="H913" s="30"/>
      <c r="I913" s="30"/>
      <c r="J913" s="30"/>
      <c r="K913" s="30"/>
      <c r="L913" s="30"/>
      <c r="M913" s="30"/>
    </row>
    <row r="914" spans="1:13" s="14" customFormat="1" x14ac:dyDescent="0.25">
      <c r="A914" s="13"/>
      <c r="D914" s="30"/>
      <c r="E914" s="31"/>
      <c r="F914" s="30"/>
      <c r="G914" s="30"/>
      <c r="H914" s="30"/>
      <c r="I914" s="30"/>
      <c r="J914" s="30"/>
      <c r="K914" s="30"/>
      <c r="L914" s="30"/>
      <c r="M914" s="30"/>
    </row>
    <row r="915" spans="1:13" s="14" customFormat="1" x14ac:dyDescent="0.25">
      <c r="A915" s="13"/>
      <c r="D915" s="30"/>
      <c r="E915" s="31"/>
      <c r="F915" s="30"/>
      <c r="G915" s="30"/>
      <c r="H915" s="30"/>
      <c r="I915" s="30"/>
      <c r="J915" s="30"/>
      <c r="K915" s="30"/>
      <c r="L915" s="30"/>
      <c r="M915" s="30"/>
    </row>
    <row r="916" spans="1:13" s="14" customFormat="1" x14ac:dyDescent="0.25">
      <c r="A916" s="13"/>
      <c r="D916" s="30"/>
      <c r="E916" s="31"/>
      <c r="F916" s="30"/>
      <c r="G916" s="30"/>
      <c r="H916" s="30"/>
      <c r="I916" s="30"/>
      <c r="J916" s="30"/>
      <c r="K916" s="30"/>
      <c r="L916" s="30"/>
      <c r="M916" s="30"/>
    </row>
    <row r="917" spans="1:13" s="14" customFormat="1" x14ac:dyDescent="0.25">
      <c r="A917" s="13"/>
      <c r="D917" s="30"/>
      <c r="E917" s="31"/>
      <c r="F917" s="30"/>
      <c r="G917" s="30"/>
      <c r="H917" s="30"/>
      <c r="I917" s="30"/>
      <c r="J917" s="30"/>
      <c r="K917" s="30"/>
      <c r="L917" s="30"/>
      <c r="M917" s="30"/>
    </row>
    <row r="918" spans="1:13" s="14" customFormat="1" x14ac:dyDescent="0.25">
      <c r="A918" s="13"/>
      <c r="D918" s="30"/>
      <c r="E918" s="31"/>
      <c r="F918" s="30"/>
      <c r="G918" s="30"/>
      <c r="H918" s="30"/>
      <c r="I918" s="30"/>
      <c r="J918" s="30"/>
      <c r="K918" s="30"/>
      <c r="L918" s="30"/>
      <c r="M918" s="30"/>
    </row>
    <row r="919" spans="1:13" s="14" customFormat="1" x14ac:dyDescent="0.25">
      <c r="A919" s="13"/>
      <c r="D919" s="30"/>
      <c r="E919" s="31"/>
      <c r="F919" s="30"/>
      <c r="G919" s="30"/>
      <c r="H919" s="30"/>
      <c r="I919" s="30"/>
      <c r="J919" s="30"/>
      <c r="K919" s="30"/>
      <c r="L919" s="30"/>
      <c r="M919" s="30"/>
    </row>
    <row r="920" spans="1:13" s="14" customFormat="1" x14ac:dyDescent="0.25">
      <c r="A920" s="13"/>
      <c r="D920" s="30"/>
      <c r="E920" s="31"/>
      <c r="F920" s="30"/>
      <c r="G920" s="30"/>
      <c r="H920" s="30"/>
      <c r="I920" s="30"/>
      <c r="J920" s="30"/>
      <c r="K920" s="30"/>
      <c r="L920" s="30"/>
      <c r="M920" s="30"/>
    </row>
    <row r="921" spans="1:13" s="14" customFormat="1" x14ac:dyDescent="0.25">
      <c r="A921" s="13"/>
      <c r="D921" s="30"/>
      <c r="E921" s="31"/>
      <c r="F921" s="30"/>
      <c r="G921" s="30"/>
      <c r="H921" s="30"/>
      <c r="I921" s="30"/>
      <c r="J921" s="30"/>
      <c r="K921" s="30"/>
      <c r="L921" s="30"/>
      <c r="M921" s="30"/>
    </row>
    <row r="922" spans="1:13" s="14" customFormat="1" x14ac:dyDescent="0.25">
      <c r="A922" s="13"/>
      <c r="D922" s="30"/>
      <c r="E922" s="31"/>
      <c r="F922" s="30"/>
      <c r="G922" s="30"/>
      <c r="H922" s="30"/>
      <c r="I922" s="30"/>
      <c r="J922" s="30"/>
      <c r="K922" s="30"/>
      <c r="L922" s="30"/>
      <c r="M922" s="30"/>
    </row>
    <row r="923" spans="1:13" s="14" customFormat="1" x14ac:dyDescent="0.25">
      <c r="A923" s="13"/>
      <c r="D923" s="30"/>
      <c r="E923" s="31"/>
      <c r="F923" s="30"/>
      <c r="G923" s="30"/>
      <c r="H923" s="30"/>
      <c r="I923" s="30"/>
      <c r="J923" s="30"/>
      <c r="K923" s="30"/>
      <c r="L923" s="30"/>
      <c r="M923" s="30"/>
    </row>
    <row r="924" spans="1:13" s="14" customFormat="1" x14ac:dyDescent="0.25">
      <c r="A924" s="13"/>
      <c r="D924" s="30"/>
      <c r="E924" s="31"/>
      <c r="F924" s="30"/>
      <c r="G924" s="30"/>
      <c r="H924" s="30"/>
      <c r="I924" s="30"/>
      <c r="J924" s="30"/>
      <c r="K924" s="30"/>
      <c r="L924" s="30"/>
      <c r="M924" s="30"/>
    </row>
    <row r="925" spans="1:13" s="14" customFormat="1" x14ac:dyDescent="0.25">
      <c r="A925" s="13"/>
      <c r="D925" s="30"/>
      <c r="E925" s="31"/>
      <c r="F925" s="30"/>
      <c r="G925" s="30"/>
      <c r="H925" s="30"/>
      <c r="I925" s="30"/>
      <c r="J925" s="30"/>
      <c r="K925" s="30"/>
      <c r="L925" s="30"/>
      <c r="M925" s="30"/>
    </row>
    <row r="926" spans="1:13" s="14" customFormat="1" x14ac:dyDescent="0.25">
      <c r="A926" s="13"/>
      <c r="D926" s="30"/>
      <c r="E926" s="31"/>
      <c r="F926" s="30"/>
      <c r="G926" s="30"/>
      <c r="H926" s="30"/>
      <c r="I926" s="30"/>
      <c r="J926" s="30"/>
      <c r="K926" s="30"/>
      <c r="L926" s="30"/>
      <c r="M926" s="30"/>
    </row>
    <row r="927" spans="1:13" s="14" customFormat="1" x14ac:dyDescent="0.25">
      <c r="A927" s="13"/>
      <c r="D927" s="30"/>
      <c r="E927" s="31"/>
      <c r="F927" s="30"/>
      <c r="G927" s="30"/>
      <c r="H927" s="30"/>
      <c r="I927" s="30"/>
      <c r="J927" s="30"/>
      <c r="K927" s="30"/>
      <c r="L927" s="30"/>
      <c r="M927" s="30"/>
    </row>
    <row r="928" spans="1:13" s="14" customFormat="1" x14ac:dyDescent="0.25">
      <c r="A928" s="13"/>
      <c r="D928" s="30"/>
      <c r="E928" s="31"/>
      <c r="F928" s="30"/>
      <c r="G928" s="30"/>
      <c r="H928" s="30"/>
      <c r="I928" s="30"/>
      <c r="J928" s="30"/>
      <c r="K928" s="30"/>
      <c r="L928" s="30"/>
      <c r="M928" s="30"/>
    </row>
    <row r="929" spans="1:13" s="14" customFormat="1" x14ac:dyDescent="0.25">
      <c r="A929" s="13"/>
      <c r="D929" s="30"/>
      <c r="E929" s="31"/>
      <c r="F929" s="30"/>
      <c r="G929" s="30"/>
      <c r="H929" s="30"/>
      <c r="I929" s="30"/>
      <c r="J929" s="30"/>
      <c r="K929" s="30"/>
      <c r="L929" s="30"/>
      <c r="M929" s="30"/>
    </row>
    <row r="930" spans="1:13" s="14" customFormat="1" x14ac:dyDescent="0.25">
      <c r="A930" s="13"/>
      <c r="D930" s="30"/>
      <c r="E930" s="31"/>
      <c r="F930" s="30"/>
      <c r="G930" s="30"/>
      <c r="H930" s="30"/>
      <c r="I930" s="30"/>
      <c r="J930" s="30"/>
      <c r="K930" s="30"/>
      <c r="L930" s="30"/>
      <c r="M930" s="30"/>
    </row>
    <row r="931" spans="1:13" s="14" customFormat="1" x14ac:dyDescent="0.25">
      <c r="A931" s="13"/>
      <c r="D931" s="30"/>
      <c r="E931" s="31"/>
      <c r="F931" s="30"/>
      <c r="G931" s="30"/>
      <c r="H931" s="30"/>
      <c r="I931" s="30"/>
      <c r="J931" s="30"/>
      <c r="K931" s="30"/>
      <c r="L931" s="30"/>
      <c r="M931" s="30"/>
    </row>
    <row r="932" spans="1:13" s="14" customFormat="1" x14ac:dyDescent="0.25">
      <c r="A932" s="13"/>
      <c r="D932" s="30"/>
      <c r="E932" s="31"/>
      <c r="F932" s="30"/>
      <c r="G932" s="30"/>
      <c r="H932" s="30"/>
      <c r="I932" s="30"/>
      <c r="J932" s="30"/>
      <c r="K932" s="30"/>
      <c r="L932" s="30"/>
      <c r="M932" s="30"/>
    </row>
    <row r="933" spans="1:13" s="14" customFormat="1" x14ac:dyDescent="0.25">
      <c r="A933" s="13"/>
      <c r="D933" s="30"/>
      <c r="E933" s="31"/>
      <c r="F933" s="30"/>
      <c r="G933" s="30"/>
      <c r="H933" s="30"/>
      <c r="I933" s="30"/>
      <c r="J933" s="30"/>
      <c r="K933" s="30"/>
      <c r="L933" s="30"/>
      <c r="M933" s="30"/>
    </row>
    <row r="934" spans="1:13" s="14" customFormat="1" x14ac:dyDescent="0.25">
      <c r="A934" s="13"/>
      <c r="D934" s="30"/>
      <c r="E934" s="31"/>
      <c r="F934" s="30"/>
      <c r="G934" s="30"/>
      <c r="H934" s="30"/>
      <c r="I934" s="30"/>
      <c r="J934" s="30"/>
      <c r="K934" s="30"/>
      <c r="L934" s="30"/>
      <c r="M934" s="30"/>
    </row>
    <row r="935" spans="1:13" s="14" customFormat="1" x14ac:dyDescent="0.25">
      <c r="A935" s="13"/>
      <c r="D935" s="30"/>
      <c r="E935" s="31"/>
      <c r="F935" s="30"/>
      <c r="G935" s="30"/>
      <c r="H935" s="30"/>
      <c r="I935" s="30"/>
      <c r="J935" s="30"/>
      <c r="K935" s="30"/>
      <c r="L935" s="30"/>
      <c r="M935" s="30"/>
    </row>
    <row r="936" spans="1:13" s="14" customFormat="1" x14ac:dyDescent="0.25">
      <c r="A936" s="13"/>
      <c r="D936" s="30"/>
      <c r="E936" s="31"/>
      <c r="F936" s="30"/>
      <c r="G936" s="30"/>
      <c r="H936" s="30"/>
      <c r="I936" s="30"/>
      <c r="J936" s="30"/>
      <c r="K936" s="30"/>
      <c r="L936" s="30"/>
      <c r="M936" s="30"/>
    </row>
    <row r="937" spans="1:13" s="14" customFormat="1" x14ac:dyDescent="0.25">
      <c r="A937" s="13"/>
      <c r="D937" s="30"/>
      <c r="E937" s="31"/>
      <c r="F937" s="30"/>
      <c r="G937" s="30"/>
      <c r="H937" s="30"/>
      <c r="I937" s="30"/>
      <c r="J937" s="30"/>
      <c r="K937" s="30"/>
      <c r="L937" s="30"/>
      <c r="M937" s="30"/>
    </row>
    <row r="938" spans="1:13" s="14" customFormat="1" x14ac:dyDescent="0.25">
      <c r="A938" s="13"/>
      <c r="D938" s="30"/>
      <c r="E938" s="31"/>
      <c r="F938" s="30"/>
      <c r="G938" s="30"/>
      <c r="H938" s="30"/>
      <c r="I938" s="30"/>
      <c r="J938" s="30"/>
      <c r="K938" s="30"/>
      <c r="L938" s="30"/>
      <c r="M938" s="30"/>
    </row>
    <row r="939" spans="1:13" s="14" customFormat="1" x14ac:dyDescent="0.25">
      <c r="A939" s="13"/>
      <c r="D939" s="30"/>
      <c r="E939" s="31"/>
      <c r="F939" s="30"/>
      <c r="G939" s="30"/>
      <c r="H939" s="30"/>
      <c r="I939" s="30"/>
      <c r="J939" s="30"/>
      <c r="K939" s="30"/>
      <c r="L939" s="30"/>
      <c r="M939" s="30"/>
    </row>
    <row r="940" spans="1:13" s="14" customFormat="1" x14ac:dyDescent="0.25">
      <c r="A940" s="13"/>
      <c r="D940" s="30"/>
      <c r="E940" s="31"/>
      <c r="F940" s="30"/>
      <c r="G940" s="30"/>
      <c r="H940" s="30"/>
      <c r="I940" s="30"/>
      <c r="J940" s="30"/>
      <c r="K940" s="30"/>
      <c r="L940" s="30"/>
      <c r="M940" s="30"/>
    </row>
    <row r="941" spans="1:13" s="14" customFormat="1" x14ac:dyDescent="0.25">
      <c r="A941" s="13"/>
      <c r="D941" s="30"/>
      <c r="E941" s="31"/>
      <c r="F941" s="30"/>
      <c r="G941" s="30"/>
      <c r="H941" s="30"/>
      <c r="I941" s="30"/>
      <c r="J941" s="30"/>
      <c r="K941" s="30"/>
      <c r="L941" s="30"/>
      <c r="M941" s="30"/>
    </row>
    <row r="942" spans="1:13" s="14" customFormat="1" x14ac:dyDescent="0.25">
      <c r="A942" s="13"/>
      <c r="D942" s="30"/>
      <c r="E942" s="31"/>
      <c r="F942" s="30"/>
      <c r="G942" s="30"/>
      <c r="H942" s="30"/>
      <c r="I942" s="30"/>
      <c r="J942" s="30"/>
      <c r="K942" s="30"/>
      <c r="L942" s="30"/>
      <c r="M942" s="30"/>
    </row>
    <row r="943" spans="1:13" s="14" customFormat="1" x14ac:dyDescent="0.25">
      <c r="A943" s="13"/>
      <c r="D943" s="30"/>
      <c r="E943" s="31"/>
      <c r="F943" s="30"/>
      <c r="G943" s="30"/>
      <c r="H943" s="30"/>
      <c r="I943" s="30"/>
      <c r="J943" s="30"/>
      <c r="K943" s="30"/>
      <c r="L943" s="30"/>
      <c r="M943" s="30"/>
    </row>
    <row r="944" spans="1:13" s="14" customFormat="1" x14ac:dyDescent="0.25">
      <c r="A944" s="13"/>
      <c r="D944" s="30"/>
      <c r="E944" s="31"/>
      <c r="F944" s="30"/>
      <c r="G944" s="30"/>
      <c r="H944" s="30"/>
      <c r="I944" s="30"/>
      <c r="J944" s="30"/>
      <c r="K944" s="30"/>
      <c r="L944" s="30"/>
      <c r="M944" s="30"/>
    </row>
    <row r="945" spans="1:13" s="14" customFormat="1" x14ac:dyDescent="0.25">
      <c r="A945" s="13"/>
      <c r="D945" s="30"/>
      <c r="E945" s="31"/>
      <c r="F945" s="30"/>
      <c r="G945" s="30"/>
      <c r="H945" s="30"/>
      <c r="I945" s="30"/>
      <c r="J945" s="30"/>
      <c r="K945" s="30"/>
      <c r="L945" s="30"/>
      <c r="M945" s="30"/>
    </row>
    <row r="946" spans="1:13" s="14" customFormat="1" x14ac:dyDescent="0.25">
      <c r="A946" s="13"/>
      <c r="D946" s="30"/>
      <c r="E946" s="31"/>
      <c r="F946" s="30"/>
      <c r="G946" s="30"/>
      <c r="H946" s="30"/>
      <c r="I946" s="30"/>
      <c r="J946" s="30"/>
      <c r="K946" s="30"/>
      <c r="L946" s="30"/>
      <c r="M946" s="30"/>
    </row>
    <row r="947" spans="1:13" s="14" customFormat="1" x14ac:dyDescent="0.25">
      <c r="A947" s="13"/>
      <c r="D947" s="30"/>
      <c r="E947" s="31"/>
      <c r="F947" s="30"/>
      <c r="G947" s="30"/>
      <c r="H947" s="30"/>
      <c r="I947" s="30"/>
      <c r="J947" s="30"/>
      <c r="K947" s="30"/>
      <c r="L947" s="30"/>
      <c r="M947" s="30"/>
    </row>
    <row r="948" spans="1:13" s="14" customFormat="1" x14ac:dyDescent="0.25">
      <c r="A948" s="13"/>
      <c r="D948" s="30"/>
      <c r="E948" s="31"/>
      <c r="F948" s="30"/>
      <c r="G948" s="30"/>
      <c r="H948" s="30"/>
      <c r="I948" s="30"/>
      <c r="J948" s="30"/>
      <c r="K948" s="30"/>
      <c r="L948" s="30"/>
      <c r="M948" s="30"/>
    </row>
    <row r="949" spans="1:13" s="14" customFormat="1" x14ac:dyDescent="0.25">
      <c r="A949" s="13"/>
      <c r="D949" s="30"/>
      <c r="E949" s="31"/>
      <c r="F949" s="30"/>
      <c r="G949" s="30"/>
      <c r="H949" s="30"/>
      <c r="I949" s="30"/>
      <c r="J949" s="30"/>
      <c r="K949" s="30"/>
      <c r="L949" s="30"/>
      <c r="M949" s="30"/>
    </row>
    <row r="950" spans="1:13" s="14" customFormat="1" x14ac:dyDescent="0.25">
      <c r="A950" s="13"/>
      <c r="D950" s="30"/>
      <c r="E950" s="31"/>
      <c r="F950" s="30"/>
      <c r="G950" s="30"/>
      <c r="H950" s="30"/>
      <c r="I950" s="30"/>
      <c r="J950" s="30"/>
      <c r="K950" s="30"/>
      <c r="L950" s="30"/>
      <c r="M950" s="30"/>
    </row>
    <row r="951" spans="1:13" s="14" customFormat="1" x14ac:dyDescent="0.25">
      <c r="A951" s="13"/>
      <c r="D951" s="30"/>
      <c r="E951" s="31"/>
      <c r="F951" s="30"/>
      <c r="G951" s="30"/>
      <c r="H951" s="30"/>
      <c r="I951" s="30"/>
      <c r="J951" s="30"/>
      <c r="K951" s="30"/>
      <c r="L951" s="30"/>
      <c r="M951" s="30"/>
    </row>
    <row r="952" spans="1:13" s="14" customFormat="1" x14ac:dyDescent="0.25">
      <c r="A952" s="13"/>
      <c r="D952" s="30"/>
      <c r="E952" s="31"/>
      <c r="F952" s="30"/>
      <c r="G952" s="30"/>
      <c r="H952" s="30"/>
      <c r="I952" s="30"/>
      <c r="J952" s="30"/>
      <c r="K952" s="30"/>
      <c r="L952" s="30"/>
      <c r="M952" s="30"/>
    </row>
    <row r="953" spans="1:13" s="14" customFormat="1" x14ac:dyDescent="0.25">
      <c r="A953" s="13"/>
      <c r="D953" s="30"/>
      <c r="E953" s="31"/>
      <c r="F953" s="30"/>
      <c r="G953" s="30"/>
      <c r="H953" s="30"/>
      <c r="I953" s="30"/>
      <c r="J953" s="30"/>
      <c r="K953" s="30"/>
      <c r="L953" s="30"/>
      <c r="M953" s="30"/>
    </row>
    <row r="954" spans="1:13" s="14" customFormat="1" x14ac:dyDescent="0.25">
      <c r="A954" s="13"/>
      <c r="D954" s="30"/>
      <c r="E954" s="31"/>
      <c r="F954" s="30"/>
      <c r="G954" s="30"/>
      <c r="H954" s="30"/>
      <c r="I954" s="30"/>
      <c r="J954" s="30"/>
      <c r="K954" s="30"/>
      <c r="L954" s="30"/>
      <c r="M954" s="30"/>
    </row>
    <row r="955" spans="1:13" s="14" customFormat="1" x14ac:dyDescent="0.25">
      <c r="A955" s="13"/>
      <c r="D955" s="30"/>
      <c r="E955" s="31"/>
      <c r="F955" s="30"/>
      <c r="G955" s="30"/>
      <c r="H955" s="30"/>
      <c r="I955" s="30"/>
      <c r="J955" s="30"/>
      <c r="K955" s="30"/>
      <c r="L955" s="30"/>
      <c r="M955" s="30"/>
    </row>
    <row r="956" spans="1:13" s="14" customFormat="1" x14ac:dyDescent="0.25">
      <c r="A956" s="13"/>
      <c r="D956" s="30"/>
      <c r="E956" s="31"/>
      <c r="F956" s="30"/>
      <c r="G956" s="30"/>
      <c r="H956" s="30"/>
      <c r="I956" s="30"/>
      <c r="J956" s="30"/>
      <c r="K956" s="30"/>
      <c r="L956" s="30"/>
      <c r="M956" s="30"/>
    </row>
    <row r="957" spans="1:13" s="14" customFormat="1" x14ac:dyDescent="0.25">
      <c r="A957" s="13"/>
      <c r="D957" s="30"/>
      <c r="E957" s="31"/>
      <c r="F957" s="30"/>
      <c r="G957" s="30"/>
      <c r="H957" s="30"/>
      <c r="I957" s="30"/>
      <c r="J957" s="30"/>
      <c r="K957" s="30"/>
      <c r="L957" s="30"/>
      <c r="M957" s="30"/>
    </row>
    <row r="958" spans="1:13" s="14" customFormat="1" x14ac:dyDescent="0.25">
      <c r="A958" s="13"/>
      <c r="D958" s="30"/>
      <c r="E958" s="31"/>
      <c r="F958" s="30"/>
      <c r="G958" s="30"/>
      <c r="H958" s="30"/>
      <c r="I958" s="30"/>
      <c r="J958" s="30"/>
      <c r="K958" s="30"/>
      <c r="L958" s="30"/>
      <c r="M958" s="30"/>
    </row>
    <row r="959" spans="1:13" s="14" customFormat="1" x14ac:dyDescent="0.25">
      <c r="A959" s="13"/>
      <c r="D959" s="30"/>
      <c r="E959" s="31"/>
      <c r="F959" s="30"/>
      <c r="G959" s="30"/>
      <c r="H959" s="30"/>
      <c r="I959" s="30"/>
      <c r="J959" s="30"/>
      <c r="K959" s="30"/>
      <c r="L959" s="30"/>
      <c r="M959" s="30"/>
    </row>
    <row r="960" spans="1:13" s="14" customFormat="1" x14ac:dyDescent="0.25">
      <c r="A960" s="13"/>
      <c r="D960" s="30"/>
      <c r="E960" s="31"/>
      <c r="F960" s="30"/>
      <c r="G960" s="30"/>
      <c r="H960" s="30"/>
      <c r="I960" s="30"/>
      <c r="J960" s="30"/>
      <c r="K960" s="30"/>
      <c r="L960" s="30"/>
      <c r="M960" s="30"/>
    </row>
    <row r="961" spans="1:13" s="14" customFormat="1" x14ac:dyDescent="0.25">
      <c r="A961" s="13"/>
      <c r="D961" s="30"/>
      <c r="E961" s="31"/>
      <c r="F961" s="30"/>
      <c r="G961" s="30"/>
      <c r="H961" s="30"/>
      <c r="I961" s="30"/>
      <c r="J961" s="30"/>
      <c r="K961" s="30"/>
      <c r="L961" s="30"/>
      <c r="M961" s="30"/>
    </row>
    <row r="962" spans="1:13" s="14" customFormat="1" x14ac:dyDescent="0.25">
      <c r="A962" s="13"/>
      <c r="D962" s="30"/>
      <c r="E962" s="31"/>
      <c r="F962" s="30"/>
      <c r="G962" s="30"/>
      <c r="H962" s="30"/>
      <c r="I962" s="30"/>
      <c r="J962" s="30"/>
      <c r="K962" s="30"/>
      <c r="L962" s="30"/>
      <c r="M962" s="30"/>
    </row>
    <row r="963" spans="1:13" s="14" customFormat="1" x14ac:dyDescent="0.25">
      <c r="A963" s="13"/>
      <c r="D963" s="30"/>
      <c r="E963" s="31"/>
      <c r="F963" s="30"/>
      <c r="G963" s="30"/>
      <c r="H963" s="30"/>
      <c r="I963" s="30"/>
      <c r="J963" s="30"/>
      <c r="K963" s="30"/>
      <c r="L963" s="30"/>
      <c r="M963" s="30"/>
    </row>
    <row r="964" spans="1:13" s="14" customFormat="1" x14ac:dyDescent="0.25">
      <c r="A964" s="13"/>
      <c r="D964" s="30"/>
      <c r="E964" s="31"/>
      <c r="F964" s="30"/>
      <c r="G964" s="30"/>
      <c r="H964" s="30"/>
      <c r="I964" s="30"/>
      <c r="J964" s="30"/>
      <c r="K964" s="30"/>
      <c r="L964" s="30"/>
      <c r="M964" s="30"/>
    </row>
    <row r="965" spans="1:13" s="14" customFormat="1" x14ac:dyDescent="0.25">
      <c r="A965" s="13"/>
      <c r="D965" s="30"/>
      <c r="E965" s="31"/>
      <c r="F965" s="30"/>
      <c r="G965" s="30"/>
      <c r="H965" s="30"/>
      <c r="I965" s="30"/>
      <c r="J965" s="30"/>
      <c r="K965" s="30"/>
      <c r="L965" s="30"/>
      <c r="M965" s="30"/>
    </row>
    <row r="966" spans="1:13" s="14" customFormat="1" x14ac:dyDescent="0.25">
      <c r="A966" s="13"/>
      <c r="D966" s="30"/>
      <c r="E966" s="31"/>
      <c r="F966" s="30"/>
      <c r="G966" s="30"/>
      <c r="H966" s="30"/>
      <c r="I966" s="30"/>
      <c r="J966" s="30"/>
      <c r="K966" s="30"/>
      <c r="L966" s="30"/>
      <c r="M966" s="30"/>
    </row>
    <row r="967" spans="1:13" s="14" customFormat="1" x14ac:dyDescent="0.25">
      <c r="A967" s="13"/>
      <c r="D967" s="30"/>
      <c r="E967" s="31"/>
      <c r="F967" s="30"/>
      <c r="G967" s="30"/>
      <c r="H967" s="30"/>
      <c r="I967" s="30"/>
      <c r="J967" s="30"/>
      <c r="K967" s="30"/>
      <c r="L967" s="30"/>
      <c r="M967" s="30"/>
    </row>
    <row r="968" spans="1:13" s="14" customFormat="1" x14ac:dyDescent="0.25">
      <c r="A968" s="13"/>
      <c r="D968" s="30"/>
      <c r="E968" s="31"/>
      <c r="F968" s="30"/>
      <c r="G968" s="30"/>
      <c r="H968" s="30"/>
      <c r="I968" s="30"/>
      <c r="J968" s="30"/>
      <c r="K968" s="30"/>
      <c r="L968" s="30"/>
      <c r="M968" s="30"/>
    </row>
    <row r="969" spans="1:13" s="14" customFormat="1" x14ac:dyDescent="0.25">
      <c r="A969" s="13"/>
      <c r="D969" s="30"/>
      <c r="E969" s="31"/>
      <c r="F969" s="30"/>
      <c r="G969" s="30"/>
      <c r="H969" s="30"/>
      <c r="I969" s="30"/>
      <c r="J969" s="30"/>
      <c r="K969" s="30"/>
      <c r="L969" s="30"/>
      <c r="M969" s="30"/>
    </row>
    <row r="970" spans="1:13" s="14" customFormat="1" x14ac:dyDescent="0.25">
      <c r="A970" s="13"/>
      <c r="D970" s="30"/>
      <c r="E970" s="31"/>
      <c r="F970" s="30"/>
      <c r="G970" s="30"/>
      <c r="H970" s="30"/>
      <c r="I970" s="30"/>
      <c r="J970" s="30"/>
      <c r="K970" s="30"/>
      <c r="L970" s="30"/>
      <c r="M970" s="30"/>
    </row>
    <row r="971" spans="1:13" s="14" customFormat="1" x14ac:dyDescent="0.25">
      <c r="A971" s="13"/>
      <c r="D971" s="30"/>
      <c r="E971" s="31"/>
      <c r="F971" s="30"/>
      <c r="G971" s="30"/>
      <c r="H971" s="30"/>
      <c r="I971" s="30"/>
      <c r="J971" s="30"/>
      <c r="K971" s="30"/>
      <c r="L971" s="30"/>
      <c r="M971" s="30"/>
    </row>
    <row r="972" spans="1:13" s="14" customFormat="1" x14ac:dyDescent="0.25">
      <c r="A972" s="13"/>
      <c r="D972" s="30"/>
      <c r="E972" s="31"/>
      <c r="F972" s="30"/>
      <c r="G972" s="30"/>
      <c r="H972" s="30"/>
      <c r="I972" s="30"/>
      <c r="J972" s="30"/>
      <c r="K972" s="30"/>
      <c r="L972" s="30"/>
      <c r="M972" s="30"/>
    </row>
    <row r="973" spans="1:13" s="14" customFormat="1" x14ac:dyDescent="0.25">
      <c r="A973" s="13"/>
      <c r="D973" s="30"/>
      <c r="E973" s="31"/>
      <c r="F973" s="30"/>
      <c r="G973" s="30"/>
      <c r="H973" s="30"/>
      <c r="I973" s="30"/>
      <c r="J973" s="30"/>
      <c r="K973" s="30"/>
      <c r="L973" s="30"/>
      <c r="M973" s="30"/>
    </row>
    <row r="974" spans="1:13" s="14" customFormat="1" x14ac:dyDescent="0.25">
      <c r="A974" s="13"/>
      <c r="D974" s="30"/>
      <c r="E974" s="31"/>
      <c r="F974" s="30"/>
      <c r="G974" s="30"/>
      <c r="H974" s="30"/>
      <c r="I974" s="30"/>
      <c r="J974" s="30"/>
      <c r="K974" s="30"/>
      <c r="L974" s="30"/>
      <c r="M974" s="30"/>
    </row>
    <row r="975" spans="1:13" s="14" customFormat="1" x14ac:dyDescent="0.25">
      <c r="A975" s="13"/>
      <c r="D975" s="30"/>
      <c r="E975" s="31"/>
      <c r="F975" s="30"/>
      <c r="G975" s="30"/>
      <c r="H975" s="30"/>
      <c r="I975" s="30"/>
      <c r="J975" s="30"/>
      <c r="K975" s="30"/>
      <c r="L975" s="30"/>
      <c r="M975" s="30"/>
    </row>
    <row r="976" spans="1:13" s="14" customFormat="1" x14ac:dyDescent="0.25">
      <c r="A976" s="13"/>
      <c r="D976" s="30"/>
      <c r="E976" s="31"/>
      <c r="F976" s="30"/>
      <c r="G976" s="30"/>
      <c r="H976" s="30"/>
      <c r="I976" s="30"/>
      <c r="J976" s="30"/>
      <c r="K976" s="30"/>
      <c r="L976" s="30"/>
      <c r="M976" s="30"/>
    </row>
    <row r="977" spans="1:13" s="14" customFormat="1" x14ac:dyDescent="0.25">
      <c r="A977" s="13"/>
      <c r="D977" s="30"/>
      <c r="E977" s="31"/>
      <c r="F977" s="30"/>
      <c r="G977" s="30"/>
      <c r="H977" s="30"/>
      <c r="I977" s="30"/>
      <c r="J977" s="30"/>
      <c r="K977" s="30"/>
      <c r="L977" s="30"/>
      <c r="M977" s="30"/>
    </row>
    <row r="978" spans="1:13" s="14" customFormat="1" x14ac:dyDescent="0.25">
      <c r="A978" s="13"/>
      <c r="D978" s="30"/>
      <c r="E978" s="31"/>
      <c r="F978" s="30"/>
      <c r="G978" s="30"/>
      <c r="H978" s="30"/>
      <c r="I978" s="30"/>
      <c r="J978" s="30"/>
      <c r="K978" s="30"/>
      <c r="L978" s="30"/>
      <c r="M978" s="30"/>
    </row>
    <row r="979" spans="1:13" s="14" customFormat="1" x14ac:dyDescent="0.25">
      <c r="A979" s="13"/>
      <c r="D979" s="30"/>
      <c r="E979" s="31"/>
      <c r="F979" s="30"/>
      <c r="G979" s="30"/>
      <c r="H979" s="30"/>
      <c r="I979" s="30"/>
      <c r="J979" s="30"/>
      <c r="K979" s="30"/>
      <c r="L979" s="30"/>
      <c r="M979" s="30"/>
    </row>
    <row r="980" spans="1:13" s="14" customFormat="1" x14ac:dyDescent="0.25">
      <c r="A980" s="13"/>
      <c r="D980" s="30"/>
      <c r="E980" s="31"/>
      <c r="F980" s="30"/>
      <c r="G980" s="30"/>
      <c r="H980" s="30"/>
      <c r="I980" s="30"/>
      <c r="J980" s="30"/>
      <c r="K980" s="30"/>
      <c r="L980" s="30"/>
      <c r="M980" s="30"/>
    </row>
    <row r="981" spans="1:13" s="14" customFormat="1" x14ac:dyDescent="0.25">
      <c r="A981" s="13"/>
      <c r="D981" s="30"/>
      <c r="E981" s="31"/>
      <c r="F981" s="30"/>
      <c r="G981" s="30"/>
      <c r="H981" s="30"/>
      <c r="I981" s="30"/>
      <c r="J981" s="30"/>
      <c r="K981" s="30"/>
      <c r="L981" s="30"/>
      <c r="M981" s="30"/>
    </row>
    <row r="982" spans="1:13" s="14" customFormat="1" x14ac:dyDescent="0.25">
      <c r="A982" s="13"/>
      <c r="D982" s="30"/>
      <c r="E982" s="31"/>
      <c r="F982" s="30"/>
      <c r="G982" s="30"/>
      <c r="H982" s="30"/>
      <c r="I982" s="30"/>
      <c r="J982" s="30"/>
      <c r="K982" s="30"/>
      <c r="L982" s="30"/>
      <c r="M982" s="30"/>
    </row>
    <row r="983" spans="1:13" s="14" customFormat="1" x14ac:dyDescent="0.25">
      <c r="A983" s="13"/>
      <c r="D983" s="30"/>
      <c r="E983" s="31"/>
      <c r="F983" s="30"/>
      <c r="G983" s="30"/>
      <c r="H983" s="30"/>
      <c r="I983" s="30"/>
      <c r="J983" s="30"/>
      <c r="K983" s="30"/>
      <c r="L983" s="30"/>
      <c r="M983" s="30"/>
    </row>
    <row r="984" spans="1:13" s="14" customFormat="1" x14ac:dyDescent="0.25">
      <c r="A984" s="13"/>
      <c r="D984" s="30"/>
      <c r="E984" s="31"/>
      <c r="F984" s="30"/>
      <c r="G984" s="30"/>
      <c r="H984" s="30"/>
      <c r="I984" s="30"/>
      <c r="J984" s="30"/>
      <c r="K984" s="30"/>
      <c r="L984" s="30"/>
      <c r="M984" s="30"/>
    </row>
    <row r="985" spans="1:13" s="14" customFormat="1" x14ac:dyDescent="0.25">
      <c r="A985" s="13"/>
      <c r="D985" s="30"/>
      <c r="E985" s="31"/>
      <c r="F985" s="30"/>
      <c r="G985" s="30"/>
      <c r="H985" s="30"/>
      <c r="I985" s="30"/>
      <c r="J985" s="30"/>
      <c r="K985" s="30"/>
      <c r="L985" s="30"/>
      <c r="M985" s="30"/>
    </row>
    <row r="986" spans="1:13" s="14" customFormat="1" x14ac:dyDescent="0.25">
      <c r="A986" s="13"/>
      <c r="D986" s="30"/>
      <c r="E986" s="31"/>
      <c r="F986" s="30"/>
      <c r="G986" s="30"/>
      <c r="H986" s="30"/>
      <c r="I986" s="30"/>
      <c r="J986" s="30"/>
      <c r="K986" s="30"/>
      <c r="L986" s="30"/>
      <c r="M986" s="30"/>
    </row>
    <row r="987" spans="1:13" s="14" customFormat="1" x14ac:dyDescent="0.25">
      <c r="A987" s="13"/>
      <c r="D987" s="30"/>
      <c r="E987" s="31"/>
      <c r="F987" s="30"/>
      <c r="G987" s="30"/>
      <c r="H987" s="30"/>
      <c r="I987" s="30"/>
      <c r="J987" s="30"/>
      <c r="K987" s="30"/>
      <c r="L987" s="30"/>
      <c r="M987" s="30"/>
    </row>
    <row r="988" spans="1:13" s="14" customFormat="1" x14ac:dyDescent="0.25">
      <c r="A988" s="13"/>
      <c r="D988" s="30"/>
      <c r="E988" s="31"/>
      <c r="F988" s="30"/>
      <c r="G988" s="30"/>
      <c r="H988" s="30"/>
      <c r="I988" s="30"/>
      <c r="J988" s="30"/>
      <c r="K988" s="30"/>
      <c r="L988" s="30"/>
      <c r="M988" s="30"/>
    </row>
    <row r="989" spans="1:13" s="14" customFormat="1" x14ac:dyDescent="0.25">
      <c r="A989" s="13"/>
      <c r="D989" s="30"/>
      <c r="E989" s="31"/>
      <c r="F989" s="30"/>
      <c r="G989" s="30"/>
      <c r="H989" s="30"/>
      <c r="I989" s="30"/>
      <c r="J989" s="30"/>
      <c r="K989" s="30"/>
      <c r="L989" s="30"/>
      <c r="M989" s="30"/>
    </row>
    <row r="990" spans="1:13" s="14" customFormat="1" x14ac:dyDescent="0.25">
      <c r="A990" s="13"/>
      <c r="D990" s="30"/>
      <c r="E990" s="31"/>
      <c r="F990" s="30"/>
      <c r="G990" s="30"/>
      <c r="H990" s="30"/>
      <c r="I990" s="30"/>
      <c r="J990" s="30"/>
      <c r="K990" s="30"/>
      <c r="L990" s="30"/>
      <c r="M990" s="30"/>
    </row>
    <row r="991" spans="1:13" s="14" customFormat="1" x14ac:dyDescent="0.25">
      <c r="A991" s="13"/>
      <c r="D991" s="30"/>
      <c r="E991" s="31"/>
      <c r="F991" s="30"/>
      <c r="G991" s="30"/>
      <c r="H991" s="30"/>
      <c r="I991" s="30"/>
      <c r="J991" s="30"/>
      <c r="K991" s="30"/>
      <c r="L991" s="30"/>
      <c r="M991" s="30"/>
    </row>
    <row r="992" spans="1:13" s="14" customFormat="1" x14ac:dyDescent="0.25">
      <c r="A992" s="13"/>
      <c r="D992" s="30"/>
      <c r="E992" s="31"/>
      <c r="F992" s="30"/>
      <c r="G992" s="30"/>
      <c r="H992" s="30"/>
      <c r="I992" s="30"/>
      <c r="J992" s="30"/>
      <c r="K992" s="30"/>
      <c r="L992" s="30"/>
      <c r="M992" s="30"/>
    </row>
    <row r="993" spans="1:13" s="14" customFormat="1" x14ac:dyDescent="0.25">
      <c r="A993" s="13"/>
      <c r="D993" s="30"/>
      <c r="E993" s="31"/>
      <c r="F993" s="30"/>
      <c r="G993" s="30"/>
      <c r="H993" s="30"/>
      <c r="I993" s="30"/>
      <c r="J993" s="30"/>
      <c r="K993" s="30"/>
      <c r="L993" s="30"/>
      <c r="M993" s="30"/>
    </row>
    <row r="994" spans="1:13" s="14" customFormat="1" x14ac:dyDescent="0.25">
      <c r="A994" s="13"/>
      <c r="D994" s="30"/>
      <c r="E994" s="31"/>
      <c r="F994" s="30"/>
      <c r="G994" s="30"/>
      <c r="H994" s="30"/>
      <c r="I994" s="30"/>
      <c r="J994" s="30"/>
      <c r="K994" s="30"/>
      <c r="L994" s="30"/>
      <c r="M994" s="30"/>
    </row>
    <row r="995" spans="1:13" s="14" customFormat="1" x14ac:dyDescent="0.25">
      <c r="A995" s="13"/>
      <c r="D995" s="30"/>
      <c r="E995" s="31"/>
      <c r="F995" s="30"/>
      <c r="G995" s="30"/>
      <c r="H995" s="30"/>
      <c r="I995" s="30"/>
      <c r="J995" s="30"/>
      <c r="K995" s="30"/>
      <c r="L995" s="30"/>
      <c r="M995" s="30"/>
    </row>
    <row r="996" spans="1:13" s="14" customFormat="1" x14ac:dyDescent="0.25">
      <c r="A996" s="13"/>
      <c r="D996" s="30"/>
      <c r="E996" s="31"/>
      <c r="F996" s="30"/>
      <c r="G996" s="30"/>
      <c r="H996" s="30"/>
      <c r="I996" s="30"/>
      <c r="J996" s="30"/>
      <c r="K996" s="30"/>
      <c r="L996" s="30"/>
      <c r="M996" s="30"/>
    </row>
    <row r="997" spans="1:13" s="14" customFormat="1" x14ac:dyDescent="0.25">
      <c r="A997" s="13"/>
      <c r="D997" s="30"/>
      <c r="E997" s="31"/>
      <c r="F997" s="30"/>
      <c r="G997" s="30"/>
      <c r="H997" s="30"/>
      <c r="I997" s="30"/>
      <c r="J997" s="30"/>
      <c r="K997" s="30"/>
      <c r="L997" s="30"/>
      <c r="M997" s="30"/>
    </row>
    <row r="998" spans="1:13" s="14" customFormat="1" x14ac:dyDescent="0.25">
      <c r="A998" s="13"/>
      <c r="D998" s="30"/>
      <c r="E998" s="31"/>
      <c r="F998" s="30"/>
      <c r="G998" s="30"/>
      <c r="H998" s="30"/>
      <c r="I998" s="30"/>
      <c r="J998" s="30"/>
      <c r="K998" s="30"/>
      <c r="L998" s="30"/>
      <c r="M998" s="30"/>
    </row>
    <row r="999" spans="1:13" s="14" customFormat="1" x14ac:dyDescent="0.25">
      <c r="A999" s="13"/>
      <c r="D999" s="30"/>
      <c r="E999" s="31"/>
      <c r="F999" s="30"/>
      <c r="G999" s="30"/>
      <c r="H999" s="30"/>
      <c r="I999" s="30"/>
      <c r="J999" s="30"/>
      <c r="K999" s="30"/>
      <c r="L999" s="30"/>
      <c r="M999" s="30"/>
    </row>
    <row r="1000" spans="1:13" s="14" customFormat="1" x14ac:dyDescent="0.25">
      <c r="A1000" s="13"/>
      <c r="D1000" s="30"/>
      <c r="E1000" s="31"/>
      <c r="F1000" s="30"/>
      <c r="G1000" s="30"/>
      <c r="H1000" s="30"/>
      <c r="I1000" s="30"/>
      <c r="J1000" s="30"/>
      <c r="K1000" s="30"/>
      <c r="L1000" s="30"/>
      <c r="M1000" s="30"/>
    </row>
    <row r="1001" spans="1:13" s="14" customFormat="1" x14ac:dyDescent="0.25">
      <c r="A1001" s="13"/>
      <c r="D1001" s="30"/>
      <c r="E1001" s="31"/>
      <c r="F1001" s="30"/>
      <c r="G1001" s="30"/>
      <c r="H1001" s="30"/>
      <c r="I1001" s="30"/>
      <c r="J1001" s="30"/>
      <c r="K1001" s="30"/>
      <c r="L1001" s="30"/>
      <c r="M1001" s="30"/>
    </row>
    <row r="1002" spans="1:13" s="14" customFormat="1" x14ac:dyDescent="0.25">
      <c r="A1002" s="13"/>
      <c r="D1002" s="30"/>
      <c r="E1002" s="31"/>
      <c r="F1002" s="30"/>
      <c r="G1002" s="30"/>
      <c r="H1002" s="30"/>
      <c r="I1002" s="30"/>
      <c r="J1002" s="30"/>
      <c r="K1002" s="30"/>
      <c r="L1002" s="30"/>
      <c r="M1002" s="30"/>
    </row>
    <row r="1003" spans="1:13" s="14" customFormat="1" x14ac:dyDescent="0.25">
      <c r="A1003" s="13"/>
      <c r="D1003" s="30"/>
      <c r="E1003" s="31"/>
      <c r="F1003" s="30"/>
      <c r="G1003" s="30"/>
      <c r="H1003" s="30"/>
      <c r="I1003" s="30"/>
      <c r="J1003" s="30"/>
      <c r="K1003" s="30"/>
      <c r="L1003" s="30"/>
      <c r="M1003" s="30"/>
    </row>
    <row r="1004" spans="1:13" s="14" customFormat="1" x14ac:dyDescent="0.25">
      <c r="A1004" s="13"/>
      <c r="D1004" s="30"/>
      <c r="E1004" s="31"/>
      <c r="F1004" s="30"/>
      <c r="G1004" s="30"/>
      <c r="H1004" s="30"/>
      <c r="I1004" s="30"/>
      <c r="J1004" s="30"/>
      <c r="K1004" s="30"/>
      <c r="L1004" s="30"/>
      <c r="M1004" s="30"/>
    </row>
    <row r="1005" spans="1:13" s="14" customFormat="1" x14ac:dyDescent="0.25">
      <c r="A1005" s="13"/>
      <c r="D1005" s="30"/>
      <c r="E1005" s="31"/>
      <c r="F1005" s="30"/>
      <c r="G1005" s="30"/>
      <c r="H1005" s="30"/>
      <c r="I1005" s="30"/>
      <c r="J1005" s="30"/>
      <c r="K1005" s="30"/>
      <c r="L1005" s="30"/>
      <c r="M1005" s="30"/>
    </row>
    <row r="1006" spans="1:13" s="14" customFormat="1" x14ac:dyDescent="0.25">
      <c r="A1006" s="13"/>
      <c r="D1006" s="30"/>
      <c r="E1006" s="31"/>
      <c r="F1006" s="30"/>
      <c r="G1006" s="30"/>
      <c r="H1006" s="30"/>
      <c r="I1006" s="30"/>
      <c r="J1006" s="30"/>
      <c r="K1006" s="30"/>
      <c r="L1006" s="30"/>
      <c r="M1006" s="30"/>
    </row>
    <row r="1007" spans="1:13" s="14" customFormat="1" x14ac:dyDescent="0.25">
      <c r="A1007" s="13"/>
      <c r="D1007" s="30"/>
      <c r="E1007" s="31"/>
      <c r="F1007" s="30"/>
      <c r="G1007" s="30"/>
      <c r="H1007" s="30"/>
      <c r="I1007" s="30"/>
      <c r="J1007" s="30"/>
      <c r="K1007" s="30"/>
      <c r="L1007" s="30"/>
      <c r="M1007" s="30"/>
    </row>
    <row r="1008" spans="1:13" s="14" customFormat="1" x14ac:dyDescent="0.25">
      <c r="A1008" s="13"/>
      <c r="D1008" s="30"/>
      <c r="E1008" s="31"/>
      <c r="F1008" s="30"/>
      <c r="G1008" s="30"/>
      <c r="H1008" s="30"/>
      <c r="I1008" s="30"/>
      <c r="J1008" s="30"/>
      <c r="K1008" s="30"/>
      <c r="L1008" s="30"/>
      <c r="M1008" s="30"/>
    </row>
    <row r="1009" spans="1:13" s="14" customFormat="1" x14ac:dyDescent="0.25">
      <c r="A1009" s="13"/>
      <c r="D1009" s="30"/>
      <c r="E1009" s="31"/>
      <c r="F1009" s="30"/>
      <c r="G1009" s="30"/>
      <c r="H1009" s="30"/>
      <c r="I1009" s="30"/>
      <c r="J1009" s="30"/>
      <c r="K1009" s="30"/>
      <c r="L1009" s="30"/>
      <c r="M1009" s="30"/>
    </row>
    <row r="1010" spans="1:13" s="14" customFormat="1" x14ac:dyDescent="0.25">
      <c r="A1010" s="13"/>
      <c r="D1010" s="30"/>
      <c r="E1010" s="31"/>
      <c r="F1010" s="30"/>
      <c r="G1010" s="30"/>
      <c r="H1010" s="30"/>
      <c r="I1010" s="30"/>
      <c r="J1010" s="30"/>
      <c r="K1010" s="30"/>
      <c r="L1010" s="30"/>
      <c r="M1010" s="30"/>
    </row>
    <row r="1011" spans="1:13" s="14" customFormat="1" x14ac:dyDescent="0.25">
      <c r="A1011" s="13"/>
      <c r="D1011" s="30"/>
      <c r="E1011" s="31"/>
      <c r="F1011" s="30"/>
      <c r="G1011" s="30"/>
      <c r="H1011" s="30"/>
      <c r="I1011" s="30"/>
      <c r="J1011" s="30"/>
      <c r="K1011" s="30"/>
      <c r="L1011" s="30"/>
      <c r="M1011" s="30"/>
    </row>
    <row r="1012" spans="1:13" s="14" customFormat="1" x14ac:dyDescent="0.25">
      <c r="A1012" s="13"/>
      <c r="D1012" s="30"/>
      <c r="E1012" s="31"/>
      <c r="F1012" s="30"/>
      <c r="G1012" s="30"/>
      <c r="H1012" s="30"/>
      <c r="I1012" s="30"/>
      <c r="J1012" s="30"/>
      <c r="K1012" s="30"/>
      <c r="L1012" s="30"/>
      <c r="M1012" s="30"/>
    </row>
    <row r="1013" spans="1:13" s="14" customFormat="1" x14ac:dyDescent="0.25">
      <c r="A1013" s="13"/>
      <c r="D1013" s="30"/>
      <c r="E1013" s="31"/>
      <c r="F1013" s="30"/>
      <c r="G1013" s="30"/>
      <c r="H1013" s="30"/>
      <c r="I1013" s="30"/>
      <c r="J1013" s="30"/>
      <c r="K1013" s="30"/>
      <c r="L1013" s="30"/>
      <c r="M1013" s="30"/>
    </row>
    <row r="1014" spans="1:13" s="14" customFormat="1" x14ac:dyDescent="0.25">
      <c r="A1014" s="13"/>
      <c r="D1014" s="30"/>
      <c r="E1014" s="31"/>
      <c r="F1014" s="30"/>
      <c r="G1014" s="30"/>
      <c r="H1014" s="30"/>
      <c r="I1014" s="30"/>
      <c r="J1014" s="30"/>
      <c r="K1014" s="30"/>
      <c r="L1014" s="30"/>
      <c r="M1014" s="30"/>
    </row>
    <row r="1015" spans="1:13" s="14" customFormat="1" x14ac:dyDescent="0.25">
      <c r="A1015" s="13"/>
      <c r="D1015" s="30"/>
      <c r="E1015" s="31"/>
      <c r="F1015" s="30"/>
      <c r="G1015" s="30"/>
      <c r="H1015" s="30"/>
      <c r="I1015" s="30"/>
      <c r="J1015" s="30"/>
      <c r="K1015" s="30"/>
      <c r="L1015" s="30"/>
      <c r="M1015" s="30"/>
    </row>
    <row r="1016" spans="1:13" s="14" customFormat="1" x14ac:dyDescent="0.25">
      <c r="A1016" s="13"/>
      <c r="D1016" s="30"/>
      <c r="E1016" s="31"/>
      <c r="F1016" s="30"/>
      <c r="G1016" s="30"/>
      <c r="H1016" s="30"/>
      <c r="I1016" s="30"/>
      <c r="J1016" s="30"/>
      <c r="K1016" s="30"/>
      <c r="L1016" s="30"/>
      <c r="M1016" s="30"/>
    </row>
    <row r="1017" spans="1:13" s="14" customFormat="1" x14ac:dyDescent="0.25">
      <c r="A1017" s="13"/>
      <c r="D1017" s="30"/>
      <c r="E1017" s="31"/>
      <c r="F1017" s="30"/>
      <c r="G1017" s="30"/>
      <c r="H1017" s="30"/>
      <c r="I1017" s="30"/>
      <c r="J1017" s="30"/>
      <c r="K1017" s="30"/>
      <c r="L1017" s="30"/>
      <c r="M1017" s="30"/>
    </row>
    <row r="1018" spans="1:13" s="14" customFormat="1" x14ac:dyDescent="0.25">
      <c r="A1018" s="13"/>
      <c r="D1018" s="30"/>
      <c r="E1018" s="31"/>
      <c r="F1018" s="30"/>
      <c r="G1018" s="30"/>
      <c r="H1018" s="30"/>
      <c r="I1018" s="30"/>
      <c r="J1018" s="30"/>
      <c r="K1018" s="30"/>
      <c r="L1018" s="30"/>
      <c r="M1018" s="30"/>
    </row>
    <row r="1019" spans="1:13" s="14" customFormat="1" x14ac:dyDescent="0.25">
      <c r="A1019" s="13"/>
      <c r="D1019" s="30"/>
      <c r="E1019" s="31"/>
      <c r="F1019" s="30"/>
      <c r="G1019" s="30"/>
      <c r="H1019" s="30"/>
      <c r="I1019" s="30"/>
      <c r="J1019" s="30"/>
      <c r="K1019" s="30"/>
      <c r="L1019" s="30"/>
      <c r="M1019" s="30"/>
    </row>
    <row r="1020" spans="1:13" s="14" customFormat="1" x14ac:dyDescent="0.25">
      <c r="A1020" s="13"/>
      <c r="D1020" s="30"/>
      <c r="E1020" s="31"/>
      <c r="F1020" s="30"/>
      <c r="G1020" s="30"/>
      <c r="H1020" s="30"/>
      <c r="I1020" s="30"/>
      <c r="J1020" s="30"/>
      <c r="K1020" s="30"/>
      <c r="L1020" s="30"/>
      <c r="M1020" s="30"/>
    </row>
    <row r="1021" spans="1:13" s="14" customFormat="1" x14ac:dyDescent="0.25">
      <c r="A1021" s="13"/>
      <c r="D1021" s="30"/>
      <c r="E1021" s="31"/>
      <c r="F1021" s="30"/>
      <c r="G1021" s="30"/>
      <c r="H1021" s="30"/>
      <c r="I1021" s="30"/>
      <c r="J1021" s="30"/>
      <c r="K1021" s="30"/>
      <c r="L1021" s="30"/>
      <c r="M1021" s="30"/>
    </row>
    <row r="1022" spans="1:13" s="14" customFormat="1" x14ac:dyDescent="0.25">
      <c r="A1022" s="13"/>
      <c r="D1022" s="30"/>
      <c r="E1022" s="31"/>
      <c r="F1022" s="30"/>
      <c r="G1022" s="30"/>
      <c r="H1022" s="30"/>
      <c r="I1022" s="30"/>
      <c r="J1022" s="30"/>
      <c r="K1022" s="30"/>
      <c r="L1022" s="30"/>
      <c r="M1022" s="30"/>
    </row>
    <row r="1023" spans="1:13" s="14" customFormat="1" x14ac:dyDescent="0.25">
      <c r="A1023" s="13"/>
      <c r="D1023" s="30"/>
      <c r="E1023" s="31"/>
      <c r="F1023" s="30"/>
      <c r="G1023" s="30"/>
      <c r="H1023" s="30"/>
      <c r="I1023" s="30"/>
      <c r="J1023" s="30"/>
      <c r="K1023" s="30"/>
      <c r="L1023" s="30"/>
      <c r="M1023" s="30"/>
    </row>
    <row r="1024" spans="1:13" s="14" customFormat="1" x14ac:dyDescent="0.25">
      <c r="A1024" s="13"/>
      <c r="D1024" s="30"/>
      <c r="E1024" s="31"/>
      <c r="F1024" s="30"/>
      <c r="G1024" s="30"/>
      <c r="H1024" s="30"/>
      <c r="I1024" s="30"/>
      <c r="J1024" s="30"/>
      <c r="K1024" s="30"/>
      <c r="L1024" s="30"/>
      <c r="M1024" s="30"/>
    </row>
    <row r="1025" spans="1:13" s="14" customFormat="1" x14ac:dyDescent="0.25">
      <c r="A1025" s="13"/>
      <c r="D1025" s="30"/>
      <c r="E1025" s="31"/>
      <c r="F1025" s="30"/>
      <c r="G1025" s="30"/>
      <c r="H1025" s="30"/>
      <c r="I1025" s="30"/>
      <c r="J1025" s="30"/>
      <c r="K1025" s="30"/>
      <c r="L1025" s="30"/>
      <c r="M1025" s="30"/>
    </row>
    <row r="1026" spans="1:13" s="14" customFormat="1" x14ac:dyDescent="0.25">
      <c r="A1026" s="13"/>
      <c r="D1026" s="30"/>
      <c r="E1026" s="31"/>
      <c r="F1026" s="30"/>
      <c r="G1026" s="30"/>
      <c r="H1026" s="30"/>
      <c r="I1026" s="30"/>
      <c r="J1026" s="30"/>
      <c r="K1026" s="30"/>
      <c r="L1026" s="30"/>
      <c r="M1026" s="30"/>
    </row>
    <row r="1027" spans="1:13" s="14" customFormat="1" x14ac:dyDescent="0.25">
      <c r="A1027" s="13"/>
      <c r="D1027" s="30"/>
      <c r="E1027" s="31"/>
      <c r="F1027" s="30"/>
      <c r="G1027" s="30"/>
      <c r="H1027" s="30"/>
      <c r="I1027" s="30"/>
      <c r="J1027" s="30"/>
      <c r="K1027" s="30"/>
      <c r="L1027" s="30"/>
      <c r="M1027" s="30"/>
    </row>
    <row r="1028" spans="1:13" s="14" customFormat="1" x14ac:dyDescent="0.25">
      <c r="A1028" s="13"/>
      <c r="D1028" s="30"/>
      <c r="E1028" s="31"/>
      <c r="F1028" s="30"/>
      <c r="G1028" s="30"/>
      <c r="H1028" s="30"/>
      <c r="I1028" s="30"/>
      <c r="J1028" s="30"/>
      <c r="K1028" s="30"/>
      <c r="L1028" s="30"/>
      <c r="M1028" s="30"/>
    </row>
    <row r="1029" spans="1:13" s="14" customFormat="1" x14ac:dyDescent="0.25">
      <c r="A1029" s="13"/>
      <c r="D1029" s="30"/>
      <c r="E1029" s="31"/>
      <c r="F1029" s="30"/>
      <c r="G1029" s="30"/>
      <c r="H1029" s="30"/>
      <c r="I1029" s="30"/>
      <c r="J1029" s="30"/>
      <c r="K1029" s="30"/>
      <c r="L1029" s="30"/>
      <c r="M1029" s="30"/>
    </row>
    <row r="1030" spans="1:13" s="14" customFormat="1" x14ac:dyDescent="0.25">
      <c r="A1030" s="13"/>
      <c r="D1030" s="30"/>
      <c r="E1030" s="31"/>
      <c r="F1030" s="30"/>
      <c r="G1030" s="30"/>
      <c r="H1030" s="30"/>
      <c r="I1030" s="30"/>
      <c r="J1030" s="30"/>
      <c r="K1030" s="30"/>
      <c r="L1030" s="30"/>
      <c r="M1030" s="30"/>
    </row>
    <row r="1031" spans="1:13" s="14" customFormat="1" x14ac:dyDescent="0.25">
      <c r="A1031" s="13"/>
      <c r="D1031" s="30"/>
      <c r="E1031" s="31"/>
      <c r="F1031" s="30"/>
      <c r="G1031" s="30"/>
      <c r="H1031" s="30"/>
      <c r="I1031" s="30"/>
      <c r="J1031" s="30"/>
      <c r="K1031" s="30"/>
      <c r="L1031" s="30"/>
      <c r="M1031" s="30"/>
    </row>
    <row r="1032" spans="1:13" s="14" customFormat="1" x14ac:dyDescent="0.25">
      <c r="A1032" s="13"/>
      <c r="D1032" s="30"/>
      <c r="E1032" s="31"/>
      <c r="F1032" s="30"/>
      <c r="G1032" s="30"/>
      <c r="H1032" s="30"/>
      <c r="I1032" s="30"/>
      <c r="J1032" s="30"/>
      <c r="K1032" s="30"/>
      <c r="L1032" s="30"/>
      <c r="M1032" s="30"/>
    </row>
    <row r="1033" spans="1:13" s="14" customFormat="1" x14ac:dyDescent="0.25">
      <c r="A1033" s="13"/>
      <c r="D1033" s="30"/>
      <c r="E1033" s="31"/>
      <c r="F1033" s="30"/>
      <c r="G1033" s="30"/>
      <c r="H1033" s="30"/>
      <c r="I1033" s="30"/>
      <c r="J1033" s="30"/>
      <c r="K1033" s="30"/>
      <c r="L1033" s="30"/>
      <c r="M1033" s="30"/>
    </row>
    <row r="1034" spans="1:13" s="14" customFormat="1" x14ac:dyDescent="0.25">
      <c r="A1034" s="13"/>
      <c r="D1034" s="30"/>
      <c r="E1034" s="31"/>
      <c r="F1034" s="30"/>
      <c r="G1034" s="30"/>
      <c r="H1034" s="30"/>
      <c r="I1034" s="30"/>
      <c r="J1034" s="30"/>
      <c r="K1034" s="30"/>
      <c r="L1034" s="30"/>
      <c r="M1034" s="30"/>
    </row>
    <row r="1035" spans="1:13" s="14" customFormat="1" x14ac:dyDescent="0.25">
      <c r="A1035" s="13"/>
      <c r="D1035" s="30"/>
      <c r="E1035" s="31"/>
      <c r="F1035" s="30"/>
      <c r="G1035" s="30"/>
      <c r="H1035" s="30"/>
      <c r="I1035" s="30"/>
      <c r="J1035" s="30"/>
      <c r="K1035" s="30"/>
      <c r="L1035" s="30"/>
      <c r="M1035" s="30"/>
    </row>
    <row r="1036" spans="1:13" s="14" customFormat="1" x14ac:dyDescent="0.25">
      <c r="A1036" s="13"/>
      <c r="D1036" s="30"/>
      <c r="E1036" s="31"/>
      <c r="F1036" s="30"/>
      <c r="G1036" s="30"/>
      <c r="H1036" s="30"/>
      <c r="I1036" s="30"/>
      <c r="J1036" s="30"/>
      <c r="K1036" s="30"/>
      <c r="L1036" s="30"/>
      <c r="M1036" s="30"/>
    </row>
    <row r="1037" spans="1:13" s="14" customFormat="1" x14ac:dyDescent="0.25">
      <c r="A1037" s="13"/>
      <c r="D1037" s="30"/>
      <c r="E1037" s="31"/>
      <c r="F1037" s="30"/>
      <c r="G1037" s="30"/>
      <c r="H1037" s="30"/>
      <c r="I1037" s="30"/>
      <c r="J1037" s="30"/>
      <c r="K1037" s="30"/>
      <c r="L1037" s="30"/>
      <c r="M1037" s="30"/>
    </row>
    <row r="1038" spans="1:13" s="14" customFormat="1" x14ac:dyDescent="0.25">
      <c r="A1038" s="13"/>
      <c r="D1038" s="30"/>
      <c r="E1038" s="31"/>
      <c r="F1038" s="30"/>
      <c r="G1038" s="30"/>
      <c r="H1038" s="30"/>
      <c r="I1038" s="30"/>
      <c r="J1038" s="30"/>
      <c r="K1038" s="30"/>
      <c r="L1038" s="30"/>
      <c r="M1038" s="30"/>
    </row>
    <row r="1039" spans="1:13" s="14" customFormat="1" x14ac:dyDescent="0.25">
      <c r="A1039" s="13"/>
      <c r="D1039" s="30"/>
      <c r="E1039" s="31"/>
      <c r="F1039" s="30"/>
      <c r="G1039" s="30"/>
      <c r="H1039" s="30"/>
      <c r="I1039" s="30"/>
      <c r="J1039" s="30"/>
      <c r="K1039" s="30"/>
      <c r="L1039" s="30"/>
      <c r="M1039" s="30"/>
    </row>
    <row r="1040" spans="1:13" s="14" customFormat="1" x14ac:dyDescent="0.25">
      <c r="A1040" s="13"/>
      <c r="D1040" s="30"/>
      <c r="E1040" s="31"/>
      <c r="F1040" s="30"/>
      <c r="G1040" s="30"/>
      <c r="H1040" s="30"/>
      <c r="I1040" s="30"/>
      <c r="J1040" s="30"/>
      <c r="K1040" s="30"/>
      <c r="L1040" s="30"/>
      <c r="M1040" s="30"/>
    </row>
    <row r="1041" spans="1:13" s="14" customFormat="1" x14ac:dyDescent="0.25">
      <c r="A1041" s="13"/>
      <c r="D1041" s="30"/>
      <c r="E1041" s="31"/>
      <c r="F1041" s="30"/>
      <c r="G1041" s="30"/>
      <c r="H1041" s="30"/>
      <c r="I1041" s="30"/>
      <c r="J1041" s="30"/>
      <c r="K1041" s="30"/>
      <c r="L1041" s="30"/>
      <c r="M1041" s="30"/>
    </row>
    <row r="1042" spans="1:13" s="14" customFormat="1" x14ac:dyDescent="0.25">
      <c r="A1042" s="13"/>
      <c r="D1042" s="30"/>
      <c r="E1042" s="31"/>
      <c r="F1042" s="30"/>
      <c r="G1042" s="30"/>
      <c r="H1042" s="30"/>
      <c r="I1042" s="30"/>
      <c r="J1042" s="30"/>
      <c r="K1042" s="30"/>
      <c r="L1042" s="30"/>
      <c r="M1042" s="30"/>
    </row>
    <row r="1043" spans="1:13" s="14" customFormat="1" x14ac:dyDescent="0.25">
      <c r="A1043" s="13"/>
      <c r="D1043" s="30"/>
      <c r="E1043" s="31"/>
      <c r="F1043" s="30"/>
      <c r="G1043" s="30"/>
      <c r="H1043" s="30"/>
      <c r="I1043" s="30"/>
      <c r="J1043" s="30"/>
      <c r="K1043" s="30"/>
      <c r="L1043" s="30"/>
      <c r="M1043" s="30"/>
    </row>
    <row r="1044" spans="1:13" s="14" customFormat="1" x14ac:dyDescent="0.25">
      <c r="A1044" s="13"/>
      <c r="D1044" s="30"/>
      <c r="E1044" s="31"/>
      <c r="F1044" s="30"/>
      <c r="G1044" s="30"/>
      <c r="H1044" s="30"/>
      <c r="I1044" s="30"/>
      <c r="J1044" s="30"/>
      <c r="K1044" s="30"/>
      <c r="L1044" s="30"/>
      <c r="M1044" s="30"/>
    </row>
    <row r="1045" spans="1:13" s="14" customFormat="1" x14ac:dyDescent="0.25">
      <c r="A1045" s="13"/>
      <c r="D1045" s="30"/>
      <c r="E1045" s="31"/>
      <c r="F1045" s="30"/>
      <c r="G1045" s="30"/>
      <c r="H1045" s="30"/>
      <c r="I1045" s="30"/>
      <c r="J1045" s="30"/>
      <c r="K1045" s="30"/>
      <c r="L1045" s="30"/>
      <c r="M1045" s="30"/>
    </row>
    <row r="1046" spans="1:13" s="14" customFormat="1" x14ac:dyDescent="0.25">
      <c r="A1046" s="13"/>
      <c r="D1046" s="30"/>
      <c r="E1046" s="31"/>
      <c r="F1046" s="30"/>
      <c r="G1046" s="30"/>
      <c r="H1046" s="30"/>
      <c r="I1046" s="30"/>
      <c r="J1046" s="30"/>
      <c r="K1046" s="30"/>
      <c r="L1046" s="30"/>
      <c r="M1046" s="30"/>
    </row>
    <row r="1047" spans="1:13" s="14" customFormat="1" x14ac:dyDescent="0.25">
      <c r="A1047" s="13"/>
      <c r="D1047" s="30"/>
      <c r="E1047" s="31"/>
      <c r="F1047" s="30"/>
      <c r="G1047" s="30"/>
      <c r="H1047" s="30"/>
      <c r="I1047" s="30"/>
      <c r="J1047" s="30"/>
      <c r="K1047" s="30"/>
      <c r="L1047" s="30"/>
      <c r="M1047" s="30"/>
    </row>
    <row r="1048" spans="1:13" s="14" customFormat="1" x14ac:dyDescent="0.25">
      <c r="A1048" s="13"/>
      <c r="D1048" s="30"/>
      <c r="E1048" s="31"/>
      <c r="F1048" s="30"/>
      <c r="G1048" s="30"/>
      <c r="H1048" s="30"/>
      <c r="I1048" s="30"/>
      <c r="J1048" s="30"/>
      <c r="K1048" s="30"/>
      <c r="L1048" s="30"/>
      <c r="M1048" s="30"/>
    </row>
    <row r="1049" spans="1:13" s="14" customFormat="1" x14ac:dyDescent="0.25">
      <c r="A1049" s="13"/>
      <c r="D1049" s="30"/>
      <c r="E1049" s="31"/>
      <c r="F1049" s="30"/>
      <c r="G1049" s="30"/>
      <c r="H1049" s="30"/>
      <c r="I1049" s="30"/>
      <c r="J1049" s="30"/>
      <c r="K1049" s="30"/>
      <c r="L1049" s="30"/>
      <c r="M1049" s="30"/>
    </row>
    <row r="1050" spans="1:13" s="14" customFormat="1" x14ac:dyDescent="0.25">
      <c r="A1050" s="13"/>
      <c r="D1050" s="30"/>
      <c r="E1050" s="31"/>
      <c r="F1050" s="30"/>
      <c r="G1050" s="30"/>
      <c r="H1050" s="30"/>
      <c r="I1050" s="30"/>
      <c r="J1050" s="30"/>
      <c r="K1050" s="30"/>
      <c r="L1050" s="30"/>
      <c r="M1050" s="30"/>
    </row>
    <row r="1051" spans="1:13" s="14" customFormat="1" x14ac:dyDescent="0.25">
      <c r="A1051" s="13"/>
      <c r="D1051" s="30"/>
      <c r="E1051" s="31"/>
      <c r="F1051" s="30"/>
      <c r="G1051" s="30"/>
      <c r="H1051" s="30"/>
      <c r="I1051" s="30"/>
      <c r="J1051" s="30"/>
      <c r="K1051" s="30"/>
      <c r="L1051" s="30"/>
      <c r="M1051" s="30"/>
    </row>
    <row r="1052" spans="1:13" s="14" customFormat="1" x14ac:dyDescent="0.25">
      <c r="A1052" s="13"/>
      <c r="D1052" s="30"/>
      <c r="E1052" s="31"/>
      <c r="F1052" s="30"/>
      <c r="G1052" s="30"/>
      <c r="H1052" s="30"/>
      <c r="I1052" s="30"/>
      <c r="J1052" s="30"/>
      <c r="K1052" s="30"/>
      <c r="L1052" s="30"/>
      <c r="M1052" s="30"/>
    </row>
    <row r="1053" spans="1:13" s="14" customFormat="1" x14ac:dyDescent="0.25">
      <c r="A1053" s="13"/>
      <c r="D1053" s="30"/>
      <c r="E1053" s="31"/>
      <c r="F1053" s="30"/>
      <c r="G1053" s="30"/>
      <c r="H1053" s="30"/>
      <c r="I1053" s="30"/>
      <c r="J1053" s="30"/>
      <c r="K1053" s="30"/>
      <c r="L1053" s="30"/>
      <c r="M1053" s="30"/>
    </row>
    <row r="1054" spans="1:13" s="14" customFormat="1" x14ac:dyDescent="0.25">
      <c r="A1054" s="13"/>
      <c r="D1054" s="30"/>
      <c r="E1054" s="31"/>
      <c r="F1054" s="30"/>
      <c r="G1054" s="30"/>
      <c r="H1054" s="30"/>
      <c r="I1054" s="30"/>
      <c r="J1054" s="30"/>
      <c r="K1054" s="30"/>
      <c r="L1054" s="30"/>
      <c r="M1054" s="30"/>
    </row>
    <row r="1055" spans="1:13" s="14" customFormat="1" x14ac:dyDescent="0.25">
      <c r="A1055" s="13"/>
      <c r="D1055" s="30"/>
      <c r="E1055" s="31"/>
      <c r="F1055" s="30"/>
      <c r="G1055" s="30"/>
      <c r="H1055" s="30"/>
      <c r="I1055" s="30"/>
      <c r="J1055" s="30"/>
      <c r="K1055" s="30"/>
      <c r="L1055" s="30"/>
      <c r="M1055" s="30"/>
    </row>
    <row r="1056" spans="1:13" s="14" customFormat="1" x14ac:dyDescent="0.25">
      <c r="A1056" s="13"/>
      <c r="D1056" s="30"/>
      <c r="E1056" s="31"/>
      <c r="F1056" s="30"/>
      <c r="G1056" s="30"/>
      <c r="H1056" s="30"/>
      <c r="I1056" s="30"/>
      <c r="J1056" s="30"/>
      <c r="K1056" s="30"/>
      <c r="L1056" s="30"/>
      <c r="M1056" s="30"/>
    </row>
    <row r="1057" spans="1:13" s="14" customFormat="1" x14ac:dyDescent="0.25">
      <c r="A1057" s="13"/>
      <c r="D1057" s="30"/>
      <c r="E1057" s="31"/>
      <c r="F1057" s="30"/>
      <c r="G1057" s="30"/>
      <c r="H1057" s="30"/>
      <c r="I1057" s="30"/>
      <c r="J1057" s="30"/>
      <c r="K1057" s="30"/>
      <c r="L1057" s="30"/>
      <c r="M1057" s="30"/>
    </row>
    <row r="1058" spans="1:13" s="14" customFormat="1" x14ac:dyDescent="0.25">
      <c r="A1058" s="13"/>
      <c r="D1058" s="30"/>
      <c r="E1058" s="31"/>
      <c r="F1058" s="30"/>
      <c r="G1058" s="30"/>
      <c r="H1058" s="30"/>
      <c r="I1058" s="30"/>
      <c r="J1058" s="30"/>
      <c r="K1058" s="30"/>
      <c r="L1058" s="30"/>
      <c r="M1058" s="30"/>
    </row>
    <row r="1059" spans="1:13" s="14" customFormat="1" x14ac:dyDescent="0.25">
      <c r="A1059" s="13"/>
      <c r="D1059" s="30"/>
      <c r="E1059" s="31"/>
      <c r="F1059" s="30"/>
      <c r="G1059" s="30"/>
      <c r="H1059" s="30"/>
      <c r="I1059" s="30"/>
      <c r="J1059" s="30"/>
      <c r="K1059" s="30"/>
      <c r="L1059" s="30"/>
      <c r="M1059" s="30"/>
    </row>
    <row r="1060" spans="1:13" s="14" customFormat="1" x14ac:dyDescent="0.25">
      <c r="A1060" s="13"/>
      <c r="D1060" s="30"/>
      <c r="E1060" s="31"/>
      <c r="F1060" s="30"/>
      <c r="G1060" s="30"/>
      <c r="H1060" s="30"/>
      <c r="I1060" s="30"/>
      <c r="J1060" s="30"/>
      <c r="K1060" s="30"/>
      <c r="L1060" s="30"/>
      <c r="M1060" s="30"/>
    </row>
    <row r="1061" spans="1:13" s="14" customFormat="1" x14ac:dyDescent="0.25">
      <c r="A1061" s="13"/>
      <c r="D1061" s="30"/>
      <c r="E1061" s="31"/>
      <c r="F1061" s="30"/>
      <c r="G1061" s="30"/>
      <c r="H1061" s="30"/>
      <c r="I1061" s="30"/>
      <c r="J1061" s="30"/>
      <c r="K1061" s="30"/>
      <c r="L1061" s="30"/>
      <c r="M1061" s="30"/>
    </row>
    <row r="1062" spans="1:13" s="14" customFormat="1" x14ac:dyDescent="0.25">
      <c r="A1062" s="13"/>
      <c r="D1062" s="30"/>
      <c r="E1062" s="31"/>
      <c r="F1062" s="30"/>
      <c r="G1062" s="30"/>
      <c r="H1062" s="30"/>
      <c r="I1062" s="30"/>
      <c r="J1062" s="30"/>
      <c r="K1062" s="30"/>
      <c r="L1062" s="30"/>
      <c r="M1062" s="30"/>
    </row>
    <row r="1063" spans="1:13" s="14" customFormat="1" x14ac:dyDescent="0.25">
      <c r="A1063" s="13"/>
      <c r="D1063" s="30"/>
      <c r="E1063" s="31"/>
      <c r="F1063" s="30"/>
      <c r="G1063" s="30"/>
      <c r="H1063" s="30"/>
      <c r="I1063" s="30"/>
      <c r="J1063" s="30"/>
      <c r="K1063" s="30"/>
      <c r="L1063" s="30"/>
      <c r="M1063" s="30"/>
    </row>
    <row r="1064" spans="1:13" s="14" customFormat="1" x14ac:dyDescent="0.25">
      <c r="A1064" s="13"/>
      <c r="D1064" s="30"/>
      <c r="E1064" s="31"/>
      <c r="F1064" s="30"/>
      <c r="G1064" s="30"/>
      <c r="H1064" s="30"/>
      <c r="I1064" s="30"/>
      <c r="J1064" s="30"/>
      <c r="K1064" s="30"/>
      <c r="L1064" s="30"/>
      <c r="M1064" s="30"/>
    </row>
    <row r="1065" spans="1:13" s="14" customFormat="1" x14ac:dyDescent="0.25">
      <c r="A1065" s="13"/>
      <c r="D1065" s="30"/>
      <c r="E1065" s="31"/>
      <c r="F1065" s="30"/>
      <c r="G1065" s="30"/>
      <c r="H1065" s="30"/>
      <c r="I1065" s="30"/>
      <c r="J1065" s="30"/>
      <c r="K1065" s="30"/>
      <c r="L1065" s="30"/>
      <c r="M1065" s="30"/>
    </row>
    <row r="1066" spans="1:13" s="14" customFormat="1" x14ac:dyDescent="0.25">
      <c r="A1066" s="13"/>
      <c r="D1066" s="30"/>
      <c r="E1066" s="31"/>
      <c r="F1066" s="30"/>
      <c r="G1066" s="30"/>
      <c r="H1066" s="30"/>
      <c r="I1066" s="30"/>
      <c r="J1066" s="30"/>
      <c r="K1066" s="30"/>
      <c r="L1066" s="30"/>
      <c r="M1066" s="30"/>
    </row>
    <row r="1067" spans="1:13" s="14" customFormat="1" x14ac:dyDescent="0.25">
      <c r="A1067" s="13"/>
      <c r="D1067" s="30"/>
      <c r="E1067" s="31"/>
      <c r="F1067" s="30"/>
      <c r="G1067" s="30"/>
      <c r="H1067" s="30"/>
      <c r="I1067" s="30"/>
      <c r="J1067" s="30"/>
      <c r="K1067" s="30"/>
      <c r="L1067" s="30"/>
      <c r="M1067" s="30"/>
    </row>
    <row r="1068" spans="1:13" s="14" customFormat="1" x14ac:dyDescent="0.25">
      <c r="A1068" s="13"/>
      <c r="D1068" s="30"/>
      <c r="E1068" s="31"/>
      <c r="F1068" s="30"/>
      <c r="G1068" s="30"/>
      <c r="H1068" s="30"/>
      <c r="I1068" s="30"/>
      <c r="J1068" s="30"/>
      <c r="K1068" s="30"/>
      <c r="L1068" s="30"/>
      <c r="M1068" s="30"/>
    </row>
    <row r="1069" spans="1:13" s="14" customFormat="1" x14ac:dyDescent="0.25">
      <c r="A1069" s="13"/>
      <c r="D1069" s="30"/>
      <c r="E1069" s="31"/>
      <c r="F1069" s="30"/>
      <c r="G1069" s="30"/>
      <c r="H1069" s="30"/>
      <c r="I1069" s="30"/>
      <c r="J1069" s="30"/>
      <c r="K1069" s="30"/>
      <c r="L1069" s="30"/>
      <c r="M1069" s="30"/>
    </row>
    <row r="1070" spans="1:13" s="14" customFormat="1" x14ac:dyDescent="0.25">
      <c r="A1070" s="13"/>
      <c r="D1070" s="30"/>
      <c r="E1070" s="31"/>
      <c r="F1070" s="30"/>
      <c r="G1070" s="30"/>
      <c r="H1070" s="30"/>
      <c r="I1070" s="30"/>
      <c r="J1070" s="30"/>
      <c r="K1070" s="30"/>
      <c r="L1070" s="30"/>
      <c r="M1070" s="30"/>
    </row>
    <row r="1071" spans="1:13" s="14" customFormat="1" x14ac:dyDescent="0.25">
      <c r="A1071" s="13"/>
      <c r="D1071" s="30"/>
      <c r="E1071" s="31"/>
      <c r="F1071" s="30"/>
      <c r="G1071" s="30"/>
      <c r="H1071" s="30"/>
      <c r="I1071" s="30"/>
      <c r="J1071" s="30"/>
      <c r="K1071" s="30"/>
      <c r="L1071" s="30"/>
      <c r="M1071" s="30"/>
    </row>
    <row r="1072" spans="1:13" s="14" customFormat="1" x14ac:dyDescent="0.25">
      <c r="A1072" s="13"/>
      <c r="D1072" s="30"/>
      <c r="E1072" s="31"/>
      <c r="F1072" s="30"/>
      <c r="G1072" s="30"/>
      <c r="H1072" s="30"/>
      <c r="I1072" s="30"/>
      <c r="J1072" s="30"/>
      <c r="K1072" s="30"/>
      <c r="L1072" s="30"/>
      <c r="M1072" s="30"/>
    </row>
    <row r="1073" spans="1:13" s="14" customFormat="1" x14ac:dyDescent="0.25">
      <c r="A1073" s="13"/>
      <c r="D1073" s="30"/>
      <c r="E1073" s="31"/>
      <c r="F1073" s="30"/>
      <c r="G1073" s="30"/>
      <c r="H1073" s="30"/>
      <c r="I1073" s="30"/>
      <c r="J1073" s="30"/>
      <c r="K1073" s="30"/>
      <c r="L1073" s="30"/>
      <c r="M1073" s="30"/>
    </row>
    <row r="1074" spans="1:13" s="14" customFormat="1" x14ac:dyDescent="0.25">
      <c r="A1074" s="13"/>
      <c r="D1074" s="30"/>
      <c r="E1074" s="31"/>
      <c r="F1074" s="30"/>
      <c r="G1074" s="30"/>
      <c r="H1074" s="30"/>
      <c r="I1074" s="30"/>
      <c r="J1074" s="30"/>
      <c r="K1074" s="30"/>
      <c r="L1074" s="30"/>
      <c r="M1074" s="30"/>
    </row>
    <row r="1075" spans="1:13" s="14" customFormat="1" x14ac:dyDescent="0.25">
      <c r="A1075" s="13"/>
      <c r="D1075" s="30"/>
      <c r="E1075" s="31"/>
      <c r="F1075" s="30"/>
      <c r="G1075" s="30"/>
      <c r="H1075" s="30"/>
      <c r="I1075" s="30"/>
      <c r="J1075" s="30"/>
      <c r="K1075" s="30"/>
      <c r="L1075" s="30"/>
      <c r="M1075" s="30"/>
    </row>
    <row r="1076" spans="1:13" s="14" customFormat="1" x14ac:dyDescent="0.25">
      <c r="A1076" s="13"/>
      <c r="D1076" s="30"/>
      <c r="E1076" s="31"/>
      <c r="F1076" s="30"/>
      <c r="G1076" s="30"/>
      <c r="H1076" s="30"/>
      <c r="I1076" s="30"/>
      <c r="J1076" s="30"/>
      <c r="K1076" s="30"/>
      <c r="L1076" s="30"/>
      <c r="M1076" s="30"/>
    </row>
    <row r="1077" spans="1:13" s="14" customFormat="1" x14ac:dyDescent="0.25">
      <c r="A1077" s="13"/>
      <c r="D1077" s="30"/>
      <c r="E1077" s="31"/>
      <c r="F1077" s="30"/>
      <c r="G1077" s="30"/>
      <c r="H1077" s="30"/>
      <c r="I1077" s="30"/>
      <c r="J1077" s="30"/>
      <c r="K1077" s="30"/>
      <c r="L1077" s="30"/>
      <c r="M1077" s="30"/>
    </row>
    <row r="1078" spans="1:13" s="14" customFormat="1" x14ac:dyDescent="0.25">
      <c r="A1078" s="13"/>
      <c r="D1078" s="30"/>
      <c r="E1078" s="31"/>
      <c r="F1078" s="30"/>
      <c r="G1078" s="30"/>
      <c r="H1078" s="30"/>
      <c r="I1078" s="30"/>
      <c r="J1078" s="30"/>
      <c r="K1078" s="30"/>
      <c r="L1078" s="30"/>
      <c r="M1078" s="30"/>
    </row>
    <row r="1079" spans="1:13" s="14" customFormat="1" x14ac:dyDescent="0.25">
      <c r="A1079" s="13"/>
      <c r="D1079" s="30"/>
      <c r="E1079" s="31"/>
      <c r="F1079" s="30"/>
      <c r="G1079" s="30"/>
      <c r="H1079" s="30"/>
      <c r="I1079" s="30"/>
      <c r="J1079" s="30"/>
      <c r="K1079" s="30"/>
      <c r="L1079" s="30"/>
      <c r="M1079" s="30"/>
    </row>
    <row r="1080" spans="1:13" s="14" customFormat="1" x14ac:dyDescent="0.25">
      <c r="A1080" s="13"/>
      <c r="D1080" s="30"/>
      <c r="E1080" s="31"/>
      <c r="F1080" s="30"/>
      <c r="G1080" s="30"/>
      <c r="H1080" s="30"/>
      <c r="I1080" s="30"/>
      <c r="J1080" s="30"/>
      <c r="K1080" s="30"/>
      <c r="L1080" s="30"/>
      <c r="M1080" s="30"/>
    </row>
    <row r="1081" spans="1:13" s="14" customFormat="1" x14ac:dyDescent="0.25">
      <c r="A1081" s="13"/>
      <c r="D1081" s="30"/>
      <c r="E1081" s="31"/>
      <c r="F1081" s="30"/>
      <c r="G1081" s="30"/>
      <c r="H1081" s="30"/>
      <c r="I1081" s="30"/>
      <c r="J1081" s="30"/>
      <c r="K1081" s="30"/>
      <c r="L1081" s="30"/>
      <c r="M1081" s="30"/>
    </row>
    <row r="1082" spans="1:13" s="14" customFormat="1" x14ac:dyDescent="0.25">
      <c r="A1082" s="13"/>
      <c r="D1082" s="30"/>
      <c r="E1082" s="31"/>
      <c r="F1082" s="30"/>
      <c r="G1082" s="30"/>
      <c r="H1082" s="30"/>
      <c r="I1082" s="30"/>
      <c r="J1082" s="30"/>
      <c r="K1082" s="30"/>
      <c r="L1082" s="30"/>
      <c r="M1082" s="30"/>
    </row>
    <row r="1083" spans="1:13" s="14" customFormat="1" x14ac:dyDescent="0.25">
      <c r="A1083" s="13"/>
      <c r="D1083" s="30"/>
      <c r="E1083" s="31"/>
      <c r="F1083" s="30"/>
      <c r="G1083" s="30"/>
      <c r="H1083" s="30"/>
      <c r="I1083" s="30"/>
      <c r="J1083" s="30"/>
      <c r="K1083" s="30"/>
      <c r="L1083" s="30"/>
      <c r="M1083" s="30"/>
    </row>
    <row r="1084" spans="1:13" s="14" customFormat="1" x14ac:dyDescent="0.25">
      <c r="A1084" s="13"/>
      <c r="D1084" s="30"/>
      <c r="E1084" s="31"/>
      <c r="F1084" s="30"/>
      <c r="G1084" s="30"/>
      <c r="H1084" s="30"/>
      <c r="I1084" s="30"/>
      <c r="J1084" s="30"/>
      <c r="K1084" s="30"/>
      <c r="L1084" s="30"/>
      <c r="M1084" s="30"/>
    </row>
    <row r="1085" spans="1:13" s="14" customFormat="1" x14ac:dyDescent="0.25">
      <c r="A1085" s="13"/>
      <c r="D1085" s="30"/>
      <c r="E1085" s="31"/>
      <c r="F1085" s="30"/>
      <c r="G1085" s="30"/>
      <c r="H1085" s="30"/>
      <c r="I1085" s="30"/>
      <c r="J1085" s="30"/>
      <c r="K1085" s="30"/>
      <c r="L1085" s="30"/>
      <c r="M1085" s="30"/>
    </row>
    <row r="1086" spans="1:13" s="14" customFormat="1" x14ac:dyDescent="0.25">
      <c r="A1086" s="13"/>
      <c r="D1086" s="30"/>
      <c r="E1086" s="31"/>
      <c r="F1086" s="30"/>
      <c r="G1086" s="30"/>
      <c r="H1086" s="30"/>
      <c r="I1086" s="30"/>
      <c r="J1086" s="30"/>
      <c r="K1086" s="30"/>
      <c r="L1086" s="30"/>
      <c r="M1086" s="30"/>
    </row>
    <row r="1087" spans="1:13" s="14" customFormat="1" x14ac:dyDescent="0.25">
      <c r="A1087" s="13"/>
      <c r="D1087" s="30"/>
      <c r="E1087" s="31"/>
      <c r="F1087" s="30"/>
      <c r="G1087" s="30"/>
      <c r="H1087" s="30"/>
      <c r="I1087" s="30"/>
      <c r="J1087" s="30"/>
      <c r="K1087" s="30"/>
      <c r="L1087" s="30"/>
      <c r="M1087" s="30"/>
    </row>
    <row r="1088" spans="1:13" s="14" customFormat="1" x14ac:dyDescent="0.25">
      <c r="A1088" s="13"/>
      <c r="D1088" s="30"/>
      <c r="E1088" s="31"/>
      <c r="F1088" s="30"/>
      <c r="G1088" s="30"/>
      <c r="H1088" s="30"/>
      <c r="I1088" s="30"/>
      <c r="J1088" s="30"/>
      <c r="K1088" s="30"/>
      <c r="L1088" s="30"/>
      <c r="M1088" s="30"/>
    </row>
    <row r="1089" spans="1:13" s="14" customFormat="1" x14ac:dyDescent="0.25">
      <c r="A1089" s="13"/>
      <c r="D1089" s="30"/>
      <c r="E1089" s="31"/>
      <c r="F1089" s="30"/>
      <c r="G1089" s="30"/>
      <c r="H1089" s="30"/>
      <c r="I1089" s="30"/>
      <c r="J1089" s="30"/>
      <c r="K1089" s="30"/>
      <c r="L1089" s="30"/>
      <c r="M1089" s="30"/>
    </row>
    <row r="1090" spans="1:13" s="14" customFormat="1" x14ac:dyDescent="0.25">
      <c r="A1090" s="13"/>
      <c r="D1090" s="30"/>
      <c r="E1090" s="31"/>
      <c r="F1090" s="30"/>
      <c r="G1090" s="30"/>
      <c r="H1090" s="30"/>
      <c r="I1090" s="30"/>
      <c r="J1090" s="30"/>
      <c r="K1090" s="30"/>
      <c r="L1090" s="30"/>
      <c r="M1090" s="30"/>
    </row>
    <row r="1091" spans="1:13" s="14" customFormat="1" x14ac:dyDescent="0.25">
      <c r="A1091" s="13"/>
      <c r="D1091" s="30"/>
      <c r="E1091" s="31"/>
      <c r="F1091" s="30"/>
      <c r="G1091" s="30"/>
      <c r="H1091" s="30"/>
      <c r="I1091" s="30"/>
      <c r="J1091" s="30"/>
      <c r="K1091" s="30"/>
      <c r="L1091" s="30"/>
      <c r="M1091" s="30"/>
    </row>
    <row r="1092" spans="1:13" s="14" customFormat="1" x14ac:dyDescent="0.25">
      <c r="A1092" s="13"/>
      <c r="D1092" s="30"/>
      <c r="E1092" s="31"/>
      <c r="F1092" s="30"/>
      <c r="G1092" s="30"/>
      <c r="H1092" s="30"/>
      <c r="I1092" s="30"/>
      <c r="J1092" s="30"/>
      <c r="K1092" s="30"/>
      <c r="L1092" s="30"/>
      <c r="M1092" s="30"/>
    </row>
    <row r="1093" spans="1:13" s="14" customFormat="1" x14ac:dyDescent="0.25">
      <c r="A1093" s="13"/>
      <c r="D1093" s="30"/>
      <c r="E1093" s="31"/>
      <c r="F1093" s="30"/>
      <c r="G1093" s="30"/>
      <c r="H1093" s="30"/>
      <c r="I1093" s="30"/>
      <c r="J1093" s="30"/>
      <c r="K1093" s="30"/>
      <c r="L1093" s="30"/>
      <c r="M1093" s="30"/>
    </row>
    <row r="1094" spans="1:13" s="14" customFormat="1" x14ac:dyDescent="0.25">
      <c r="A1094" s="13"/>
      <c r="D1094" s="30"/>
      <c r="E1094" s="31"/>
      <c r="F1094" s="30"/>
      <c r="G1094" s="30"/>
      <c r="H1094" s="30"/>
      <c r="I1094" s="30"/>
      <c r="J1094" s="30"/>
      <c r="K1094" s="30"/>
      <c r="L1094" s="30"/>
      <c r="M1094" s="30"/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1094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defaultColWidth="9.140625" defaultRowHeight="15" x14ac:dyDescent="0.25"/>
  <cols>
    <col min="1" max="1" width="29.7109375" style="23" customWidth="1"/>
    <col min="2" max="3" width="10.5703125" style="24" customWidth="1"/>
    <col min="4" max="4" width="10.5703125" style="36" customWidth="1"/>
    <col min="5" max="5" width="10.5703125" style="37" customWidth="1"/>
    <col min="6" max="13" width="10.5703125" style="36" customWidth="1"/>
    <col min="14" max="28" width="10.5703125" style="24" customWidth="1"/>
    <col min="29" max="60" width="9.140625" style="24"/>
    <col min="61" max="16384" width="9.140625" style="2"/>
  </cols>
  <sheetData>
    <row r="1" spans="1:60" s="5" customFormat="1" x14ac:dyDescent="0.25">
      <c r="A1" s="4" t="str">
        <f>Inputs!A1</f>
        <v>Molson Coors</v>
      </c>
      <c r="D1" s="25"/>
      <c r="E1" s="26"/>
      <c r="F1" s="25"/>
      <c r="G1" s="25"/>
      <c r="H1" s="25"/>
      <c r="I1" s="25"/>
      <c r="J1" s="25"/>
      <c r="K1" s="25"/>
      <c r="L1" s="25"/>
      <c r="M1" s="25"/>
    </row>
    <row r="2" spans="1:60" s="5" customFormat="1" x14ac:dyDescent="0.25">
      <c r="A2" s="6" t="s">
        <v>7</v>
      </c>
      <c r="D2" s="25"/>
      <c r="E2" s="26"/>
      <c r="F2" s="25"/>
      <c r="G2" s="25"/>
      <c r="H2" s="25"/>
      <c r="I2" s="25"/>
      <c r="J2" s="25"/>
      <c r="K2" s="25"/>
      <c r="L2" s="25"/>
      <c r="M2" s="25"/>
    </row>
    <row r="3" spans="1:60" s="8" customFormat="1" x14ac:dyDescent="0.25">
      <c r="A3" s="7"/>
      <c r="B3" s="9"/>
      <c r="C3" s="9"/>
      <c r="D3" s="27"/>
      <c r="E3" s="28"/>
      <c r="F3" s="27"/>
      <c r="G3" s="27"/>
      <c r="H3" s="27"/>
      <c r="I3" s="27"/>
      <c r="J3" s="27"/>
      <c r="K3" s="27"/>
      <c r="L3" s="27"/>
      <c r="M3" s="27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</row>
    <row r="4" spans="1:60" s="49" customFormat="1" ht="15.75" thickBot="1" x14ac:dyDescent="0.3">
      <c r="A4" s="48" t="str">
        <f>CONCATENATE("Fiscal Years Ending ",Inputs!B7)</f>
        <v>Fiscal Years Ending Dec. 31</v>
      </c>
      <c r="B4" s="49">
        <v>2012</v>
      </c>
      <c r="C4" s="49">
        <v>2013</v>
      </c>
      <c r="D4" s="49">
        <v>2014</v>
      </c>
      <c r="E4" s="49">
        <v>2015</v>
      </c>
      <c r="F4" s="49">
        <v>2016</v>
      </c>
      <c r="G4" s="49">
        <v>2017</v>
      </c>
      <c r="H4" s="49">
        <v>2018</v>
      </c>
      <c r="I4" s="49">
        <v>2019</v>
      </c>
      <c r="J4" s="49">
        <v>2020</v>
      </c>
      <c r="K4" s="49">
        <v>2021</v>
      </c>
      <c r="L4" s="49">
        <v>2022</v>
      </c>
      <c r="M4" s="49" t="s">
        <v>15</v>
      </c>
      <c r="N4" s="49" t="s">
        <v>18</v>
      </c>
      <c r="O4" s="49" t="s">
        <v>20</v>
      </c>
      <c r="P4" s="49" t="s">
        <v>21</v>
      </c>
      <c r="Q4" s="49" t="s">
        <v>23</v>
      </c>
      <c r="R4" s="49" t="s">
        <v>24</v>
      </c>
      <c r="S4" s="49" t="s">
        <v>25</v>
      </c>
      <c r="T4" s="49" t="s">
        <v>42</v>
      </c>
      <c r="U4" s="49" t="s">
        <v>75</v>
      </c>
      <c r="V4" s="49" t="s">
        <v>76</v>
      </c>
    </row>
    <row r="5" spans="1:60" s="11" customFormat="1" x14ac:dyDescent="0.25">
      <c r="A5" s="10"/>
      <c r="D5" s="29"/>
      <c r="E5" s="29"/>
      <c r="F5" s="29"/>
      <c r="G5" s="29"/>
      <c r="H5" s="29"/>
      <c r="I5" s="29"/>
      <c r="J5" s="29"/>
      <c r="K5" s="29"/>
      <c r="L5" s="29"/>
      <c r="M5" s="29"/>
    </row>
    <row r="6" spans="1:60" s="11" customFormat="1" x14ac:dyDescent="0.25">
      <c r="A6" s="10"/>
      <c r="B6" s="12"/>
      <c r="C6" s="12"/>
      <c r="D6" s="29"/>
      <c r="E6" s="29"/>
      <c r="F6" s="29"/>
      <c r="G6" s="29"/>
      <c r="H6" s="29"/>
      <c r="I6" s="29"/>
      <c r="J6" s="29"/>
      <c r="K6" s="29"/>
      <c r="L6" s="29"/>
      <c r="M6" s="29"/>
    </row>
    <row r="7" spans="1:60" s="11" customFormat="1" x14ac:dyDescent="0.25">
      <c r="A7" s="10"/>
      <c r="B7" s="12"/>
      <c r="C7" s="12"/>
      <c r="D7" s="29"/>
      <c r="E7" s="29"/>
      <c r="F7" s="29"/>
      <c r="G7" s="29"/>
      <c r="H7" s="29"/>
      <c r="I7" s="29"/>
      <c r="J7" s="29"/>
      <c r="K7" s="29"/>
      <c r="L7" s="29"/>
      <c r="M7" s="29"/>
    </row>
    <row r="8" spans="1:60" s="11" customFormat="1" x14ac:dyDescent="0.25">
      <c r="A8" s="10"/>
      <c r="B8" s="12"/>
      <c r="C8" s="12"/>
      <c r="D8" s="29"/>
      <c r="E8" s="29"/>
      <c r="F8" s="29"/>
      <c r="G8" s="29"/>
      <c r="H8" s="29"/>
      <c r="I8" s="29"/>
      <c r="J8" s="29"/>
      <c r="K8" s="29"/>
      <c r="L8" s="29"/>
      <c r="M8" s="29"/>
    </row>
    <row r="9" spans="1:60" s="11" customFormat="1" x14ac:dyDescent="0.25">
      <c r="A9" s="10"/>
      <c r="B9" s="12"/>
      <c r="C9" s="12"/>
      <c r="D9" s="29"/>
      <c r="E9" s="29"/>
      <c r="F9" s="29"/>
      <c r="G9" s="29"/>
      <c r="H9" s="29"/>
      <c r="I9" s="29"/>
      <c r="J9" s="29"/>
      <c r="K9" s="29"/>
      <c r="L9" s="29"/>
      <c r="M9" s="29"/>
    </row>
    <row r="10" spans="1:60" s="11" customFormat="1" x14ac:dyDescent="0.25">
      <c r="A10" s="10"/>
      <c r="B10" s="12"/>
      <c r="C10" s="12"/>
      <c r="D10" s="29"/>
      <c r="E10" s="29"/>
      <c r="F10" s="29"/>
      <c r="G10" s="29"/>
      <c r="H10" s="29"/>
      <c r="I10" s="29"/>
      <c r="J10" s="29"/>
      <c r="K10" s="29"/>
      <c r="L10" s="29"/>
      <c r="M10" s="29"/>
    </row>
    <row r="11" spans="1:60" s="14" customFormat="1" x14ac:dyDescent="0.25">
      <c r="A11" s="13"/>
      <c r="B11" s="15"/>
      <c r="C11" s="15"/>
      <c r="D11" s="30"/>
      <c r="E11" s="31"/>
      <c r="F11" s="30"/>
      <c r="G11" s="30"/>
      <c r="H11" s="30"/>
      <c r="I11" s="30"/>
      <c r="J11" s="30"/>
      <c r="K11" s="30"/>
      <c r="L11" s="30"/>
      <c r="M11" s="30"/>
    </row>
    <row r="12" spans="1:60" s="14" customFormat="1" x14ac:dyDescent="0.25">
      <c r="A12" s="13"/>
      <c r="B12" s="15"/>
      <c r="C12" s="15"/>
      <c r="D12" s="30"/>
      <c r="E12" s="31"/>
      <c r="F12" s="30"/>
      <c r="G12" s="30"/>
      <c r="H12" s="30"/>
      <c r="I12" s="30"/>
      <c r="J12" s="30"/>
      <c r="K12" s="30"/>
      <c r="L12" s="30"/>
      <c r="M12" s="30"/>
    </row>
    <row r="13" spans="1:60" s="17" customFormat="1" x14ac:dyDescent="0.25">
      <c r="A13" s="16"/>
      <c r="B13" s="18"/>
      <c r="C13" s="18"/>
      <c r="D13" s="32"/>
      <c r="E13" s="33"/>
      <c r="F13" s="32"/>
      <c r="G13" s="32"/>
      <c r="H13" s="32"/>
      <c r="I13" s="32"/>
      <c r="J13" s="32"/>
      <c r="K13" s="32"/>
      <c r="L13" s="32"/>
      <c r="M13" s="32"/>
    </row>
    <row r="14" spans="1:60" s="17" customFormat="1" x14ac:dyDescent="0.25">
      <c r="A14" s="16"/>
      <c r="B14" s="18"/>
      <c r="C14" s="18"/>
      <c r="D14" s="32"/>
      <c r="E14" s="33"/>
      <c r="F14" s="32"/>
      <c r="G14" s="32"/>
      <c r="H14" s="32"/>
      <c r="I14" s="32"/>
      <c r="J14" s="32"/>
      <c r="K14" s="32"/>
      <c r="L14" s="32"/>
      <c r="M14" s="32"/>
    </row>
    <row r="15" spans="1:60" s="17" customFormat="1" x14ac:dyDescent="0.25">
      <c r="A15" s="13"/>
      <c r="B15" s="18"/>
      <c r="C15" s="18"/>
      <c r="D15" s="32"/>
      <c r="E15" s="33"/>
      <c r="F15" s="32"/>
      <c r="G15" s="32"/>
      <c r="H15" s="32"/>
      <c r="I15" s="32"/>
      <c r="J15" s="32"/>
      <c r="K15" s="32"/>
      <c r="L15" s="32"/>
      <c r="M15" s="32"/>
    </row>
    <row r="16" spans="1:60" s="14" customFormat="1" x14ac:dyDescent="0.25">
      <c r="A16" s="10"/>
      <c r="B16" s="15"/>
      <c r="C16" s="15"/>
      <c r="D16" s="30"/>
      <c r="E16" s="31"/>
      <c r="F16" s="30"/>
      <c r="G16" s="30"/>
      <c r="H16" s="30"/>
      <c r="I16" s="30"/>
      <c r="J16" s="30"/>
      <c r="K16" s="30"/>
      <c r="L16" s="30"/>
      <c r="M16" s="30"/>
    </row>
    <row r="17" spans="1:13" s="17" customFormat="1" x14ac:dyDescent="0.25">
      <c r="A17" s="10"/>
      <c r="B17" s="15"/>
      <c r="C17" s="15"/>
      <c r="D17" s="30"/>
      <c r="E17" s="31"/>
      <c r="F17" s="32"/>
      <c r="G17" s="32"/>
      <c r="H17" s="32"/>
      <c r="I17" s="32"/>
      <c r="J17" s="32"/>
      <c r="K17" s="32"/>
      <c r="L17" s="32"/>
      <c r="M17" s="32"/>
    </row>
    <row r="18" spans="1:13" s="17" customFormat="1" x14ac:dyDescent="0.25">
      <c r="A18" s="10"/>
      <c r="B18" s="15"/>
      <c r="C18" s="15"/>
      <c r="D18" s="30"/>
      <c r="E18" s="31"/>
      <c r="F18" s="32"/>
      <c r="G18" s="32"/>
      <c r="H18" s="32"/>
      <c r="I18" s="32"/>
      <c r="J18" s="32"/>
      <c r="K18" s="32"/>
      <c r="L18" s="32"/>
      <c r="M18" s="32"/>
    </row>
    <row r="19" spans="1:13" s="14" customFormat="1" x14ac:dyDescent="0.25">
      <c r="A19" s="10"/>
      <c r="B19" s="15"/>
      <c r="C19" s="15"/>
      <c r="D19" s="30"/>
      <c r="E19" s="31"/>
      <c r="F19" s="30"/>
      <c r="G19" s="30"/>
      <c r="H19" s="30"/>
      <c r="I19" s="30"/>
      <c r="J19" s="30"/>
      <c r="K19" s="30"/>
      <c r="L19" s="30"/>
      <c r="M19" s="30"/>
    </row>
    <row r="20" spans="1:13" s="14" customFormat="1" x14ac:dyDescent="0.25">
      <c r="A20" s="13"/>
      <c r="B20" s="15"/>
      <c r="C20" s="15"/>
      <c r="D20" s="30"/>
      <c r="E20" s="31"/>
      <c r="F20" s="30"/>
      <c r="G20" s="30"/>
      <c r="H20" s="30"/>
      <c r="I20" s="30"/>
      <c r="J20" s="30"/>
      <c r="K20" s="30"/>
      <c r="L20" s="30"/>
      <c r="M20" s="30"/>
    </row>
    <row r="21" spans="1:13" s="14" customFormat="1" x14ac:dyDescent="0.25">
      <c r="A21" s="13"/>
      <c r="B21" s="15"/>
      <c r="C21" s="15"/>
      <c r="D21" s="30"/>
      <c r="E21" s="31"/>
      <c r="F21" s="30"/>
      <c r="G21" s="30"/>
      <c r="H21" s="30"/>
      <c r="I21" s="30"/>
      <c r="J21" s="30"/>
      <c r="K21" s="30"/>
      <c r="L21" s="30"/>
      <c r="M21" s="30"/>
    </row>
    <row r="22" spans="1:13" s="14" customFormat="1" x14ac:dyDescent="0.25">
      <c r="A22" s="13"/>
      <c r="B22" s="15"/>
      <c r="C22" s="15"/>
      <c r="D22" s="30"/>
      <c r="E22" s="31"/>
      <c r="F22" s="30"/>
      <c r="G22" s="30"/>
      <c r="H22" s="30"/>
      <c r="I22" s="30"/>
      <c r="J22" s="30"/>
      <c r="K22" s="30"/>
      <c r="L22" s="30"/>
      <c r="M22" s="30"/>
    </row>
    <row r="23" spans="1:13" s="14" customFormat="1" x14ac:dyDescent="0.25">
      <c r="A23" s="13"/>
      <c r="B23" s="15"/>
      <c r="C23" s="15"/>
      <c r="D23" s="30"/>
      <c r="E23" s="31"/>
      <c r="F23" s="30"/>
      <c r="G23" s="30"/>
      <c r="H23" s="30"/>
      <c r="I23" s="30"/>
      <c r="J23" s="30"/>
      <c r="K23" s="30"/>
      <c r="L23" s="30"/>
      <c r="M23" s="30"/>
    </row>
    <row r="24" spans="1:13" s="14" customFormat="1" x14ac:dyDescent="0.25">
      <c r="A24" s="13"/>
      <c r="B24" s="15"/>
      <c r="C24" s="15"/>
      <c r="D24" s="30"/>
      <c r="E24" s="31"/>
      <c r="F24" s="30"/>
      <c r="G24" s="30"/>
      <c r="H24" s="30"/>
      <c r="I24" s="30"/>
      <c r="J24" s="30"/>
      <c r="K24" s="30"/>
      <c r="L24" s="30"/>
      <c r="M24" s="30"/>
    </row>
    <row r="25" spans="1:13" s="17" customFormat="1" x14ac:dyDescent="0.25">
      <c r="A25" s="16"/>
      <c r="B25" s="18"/>
      <c r="C25" s="18"/>
      <c r="D25" s="32"/>
      <c r="E25" s="33"/>
      <c r="F25" s="32"/>
      <c r="G25" s="32"/>
      <c r="H25" s="32"/>
      <c r="I25" s="32"/>
      <c r="J25" s="32"/>
      <c r="K25" s="32"/>
      <c r="L25" s="32"/>
      <c r="M25" s="32"/>
    </row>
    <row r="26" spans="1:13" s="14" customFormat="1" x14ac:dyDescent="0.25">
      <c r="A26" s="13"/>
      <c r="B26" s="15"/>
      <c r="C26" s="15"/>
      <c r="D26" s="30"/>
      <c r="E26" s="31"/>
      <c r="F26" s="30"/>
      <c r="G26" s="30"/>
      <c r="H26" s="30"/>
      <c r="I26" s="30"/>
      <c r="J26" s="30"/>
      <c r="K26" s="30"/>
      <c r="L26" s="30"/>
      <c r="M26" s="30"/>
    </row>
    <row r="27" spans="1:13" s="14" customFormat="1" x14ac:dyDescent="0.25">
      <c r="A27" s="13"/>
      <c r="B27" s="15"/>
      <c r="C27" s="15"/>
      <c r="D27" s="30"/>
      <c r="E27" s="31"/>
      <c r="F27" s="30"/>
      <c r="G27" s="30"/>
      <c r="H27" s="30"/>
      <c r="I27" s="30"/>
      <c r="J27" s="30"/>
      <c r="K27" s="30"/>
      <c r="L27" s="30"/>
      <c r="M27" s="30"/>
    </row>
    <row r="28" spans="1:13" s="14" customFormat="1" x14ac:dyDescent="0.25">
      <c r="A28" s="13"/>
      <c r="B28" s="15"/>
      <c r="C28" s="15"/>
      <c r="D28" s="30"/>
      <c r="E28" s="31"/>
      <c r="F28" s="30"/>
      <c r="G28" s="30"/>
      <c r="H28" s="30"/>
      <c r="I28" s="30"/>
      <c r="J28" s="30"/>
      <c r="K28" s="30"/>
      <c r="L28" s="30"/>
      <c r="M28" s="30"/>
    </row>
    <row r="29" spans="1:13" s="17" customFormat="1" x14ac:dyDescent="0.25">
      <c r="A29" s="16"/>
      <c r="B29" s="18"/>
      <c r="C29" s="18"/>
      <c r="D29" s="32"/>
      <c r="E29" s="33"/>
      <c r="F29" s="32"/>
      <c r="G29" s="32"/>
      <c r="H29" s="32"/>
      <c r="I29" s="32"/>
      <c r="J29" s="32"/>
      <c r="K29" s="32"/>
      <c r="L29" s="32"/>
      <c r="M29" s="32"/>
    </row>
    <row r="30" spans="1:13" s="17" customFormat="1" x14ac:dyDescent="0.25">
      <c r="A30" s="16"/>
      <c r="B30" s="18"/>
      <c r="C30" s="18"/>
      <c r="D30" s="32"/>
      <c r="E30" s="33"/>
      <c r="F30" s="32"/>
      <c r="G30" s="32"/>
      <c r="H30" s="32"/>
      <c r="I30" s="32"/>
      <c r="J30" s="32"/>
      <c r="K30" s="32"/>
      <c r="L30" s="32"/>
      <c r="M30" s="32"/>
    </row>
    <row r="31" spans="1:13" s="14" customFormat="1" x14ac:dyDescent="0.25">
      <c r="A31" s="13"/>
      <c r="B31" s="15"/>
      <c r="C31" s="15"/>
      <c r="D31" s="30"/>
      <c r="E31" s="31"/>
      <c r="F31" s="30"/>
      <c r="G31" s="30"/>
      <c r="H31" s="30"/>
      <c r="I31" s="30"/>
      <c r="J31" s="30"/>
      <c r="K31" s="30"/>
      <c r="L31" s="30"/>
      <c r="M31" s="30"/>
    </row>
    <row r="32" spans="1:13" s="17" customFormat="1" x14ac:dyDescent="0.25">
      <c r="A32" s="16"/>
      <c r="B32" s="19"/>
      <c r="C32" s="19"/>
      <c r="D32" s="32"/>
      <c r="E32" s="33"/>
      <c r="F32" s="32"/>
      <c r="G32" s="32"/>
      <c r="H32" s="32"/>
      <c r="I32" s="32"/>
      <c r="J32" s="32"/>
      <c r="K32" s="32"/>
      <c r="L32" s="32"/>
      <c r="M32" s="32"/>
    </row>
    <row r="33" spans="1:13" s="14" customFormat="1" x14ac:dyDescent="0.25">
      <c r="A33" s="13"/>
      <c r="D33" s="30"/>
      <c r="E33" s="31"/>
      <c r="F33" s="30"/>
      <c r="G33" s="30"/>
      <c r="H33" s="30"/>
      <c r="I33" s="30"/>
      <c r="J33" s="30"/>
      <c r="K33" s="30"/>
      <c r="L33" s="30"/>
      <c r="M33" s="30"/>
    </row>
    <row r="34" spans="1:13" s="14" customFormat="1" x14ac:dyDescent="0.25">
      <c r="A34" s="13"/>
      <c r="D34" s="30"/>
      <c r="E34" s="31"/>
      <c r="F34" s="30"/>
      <c r="G34" s="30"/>
      <c r="H34" s="30"/>
      <c r="I34" s="30"/>
      <c r="J34" s="30"/>
      <c r="K34" s="30"/>
      <c r="L34" s="30"/>
      <c r="M34" s="30"/>
    </row>
    <row r="35" spans="1:13" s="14" customFormat="1" x14ac:dyDescent="0.25">
      <c r="A35" s="13"/>
      <c r="D35" s="30"/>
      <c r="E35" s="31"/>
      <c r="F35" s="30"/>
      <c r="G35" s="30"/>
      <c r="H35" s="30"/>
      <c r="I35" s="30"/>
      <c r="J35" s="30"/>
      <c r="K35" s="30"/>
      <c r="L35" s="30"/>
      <c r="M35" s="30"/>
    </row>
    <row r="36" spans="1:13" s="14" customFormat="1" x14ac:dyDescent="0.25">
      <c r="A36" s="13"/>
      <c r="D36" s="30"/>
      <c r="E36" s="31"/>
      <c r="F36" s="30"/>
      <c r="G36" s="30"/>
      <c r="H36" s="30"/>
      <c r="I36" s="30"/>
      <c r="J36" s="30"/>
      <c r="K36" s="30"/>
      <c r="L36" s="30"/>
      <c r="M36" s="30"/>
    </row>
    <row r="37" spans="1:13" s="14" customFormat="1" x14ac:dyDescent="0.25">
      <c r="A37" s="13"/>
      <c r="D37" s="30"/>
      <c r="E37" s="31"/>
      <c r="F37" s="30"/>
      <c r="G37" s="30"/>
      <c r="H37" s="30"/>
      <c r="I37" s="30"/>
      <c r="J37" s="30"/>
      <c r="K37" s="30"/>
      <c r="L37" s="30"/>
      <c r="M37" s="30"/>
    </row>
    <row r="38" spans="1:13" s="14" customFormat="1" x14ac:dyDescent="0.25">
      <c r="A38" s="13"/>
      <c r="B38" s="15"/>
      <c r="C38" s="15"/>
      <c r="D38" s="30"/>
      <c r="E38" s="31"/>
      <c r="F38" s="30"/>
      <c r="G38" s="30"/>
      <c r="H38" s="30"/>
      <c r="I38" s="30"/>
      <c r="J38" s="30"/>
      <c r="K38" s="30"/>
      <c r="L38" s="30"/>
      <c r="M38" s="30"/>
    </row>
    <row r="39" spans="1:13" s="14" customFormat="1" x14ac:dyDescent="0.25">
      <c r="A39" s="13"/>
      <c r="B39" s="20"/>
      <c r="C39" s="20"/>
      <c r="D39" s="30"/>
      <c r="E39" s="31"/>
      <c r="F39" s="30"/>
      <c r="G39" s="30"/>
      <c r="H39" s="30"/>
      <c r="I39" s="30"/>
      <c r="J39" s="30"/>
      <c r="K39" s="30"/>
      <c r="L39" s="30"/>
      <c r="M39" s="30"/>
    </row>
    <row r="40" spans="1:13" s="14" customFormat="1" x14ac:dyDescent="0.25">
      <c r="A40" s="13"/>
      <c r="B40" s="20"/>
      <c r="C40" s="20"/>
      <c r="D40" s="30"/>
      <c r="E40" s="31"/>
      <c r="F40" s="30"/>
      <c r="G40" s="30"/>
      <c r="H40" s="30"/>
      <c r="I40" s="30"/>
      <c r="J40" s="30"/>
      <c r="K40" s="30"/>
      <c r="L40" s="30"/>
      <c r="M40" s="30"/>
    </row>
    <row r="41" spans="1:13" s="14" customFormat="1" x14ac:dyDescent="0.25">
      <c r="A41" s="13"/>
      <c r="D41" s="30"/>
      <c r="E41" s="31"/>
      <c r="F41" s="30"/>
      <c r="G41" s="30"/>
      <c r="H41" s="30"/>
      <c r="I41" s="30"/>
      <c r="J41" s="30"/>
      <c r="K41" s="30"/>
      <c r="L41" s="30"/>
      <c r="M41" s="30"/>
    </row>
    <row r="42" spans="1:13" s="11" customFormat="1" x14ac:dyDescent="0.25">
      <c r="A42" s="21"/>
      <c r="D42" s="29"/>
      <c r="E42" s="29"/>
      <c r="F42" s="29"/>
      <c r="G42" s="29"/>
      <c r="H42" s="29"/>
      <c r="I42" s="29"/>
      <c r="J42" s="29"/>
      <c r="K42" s="29"/>
      <c r="L42" s="29"/>
      <c r="M42" s="29"/>
    </row>
    <row r="43" spans="1:13" s="11" customFormat="1" x14ac:dyDescent="0.25">
      <c r="A43" s="10"/>
      <c r="D43" s="29"/>
      <c r="E43" s="29"/>
      <c r="F43" s="29"/>
      <c r="G43" s="29"/>
      <c r="H43" s="29"/>
      <c r="I43" s="29"/>
      <c r="J43" s="29"/>
      <c r="K43" s="29"/>
      <c r="L43" s="29"/>
      <c r="M43" s="29"/>
    </row>
    <row r="44" spans="1:13" s="11" customFormat="1" x14ac:dyDescent="0.25">
      <c r="A44" s="10"/>
      <c r="D44" s="29"/>
      <c r="E44" s="29"/>
      <c r="F44" s="29"/>
      <c r="G44" s="29"/>
      <c r="H44" s="29"/>
      <c r="I44" s="29"/>
      <c r="J44" s="29"/>
      <c r="K44" s="29"/>
      <c r="L44" s="29"/>
      <c r="M44" s="29"/>
    </row>
    <row r="45" spans="1:13" s="11" customFormat="1" x14ac:dyDescent="0.25">
      <c r="A45" s="10"/>
      <c r="D45" s="29"/>
      <c r="E45" s="29"/>
      <c r="F45" s="29"/>
      <c r="G45" s="29"/>
      <c r="H45" s="29"/>
      <c r="I45" s="29"/>
      <c r="J45" s="29"/>
      <c r="K45" s="29"/>
      <c r="L45" s="29"/>
      <c r="M45" s="29"/>
    </row>
    <row r="46" spans="1:13" s="22" customFormat="1" x14ac:dyDescent="0.25">
      <c r="D46" s="34"/>
      <c r="E46" s="35"/>
      <c r="F46" s="34"/>
      <c r="G46" s="34"/>
      <c r="H46" s="34"/>
      <c r="I46" s="34"/>
      <c r="J46" s="34"/>
      <c r="K46" s="34"/>
      <c r="L46" s="34"/>
      <c r="M46" s="34"/>
    </row>
    <row r="47" spans="1:13" s="14" customFormat="1" x14ac:dyDescent="0.25">
      <c r="A47" s="13"/>
      <c r="D47" s="30"/>
      <c r="E47" s="31"/>
      <c r="F47" s="30"/>
      <c r="G47" s="30"/>
      <c r="H47" s="30"/>
      <c r="I47" s="30"/>
      <c r="J47" s="30"/>
      <c r="K47" s="30"/>
      <c r="L47" s="30"/>
      <c r="M47" s="30"/>
    </row>
    <row r="48" spans="1:13" s="14" customFormat="1" x14ac:dyDescent="0.25">
      <c r="A48" s="13"/>
      <c r="D48" s="30"/>
      <c r="E48" s="31"/>
      <c r="F48" s="30"/>
      <c r="G48" s="30"/>
      <c r="H48" s="30"/>
      <c r="I48" s="30"/>
      <c r="J48" s="30"/>
      <c r="K48" s="30"/>
      <c r="L48" s="30"/>
      <c r="M48" s="30"/>
    </row>
    <row r="49" spans="1:13" s="14" customFormat="1" x14ac:dyDescent="0.25">
      <c r="A49" s="13"/>
      <c r="D49" s="30"/>
      <c r="E49" s="31"/>
      <c r="F49" s="30"/>
      <c r="G49" s="30"/>
      <c r="H49" s="30"/>
      <c r="I49" s="30"/>
      <c r="J49" s="30"/>
      <c r="K49" s="30"/>
      <c r="L49" s="30"/>
      <c r="M49" s="30"/>
    </row>
    <row r="50" spans="1:13" s="14" customFormat="1" x14ac:dyDescent="0.25">
      <c r="A50" s="13"/>
      <c r="D50" s="30"/>
      <c r="E50" s="31"/>
      <c r="F50" s="30"/>
      <c r="G50" s="30"/>
      <c r="H50" s="30"/>
      <c r="I50" s="30"/>
      <c r="J50" s="30"/>
      <c r="K50" s="30"/>
      <c r="L50" s="30"/>
      <c r="M50" s="30"/>
    </row>
    <row r="51" spans="1:13" s="14" customFormat="1" x14ac:dyDescent="0.25">
      <c r="A51" s="13"/>
      <c r="D51" s="30"/>
      <c r="E51" s="31"/>
      <c r="F51" s="30"/>
      <c r="G51" s="30"/>
      <c r="H51" s="30"/>
      <c r="I51" s="30"/>
      <c r="J51" s="30"/>
      <c r="K51" s="30"/>
      <c r="L51" s="30"/>
      <c r="M51" s="30"/>
    </row>
    <row r="52" spans="1:13" s="14" customFormat="1" x14ac:dyDescent="0.25">
      <c r="A52" s="13"/>
      <c r="D52" s="30"/>
      <c r="E52" s="31"/>
      <c r="F52" s="30"/>
      <c r="G52" s="30"/>
      <c r="H52" s="30"/>
      <c r="I52" s="30"/>
      <c r="J52" s="30"/>
      <c r="K52" s="30"/>
      <c r="L52" s="30"/>
      <c r="M52" s="30"/>
    </row>
    <row r="53" spans="1:13" s="14" customFormat="1" x14ac:dyDescent="0.25">
      <c r="A53" s="13"/>
      <c r="D53" s="30"/>
      <c r="E53" s="31"/>
      <c r="F53" s="30"/>
      <c r="G53" s="30"/>
      <c r="H53" s="30"/>
      <c r="I53" s="30"/>
      <c r="J53" s="30"/>
      <c r="K53" s="30"/>
      <c r="L53" s="30"/>
      <c r="M53" s="30"/>
    </row>
    <row r="54" spans="1:13" s="14" customFormat="1" x14ac:dyDescent="0.25">
      <c r="A54" s="13"/>
      <c r="D54" s="30"/>
      <c r="E54" s="31"/>
      <c r="F54" s="30"/>
      <c r="G54" s="30"/>
      <c r="H54" s="30"/>
      <c r="I54" s="30"/>
      <c r="J54" s="30"/>
      <c r="K54" s="30"/>
      <c r="L54" s="30"/>
      <c r="M54" s="30"/>
    </row>
    <row r="55" spans="1:13" s="14" customFormat="1" x14ac:dyDescent="0.25">
      <c r="A55" s="13"/>
      <c r="D55" s="30"/>
      <c r="E55" s="31"/>
      <c r="F55" s="30"/>
      <c r="G55" s="30"/>
      <c r="H55" s="30"/>
      <c r="I55" s="30"/>
      <c r="J55" s="30"/>
      <c r="K55" s="30"/>
      <c r="L55" s="30"/>
      <c r="M55" s="30"/>
    </row>
    <row r="56" spans="1:13" s="14" customFormat="1" x14ac:dyDescent="0.25">
      <c r="A56" s="13"/>
      <c r="D56" s="30"/>
      <c r="E56" s="31"/>
      <c r="F56" s="30"/>
      <c r="G56" s="30"/>
      <c r="H56" s="30"/>
      <c r="I56" s="30"/>
      <c r="J56" s="30"/>
      <c r="K56" s="30"/>
      <c r="L56" s="30"/>
      <c r="M56" s="30"/>
    </row>
    <row r="57" spans="1:13" s="14" customFormat="1" x14ac:dyDescent="0.25">
      <c r="A57" s="13"/>
      <c r="D57" s="30"/>
      <c r="E57" s="31"/>
      <c r="F57" s="30"/>
      <c r="G57" s="30"/>
      <c r="H57" s="30"/>
      <c r="I57" s="30"/>
      <c r="J57" s="30"/>
      <c r="K57" s="30"/>
      <c r="L57" s="30"/>
      <c r="M57" s="30"/>
    </row>
    <row r="58" spans="1:13" s="14" customFormat="1" x14ac:dyDescent="0.25">
      <c r="A58" s="13"/>
      <c r="D58" s="30"/>
      <c r="E58" s="31"/>
      <c r="F58" s="30"/>
      <c r="G58" s="30"/>
      <c r="H58" s="30"/>
      <c r="I58" s="30"/>
      <c r="J58" s="30"/>
      <c r="K58" s="30"/>
      <c r="L58" s="30"/>
      <c r="M58" s="30"/>
    </row>
    <row r="59" spans="1:13" s="14" customFormat="1" x14ac:dyDescent="0.25">
      <c r="A59" s="13"/>
      <c r="D59" s="30"/>
      <c r="E59" s="31"/>
      <c r="F59" s="30"/>
      <c r="G59" s="30"/>
      <c r="H59" s="30"/>
      <c r="I59" s="30"/>
      <c r="J59" s="30"/>
      <c r="K59" s="30"/>
      <c r="L59" s="30"/>
      <c r="M59" s="30"/>
    </row>
    <row r="60" spans="1:13" s="14" customFormat="1" x14ac:dyDescent="0.25">
      <c r="A60" s="13"/>
      <c r="D60" s="30"/>
      <c r="E60" s="31"/>
      <c r="F60" s="30"/>
      <c r="G60" s="30"/>
      <c r="H60" s="30"/>
      <c r="I60" s="30"/>
      <c r="J60" s="30"/>
      <c r="K60" s="30"/>
      <c r="L60" s="30"/>
      <c r="M60" s="30"/>
    </row>
    <row r="61" spans="1:13" s="14" customFormat="1" x14ac:dyDescent="0.25">
      <c r="A61" s="13"/>
      <c r="D61" s="30"/>
      <c r="E61" s="31"/>
      <c r="F61" s="30"/>
      <c r="G61" s="30"/>
      <c r="H61" s="30"/>
      <c r="I61" s="30"/>
      <c r="J61" s="30"/>
      <c r="K61" s="30"/>
      <c r="L61" s="30"/>
      <c r="M61" s="30"/>
    </row>
    <row r="62" spans="1:13" s="14" customFormat="1" x14ac:dyDescent="0.25">
      <c r="A62" s="13"/>
      <c r="D62" s="30"/>
      <c r="E62" s="31"/>
      <c r="F62" s="30"/>
      <c r="G62" s="30"/>
      <c r="H62" s="30"/>
      <c r="I62" s="30"/>
      <c r="J62" s="30"/>
      <c r="K62" s="30"/>
      <c r="L62" s="30"/>
      <c r="M62" s="30"/>
    </row>
    <row r="63" spans="1:13" s="14" customFormat="1" x14ac:dyDescent="0.25">
      <c r="A63" s="13"/>
      <c r="D63" s="30"/>
      <c r="E63" s="31"/>
      <c r="F63" s="30"/>
      <c r="G63" s="30"/>
      <c r="H63" s="30"/>
      <c r="I63" s="30"/>
      <c r="J63" s="30"/>
      <c r="K63" s="30"/>
      <c r="L63" s="30"/>
      <c r="M63" s="30"/>
    </row>
    <row r="64" spans="1:13" s="14" customFormat="1" x14ac:dyDescent="0.25">
      <c r="A64" s="13"/>
      <c r="D64" s="30"/>
      <c r="E64" s="31"/>
      <c r="F64" s="30"/>
      <c r="G64" s="30"/>
      <c r="H64" s="30"/>
      <c r="I64" s="30"/>
      <c r="J64" s="30"/>
      <c r="K64" s="30"/>
      <c r="L64" s="30"/>
      <c r="M64" s="30"/>
    </row>
    <row r="65" spans="1:13" s="14" customFormat="1" x14ac:dyDescent="0.25">
      <c r="A65" s="13"/>
      <c r="D65" s="30"/>
      <c r="E65" s="31"/>
      <c r="F65" s="30"/>
      <c r="G65" s="30"/>
      <c r="H65" s="30"/>
      <c r="I65" s="30"/>
      <c r="J65" s="30"/>
      <c r="K65" s="30"/>
      <c r="L65" s="30"/>
      <c r="M65" s="30"/>
    </row>
    <row r="66" spans="1:13" s="14" customFormat="1" x14ac:dyDescent="0.25">
      <c r="A66" s="13"/>
      <c r="D66" s="30"/>
      <c r="E66" s="31"/>
      <c r="F66" s="30"/>
      <c r="G66" s="30"/>
      <c r="H66" s="30"/>
      <c r="I66" s="30"/>
      <c r="J66" s="30"/>
      <c r="K66" s="30"/>
      <c r="L66" s="30"/>
      <c r="M66" s="30"/>
    </row>
    <row r="67" spans="1:13" s="14" customFormat="1" x14ac:dyDescent="0.25">
      <c r="A67" s="13"/>
      <c r="D67" s="30"/>
      <c r="E67" s="31"/>
      <c r="F67" s="30"/>
      <c r="G67" s="30"/>
      <c r="H67" s="30"/>
      <c r="I67" s="30"/>
      <c r="J67" s="30"/>
      <c r="K67" s="30"/>
      <c r="L67" s="30"/>
      <c r="M67" s="30"/>
    </row>
    <row r="68" spans="1:13" s="14" customFormat="1" x14ac:dyDescent="0.25">
      <c r="A68" s="13"/>
      <c r="D68" s="30"/>
      <c r="E68" s="31"/>
      <c r="F68" s="30"/>
      <c r="G68" s="30"/>
      <c r="H68" s="30"/>
      <c r="I68" s="30"/>
      <c r="J68" s="30"/>
      <c r="K68" s="30"/>
      <c r="L68" s="30"/>
      <c r="M68" s="30"/>
    </row>
    <row r="69" spans="1:13" s="14" customFormat="1" x14ac:dyDescent="0.25">
      <c r="A69" s="13"/>
      <c r="D69" s="30"/>
      <c r="E69" s="31"/>
      <c r="F69" s="30"/>
      <c r="G69" s="30"/>
      <c r="H69" s="30"/>
      <c r="I69" s="30"/>
      <c r="J69" s="30"/>
      <c r="K69" s="30"/>
      <c r="L69" s="30"/>
      <c r="M69" s="30"/>
    </row>
    <row r="70" spans="1:13" s="14" customFormat="1" x14ac:dyDescent="0.25">
      <c r="A70" s="13"/>
      <c r="D70" s="30"/>
      <c r="E70" s="31"/>
      <c r="F70" s="30"/>
      <c r="G70" s="30"/>
      <c r="H70" s="30"/>
      <c r="I70" s="30"/>
      <c r="J70" s="30"/>
      <c r="K70" s="30"/>
      <c r="L70" s="30"/>
      <c r="M70" s="30"/>
    </row>
    <row r="71" spans="1:13" s="14" customFormat="1" x14ac:dyDescent="0.25">
      <c r="A71" s="13"/>
      <c r="D71" s="30"/>
      <c r="E71" s="31"/>
      <c r="F71" s="30"/>
      <c r="G71" s="30"/>
      <c r="H71" s="30"/>
      <c r="I71" s="30"/>
      <c r="J71" s="30"/>
      <c r="K71" s="30"/>
      <c r="L71" s="30"/>
      <c r="M71" s="30"/>
    </row>
    <row r="72" spans="1:13" s="14" customFormat="1" x14ac:dyDescent="0.25">
      <c r="A72" s="13"/>
      <c r="D72" s="30"/>
      <c r="E72" s="31"/>
      <c r="F72" s="30"/>
      <c r="G72" s="30"/>
      <c r="H72" s="30"/>
      <c r="I72" s="30"/>
      <c r="J72" s="30"/>
      <c r="K72" s="30"/>
      <c r="L72" s="30"/>
      <c r="M72" s="30"/>
    </row>
    <row r="73" spans="1:13" s="14" customFormat="1" x14ac:dyDescent="0.25">
      <c r="A73" s="13"/>
      <c r="D73" s="30"/>
      <c r="E73" s="31"/>
      <c r="F73" s="30"/>
      <c r="G73" s="30"/>
      <c r="H73" s="30"/>
      <c r="I73" s="30"/>
      <c r="J73" s="30"/>
      <c r="K73" s="30"/>
      <c r="L73" s="30"/>
      <c r="M73" s="30"/>
    </row>
    <row r="74" spans="1:13" s="14" customFormat="1" x14ac:dyDescent="0.25">
      <c r="A74" s="13"/>
      <c r="D74" s="30"/>
      <c r="E74" s="31"/>
      <c r="F74" s="30"/>
      <c r="G74" s="30"/>
      <c r="H74" s="30"/>
      <c r="I74" s="30"/>
      <c r="J74" s="30"/>
      <c r="K74" s="30"/>
      <c r="L74" s="30"/>
      <c r="M74" s="30"/>
    </row>
    <row r="75" spans="1:13" s="14" customFormat="1" x14ac:dyDescent="0.25">
      <c r="A75" s="13"/>
      <c r="D75" s="30"/>
      <c r="E75" s="31"/>
      <c r="F75" s="30"/>
      <c r="G75" s="30"/>
      <c r="H75" s="30"/>
      <c r="I75" s="30"/>
      <c r="J75" s="30"/>
      <c r="K75" s="30"/>
      <c r="L75" s="30"/>
      <c r="M75" s="30"/>
    </row>
    <row r="76" spans="1:13" s="14" customFormat="1" x14ac:dyDescent="0.25">
      <c r="A76" s="13"/>
      <c r="D76" s="30"/>
      <c r="E76" s="31"/>
      <c r="F76" s="30"/>
      <c r="G76" s="30"/>
      <c r="H76" s="30"/>
      <c r="I76" s="30"/>
      <c r="J76" s="30"/>
      <c r="K76" s="30"/>
      <c r="L76" s="30"/>
      <c r="M76" s="30"/>
    </row>
    <row r="77" spans="1:13" s="14" customFormat="1" x14ac:dyDescent="0.25">
      <c r="A77" s="13"/>
      <c r="D77" s="30"/>
      <c r="E77" s="31"/>
      <c r="F77" s="30"/>
      <c r="G77" s="30"/>
      <c r="H77" s="30"/>
      <c r="I77" s="30"/>
      <c r="J77" s="30"/>
      <c r="K77" s="30"/>
      <c r="L77" s="30"/>
      <c r="M77" s="30"/>
    </row>
    <row r="78" spans="1:13" s="14" customFormat="1" x14ac:dyDescent="0.25">
      <c r="A78" s="13"/>
      <c r="D78" s="30"/>
      <c r="E78" s="31"/>
      <c r="F78" s="30"/>
      <c r="G78" s="30"/>
      <c r="H78" s="30"/>
      <c r="I78" s="30"/>
      <c r="J78" s="30"/>
      <c r="K78" s="30"/>
      <c r="L78" s="30"/>
      <c r="M78" s="30"/>
    </row>
    <row r="79" spans="1:13" s="14" customFormat="1" x14ac:dyDescent="0.25">
      <c r="A79" s="13"/>
      <c r="D79" s="30"/>
      <c r="E79" s="31"/>
      <c r="F79" s="30"/>
      <c r="G79" s="30"/>
      <c r="H79" s="30"/>
      <c r="I79" s="30"/>
      <c r="J79" s="30"/>
      <c r="K79" s="30"/>
      <c r="L79" s="30"/>
      <c r="M79" s="30"/>
    </row>
    <row r="80" spans="1:13" s="14" customFormat="1" x14ac:dyDescent="0.25">
      <c r="A80" s="13"/>
      <c r="D80" s="30"/>
      <c r="E80" s="31"/>
      <c r="F80" s="30"/>
      <c r="G80" s="30"/>
      <c r="H80" s="30"/>
      <c r="I80" s="30"/>
      <c r="J80" s="30"/>
      <c r="K80" s="30"/>
      <c r="L80" s="30"/>
      <c r="M80" s="30"/>
    </row>
    <row r="81" spans="1:13" s="14" customFormat="1" x14ac:dyDescent="0.25">
      <c r="A81" s="13"/>
      <c r="D81" s="30"/>
      <c r="E81" s="31"/>
      <c r="F81" s="30"/>
      <c r="G81" s="30"/>
      <c r="H81" s="30"/>
      <c r="I81" s="30"/>
      <c r="J81" s="30"/>
      <c r="K81" s="30"/>
      <c r="L81" s="30"/>
      <c r="M81" s="30"/>
    </row>
    <row r="82" spans="1:13" s="14" customFormat="1" x14ac:dyDescent="0.25">
      <c r="A82" s="13"/>
      <c r="D82" s="30"/>
      <c r="E82" s="31"/>
      <c r="F82" s="30"/>
      <c r="G82" s="30"/>
      <c r="H82" s="30"/>
      <c r="I82" s="30"/>
      <c r="J82" s="30"/>
      <c r="K82" s="30"/>
      <c r="L82" s="30"/>
      <c r="M82" s="30"/>
    </row>
    <row r="83" spans="1:13" s="14" customFormat="1" x14ac:dyDescent="0.25">
      <c r="A83" s="13"/>
      <c r="D83" s="30"/>
      <c r="E83" s="31"/>
      <c r="F83" s="30"/>
      <c r="G83" s="30"/>
      <c r="H83" s="30"/>
      <c r="I83" s="30"/>
      <c r="J83" s="30"/>
      <c r="K83" s="30"/>
      <c r="L83" s="30"/>
      <c r="M83" s="30"/>
    </row>
    <row r="84" spans="1:13" s="14" customFormat="1" x14ac:dyDescent="0.25">
      <c r="A84" s="13"/>
      <c r="D84" s="30"/>
      <c r="E84" s="31"/>
      <c r="F84" s="30"/>
      <c r="G84" s="30"/>
      <c r="H84" s="30"/>
      <c r="I84" s="30"/>
      <c r="J84" s="30"/>
      <c r="K84" s="30"/>
      <c r="L84" s="30"/>
      <c r="M84" s="30"/>
    </row>
    <row r="85" spans="1:13" s="14" customFormat="1" x14ac:dyDescent="0.25">
      <c r="A85" s="13"/>
      <c r="D85" s="30"/>
      <c r="E85" s="31"/>
      <c r="F85" s="30"/>
      <c r="G85" s="30"/>
      <c r="H85" s="30"/>
      <c r="I85" s="30"/>
      <c r="J85" s="30"/>
      <c r="K85" s="30"/>
      <c r="L85" s="30"/>
      <c r="M85" s="30"/>
    </row>
    <row r="86" spans="1:13" s="14" customFormat="1" x14ac:dyDescent="0.25">
      <c r="A86" s="13"/>
      <c r="D86" s="30"/>
      <c r="E86" s="31"/>
      <c r="F86" s="30"/>
      <c r="G86" s="30"/>
      <c r="H86" s="30"/>
      <c r="I86" s="30"/>
      <c r="J86" s="30"/>
      <c r="K86" s="30"/>
      <c r="L86" s="30"/>
      <c r="M86" s="30"/>
    </row>
    <row r="87" spans="1:13" s="14" customFormat="1" x14ac:dyDescent="0.25">
      <c r="A87" s="13"/>
      <c r="D87" s="30"/>
      <c r="E87" s="31"/>
      <c r="F87" s="30"/>
      <c r="G87" s="30"/>
      <c r="H87" s="30"/>
      <c r="I87" s="30"/>
      <c r="J87" s="30"/>
      <c r="K87" s="30"/>
      <c r="L87" s="30"/>
      <c r="M87" s="30"/>
    </row>
    <row r="88" spans="1:13" s="14" customFormat="1" x14ac:dyDescent="0.25">
      <c r="A88" s="13"/>
      <c r="D88" s="30"/>
      <c r="E88" s="31"/>
      <c r="F88" s="30"/>
      <c r="G88" s="30"/>
      <c r="H88" s="30"/>
      <c r="I88" s="30"/>
      <c r="J88" s="30"/>
      <c r="K88" s="30"/>
      <c r="L88" s="30"/>
      <c r="M88" s="30"/>
    </row>
    <row r="89" spans="1:13" s="14" customFormat="1" x14ac:dyDescent="0.25">
      <c r="A89" s="13"/>
      <c r="D89" s="30"/>
      <c r="E89" s="31"/>
      <c r="F89" s="30"/>
      <c r="G89" s="30"/>
      <c r="H89" s="30"/>
      <c r="I89" s="30"/>
      <c r="J89" s="30"/>
      <c r="K89" s="30"/>
      <c r="L89" s="30"/>
      <c r="M89" s="30"/>
    </row>
    <row r="90" spans="1:13" s="14" customFormat="1" x14ac:dyDescent="0.25">
      <c r="A90" s="13"/>
      <c r="D90" s="30"/>
      <c r="E90" s="31"/>
      <c r="F90" s="30"/>
      <c r="G90" s="30"/>
      <c r="H90" s="30"/>
      <c r="I90" s="30"/>
      <c r="J90" s="30"/>
      <c r="K90" s="30"/>
      <c r="L90" s="30"/>
      <c r="M90" s="30"/>
    </row>
    <row r="91" spans="1:13" s="14" customFormat="1" x14ac:dyDescent="0.25">
      <c r="A91" s="13"/>
      <c r="D91" s="30"/>
      <c r="E91" s="31"/>
      <c r="F91" s="30"/>
      <c r="G91" s="30"/>
      <c r="H91" s="30"/>
      <c r="I91" s="30"/>
      <c r="J91" s="30"/>
      <c r="K91" s="30"/>
      <c r="L91" s="30"/>
      <c r="M91" s="30"/>
    </row>
    <row r="92" spans="1:13" s="14" customFormat="1" x14ac:dyDescent="0.25">
      <c r="A92" s="13"/>
      <c r="D92" s="30"/>
      <c r="E92" s="31"/>
      <c r="F92" s="30"/>
      <c r="G92" s="30"/>
      <c r="H92" s="30"/>
      <c r="I92" s="30"/>
      <c r="J92" s="30"/>
      <c r="K92" s="30"/>
      <c r="L92" s="30"/>
      <c r="M92" s="30"/>
    </row>
    <row r="93" spans="1:13" s="14" customFormat="1" x14ac:dyDescent="0.25">
      <c r="A93" s="13"/>
      <c r="D93" s="30"/>
      <c r="E93" s="31"/>
      <c r="F93" s="30"/>
      <c r="G93" s="30"/>
      <c r="H93" s="30"/>
      <c r="I93" s="30"/>
      <c r="J93" s="30"/>
      <c r="K93" s="30"/>
      <c r="L93" s="30"/>
      <c r="M93" s="30"/>
    </row>
    <row r="94" spans="1:13" s="14" customFormat="1" x14ac:dyDescent="0.25">
      <c r="A94" s="13"/>
      <c r="D94" s="30"/>
      <c r="E94" s="31"/>
      <c r="F94" s="30"/>
      <c r="G94" s="30"/>
      <c r="H94" s="30"/>
      <c r="I94" s="30"/>
      <c r="J94" s="30"/>
      <c r="K94" s="30"/>
      <c r="L94" s="30"/>
      <c r="M94" s="30"/>
    </row>
    <row r="95" spans="1:13" s="14" customFormat="1" x14ac:dyDescent="0.25">
      <c r="A95" s="13"/>
      <c r="D95" s="30"/>
      <c r="E95" s="31"/>
      <c r="F95" s="30"/>
      <c r="G95" s="30"/>
      <c r="H95" s="30"/>
      <c r="I95" s="30"/>
      <c r="J95" s="30"/>
      <c r="K95" s="30"/>
      <c r="L95" s="30"/>
      <c r="M95" s="30"/>
    </row>
    <row r="96" spans="1:13" s="14" customFormat="1" x14ac:dyDescent="0.25">
      <c r="A96" s="13"/>
      <c r="D96" s="30"/>
      <c r="E96" s="31"/>
      <c r="F96" s="30"/>
      <c r="G96" s="30"/>
      <c r="H96" s="30"/>
      <c r="I96" s="30"/>
      <c r="J96" s="30"/>
      <c r="K96" s="30"/>
      <c r="L96" s="30"/>
      <c r="M96" s="30"/>
    </row>
    <row r="97" spans="1:13" s="14" customFormat="1" x14ac:dyDescent="0.25">
      <c r="A97" s="13"/>
      <c r="D97" s="30"/>
      <c r="E97" s="31"/>
      <c r="F97" s="30"/>
      <c r="G97" s="30"/>
      <c r="H97" s="30"/>
      <c r="I97" s="30"/>
      <c r="J97" s="30"/>
      <c r="K97" s="30"/>
      <c r="L97" s="30"/>
      <c r="M97" s="30"/>
    </row>
    <row r="98" spans="1:13" s="14" customFormat="1" x14ac:dyDescent="0.25">
      <c r="A98" s="13"/>
      <c r="D98" s="30"/>
      <c r="E98" s="31"/>
      <c r="F98" s="30"/>
      <c r="G98" s="30"/>
      <c r="H98" s="30"/>
      <c r="I98" s="30"/>
      <c r="J98" s="30"/>
      <c r="K98" s="30"/>
      <c r="L98" s="30"/>
      <c r="M98" s="30"/>
    </row>
    <row r="99" spans="1:13" s="14" customFormat="1" x14ac:dyDescent="0.25">
      <c r="A99" s="13"/>
      <c r="D99" s="30"/>
      <c r="E99" s="31"/>
      <c r="F99" s="30"/>
      <c r="G99" s="30"/>
      <c r="H99" s="30"/>
      <c r="I99" s="30"/>
      <c r="J99" s="30"/>
      <c r="K99" s="30"/>
      <c r="L99" s="30"/>
      <c r="M99" s="30"/>
    </row>
    <row r="100" spans="1:13" s="14" customFormat="1" x14ac:dyDescent="0.25">
      <c r="A100" s="13"/>
      <c r="D100" s="30"/>
      <c r="E100" s="31"/>
      <c r="F100" s="30"/>
      <c r="G100" s="30"/>
      <c r="H100" s="30"/>
      <c r="I100" s="30"/>
      <c r="J100" s="30"/>
      <c r="K100" s="30"/>
      <c r="L100" s="30"/>
      <c r="M100" s="30"/>
    </row>
    <row r="101" spans="1:13" s="14" customFormat="1" x14ac:dyDescent="0.25">
      <c r="A101" s="13"/>
      <c r="D101" s="30"/>
      <c r="E101" s="31"/>
      <c r="F101" s="30"/>
      <c r="G101" s="30"/>
      <c r="H101" s="30"/>
      <c r="I101" s="30"/>
      <c r="J101" s="30"/>
      <c r="K101" s="30"/>
      <c r="L101" s="30"/>
      <c r="M101" s="30"/>
    </row>
    <row r="102" spans="1:13" s="14" customFormat="1" x14ac:dyDescent="0.25">
      <c r="A102" s="13"/>
      <c r="D102" s="30"/>
      <c r="E102" s="31"/>
      <c r="F102" s="30"/>
      <c r="G102" s="30"/>
      <c r="H102" s="30"/>
      <c r="I102" s="30"/>
      <c r="J102" s="30"/>
      <c r="K102" s="30"/>
      <c r="L102" s="30"/>
      <c r="M102" s="30"/>
    </row>
    <row r="103" spans="1:13" s="14" customFormat="1" x14ac:dyDescent="0.25">
      <c r="A103" s="13"/>
      <c r="D103" s="30"/>
      <c r="E103" s="31"/>
      <c r="F103" s="30"/>
      <c r="G103" s="30"/>
      <c r="H103" s="30"/>
      <c r="I103" s="30"/>
      <c r="J103" s="30"/>
      <c r="K103" s="30"/>
      <c r="L103" s="30"/>
      <c r="M103" s="30"/>
    </row>
    <row r="104" spans="1:13" s="14" customFormat="1" x14ac:dyDescent="0.25">
      <c r="A104" s="13"/>
      <c r="D104" s="30"/>
      <c r="E104" s="31"/>
      <c r="F104" s="30"/>
      <c r="G104" s="30"/>
      <c r="H104" s="30"/>
      <c r="I104" s="30"/>
      <c r="J104" s="30"/>
      <c r="K104" s="30"/>
      <c r="L104" s="30"/>
      <c r="M104" s="30"/>
    </row>
    <row r="105" spans="1:13" s="14" customFormat="1" x14ac:dyDescent="0.25">
      <c r="A105" s="13"/>
      <c r="D105" s="30"/>
      <c r="E105" s="31"/>
      <c r="F105" s="30"/>
      <c r="G105" s="30"/>
      <c r="H105" s="30"/>
      <c r="I105" s="30"/>
      <c r="J105" s="30"/>
      <c r="K105" s="30"/>
      <c r="L105" s="30"/>
      <c r="M105" s="30"/>
    </row>
    <row r="106" spans="1:13" s="14" customFormat="1" x14ac:dyDescent="0.25">
      <c r="A106" s="13"/>
      <c r="D106" s="30"/>
      <c r="E106" s="31"/>
      <c r="F106" s="30"/>
      <c r="G106" s="30"/>
      <c r="H106" s="30"/>
      <c r="I106" s="30"/>
      <c r="J106" s="30"/>
      <c r="K106" s="30"/>
      <c r="L106" s="30"/>
      <c r="M106" s="30"/>
    </row>
    <row r="107" spans="1:13" s="14" customFormat="1" x14ac:dyDescent="0.25">
      <c r="A107" s="13"/>
      <c r="D107" s="30"/>
      <c r="E107" s="31"/>
      <c r="F107" s="30"/>
      <c r="G107" s="30"/>
      <c r="H107" s="30"/>
      <c r="I107" s="30"/>
      <c r="J107" s="30"/>
      <c r="K107" s="30"/>
      <c r="L107" s="30"/>
      <c r="M107" s="30"/>
    </row>
    <row r="108" spans="1:13" s="14" customFormat="1" x14ac:dyDescent="0.25">
      <c r="A108" s="13"/>
      <c r="D108" s="30"/>
      <c r="E108" s="31"/>
      <c r="F108" s="30"/>
      <c r="G108" s="30"/>
      <c r="H108" s="30"/>
      <c r="I108" s="30"/>
      <c r="J108" s="30"/>
      <c r="K108" s="30"/>
      <c r="L108" s="30"/>
      <c r="M108" s="30"/>
    </row>
    <row r="109" spans="1:13" s="14" customFormat="1" x14ac:dyDescent="0.25">
      <c r="A109" s="13"/>
      <c r="D109" s="30"/>
      <c r="E109" s="31"/>
      <c r="F109" s="30"/>
      <c r="G109" s="30"/>
      <c r="H109" s="30"/>
      <c r="I109" s="30"/>
      <c r="J109" s="30"/>
      <c r="K109" s="30"/>
      <c r="L109" s="30"/>
      <c r="M109" s="30"/>
    </row>
    <row r="110" spans="1:13" s="14" customFormat="1" x14ac:dyDescent="0.25">
      <c r="A110" s="13"/>
      <c r="D110" s="30"/>
      <c r="E110" s="31"/>
      <c r="F110" s="30"/>
      <c r="G110" s="30"/>
      <c r="H110" s="30"/>
      <c r="I110" s="30"/>
      <c r="J110" s="30"/>
      <c r="K110" s="30"/>
      <c r="L110" s="30"/>
      <c r="M110" s="30"/>
    </row>
    <row r="111" spans="1:13" s="14" customFormat="1" x14ac:dyDescent="0.25">
      <c r="A111" s="13"/>
      <c r="D111" s="30"/>
      <c r="E111" s="31"/>
      <c r="F111" s="30"/>
      <c r="G111" s="30"/>
      <c r="H111" s="30"/>
      <c r="I111" s="30"/>
      <c r="J111" s="30"/>
      <c r="K111" s="30"/>
      <c r="L111" s="30"/>
      <c r="M111" s="30"/>
    </row>
    <row r="112" spans="1:13" s="14" customFormat="1" x14ac:dyDescent="0.25">
      <c r="A112" s="13"/>
      <c r="D112" s="30"/>
      <c r="E112" s="31"/>
      <c r="F112" s="30"/>
      <c r="G112" s="30"/>
      <c r="H112" s="30"/>
      <c r="I112" s="30"/>
      <c r="J112" s="30"/>
      <c r="K112" s="30"/>
      <c r="L112" s="30"/>
      <c r="M112" s="30"/>
    </row>
    <row r="113" spans="1:13" s="14" customFormat="1" x14ac:dyDescent="0.25">
      <c r="A113" s="13"/>
      <c r="D113" s="30"/>
      <c r="E113" s="31"/>
      <c r="F113" s="30"/>
      <c r="G113" s="30"/>
      <c r="H113" s="30"/>
      <c r="I113" s="30"/>
      <c r="J113" s="30"/>
      <c r="K113" s="30"/>
      <c r="L113" s="30"/>
      <c r="M113" s="30"/>
    </row>
    <row r="114" spans="1:13" s="14" customFormat="1" x14ac:dyDescent="0.25">
      <c r="A114" s="13"/>
      <c r="D114" s="30"/>
      <c r="E114" s="31"/>
      <c r="F114" s="30"/>
      <c r="G114" s="30"/>
      <c r="H114" s="30"/>
      <c r="I114" s="30"/>
      <c r="J114" s="30"/>
      <c r="K114" s="30"/>
      <c r="L114" s="30"/>
      <c r="M114" s="30"/>
    </row>
    <row r="115" spans="1:13" s="14" customFormat="1" x14ac:dyDescent="0.25">
      <c r="A115" s="13"/>
      <c r="D115" s="30"/>
      <c r="E115" s="31"/>
      <c r="F115" s="30"/>
      <c r="G115" s="30"/>
      <c r="H115" s="30"/>
      <c r="I115" s="30"/>
      <c r="J115" s="30"/>
      <c r="K115" s="30"/>
      <c r="L115" s="30"/>
      <c r="M115" s="30"/>
    </row>
    <row r="116" spans="1:13" s="14" customFormat="1" x14ac:dyDescent="0.25">
      <c r="A116" s="13"/>
      <c r="D116" s="30"/>
      <c r="E116" s="31"/>
      <c r="F116" s="30"/>
      <c r="G116" s="30"/>
      <c r="H116" s="30"/>
      <c r="I116" s="30"/>
      <c r="J116" s="30"/>
      <c r="K116" s="30"/>
      <c r="L116" s="30"/>
      <c r="M116" s="30"/>
    </row>
    <row r="117" spans="1:13" s="14" customFormat="1" x14ac:dyDescent="0.25">
      <c r="A117" s="13"/>
      <c r="D117" s="30"/>
      <c r="E117" s="31"/>
      <c r="F117" s="30"/>
      <c r="G117" s="30"/>
      <c r="H117" s="30"/>
      <c r="I117" s="30"/>
      <c r="J117" s="30"/>
      <c r="K117" s="30"/>
      <c r="L117" s="30"/>
      <c r="M117" s="30"/>
    </row>
    <row r="118" spans="1:13" s="14" customFormat="1" x14ac:dyDescent="0.25">
      <c r="A118" s="13"/>
      <c r="D118" s="30"/>
      <c r="E118" s="31"/>
      <c r="F118" s="30"/>
      <c r="G118" s="30"/>
      <c r="H118" s="30"/>
      <c r="I118" s="30"/>
      <c r="J118" s="30"/>
      <c r="K118" s="30"/>
      <c r="L118" s="30"/>
      <c r="M118" s="30"/>
    </row>
    <row r="119" spans="1:13" s="14" customFormat="1" x14ac:dyDescent="0.25">
      <c r="A119" s="13"/>
      <c r="D119" s="30"/>
      <c r="E119" s="31"/>
      <c r="F119" s="30"/>
      <c r="G119" s="30"/>
      <c r="H119" s="30"/>
      <c r="I119" s="30"/>
      <c r="J119" s="30"/>
      <c r="K119" s="30"/>
      <c r="L119" s="30"/>
      <c r="M119" s="30"/>
    </row>
    <row r="120" spans="1:13" s="14" customFormat="1" x14ac:dyDescent="0.25">
      <c r="A120" s="13"/>
      <c r="D120" s="30"/>
      <c r="E120" s="31"/>
      <c r="F120" s="30"/>
      <c r="G120" s="30"/>
      <c r="H120" s="30"/>
      <c r="I120" s="30"/>
      <c r="J120" s="30"/>
      <c r="K120" s="30"/>
      <c r="L120" s="30"/>
      <c r="M120" s="30"/>
    </row>
    <row r="121" spans="1:13" s="14" customFormat="1" x14ac:dyDescent="0.25">
      <c r="A121" s="13"/>
      <c r="D121" s="30"/>
      <c r="E121" s="31"/>
      <c r="F121" s="30"/>
      <c r="G121" s="30"/>
      <c r="H121" s="30"/>
      <c r="I121" s="30"/>
      <c r="J121" s="30"/>
      <c r="K121" s="30"/>
      <c r="L121" s="30"/>
      <c r="M121" s="30"/>
    </row>
    <row r="122" spans="1:13" s="14" customFormat="1" x14ac:dyDescent="0.25">
      <c r="A122" s="13"/>
      <c r="D122" s="30"/>
      <c r="E122" s="31"/>
      <c r="F122" s="30"/>
      <c r="G122" s="30"/>
      <c r="H122" s="30"/>
      <c r="I122" s="30"/>
      <c r="J122" s="30"/>
      <c r="K122" s="30"/>
      <c r="L122" s="30"/>
      <c r="M122" s="30"/>
    </row>
    <row r="123" spans="1:13" s="14" customFormat="1" x14ac:dyDescent="0.25">
      <c r="A123" s="13"/>
      <c r="D123" s="30"/>
      <c r="E123" s="31"/>
      <c r="F123" s="30"/>
      <c r="G123" s="30"/>
      <c r="H123" s="30"/>
      <c r="I123" s="30"/>
      <c r="J123" s="30"/>
      <c r="K123" s="30"/>
      <c r="L123" s="30"/>
      <c r="M123" s="30"/>
    </row>
    <row r="124" spans="1:13" s="14" customFormat="1" x14ac:dyDescent="0.25">
      <c r="A124" s="13"/>
      <c r="D124" s="30"/>
      <c r="E124" s="31"/>
      <c r="F124" s="30"/>
      <c r="G124" s="30"/>
      <c r="H124" s="30"/>
      <c r="I124" s="30"/>
      <c r="J124" s="30"/>
      <c r="K124" s="30"/>
      <c r="L124" s="30"/>
      <c r="M124" s="30"/>
    </row>
    <row r="125" spans="1:13" s="14" customFormat="1" x14ac:dyDescent="0.25">
      <c r="A125" s="13"/>
      <c r="D125" s="30"/>
      <c r="E125" s="31"/>
      <c r="F125" s="30"/>
      <c r="G125" s="30"/>
      <c r="H125" s="30"/>
      <c r="I125" s="30"/>
      <c r="J125" s="30"/>
      <c r="K125" s="30"/>
      <c r="L125" s="30"/>
      <c r="M125" s="30"/>
    </row>
    <row r="126" spans="1:13" s="14" customFormat="1" x14ac:dyDescent="0.25">
      <c r="A126" s="13"/>
      <c r="D126" s="30"/>
      <c r="E126" s="31"/>
      <c r="F126" s="30"/>
      <c r="G126" s="30"/>
      <c r="H126" s="30"/>
      <c r="I126" s="30"/>
      <c r="J126" s="30"/>
      <c r="K126" s="30"/>
      <c r="L126" s="30"/>
      <c r="M126" s="30"/>
    </row>
    <row r="127" spans="1:13" s="14" customFormat="1" x14ac:dyDescent="0.25">
      <c r="A127" s="13"/>
      <c r="D127" s="30"/>
      <c r="E127" s="31"/>
      <c r="F127" s="30"/>
      <c r="G127" s="30"/>
      <c r="H127" s="30"/>
      <c r="I127" s="30"/>
      <c r="J127" s="30"/>
      <c r="K127" s="30"/>
      <c r="L127" s="30"/>
      <c r="M127" s="30"/>
    </row>
    <row r="128" spans="1:13" s="14" customFormat="1" x14ac:dyDescent="0.25">
      <c r="A128" s="13"/>
      <c r="D128" s="30"/>
      <c r="E128" s="31"/>
      <c r="F128" s="30"/>
      <c r="G128" s="30"/>
      <c r="H128" s="30"/>
      <c r="I128" s="30"/>
      <c r="J128" s="30"/>
      <c r="K128" s="30"/>
      <c r="L128" s="30"/>
      <c r="M128" s="30"/>
    </row>
    <row r="129" spans="1:13" s="14" customFormat="1" x14ac:dyDescent="0.25">
      <c r="A129" s="13"/>
      <c r="D129" s="30"/>
      <c r="E129" s="31"/>
      <c r="F129" s="30"/>
      <c r="G129" s="30"/>
      <c r="H129" s="30"/>
      <c r="I129" s="30"/>
      <c r="J129" s="30"/>
      <c r="K129" s="30"/>
      <c r="L129" s="30"/>
      <c r="M129" s="30"/>
    </row>
    <row r="130" spans="1:13" s="14" customFormat="1" x14ac:dyDescent="0.25">
      <c r="A130" s="13"/>
      <c r="D130" s="30"/>
      <c r="E130" s="31"/>
      <c r="F130" s="30"/>
      <c r="G130" s="30"/>
      <c r="H130" s="30"/>
      <c r="I130" s="30"/>
      <c r="J130" s="30"/>
      <c r="K130" s="30"/>
      <c r="L130" s="30"/>
      <c r="M130" s="30"/>
    </row>
    <row r="131" spans="1:13" s="14" customFormat="1" x14ac:dyDescent="0.25">
      <c r="A131" s="13"/>
      <c r="D131" s="30"/>
      <c r="E131" s="31"/>
      <c r="F131" s="30"/>
      <c r="G131" s="30"/>
      <c r="H131" s="30"/>
      <c r="I131" s="30"/>
      <c r="J131" s="30"/>
      <c r="K131" s="30"/>
      <c r="L131" s="30"/>
      <c r="M131" s="30"/>
    </row>
    <row r="132" spans="1:13" s="14" customFormat="1" x14ac:dyDescent="0.25">
      <c r="A132" s="13"/>
      <c r="D132" s="30"/>
      <c r="E132" s="31"/>
      <c r="F132" s="30"/>
      <c r="G132" s="30"/>
      <c r="H132" s="30"/>
      <c r="I132" s="30"/>
      <c r="J132" s="30"/>
      <c r="K132" s="30"/>
      <c r="L132" s="30"/>
      <c r="M132" s="30"/>
    </row>
    <row r="133" spans="1:13" s="14" customFormat="1" x14ac:dyDescent="0.25">
      <c r="A133" s="13"/>
      <c r="D133" s="30"/>
      <c r="E133" s="31"/>
      <c r="F133" s="30"/>
      <c r="G133" s="30"/>
      <c r="H133" s="30"/>
      <c r="I133" s="30"/>
      <c r="J133" s="30"/>
      <c r="K133" s="30"/>
      <c r="L133" s="30"/>
      <c r="M133" s="30"/>
    </row>
    <row r="134" spans="1:13" s="14" customFormat="1" x14ac:dyDescent="0.25">
      <c r="A134" s="13"/>
      <c r="D134" s="30"/>
      <c r="E134" s="31"/>
      <c r="F134" s="30"/>
      <c r="G134" s="30"/>
      <c r="H134" s="30"/>
      <c r="I134" s="30"/>
      <c r="J134" s="30"/>
      <c r="K134" s="30"/>
      <c r="L134" s="30"/>
      <c r="M134" s="30"/>
    </row>
    <row r="135" spans="1:13" s="14" customFormat="1" x14ac:dyDescent="0.25">
      <c r="A135" s="13"/>
      <c r="D135" s="30"/>
      <c r="E135" s="31"/>
      <c r="F135" s="30"/>
      <c r="G135" s="30"/>
      <c r="H135" s="30"/>
      <c r="I135" s="30"/>
      <c r="J135" s="30"/>
      <c r="K135" s="30"/>
      <c r="L135" s="30"/>
      <c r="M135" s="30"/>
    </row>
    <row r="136" spans="1:13" s="14" customFormat="1" x14ac:dyDescent="0.25">
      <c r="A136" s="13"/>
      <c r="D136" s="30"/>
      <c r="E136" s="31"/>
      <c r="F136" s="30"/>
      <c r="G136" s="30"/>
      <c r="H136" s="30"/>
      <c r="I136" s="30"/>
      <c r="J136" s="30"/>
      <c r="K136" s="30"/>
      <c r="L136" s="30"/>
      <c r="M136" s="30"/>
    </row>
    <row r="137" spans="1:13" s="14" customFormat="1" x14ac:dyDescent="0.25">
      <c r="A137" s="13"/>
      <c r="D137" s="30"/>
      <c r="E137" s="31"/>
      <c r="F137" s="30"/>
      <c r="G137" s="30"/>
      <c r="H137" s="30"/>
      <c r="I137" s="30"/>
      <c r="J137" s="30"/>
      <c r="K137" s="30"/>
      <c r="L137" s="30"/>
      <c r="M137" s="30"/>
    </row>
    <row r="138" spans="1:13" s="14" customFormat="1" x14ac:dyDescent="0.25">
      <c r="A138" s="13"/>
      <c r="D138" s="30"/>
      <c r="E138" s="31"/>
      <c r="F138" s="30"/>
      <c r="G138" s="30"/>
      <c r="H138" s="30"/>
      <c r="I138" s="30"/>
      <c r="J138" s="30"/>
      <c r="K138" s="30"/>
      <c r="L138" s="30"/>
      <c r="M138" s="30"/>
    </row>
    <row r="139" spans="1:13" s="14" customFormat="1" x14ac:dyDescent="0.25">
      <c r="A139" s="13"/>
      <c r="D139" s="30"/>
      <c r="E139" s="31"/>
      <c r="F139" s="30"/>
      <c r="G139" s="30"/>
      <c r="H139" s="30"/>
      <c r="I139" s="30"/>
      <c r="J139" s="30"/>
      <c r="K139" s="30"/>
      <c r="L139" s="30"/>
      <c r="M139" s="30"/>
    </row>
    <row r="140" spans="1:13" s="14" customFormat="1" x14ac:dyDescent="0.25">
      <c r="A140" s="13"/>
      <c r="D140" s="30"/>
      <c r="E140" s="31"/>
      <c r="F140" s="30"/>
      <c r="G140" s="30"/>
      <c r="H140" s="30"/>
      <c r="I140" s="30"/>
      <c r="J140" s="30"/>
      <c r="K140" s="30"/>
      <c r="L140" s="30"/>
      <c r="M140" s="30"/>
    </row>
    <row r="141" spans="1:13" s="14" customFormat="1" x14ac:dyDescent="0.25">
      <c r="A141" s="13"/>
      <c r="D141" s="30"/>
      <c r="E141" s="31"/>
      <c r="F141" s="30"/>
      <c r="G141" s="30"/>
      <c r="H141" s="30"/>
      <c r="I141" s="30"/>
      <c r="J141" s="30"/>
      <c r="K141" s="30"/>
      <c r="L141" s="30"/>
      <c r="M141" s="30"/>
    </row>
    <row r="142" spans="1:13" s="14" customFormat="1" x14ac:dyDescent="0.25">
      <c r="A142" s="13"/>
      <c r="D142" s="30"/>
      <c r="E142" s="31"/>
      <c r="F142" s="30"/>
      <c r="G142" s="30"/>
      <c r="H142" s="30"/>
      <c r="I142" s="30"/>
      <c r="J142" s="30"/>
      <c r="K142" s="30"/>
      <c r="L142" s="30"/>
      <c r="M142" s="30"/>
    </row>
    <row r="143" spans="1:13" s="14" customFormat="1" x14ac:dyDescent="0.25">
      <c r="A143" s="13"/>
      <c r="D143" s="30"/>
      <c r="E143" s="31"/>
      <c r="F143" s="30"/>
      <c r="G143" s="30"/>
      <c r="H143" s="30"/>
      <c r="I143" s="30"/>
      <c r="J143" s="30"/>
      <c r="K143" s="30"/>
      <c r="L143" s="30"/>
      <c r="M143" s="30"/>
    </row>
    <row r="144" spans="1:13" s="14" customFormat="1" x14ac:dyDescent="0.25">
      <c r="A144" s="13"/>
      <c r="D144" s="30"/>
      <c r="E144" s="31"/>
      <c r="F144" s="30"/>
      <c r="G144" s="30"/>
      <c r="H144" s="30"/>
      <c r="I144" s="30"/>
      <c r="J144" s="30"/>
      <c r="K144" s="30"/>
      <c r="L144" s="30"/>
      <c r="M144" s="30"/>
    </row>
    <row r="145" spans="1:13" s="14" customFormat="1" x14ac:dyDescent="0.25">
      <c r="A145" s="13"/>
      <c r="D145" s="30"/>
      <c r="E145" s="31"/>
      <c r="F145" s="30"/>
      <c r="G145" s="30"/>
      <c r="H145" s="30"/>
      <c r="I145" s="30"/>
      <c r="J145" s="30"/>
      <c r="K145" s="30"/>
      <c r="L145" s="30"/>
      <c r="M145" s="30"/>
    </row>
    <row r="146" spans="1:13" s="14" customFormat="1" x14ac:dyDescent="0.25">
      <c r="A146" s="13"/>
      <c r="D146" s="30"/>
      <c r="E146" s="31"/>
      <c r="F146" s="30"/>
      <c r="G146" s="30"/>
      <c r="H146" s="30"/>
      <c r="I146" s="30"/>
      <c r="J146" s="30"/>
      <c r="K146" s="30"/>
      <c r="L146" s="30"/>
      <c r="M146" s="30"/>
    </row>
    <row r="147" spans="1:13" s="14" customFormat="1" x14ac:dyDescent="0.25">
      <c r="A147" s="13"/>
      <c r="D147" s="30"/>
      <c r="E147" s="31"/>
      <c r="F147" s="30"/>
      <c r="G147" s="30"/>
      <c r="H147" s="30"/>
      <c r="I147" s="30"/>
      <c r="J147" s="30"/>
      <c r="K147" s="30"/>
      <c r="L147" s="30"/>
      <c r="M147" s="30"/>
    </row>
    <row r="148" spans="1:13" s="14" customFormat="1" x14ac:dyDescent="0.25">
      <c r="A148" s="13"/>
      <c r="D148" s="30"/>
      <c r="E148" s="31"/>
      <c r="F148" s="30"/>
      <c r="G148" s="30"/>
      <c r="H148" s="30"/>
      <c r="I148" s="30"/>
      <c r="J148" s="30"/>
      <c r="K148" s="30"/>
      <c r="L148" s="30"/>
      <c r="M148" s="30"/>
    </row>
    <row r="149" spans="1:13" s="14" customFormat="1" x14ac:dyDescent="0.25">
      <c r="A149" s="13"/>
      <c r="D149" s="30"/>
      <c r="E149" s="31"/>
      <c r="F149" s="30"/>
      <c r="G149" s="30"/>
      <c r="H149" s="30"/>
      <c r="I149" s="30"/>
      <c r="J149" s="30"/>
      <c r="K149" s="30"/>
      <c r="L149" s="30"/>
      <c r="M149" s="30"/>
    </row>
    <row r="150" spans="1:13" s="14" customFormat="1" x14ac:dyDescent="0.25">
      <c r="A150" s="13"/>
      <c r="D150" s="30"/>
      <c r="E150" s="31"/>
      <c r="F150" s="30"/>
      <c r="G150" s="30"/>
      <c r="H150" s="30"/>
      <c r="I150" s="30"/>
      <c r="J150" s="30"/>
      <c r="K150" s="30"/>
      <c r="L150" s="30"/>
      <c r="M150" s="30"/>
    </row>
    <row r="151" spans="1:13" s="14" customFormat="1" x14ac:dyDescent="0.25">
      <c r="A151" s="13"/>
      <c r="D151" s="30"/>
      <c r="E151" s="31"/>
      <c r="F151" s="30"/>
      <c r="G151" s="30"/>
      <c r="H151" s="30"/>
      <c r="I151" s="30"/>
      <c r="J151" s="30"/>
      <c r="K151" s="30"/>
      <c r="L151" s="30"/>
      <c r="M151" s="30"/>
    </row>
    <row r="152" spans="1:13" s="14" customFormat="1" x14ac:dyDescent="0.25">
      <c r="A152" s="13"/>
      <c r="D152" s="30"/>
      <c r="E152" s="31"/>
      <c r="F152" s="30"/>
      <c r="G152" s="30"/>
      <c r="H152" s="30"/>
      <c r="I152" s="30"/>
      <c r="J152" s="30"/>
      <c r="K152" s="30"/>
      <c r="L152" s="30"/>
      <c r="M152" s="30"/>
    </row>
    <row r="153" spans="1:13" s="14" customFormat="1" x14ac:dyDescent="0.25">
      <c r="A153" s="13"/>
      <c r="D153" s="30"/>
      <c r="E153" s="31"/>
      <c r="F153" s="30"/>
      <c r="G153" s="30"/>
      <c r="H153" s="30"/>
      <c r="I153" s="30"/>
      <c r="J153" s="30"/>
      <c r="K153" s="30"/>
      <c r="L153" s="30"/>
      <c r="M153" s="30"/>
    </row>
    <row r="154" spans="1:13" s="14" customFormat="1" x14ac:dyDescent="0.25">
      <c r="A154" s="13"/>
      <c r="D154" s="30"/>
      <c r="E154" s="31"/>
      <c r="F154" s="30"/>
      <c r="G154" s="30"/>
      <c r="H154" s="30"/>
      <c r="I154" s="30"/>
      <c r="J154" s="30"/>
      <c r="K154" s="30"/>
      <c r="L154" s="30"/>
      <c r="M154" s="30"/>
    </row>
    <row r="155" spans="1:13" s="14" customFormat="1" x14ac:dyDescent="0.25">
      <c r="A155" s="13"/>
      <c r="D155" s="30"/>
      <c r="E155" s="31"/>
      <c r="F155" s="30"/>
      <c r="G155" s="30"/>
      <c r="H155" s="30"/>
      <c r="I155" s="30"/>
      <c r="J155" s="30"/>
      <c r="K155" s="30"/>
      <c r="L155" s="30"/>
      <c r="M155" s="30"/>
    </row>
    <row r="156" spans="1:13" s="14" customFormat="1" x14ac:dyDescent="0.25">
      <c r="A156" s="13"/>
      <c r="D156" s="30"/>
      <c r="E156" s="31"/>
      <c r="F156" s="30"/>
      <c r="G156" s="30"/>
      <c r="H156" s="30"/>
      <c r="I156" s="30"/>
      <c r="J156" s="30"/>
      <c r="K156" s="30"/>
      <c r="L156" s="30"/>
      <c r="M156" s="30"/>
    </row>
    <row r="157" spans="1:13" s="14" customFormat="1" x14ac:dyDescent="0.25">
      <c r="A157" s="13"/>
      <c r="D157" s="30"/>
      <c r="E157" s="31"/>
      <c r="F157" s="30"/>
      <c r="G157" s="30"/>
      <c r="H157" s="30"/>
      <c r="I157" s="30"/>
      <c r="J157" s="30"/>
      <c r="K157" s="30"/>
      <c r="L157" s="30"/>
      <c r="M157" s="30"/>
    </row>
    <row r="158" spans="1:13" s="14" customFormat="1" x14ac:dyDescent="0.25">
      <c r="A158" s="13"/>
      <c r="D158" s="30"/>
      <c r="E158" s="31"/>
      <c r="F158" s="30"/>
      <c r="G158" s="30"/>
      <c r="H158" s="30"/>
      <c r="I158" s="30"/>
      <c r="J158" s="30"/>
      <c r="K158" s="30"/>
      <c r="L158" s="30"/>
      <c r="M158" s="30"/>
    </row>
    <row r="159" spans="1:13" s="14" customFormat="1" x14ac:dyDescent="0.25">
      <c r="A159" s="13"/>
      <c r="D159" s="30"/>
      <c r="E159" s="31"/>
      <c r="F159" s="30"/>
      <c r="G159" s="30"/>
      <c r="H159" s="30"/>
      <c r="I159" s="30"/>
      <c r="J159" s="30"/>
      <c r="K159" s="30"/>
      <c r="L159" s="30"/>
      <c r="M159" s="30"/>
    </row>
    <row r="160" spans="1:13" s="14" customFormat="1" x14ac:dyDescent="0.25">
      <c r="A160" s="13"/>
      <c r="D160" s="30"/>
      <c r="E160" s="31"/>
      <c r="F160" s="30"/>
      <c r="G160" s="30"/>
      <c r="H160" s="30"/>
      <c r="I160" s="30"/>
      <c r="J160" s="30"/>
      <c r="K160" s="30"/>
      <c r="L160" s="30"/>
      <c r="M160" s="30"/>
    </row>
    <row r="161" spans="1:13" s="14" customFormat="1" x14ac:dyDescent="0.25">
      <c r="A161" s="13"/>
      <c r="D161" s="30"/>
      <c r="E161" s="31"/>
      <c r="F161" s="30"/>
      <c r="G161" s="30"/>
      <c r="H161" s="30"/>
      <c r="I161" s="30"/>
      <c r="J161" s="30"/>
      <c r="K161" s="30"/>
      <c r="L161" s="30"/>
      <c r="M161" s="30"/>
    </row>
    <row r="162" spans="1:13" s="14" customFormat="1" x14ac:dyDescent="0.25">
      <c r="A162" s="13"/>
      <c r="D162" s="30"/>
      <c r="E162" s="31"/>
      <c r="F162" s="30"/>
      <c r="G162" s="30"/>
      <c r="H162" s="30"/>
      <c r="I162" s="30"/>
      <c r="J162" s="30"/>
      <c r="K162" s="30"/>
      <c r="L162" s="30"/>
      <c r="M162" s="30"/>
    </row>
    <row r="163" spans="1:13" s="14" customFormat="1" x14ac:dyDescent="0.25">
      <c r="A163" s="13"/>
      <c r="D163" s="30"/>
      <c r="E163" s="31"/>
      <c r="F163" s="30"/>
      <c r="G163" s="30"/>
      <c r="H163" s="30"/>
      <c r="I163" s="30"/>
      <c r="J163" s="30"/>
      <c r="K163" s="30"/>
      <c r="L163" s="30"/>
      <c r="M163" s="30"/>
    </row>
    <row r="164" spans="1:13" s="14" customFormat="1" x14ac:dyDescent="0.25">
      <c r="A164" s="13"/>
      <c r="D164" s="30"/>
      <c r="E164" s="31"/>
      <c r="F164" s="30"/>
      <c r="G164" s="30"/>
      <c r="H164" s="30"/>
      <c r="I164" s="30"/>
      <c r="J164" s="30"/>
      <c r="K164" s="30"/>
      <c r="L164" s="30"/>
      <c r="M164" s="30"/>
    </row>
    <row r="165" spans="1:13" s="14" customFormat="1" x14ac:dyDescent="0.25">
      <c r="A165" s="13"/>
      <c r="D165" s="30"/>
      <c r="E165" s="31"/>
      <c r="F165" s="30"/>
      <c r="G165" s="30"/>
      <c r="H165" s="30"/>
      <c r="I165" s="30"/>
      <c r="J165" s="30"/>
      <c r="K165" s="30"/>
      <c r="L165" s="30"/>
      <c r="M165" s="30"/>
    </row>
    <row r="166" spans="1:13" s="14" customFormat="1" x14ac:dyDescent="0.25">
      <c r="A166" s="13"/>
      <c r="D166" s="30"/>
      <c r="E166" s="31"/>
      <c r="F166" s="30"/>
      <c r="G166" s="30"/>
      <c r="H166" s="30"/>
      <c r="I166" s="30"/>
      <c r="J166" s="30"/>
      <c r="K166" s="30"/>
      <c r="L166" s="30"/>
      <c r="M166" s="30"/>
    </row>
    <row r="167" spans="1:13" s="14" customFormat="1" x14ac:dyDescent="0.25">
      <c r="A167" s="13"/>
      <c r="D167" s="30"/>
      <c r="E167" s="31"/>
      <c r="F167" s="30"/>
      <c r="G167" s="30"/>
      <c r="H167" s="30"/>
      <c r="I167" s="30"/>
      <c r="J167" s="30"/>
      <c r="K167" s="30"/>
      <c r="L167" s="30"/>
      <c r="M167" s="30"/>
    </row>
    <row r="168" spans="1:13" s="14" customFormat="1" x14ac:dyDescent="0.25">
      <c r="A168" s="13"/>
      <c r="D168" s="30"/>
      <c r="E168" s="31"/>
      <c r="F168" s="30"/>
      <c r="G168" s="30"/>
      <c r="H168" s="30"/>
      <c r="I168" s="30"/>
      <c r="J168" s="30"/>
      <c r="K168" s="30"/>
      <c r="L168" s="30"/>
      <c r="M168" s="30"/>
    </row>
    <row r="169" spans="1:13" s="14" customFormat="1" x14ac:dyDescent="0.25">
      <c r="A169" s="13"/>
      <c r="D169" s="30"/>
      <c r="E169" s="31"/>
      <c r="F169" s="30"/>
      <c r="G169" s="30"/>
      <c r="H169" s="30"/>
      <c r="I169" s="30"/>
      <c r="J169" s="30"/>
      <c r="K169" s="30"/>
      <c r="L169" s="30"/>
      <c r="M169" s="30"/>
    </row>
    <row r="170" spans="1:13" s="14" customFormat="1" x14ac:dyDescent="0.25">
      <c r="A170" s="13"/>
      <c r="D170" s="30"/>
      <c r="E170" s="31"/>
      <c r="F170" s="30"/>
      <c r="G170" s="30"/>
      <c r="H170" s="30"/>
      <c r="I170" s="30"/>
      <c r="J170" s="30"/>
      <c r="K170" s="30"/>
      <c r="L170" s="30"/>
      <c r="M170" s="30"/>
    </row>
    <row r="171" spans="1:13" s="14" customFormat="1" x14ac:dyDescent="0.25">
      <c r="A171" s="13"/>
      <c r="D171" s="30"/>
      <c r="E171" s="31"/>
      <c r="F171" s="30"/>
      <c r="G171" s="30"/>
      <c r="H171" s="30"/>
      <c r="I171" s="30"/>
      <c r="J171" s="30"/>
      <c r="K171" s="30"/>
      <c r="L171" s="30"/>
      <c r="M171" s="30"/>
    </row>
    <row r="172" spans="1:13" s="14" customFormat="1" x14ac:dyDescent="0.25">
      <c r="A172" s="13"/>
      <c r="D172" s="30"/>
      <c r="E172" s="31"/>
      <c r="F172" s="30"/>
      <c r="G172" s="30"/>
      <c r="H172" s="30"/>
      <c r="I172" s="30"/>
      <c r="J172" s="30"/>
      <c r="K172" s="30"/>
      <c r="L172" s="30"/>
      <c r="M172" s="30"/>
    </row>
    <row r="173" spans="1:13" s="14" customFormat="1" x14ac:dyDescent="0.25">
      <c r="A173" s="13"/>
      <c r="D173" s="30"/>
      <c r="E173" s="31"/>
      <c r="F173" s="30"/>
      <c r="G173" s="30"/>
      <c r="H173" s="30"/>
      <c r="I173" s="30"/>
      <c r="J173" s="30"/>
      <c r="K173" s="30"/>
      <c r="L173" s="30"/>
      <c r="M173" s="30"/>
    </row>
    <row r="174" spans="1:13" s="14" customFormat="1" x14ac:dyDescent="0.25">
      <c r="A174" s="13"/>
      <c r="D174" s="30"/>
      <c r="E174" s="31"/>
      <c r="F174" s="30"/>
      <c r="G174" s="30"/>
      <c r="H174" s="30"/>
      <c r="I174" s="30"/>
      <c r="J174" s="30"/>
      <c r="K174" s="30"/>
      <c r="L174" s="30"/>
      <c r="M174" s="30"/>
    </row>
    <row r="175" spans="1:13" s="14" customFormat="1" x14ac:dyDescent="0.25">
      <c r="A175" s="13"/>
      <c r="D175" s="30"/>
      <c r="E175" s="31"/>
      <c r="F175" s="30"/>
      <c r="G175" s="30"/>
      <c r="H175" s="30"/>
      <c r="I175" s="30"/>
      <c r="J175" s="30"/>
      <c r="K175" s="30"/>
      <c r="L175" s="30"/>
      <c r="M175" s="30"/>
    </row>
    <row r="176" spans="1:13" s="14" customFormat="1" x14ac:dyDescent="0.25">
      <c r="A176" s="13"/>
      <c r="D176" s="30"/>
      <c r="E176" s="31"/>
      <c r="F176" s="30"/>
      <c r="G176" s="30"/>
      <c r="H176" s="30"/>
      <c r="I176" s="30"/>
      <c r="J176" s="30"/>
      <c r="K176" s="30"/>
      <c r="L176" s="30"/>
      <c r="M176" s="30"/>
    </row>
    <row r="177" spans="1:13" s="14" customFormat="1" x14ac:dyDescent="0.25">
      <c r="A177" s="13"/>
      <c r="D177" s="30"/>
      <c r="E177" s="31"/>
      <c r="F177" s="30"/>
      <c r="G177" s="30"/>
      <c r="H177" s="30"/>
      <c r="I177" s="30"/>
      <c r="J177" s="30"/>
      <c r="K177" s="30"/>
      <c r="L177" s="30"/>
      <c r="M177" s="30"/>
    </row>
    <row r="178" spans="1:13" s="14" customFormat="1" x14ac:dyDescent="0.25">
      <c r="A178" s="13"/>
      <c r="D178" s="30"/>
      <c r="E178" s="31"/>
      <c r="F178" s="30"/>
      <c r="G178" s="30"/>
      <c r="H178" s="30"/>
      <c r="I178" s="30"/>
      <c r="J178" s="30"/>
      <c r="K178" s="30"/>
      <c r="L178" s="30"/>
      <c r="M178" s="30"/>
    </row>
    <row r="179" spans="1:13" s="14" customFormat="1" x14ac:dyDescent="0.25">
      <c r="A179" s="13"/>
      <c r="D179" s="30"/>
      <c r="E179" s="31"/>
      <c r="F179" s="30"/>
      <c r="G179" s="30"/>
      <c r="H179" s="30"/>
      <c r="I179" s="30"/>
      <c r="J179" s="30"/>
      <c r="K179" s="30"/>
      <c r="L179" s="30"/>
      <c r="M179" s="30"/>
    </row>
    <row r="180" spans="1:13" s="14" customFormat="1" x14ac:dyDescent="0.25">
      <c r="A180" s="13"/>
      <c r="D180" s="30"/>
      <c r="E180" s="31"/>
      <c r="F180" s="30"/>
      <c r="G180" s="30"/>
      <c r="H180" s="30"/>
      <c r="I180" s="30"/>
      <c r="J180" s="30"/>
      <c r="K180" s="30"/>
      <c r="L180" s="30"/>
      <c r="M180" s="30"/>
    </row>
    <row r="181" spans="1:13" s="14" customFormat="1" x14ac:dyDescent="0.25">
      <c r="A181" s="13"/>
      <c r="D181" s="30"/>
      <c r="E181" s="31"/>
      <c r="F181" s="30"/>
      <c r="G181" s="30"/>
      <c r="H181" s="30"/>
      <c r="I181" s="30"/>
      <c r="J181" s="30"/>
      <c r="K181" s="30"/>
      <c r="L181" s="30"/>
      <c r="M181" s="30"/>
    </row>
    <row r="182" spans="1:13" s="14" customFormat="1" x14ac:dyDescent="0.25">
      <c r="A182" s="13"/>
      <c r="D182" s="30"/>
      <c r="E182" s="31"/>
      <c r="F182" s="30"/>
      <c r="G182" s="30"/>
      <c r="H182" s="30"/>
      <c r="I182" s="30"/>
      <c r="J182" s="30"/>
      <c r="K182" s="30"/>
      <c r="L182" s="30"/>
      <c r="M182" s="30"/>
    </row>
    <row r="183" spans="1:13" s="14" customFormat="1" x14ac:dyDescent="0.25">
      <c r="A183" s="13"/>
      <c r="D183" s="30"/>
      <c r="E183" s="31"/>
      <c r="F183" s="30"/>
      <c r="G183" s="30"/>
      <c r="H183" s="30"/>
      <c r="I183" s="30"/>
      <c r="J183" s="30"/>
      <c r="K183" s="30"/>
      <c r="L183" s="30"/>
      <c r="M183" s="30"/>
    </row>
    <row r="184" spans="1:13" s="14" customFormat="1" x14ac:dyDescent="0.25">
      <c r="A184" s="13"/>
      <c r="D184" s="30"/>
      <c r="E184" s="31"/>
      <c r="F184" s="30"/>
      <c r="G184" s="30"/>
      <c r="H184" s="30"/>
      <c r="I184" s="30"/>
      <c r="J184" s="30"/>
      <c r="K184" s="30"/>
      <c r="L184" s="30"/>
      <c r="M184" s="30"/>
    </row>
    <row r="185" spans="1:13" s="14" customFormat="1" x14ac:dyDescent="0.25">
      <c r="A185" s="13"/>
      <c r="D185" s="30"/>
      <c r="E185" s="31"/>
      <c r="F185" s="30"/>
      <c r="G185" s="30"/>
      <c r="H185" s="30"/>
      <c r="I185" s="30"/>
      <c r="J185" s="30"/>
      <c r="K185" s="30"/>
      <c r="L185" s="30"/>
      <c r="M185" s="30"/>
    </row>
    <row r="186" spans="1:13" s="14" customFormat="1" x14ac:dyDescent="0.25">
      <c r="A186" s="13"/>
      <c r="D186" s="30"/>
      <c r="E186" s="31"/>
      <c r="F186" s="30"/>
      <c r="G186" s="30"/>
      <c r="H186" s="30"/>
      <c r="I186" s="30"/>
      <c r="J186" s="30"/>
      <c r="K186" s="30"/>
      <c r="L186" s="30"/>
      <c r="M186" s="30"/>
    </row>
    <row r="187" spans="1:13" s="14" customFormat="1" x14ac:dyDescent="0.25">
      <c r="A187" s="13"/>
      <c r="D187" s="30"/>
      <c r="E187" s="31"/>
      <c r="F187" s="30"/>
      <c r="G187" s="30"/>
      <c r="H187" s="30"/>
      <c r="I187" s="30"/>
      <c r="J187" s="30"/>
      <c r="K187" s="30"/>
      <c r="L187" s="30"/>
      <c r="M187" s="30"/>
    </row>
    <row r="188" spans="1:13" s="14" customFormat="1" x14ac:dyDescent="0.25">
      <c r="A188" s="13"/>
      <c r="D188" s="30"/>
      <c r="E188" s="31"/>
      <c r="F188" s="30"/>
      <c r="G188" s="30"/>
      <c r="H188" s="30"/>
      <c r="I188" s="30"/>
      <c r="J188" s="30"/>
      <c r="K188" s="30"/>
      <c r="L188" s="30"/>
      <c r="M188" s="30"/>
    </row>
    <row r="189" spans="1:13" s="14" customFormat="1" x14ac:dyDescent="0.25">
      <c r="A189" s="13"/>
      <c r="D189" s="30"/>
      <c r="E189" s="31"/>
      <c r="F189" s="30"/>
      <c r="G189" s="30"/>
      <c r="H189" s="30"/>
      <c r="I189" s="30"/>
      <c r="J189" s="30"/>
      <c r="K189" s="30"/>
      <c r="L189" s="30"/>
      <c r="M189" s="30"/>
    </row>
    <row r="190" spans="1:13" s="14" customFormat="1" x14ac:dyDescent="0.25">
      <c r="A190" s="13"/>
      <c r="D190" s="30"/>
      <c r="E190" s="31"/>
      <c r="F190" s="30"/>
      <c r="G190" s="30"/>
      <c r="H190" s="30"/>
      <c r="I190" s="30"/>
      <c r="J190" s="30"/>
      <c r="K190" s="30"/>
      <c r="L190" s="30"/>
      <c r="M190" s="30"/>
    </row>
    <row r="191" spans="1:13" s="14" customFormat="1" x14ac:dyDescent="0.25">
      <c r="A191" s="13"/>
      <c r="D191" s="30"/>
      <c r="E191" s="31"/>
      <c r="F191" s="30"/>
      <c r="G191" s="30"/>
      <c r="H191" s="30"/>
      <c r="I191" s="30"/>
      <c r="J191" s="30"/>
      <c r="K191" s="30"/>
      <c r="L191" s="30"/>
      <c r="M191" s="30"/>
    </row>
    <row r="192" spans="1:13" s="14" customFormat="1" x14ac:dyDescent="0.25">
      <c r="A192" s="13"/>
      <c r="D192" s="30"/>
      <c r="E192" s="31"/>
      <c r="F192" s="30"/>
      <c r="G192" s="30"/>
      <c r="H192" s="30"/>
      <c r="I192" s="30"/>
      <c r="J192" s="30"/>
      <c r="K192" s="30"/>
      <c r="L192" s="30"/>
      <c r="M192" s="30"/>
    </row>
    <row r="193" spans="1:13" s="14" customFormat="1" x14ac:dyDescent="0.25">
      <c r="A193" s="13"/>
      <c r="D193" s="30"/>
      <c r="E193" s="31"/>
      <c r="F193" s="30"/>
      <c r="G193" s="30"/>
      <c r="H193" s="30"/>
      <c r="I193" s="30"/>
      <c r="J193" s="30"/>
      <c r="K193" s="30"/>
      <c r="L193" s="30"/>
      <c r="M193" s="30"/>
    </row>
    <row r="194" spans="1:13" s="14" customFormat="1" x14ac:dyDescent="0.25">
      <c r="A194" s="13"/>
      <c r="D194" s="30"/>
      <c r="E194" s="31"/>
      <c r="F194" s="30"/>
      <c r="G194" s="30"/>
      <c r="H194" s="30"/>
      <c r="I194" s="30"/>
      <c r="J194" s="30"/>
      <c r="K194" s="30"/>
      <c r="L194" s="30"/>
      <c r="M194" s="30"/>
    </row>
    <row r="195" spans="1:13" s="14" customFormat="1" x14ac:dyDescent="0.25">
      <c r="A195" s="13"/>
      <c r="D195" s="30"/>
      <c r="E195" s="31"/>
      <c r="F195" s="30"/>
      <c r="G195" s="30"/>
      <c r="H195" s="30"/>
      <c r="I195" s="30"/>
      <c r="J195" s="30"/>
      <c r="K195" s="30"/>
      <c r="L195" s="30"/>
      <c r="M195" s="30"/>
    </row>
    <row r="196" spans="1:13" s="14" customFormat="1" x14ac:dyDescent="0.25">
      <c r="A196" s="13"/>
      <c r="D196" s="30"/>
      <c r="E196" s="31"/>
      <c r="F196" s="30"/>
      <c r="G196" s="30"/>
      <c r="H196" s="30"/>
      <c r="I196" s="30"/>
      <c r="J196" s="30"/>
      <c r="K196" s="30"/>
      <c r="L196" s="30"/>
      <c r="M196" s="30"/>
    </row>
    <row r="197" spans="1:13" s="14" customFormat="1" x14ac:dyDescent="0.25">
      <c r="A197" s="13"/>
      <c r="D197" s="30"/>
      <c r="E197" s="31"/>
      <c r="F197" s="30"/>
      <c r="G197" s="30"/>
      <c r="H197" s="30"/>
      <c r="I197" s="30"/>
      <c r="J197" s="30"/>
      <c r="K197" s="30"/>
      <c r="L197" s="30"/>
      <c r="M197" s="30"/>
    </row>
    <row r="198" spans="1:13" s="14" customFormat="1" x14ac:dyDescent="0.25">
      <c r="A198" s="13"/>
      <c r="D198" s="30"/>
      <c r="E198" s="31"/>
      <c r="F198" s="30"/>
      <c r="G198" s="30"/>
      <c r="H198" s="30"/>
      <c r="I198" s="30"/>
      <c r="J198" s="30"/>
      <c r="K198" s="30"/>
      <c r="L198" s="30"/>
      <c r="M198" s="30"/>
    </row>
    <row r="199" spans="1:13" s="14" customFormat="1" x14ac:dyDescent="0.25">
      <c r="A199" s="13"/>
      <c r="D199" s="30"/>
      <c r="E199" s="31"/>
      <c r="F199" s="30"/>
      <c r="G199" s="30"/>
      <c r="H199" s="30"/>
      <c r="I199" s="30"/>
      <c r="J199" s="30"/>
      <c r="K199" s="30"/>
      <c r="L199" s="30"/>
      <c r="M199" s="30"/>
    </row>
    <row r="200" spans="1:13" s="14" customFormat="1" x14ac:dyDescent="0.25">
      <c r="A200" s="13"/>
      <c r="D200" s="30"/>
      <c r="E200" s="31"/>
      <c r="F200" s="30"/>
      <c r="G200" s="30"/>
      <c r="H200" s="30"/>
      <c r="I200" s="30"/>
      <c r="J200" s="30"/>
      <c r="K200" s="30"/>
      <c r="L200" s="30"/>
      <c r="M200" s="30"/>
    </row>
    <row r="201" spans="1:13" s="14" customFormat="1" x14ac:dyDescent="0.25">
      <c r="A201" s="13"/>
      <c r="D201" s="30"/>
      <c r="E201" s="31"/>
      <c r="F201" s="30"/>
      <c r="G201" s="30"/>
      <c r="H201" s="30"/>
      <c r="I201" s="30"/>
      <c r="J201" s="30"/>
      <c r="K201" s="30"/>
      <c r="L201" s="30"/>
      <c r="M201" s="30"/>
    </row>
    <row r="202" spans="1:13" s="14" customFormat="1" x14ac:dyDescent="0.25">
      <c r="A202" s="13"/>
      <c r="D202" s="30"/>
      <c r="E202" s="31"/>
      <c r="F202" s="30"/>
      <c r="G202" s="30"/>
      <c r="H202" s="30"/>
      <c r="I202" s="30"/>
      <c r="J202" s="30"/>
      <c r="K202" s="30"/>
      <c r="L202" s="30"/>
      <c r="M202" s="30"/>
    </row>
    <row r="203" spans="1:13" s="14" customFormat="1" x14ac:dyDescent="0.25">
      <c r="A203" s="13"/>
      <c r="D203" s="30"/>
      <c r="E203" s="31"/>
      <c r="F203" s="30"/>
      <c r="G203" s="30"/>
      <c r="H203" s="30"/>
      <c r="I203" s="30"/>
      <c r="J203" s="30"/>
      <c r="K203" s="30"/>
      <c r="L203" s="30"/>
      <c r="M203" s="30"/>
    </row>
    <row r="204" spans="1:13" s="14" customFormat="1" x14ac:dyDescent="0.25">
      <c r="A204" s="13"/>
      <c r="D204" s="30"/>
      <c r="E204" s="31"/>
      <c r="F204" s="30"/>
      <c r="G204" s="30"/>
      <c r="H204" s="30"/>
      <c r="I204" s="30"/>
      <c r="J204" s="30"/>
      <c r="K204" s="30"/>
      <c r="L204" s="30"/>
      <c r="M204" s="30"/>
    </row>
    <row r="205" spans="1:13" s="14" customFormat="1" x14ac:dyDescent="0.25">
      <c r="A205" s="13"/>
      <c r="D205" s="30"/>
      <c r="E205" s="31"/>
      <c r="F205" s="30"/>
      <c r="G205" s="30"/>
      <c r="H205" s="30"/>
      <c r="I205" s="30"/>
      <c r="J205" s="30"/>
      <c r="K205" s="30"/>
      <c r="L205" s="30"/>
      <c r="M205" s="30"/>
    </row>
    <row r="206" spans="1:13" s="14" customFormat="1" x14ac:dyDescent="0.25">
      <c r="A206" s="13"/>
      <c r="D206" s="30"/>
      <c r="E206" s="31"/>
      <c r="F206" s="30"/>
      <c r="G206" s="30"/>
      <c r="H206" s="30"/>
      <c r="I206" s="30"/>
      <c r="J206" s="30"/>
      <c r="K206" s="30"/>
      <c r="L206" s="30"/>
      <c r="M206" s="30"/>
    </row>
    <row r="207" spans="1:13" s="14" customFormat="1" x14ac:dyDescent="0.25">
      <c r="A207" s="13"/>
      <c r="D207" s="30"/>
      <c r="E207" s="31"/>
      <c r="F207" s="30"/>
      <c r="G207" s="30"/>
      <c r="H207" s="30"/>
      <c r="I207" s="30"/>
      <c r="J207" s="30"/>
      <c r="K207" s="30"/>
      <c r="L207" s="30"/>
      <c r="M207" s="30"/>
    </row>
    <row r="208" spans="1:13" s="14" customFormat="1" x14ac:dyDescent="0.25">
      <c r="A208" s="13"/>
      <c r="D208" s="30"/>
      <c r="E208" s="31"/>
      <c r="F208" s="30"/>
      <c r="G208" s="30"/>
      <c r="H208" s="30"/>
      <c r="I208" s="30"/>
      <c r="J208" s="30"/>
      <c r="K208" s="30"/>
      <c r="L208" s="30"/>
      <c r="M208" s="30"/>
    </row>
    <row r="209" spans="1:13" s="14" customFormat="1" x14ac:dyDescent="0.25">
      <c r="A209" s="13"/>
      <c r="D209" s="30"/>
      <c r="E209" s="31"/>
      <c r="F209" s="30"/>
      <c r="G209" s="30"/>
      <c r="H209" s="30"/>
      <c r="I209" s="30"/>
      <c r="J209" s="30"/>
      <c r="K209" s="30"/>
      <c r="L209" s="30"/>
      <c r="M209" s="30"/>
    </row>
    <row r="210" spans="1:13" s="14" customFormat="1" x14ac:dyDescent="0.25">
      <c r="A210" s="13"/>
      <c r="D210" s="30"/>
      <c r="E210" s="31"/>
      <c r="F210" s="30"/>
      <c r="G210" s="30"/>
      <c r="H210" s="30"/>
      <c r="I210" s="30"/>
      <c r="J210" s="30"/>
      <c r="K210" s="30"/>
      <c r="L210" s="30"/>
      <c r="M210" s="30"/>
    </row>
    <row r="211" spans="1:13" s="14" customFormat="1" x14ac:dyDescent="0.25">
      <c r="A211" s="13"/>
      <c r="D211" s="30"/>
      <c r="E211" s="31"/>
      <c r="F211" s="30"/>
      <c r="G211" s="30"/>
      <c r="H211" s="30"/>
      <c r="I211" s="30"/>
      <c r="J211" s="30"/>
      <c r="K211" s="30"/>
      <c r="L211" s="30"/>
      <c r="M211" s="30"/>
    </row>
    <row r="212" spans="1:13" s="14" customFormat="1" x14ac:dyDescent="0.25">
      <c r="A212" s="13"/>
      <c r="D212" s="30"/>
      <c r="E212" s="31"/>
      <c r="F212" s="30"/>
      <c r="G212" s="30"/>
      <c r="H212" s="30"/>
      <c r="I212" s="30"/>
      <c r="J212" s="30"/>
      <c r="K212" s="30"/>
      <c r="L212" s="30"/>
      <c r="M212" s="30"/>
    </row>
    <row r="213" spans="1:13" s="14" customFormat="1" x14ac:dyDescent="0.25">
      <c r="A213" s="13"/>
      <c r="D213" s="30"/>
      <c r="E213" s="31"/>
      <c r="F213" s="30"/>
      <c r="G213" s="30"/>
      <c r="H213" s="30"/>
      <c r="I213" s="30"/>
      <c r="J213" s="30"/>
      <c r="K213" s="30"/>
      <c r="L213" s="30"/>
      <c r="M213" s="30"/>
    </row>
    <row r="214" spans="1:13" s="14" customFormat="1" x14ac:dyDescent="0.25">
      <c r="A214" s="13"/>
      <c r="D214" s="30"/>
      <c r="E214" s="31"/>
      <c r="F214" s="30"/>
      <c r="G214" s="30"/>
      <c r="H214" s="30"/>
      <c r="I214" s="30"/>
      <c r="J214" s="30"/>
      <c r="K214" s="30"/>
      <c r="L214" s="30"/>
      <c r="M214" s="30"/>
    </row>
    <row r="215" spans="1:13" s="14" customFormat="1" x14ac:dyDescent="0.25">
      <c r="A215" s="13"/>
      <c r="D215" s="30"/>
      <c r="E215" s="31"/>
      <c r="F215" s="30"/>
      <c r="G215" s="30"/>
      <c r="H215" s="30"/>
      <c r="I215" s="30"/>
      <c r="J215" s="30"/>
      <c r="K215" s="30"/>
      <c r="L215" s="30"/>
      <c r="M215" s="30"/>
    </row>
    <row r="216" spans="1:13" s="14" customFormat="1" x14ac:dyDescent="0.25">
      <c r="A216" s="13"/>
      <c r="D216" s="30"/>
      <c r="E216" s="31"/>
      <c r="F216" s="30"/>
      <c r="G216" s="30"/>
      <c r="H216" s="30"/>
      <c r="I216" s="30"/>
      <c r="J216" s="30"/>
      <c r="K216" s="30"/>
      <c r="L216" s="30"/>
      <c r="M216" s="30"/>
    </row>
    <row r="217" spans="1:13" s="14" customFormat="1" x14ac:dyDescent="0.25">
      <c r="A217" s="13"/>
      <c r="D217" s="30"/>
      <c r="E217" s="31"/>
      <c r="F217" s="30"/>
      <c r="G217" s="30"/>
      <c r="H217" s="30"/>
      <c r="I217" s="30"/>
      <c r="J217" s="30"/>
      <c r="K217" s="30"/>
      <c r="L217" s="30"/>
      <c r="M217" s="30"/>
    </row>
    <row r="218" spans="1:13" s="14" customFormat="1" x14ac:dyDescent="0.25">
      <c r="A218" s="13"/>
      <c r="D218" s="30"/>
      <c r="E218" s="31"/>
      <c r="F218" s="30"/>
      <c r="G218" s="30"/>
      <c r="H218" s="30"/>
      <c r="I218" s="30"/>
      <c r="J218" s="30"/>
      <c r="K218" s="30"/>
      <c r="L218" s="30"/>
      <c r="M218" s="30"/>
    </row>
    <row r="219" spans="1:13" s="14" customFormat="1" x14ac:dyDescent="0.25">
      <c r="A219" s="13"/>
      <c r="D219" s="30"/>
      <c r="E219" s="31"/>
      <c r="F219" s="30"/>
      <c r="G219" s="30"/>
      <c r="H219" s="30"/>
      <c r="I219" s="30"/>
      <c r="J219" s="30"/>
      <c r="K219" s="30"/>
      <c r="L219" s="30"/>
      <c r="M219" s="30"/>
    </row>
    <row r="220" spans="1:13" s="14" customFormat="1" x14ac:dyDescent="0.25">
      <c r="A220" s="13"/>
      <c r="D220" s="30"/>
      <c r="E220" s="31"/>
      <c r="F220" s="30"/>
      <c r="G220" s="30"/>
      <c r="H220" s="30"/>
      <c r="I220" s="30"/>
      <c r="J220" s="30"/>
      <c r="K220" s="30"/>
      <c r="L220" s="30"/>
      <c r="M220" s="30"/>
    </row>
    <row r="221" spans="1:13" s="14" customFormat="1" x14ac:dyDescent="0.25">
      <c r="A221" s="13"/>
      <c r="D221" s="30"/>
      <c r="E221" s="31"/>
      <c r="F221" s="30"/>
      <c r="G221" s="30"/>
      <c r="H221" s="30"/>
      <c r="I221" s="30"/>
      <c r="J221" s="30"/>
      <c r="K221" s="30"/>
      <c r="L221" s="30"/>
      <c r="M221" s="30"/>
    </row>
    <row r="222" spans="1:13" s="14" customFormat="1" x14ac:dyDescent="0.25">
      <c r="A222" s="13"/>
      <c r="D222" s="30"/>
      <c r="E222" s="31"/>
      <c r="F222" s="30"/>
      <c r="G222" s="30"/>
      <c r="H222" s="30"/>
      <c r="I222" s="30"/>
      <c r="J222" s="30"/>
      <c r="K222" s="30"/>
      <c r="L222" s="30"/>
      <c r="M222" s="30"/>
    </row>
    <row r="223" spans="1:13" s="14" customFormat="1" x14ac:dyDescent="0.25">
      <c r="A223" s="13"/>
      <c r="D223" s="30"/>
      <c r="E223" s="31"/>
      <c r="F223" s="30"/>
      <c r="G223" s="30"/>
      <c r="H223" s="30"/>
      <c r="I223" s="30"/>
      <c r="J223" s="30"/>
      <c r="K223" s="30"/>
      <c r="L223" s="30"/>
      <c r="M223" s="30"/>
    </row>
    <row r="224" spans="1:13" s="14" customFormat="1" x14ac:dyDescent="0.25">
      <c r="A224" s="13"/>
      <c r="D224" s="30"/>
      <c r="E224" s="31"/>
      <c r="F224" s="30"/>
      <c r="G224" s="30"/>
      <c r="H224" s="30"/>
      <c r="I224" s="30"/>
      <c r="J224" s="30"/>
      <c r="K224" s="30"/>
      <c r="L224" s="30"/>
      <c r="M224" s="30"/>
    </row>
    <row r="225" spans="1:13" s="14" customFormat="1" x14ac:dyDescent="0.25">
      <c r="A225" s="13"/>
      <c r="D225" s="30"/>
      <c r="E225" s="31"/>
      <c r="F225" s="30"/>
      <c r="G225" s="30"/>
      <c r="H225" s="30"/>
      <c r="I225" s="30"/>
      <c r="J225" s="30"/>
      <c r="K225" s="30"/>
      <c r="L225" s="30"/>
      <c r="M225" s="30"/>
    </row>
    <row r="226" spans="1:13" s="14" customFormat="1" x14ac:dyDescent="0.25">
      <c r="A226" s="13"/>
      <c r="D226" s="30"/>
      <c r="E226" s="31"/>
      <c r="F226" s="30"/>
      <c r="G226" s="30"/>
      <c r="H226" s="30"/>
      <c r="I226" s="30"/>
      <c r="J226" s="30"/>
      <c r="K226" s="30"/>
      <c r="L226" s="30"/>
      <c r="M226" s="30"/>
    </row>
    <row r="227" spans="1:13" s="14" customFormat="1" x14ac:dyDescent="0.25">
      <c r="A227" s="13"/>
      <c r="D227" s="30"/>
      <c r="E227" s="31"/>
      <c r="F227" s="30"/>
      <c r="G227" s="30"/>
      <c r="H227" s="30"/>
      <c r="I227" s="30"/>
      <c r="J227" s="30"/>
      <c r="K227" s="30"/>
      <c r="L227" s="30"/>
      <c r="M227" s="30"/>
    </row>
    <row r="228" spans="1:13" s="14" customFormat="1" x14ac:dyDescent="0.25">
      <c r="A228" s="13"/>
      <c r="D228" s="30"/>
      <c r="E228" s="31"/>
      <c r="F228" s="30"/>
      <c r="G228" s="30"/>
      <c r="H228" s="30"/>
      <c r="I228" s="30"/>
      <c r="J228" s="30"/>
      <c r="K228" s="30"/>
      <c r="L228" s="30"/>
      <c r="M228" s="30"/>
    </row>
    <row r="229" spans="1:13" s="14" customFormat="1" x14ac:dyDescent="0.25">
      <c r="A229" s="13"/>
      <c r="D229" s="30"/>
      <c r="E229" s="31"/>
      <c r="F229" s="30"/>
      <c r="G229" s="30"/>
      <c r="H229" s="30"/>
      <c r="I229" s="30"/>
      <c r="J229" s="30"/>
      <c r="K229" s="30"/>
      <c r="L229" s="30"/>
      <c r="M229" s="30"/>
    </row>
    <row r="230" spans="1:13" s="14" customFormat="1" x14ac:dyDescent="0.25">
      <c r="A230" s="13"/>
      <c r="D230" s="30"/>
      <c r="E230" s="31"/>
      <c r="F230" s="30"/>
      <c r="G230" s="30"/>
      <c r="H230" s="30"/>
      <c r="I230" s="30"/>
      <c r="J230" s="30"/>
      <c r="K230" s="30"/>
      <c r="L230" s="30"/>
      <c r="M230" s="30"/>
    </row>
    <row r="231" spans="1:13" s="14" customFormat="1" x14ac:dyDescent="0.25">
      <c r="A231" s="13"/>
      <c r="D231" s="30"/>
      <c r="E231" s="31"/>
      <c r="F231" s="30"/>
      <c r="G231" s="30"/>
      <c r="H231" s="30"/>
      <c r="I231" s="30"/>
      <c r="J231" s="30"/>
      <c r="K231" s="30"/>
      <c r="L231" s="30"/>
      <c r="M231" s="30"/>
    </row>
    <row r="232" spans="1:13" s="14" customFormat="1" x14ac:dyDescent="0.25">
      <c r="A232" s="13"/>
      <c r="D232" s="30"/>
      <c r="E232" s="31"/>
      <c r="F232" s="30"/>
      <c r="G232" s="30"/>
      <c r="H232" s="30"/>
      <c r="I232" s="30"/>
      <c r="J232" s="30"/>
      <c r="K232" s="30"/>
      <c r="L232" s="30"/>
      <c r="M232" s="30"/>
    </row>
    <row r="233" spans="1:13" s="14" customFormat="1" x14ac:dyDescent="0.25">
      <c r="A233" s="13"/>
      <c r="D233" s="30"/>
      <c r="E233" s="31"/>
      <c r="F233" s="30"/>
      <c r="G233" s="30"/>
      <c r="H233" s="30"/>
      <c r="I233" s="30"/>
      <c r="J233" s="30"/>
      <c r="K233" s="30"/>
      <c r="L233" s="30"/>
      <c r="M233" s="30"/>
    </row>
    <row r="234" spans="1:13" s="14" customFormat="1" x14ac:dyDescent="0.25">
      <c r="A234" s="13"/>
      <c r="D234" s="30"/>
      <c r="E234" s="31"/>
      <c r="F234" s="30"/>
      <c r="G234" s="30"/>
      <c r="H234" s="30"/>
      <c r="I234" s="30"/>
      <c r="J234" s="30"/>
      <c r="K234" s="30"/>
      <c r="L234" s="30"/>
      <c r="M234" s="30"/>
    </row>
    <row r="235" spans="1:13" s="14" customFormat="1" x14ac:dyDescent="0.25">
      <c r="A235" s="13"/>
      <c r="D235" s="30"/>
      <c r="E235" s="31"/>
      <c r="F235" s="30"/>
      <c r="G235" s="30"/>
      <c r="H235" s="30"/>
      <c r="I235" s="30"/>
      <c r="J235" s="30"/>
      <c r="K235" s="30"/>
      <c r="L235" s="30"/>
      <c r="M235" s="30"/>
    </row>
    <row r="236" spans="1:13" s="14" customFormat="1" x14ac:dyDescent="0.25">
      <c r="A236" s="13"/>
      <c r="D236" s="30"/>
      <c r="E236" s="31"/>
      <c r="F236" s="30"/>
      <c r="G236" s="30"/>
      <c r="H236" s="30"/>
      <c r="I236" s="30"/>
      <c r="J236" s="30"/>
      <c r="K236" s="30"/>
      <c r="L236" s="30"/>
      <c r="M236" s="30"/>
    </row>
    <row r="237" spans="1:13" s="14" customFormat="1" x14ac:dyDescent="0.25">
      <c r="A237" s="13"/>
      <c r="D237" s="30"/>
      <c r="E237" s="31"/>
      <c r="F237" s="30"/>
      <c r="G237" s="30"/>
      <c r="H237" s="30"/>
      <c r="I237" s="30"/>
      <c r="J237" s="30"/>
      <c r="K237" s="30"/>
      <c r="L237" s="30"/>
      <c r="M237" s="30"/>
    </row>
    <row r="238" spans="1:13" s="14" customFormat="1" x14ac:dyDescent="0.25">
      <c r="A238" s="13"/>
      <c r="D238" s="30"/>
      <c r="E238" s="31"/>
      <c r="F238" s="30"/>
      <c r="G238" s="30"/>
      <c r="H238" s="30"/>
      <c r="I238" s="30"/>
      <c r="J238" s="30"/>
      <c r="K238" s="30"/>
      <c r="L238" s="30"/>
      <c r="M238" s="30"/>
    </row>
    <row r="239" spans="1:13" s="14" customFormat="1" x14ac:dyDescent="0.25">
      <c r="A239" s="13"/>
      <c r="D239" s="30"/>
      <c r="E239" s="31"/>
      <c r="F239" s="30"/>
      <c r="G239" s="30"/>
      <c r="H239" s="30"/>
      <c r="I239" s="30"/>
      <c r="J239" s="30"/>
      <c r="K239" s="30"/>
      <c r="L239" s="30"/>
      <c r="M239" s="30"/>
    </row>
    <row r="240" spans="1:13" s="14" customFormat="1" x14ac:dyDescent="0.25">
      <c r="A240" s="13"/>
      <c r="D240" s="30"/>
      <c r="E240" s="31"/>
      <c r="F240" s="30"/>
      <c r="G240" s="30"/>
      <c r="H240" s="30"/>
      <c r="I240" s="30"/>
      <c r="J240" s="30"/>
      <c r="K240" s="30"/>
      <c r="L240" s="30"/>
      <c r="M240" s="30"/>
    </row>
    <row r="241" spans="1:13" s="14" customFormat="1" x14ac:dyDescent="0.25">
      <c r="A241" s="13"/>
      <c r="D241" s="30"/>
      <c r="E241" s="31"/>
      <c r="F241" s="30"/>
      <c r="G241" s="30"/>
      <c r="H241" s="30"/>
      <c r="I241" s="30"/>
      <c r="J241" s="30"/>
      <c r="K241" s="30"/>
      <c r="L241" s="30"/>
      <c r="M241" s="30"/>
    </row>
    <row r="242" spans="1:13" s="14" customFormat="1" x14ac:dyDescent="0.25">
      <c r="A242" s="13"/>
      <c r="D242" s="30"/>
      <c r="E242" s="31"/>
      <c r="F242" s="30"/>
      <c r="G242" s="30"/>
      <c r="H242" s="30"/>
      <c r="I242" s="30"/>
      <c r="J242" s="30"/>
      <c r="K242" s="30"/>
      <c r="L242" s="30"/>
      <c r="M242" s="30"/>
    </row>
    <row r="243" spans="1:13" s="14" customFormat="1" x14ac:dyDescent="0.25">
      <c r="A243" s="13"/>
      <c r="D243" s="30"/>
      <c r="E243" s="31"/>
      <c r="F243" s="30"/>
      <c r="G243" s="30"/>
      <c r="H243" s="30"/>
      <c r="I243" s="30"/>
      <c r="J243" s="30"/>
      <c r="K243" s="30"/>
      <c r="L243" s="30"/>
      <c r="M243" s="30"/>
    </row>
    <row r="244" spans="1:13" s="14" customFormat="1" x14ac:dyDescent="0.25">
      <c r="A244" s="13"/>
      <c r="D244" s="30"/>
      <c r="E244" s="31"/>
      <c r="F244" s="30"/>
      <c r="G244" s="30"/>
      <c r="H244" s="30"/>
      <c r="I244" s="30"/>
      <c r="J244" s="30"/>
      <c r="K244" s="30"/>
      <c r="L244" s="30"/>
      <c r="M244" s="30"/>
    </row>
    <row r="245" spans="1:13" s="14" customFormat="1" x14ac:dyDescent="0.25">
      <c r="A245" s="13"/>
      <c r="D245" s="30"/>
      <c r="E245" s="31"/>
      <c r="F245" s="30"/>
      <c r="G245" s="30"/>
      <c r="H245" s="30"/>
      <c r="I245" s="30"/>
      <c r="J245" s="30"/>
      <c r="K245" s="30"/>
      <c r="L245" s="30"/>
      <c r="M245" s="30"/>
    </row>
    <row r="246" spans="1:13" s="14" customFormat="1" x14ac:dyDescent="0.25">
      <c r="A246" s="13"/>
      <c r="D246" s="30"/>
      <c r="E246" s="31"/>
      <c r="F246" s="30"/>
      <c r="G246" s="30"/>
      <c r="H246" s="30"/>
      <c r="I246" s="30"/>
      <c r="J246" s="30"/>
      <c r="K246" s="30"/>
      <c r="L246" s="30"/>
      <c r="M246" s="30"/>
    </row>
    <row r="247" spans="1:13" s="14" customFormat="1" x14ac:dyDescent="0.25">
      <c r="A247" s="13"/>
      <c r="D247" s="30"/>
      <c r="E247" s="31"/>
      <c r="F247" s="30"/>
      <c r="G247" s="30"/>
      <c r="H247" s="30"/>
      <c r="I247" s="30"/>
      <c r="J247" s="30"/>
      <c r="K247" s="30"/>
      <c r="L247" s="30"/>
      <c r="M247" s="30"/>
    </row>
    <row r="248" spans="1:13" s="14" customFormat="1" x14ac:dyDescent="0.25">
      <c r="A248" s="13"/>
      <c r="D248" s="30"/>
      <c r="E248" s="31"/>
      <c r="F248" s="30"/>
      <c r="G248" s="30"/>
      <c r="H248" s="30"/>
      <c r="I248" s="30"/>
      <c r="J248" s="30"/>
      <c r="K248" s="30"/>
      <c r="L248" s="30"/>
      <c r="M248" s="30"/>
    </row>
    <row r="249" spans="1:13" s="14" customFormat="1" x14ac:dyDescent="0.25">
      <c r="A249" s="13"/>
      <c r="D249" s="30"/>
      <c r="E249" s="31"/>
      <c r="F249" s="30"/>
      <c r="G249" s="30"/>
      <c r="H249" s="30"/>
      <c r="I249" s="30"/>
      <c r="J249" s="30"/>
      <c r="K249" s="30"/>
      <c r="L249" s="30"/>
      <c r="M249" s="30"/>
    </row>
    <row r="250" spans="1:13" s="14" customFormat="1" x14ac:dyDescent="0.25">
      <c r="A250" s="13"/>
      <c r="D250" s="30"/>
      <c r="E250" s="31"/>
      <c r="F250" s="30"/>
      <c r="G250" s="30"/>
      <c r="H250" s="30"/>
      <c r="I250" s="30"/>
      <c r="J250" s="30"/>
      <c r="K250" s="30"/>
      <c r="L250" s="30"/>
      <c r="M250" s="30"/>
    </row>
    <row r="251" spans="1:13" s="14" customFormat="1" x14ac:dyDescent="0.25">
      <c r="A251" s="13"/>
      <c r="D251" s="30"/>
      <c r="E251" s="31"/>
      <c r="F251" s="30"/>
      <c r="G251" s="30"/>
      <c r="H251" s="30"/>
      <c r="I251" s="30"/>
      <c r="J251" s="30"/>
      <c r="K251" s="30"/>
      <c r="L251" s="30"/>
      <c r="M251" s="30"/>
    </row>
    <row r="252" spans="1:13" s="14" customFormat="1" x14ac:dyDescent="0.25">
      <c r="A252" s="13"/>
      <c r="D252" s="30"/>
      <c r="E252" s="31"/>
      <c r="F252" s="30"/>
      <c r="G252" s="30"/>
      <c r="H252" s="30"/>
      <c r="I252" s="30"/>
      <c r="J252" s="30"/>
      <c r="K252" s="30"/>
      <c r="L252" s="30"/>
      <c r="M252" s="30"/>
    </row>
    <row r="253" spans="1:13" s="14" customFormat="1" x14ac:dyDescent="0.25">
      <c r="A253" s="13"/>
      <c r="D253" s="30"/>
      <c r="E253" s="31"/>
      <c r="F253" s="30"/>
      <c r="G253" s="30"/>
      <c r="H253" s="30"/>
      <c r="I253" s="30"/>
      <c r="J253" s="30"/>
      <c r="K253" s="30"/>
      <c r="L253" s="30"/>
      <c r="M253" s="30"/>
    </row>
    <row r="254" spans="1:13" s="14" customFormat="1" x14ac:dyDescent="0.25">
      <c r="A254" s="13"/>
      <c r="D254" s="30"/>
      <c r="E254" s="31"/>
      <c r="F254" s="30"/>
      <c r="G254" s="30"/>
      <c r="H254" s="30"/>
      <c r="I254" s="30"/>
      <c r="J254" s="30"/>
      <c r="K254" s="30"/>
      <c r="L254" s="30"/>
      <c r="M254" s="30"/>
    </row>
    <row r="255" spans="1:13" s="14" customFormat="1" x14ac:dyDescent="0.25">
      <c r="A255" s="13"/>
      <c r="D255" s="30"/>
      <c r="E255" s="31"/>
      <c r="F255" s="30"/>
      <c r="G255" s="30"/>
      <c r="H255" s="30"/>
      <c r="I255" s="30"/>
      <c r="J255" s="30"/>
      <c r="K255" s="30"/>
      <c r="L255" s="30"/>
      <c r="M255" s="30"/>
    </row>
    <row r="256" spans="1:13" s="14" customFormat="1" x14ac:dyDescent="0.25">
      <c r="A256" s="13"/>
      <c r="D256" s="30"/>
      <c r="E256" s="31"/>
      <c r="F256" s="30"/>
      <c r="G256" s="30"/>
      <c r="H256" s="30"/>
      <c r="I256" s="30"/>
      <c r="J256" s="30"/>
      <c r="K256" s="30"/>
      <c r="L256" s="30"/>
      <c r="M256" s="30"/>
    </row>
    <row r="257" spans="1:13" s="14" customFormat="1" x14ac:dyDescent="0.25">
      <c r="A257" s="13"/>
      <c r="D257" s="30"/>
      <c r="E257" s="31"/>
      <c r="F257" s="30"/>
      <c r="G257" s="30"/>
      <c r="H257" s="30"/>
      <c r="I257" s="30"/>
      <c r="J257" s="30"/>
      <c r="K257" s="30"/>
      <c r="L257" s="30"/>
      <c r="M257" s="30"/>
    </row>
    <row r="258" spans="1:13" s="14" customFormat="1" x14ac:dyDescent="0.25">
      <c r="A258" s="13"/>
      <c r="D258" s="30"/>
      <c r="E258" s="31"/>
      <c r="F258" s="30"/>
      <c r="G258" s="30"/>
      <c r="H258" s="30"/>
      <c r="I258" s="30"/>
      <c r="J258" s="30"/>
      <c r="K258" s="30"/>
      <c r="L258" s="30"/>
      <c r="M258" s="30"/>
    </row>
    <row r="259" spans="1:13" s="14" customFormat="1" x14ac:dyDescent="0.25">
      <c r="A259" s="13"/>
      <c r="D259" s="30"/>
      <c r="E259" s="31"/>
      <c r="F259" s="30"/>
      <c r="G259" s="30"/>
      <c r="H259" s="30"/>
      <c r="I259" s="30"/>
      <c r="J259" s="30"/>
      <c r="K259" s="30"/>
      <c r="L259" s="30"/>
      <c r="M259" s="30"/>
    </row>
    <row r="260" spans="1:13" s="14" customFormat="1" x14ac:dyDescent="0.25">
      <c r="A260" s="13"/>
      <c r="D260" s="30"/>
      <c r="E260" s="31"/>
      <c r="F260" s="30"/>
      <c r="G260" s="30"/>
      <c r="H260" s="30"/>
      <c r="I260" s="30"/>
      <c r="J260" s="30"/>
      <c r="K260" s="30"/>
      <c r="L260" s="30"/>
      <c r="M260" s="30"/>
    </row>
    <row r="261" spans="1:13" s="14" customFormat="1" x14ac:dyDescent="0.25">
      <c r="A261" s="13"/>
      <c r="D261" s="30"/>
      <c r="E261" s="31"/>
      <c r="F261" s="30"/>
      <c r="G261" s="30"/>
      <c r="H261" s="30"/>
      <c r="I261" s="30"/>
      <c r="J261" s="30"/>
      <c r="K261" s="30"/>
      <c r="L261" s="30"/>
      <c r="M261" s="30"/>
    </row>
    <row r="262" spans="1:13" s="14" customFormat="1" x14ac:dyDescent="0.25">
      <c r="A262" s="13"/>
      <c r="D262" s="30"/>
      <c r="E262" s="31"/>
      <c r="F262" s="30"/>
      <c r="G262" s="30"/>
      <c r="H262" s="30"/>
      <c r="I262" s="30"/>
      <c r="J262" s="30"/>
      <c r="K262" s="30"/>
      <c r="L262" s="30"/>
      <c r="M262" s="30"/>
    </row>
    <row r="263" spans="1:13" s="14" customFormat="1" x14ac:dyDescent="0.25">
      <c r="A263" s="13"/>
      <c r="D263" s="30"/>
      <c r="E263" s="31"/>
      <c r="F263" s="30"/>
      <c r="G263" s="30"/>
      <c r="H263" s="30"/>
      <c r="I263" s="30"/>
      <c r="J263" s="30"/>
      <c r="K263" s="30"/>
      <c r="L263" s="30"/>
      <c r="M263" s="30"/>
    </row>
    <row r="264" spans="1:13" s="14" customFormat="1" x14ac:dyDescent="0.25">
      <c r="A264" s="13"/>
      <c r="D264" s="30"/>
      <c r="E264" s="31"/>
      <c r="F264" s="30"/>
      <c r="G264" s="30"/>
      <c r="H264" s="30"/>
      <c r="I264" s="30"/>
      <c r="J264" s="30"/>
      <c r="K264" s="30"/>
      <c r="L264" s="30"/>
      <c r="M264" s="30"/>
    </row>
    <row r="265" spans="1:13" s="14" customFormat="1" x14ac:dyDescent="0.25">
      <c r="A265" s="13"/>
      <c r="D265" s="30"/>
      <c r="E265" s="31"/>
      <c r="F265" s="30"/>
      <c r="G265" s="30"/>
      <c r="H265" s="30"/>
      <c r="I265" s="30"/>
      <c r="J265" s="30"/>
      <c r="K265" s="30"/>
      <c r="L265" s="30"/>
      <c r="M265" s="30"/>
    </row>
    <row r="266" spans="1:13" s="14" customFormat="1" x14ac:dyDescent="0.25">
      <c r="A266" s="13"/>
      <c r="D266" s="30"/>
      <c r="E266" s="31"/>
      <c r="F266" s="30"/>
      <c r="G266" s="30"/>
      <c r="H266" s="30"/>
      <c r="I266" s="30"/>
      <c r="J266" s="30"/>
      <c r="K266" s="30"/>
      <c r="L266" s="30"/>
      <c r="M266" s="30"/>
    </row>
    <row r="267" spans="1:13" s="14" customFormat="1" x14ac:dyDescent="0.25">
      <c r="A267" s="13"/>
      <c r="D267" s="30"/>
      <c r="E267" s="31"/>
      <c r="F267" s="30"/>
      <c r="G267" s="30"/>
      <c r="H267" s="30"/>
      <c r="I267" s="30"/>
      <c r="J267" s="30"/>
      <c r="K267" s="30"/>
      <c r="L267" s="30"/>
      <c r="M267" s="30"/>
    </row>
    <row r="268" spans="1:13" s="14" customFormat="1" x14ac:dyDescent="0.25">
      <c r="A268" s="13"/>
      <c r="D268" s="30"/>
      <c r="E268" s="31"/>
      <c r="F268" s="30"/>
      <c r="G268" s="30"/>
      <c r="H268" s="30"/>
      <c r="I268" s="30"/>
      <c r="J268" s="30"/>
      <c r="K268" s="30"/>
      <c r="L268" s="30"/>
      <c r="M268" s="30"/>
    </row>
    <row r="269" spans="1:13" s="14" customFormat="1" x14ac:dyDescent="0.25">
      <c r="A269" s="13"/>
      <c r="D269" s="30"/>
      <c r="E269" s="31"/>
      <c r="F269" s="30"/>
      <c r="G269" s="30"/>
      <c r="H269" s="30"/>
      <c r="I269" s="30"/>
      <c r="J269" s="30"/>
      <c r="K269" s="30"/>
      <c r="L269" s="30"/>
      <c r="M269" s="30"/>
    </row>
    <row r="270" spans="1:13" s="14" customFormat="1" x14ac:dyDescent="0.25">
      <c r="A270" s="13"/>
      <c r="D270" s="30"/>
      <c r="E270" s="31"/>
      <c r="F270" s="30"/>
      <c r="G270" s="30"/>
      <c r="H270" s="30"/>
      <c r="I270" s="30"/>
      <c r="J270" s="30"/>
      <c r="K270" s="30"/>
      <c r="L270" s="30"/>
      <c r="M270" s="30"/>
    </row>
    <row r="271" spans="1:13" s="14" customFormat="1" x14ac:dyDescent="0.25">
      <c r="A271" s="13"/>
      <c r="D271" s="30"/>
      <c r="E271" s="31"/>
      <c r="F271" s="30"/>
      <c r="G271" s="30"/>
      <c r="H271" s="30"/>
      <c r="I271" s="30"/>
      <c r="J271" s="30"/>
      <c r="K271" s="30"/>
      <c r="L271" s="30"/>
      <c r="M271" s="30"/>
    </row>
    <row r="272" spans="1:13" s="14" customFormat="1" x14ac:dyDescent="0.25">
      <c r="A272" s="13"/>
      <c r="D272" s="30"/>
      <c r="E272" s="31"/>
      <c r="F272" s="30"/>
      <c r="G272" s="30"/>
      <c r="H272" s="30"/>
      <c r="I272" s="30"/>
      <c r="J272" s="30"/>
      <c r="K272" s="30"/>
      <c r="L272" s="30"/>
      <c r="M272" s="30"/>
    </row>
    <row r="273" spans="1:13" s="14" customFormat="1" x14ac:dyDescent="0.25">
      <c r="A273" s="13"/>
      <c r="D273" s="30"/>
      <c r="E273" s="31"/>
      <c r="F273" s="30"/>
      <c r="G273" s="30"/>
      <c r="H273" s="30"/>
      <c r="I273" s="30"/>
      <c r="J273" s="30"/>
      <c r="K273" s="30"/>
      <c r="L273" s="30"/>
      <c r="M273" s="30"/>
    </row>
    <row r="274" spans="1:13" s="14" customFormat="1" x14ac:dyDescent="0.25">
      <c r="A274" s="13"/>
      <c r="D274" s="30"/>
      <c r="E274" s="31"/>
      <c r="F274" s="30"/>
      <c r="G274" s="30"/>
      <c r="H274" s="30"/>
      <c r="I274" s="30"/>
      <c r="J274" s="30"/>
      <c r="K274" s="30"/>
      <c r="L274" s="30"/>
      <c r="M274" s="30"/>
    </row>
    <row r="275" spans="1:13" s="14" customFormat="1" x14ac:dyDescent="0.25">
      <c r="A275" s="13"/>
      <c r="D275" s="30"/>
      <c r="E275" s="31"/>
      <c r="F275" s="30"/>
      <c r="G275" s="30"/>
      <c r="H275" s="30"/>
      <c r="I275" s="30"/>
      <c r="J275" s="30"/>
      <c r="K275" s="30"/>
      <c r="L275" s="30"/>
      <c r="M275" s="30"/>
    </row>
    <row r="276" spans="1:13" s="14" customFormat="1" x14ac:dyDescent="0.25">
      <c r="A276" s="13"/>
      <c r="D276" s="30"/>
      <c r="E276" s="31"/>
      <c r="F276" s="30"/>
      <c r="G276" s="30"/>
      <c r="H276" s="30"/>
      <c r="I276" s="30"/>
      <c r="J276" s="30"/>
      <c r="K276" s="30"/>
      <c r="L276" s="30"/>
      <c r="M276" s="30"/>
    </row>
    <row r="277" spans="1:13" s="14" customFormat="1" x14ac:dyDescent="0.25">
      <c r="A277" s="13"/>
      <c r="D277" s="30"/>
      <c r="E277" s="31"/>
      <c r="F277" s="30"/>
      <c r="G277" s="30"/>
      <c r="H277" s="30"/>
      <c r="I277" s="30"/>
      <c r="J277" s="30"/>
      <c r="K277" s="30"/>
      <c r="L277" s="30"/>
      <c r="M277" s="30"/>
    </row>
    <row r="278" spans="1:13" s="14" customFormat="1" x14ac:dyDescent="0.25">
      <c r="A278" s="13"/>
      <c r="D278" s="30"/>
      <c r="E278" s="31"/>
      <c r="F278" s="30"/>
      <c r="G278" s="30"/>
      <c r="H278" s="30"/>
      <c r="I278" s="30"/>
      <c r="J278" s="30"/>
      <c r="K278" s="30"/>
      <c r="L278" s="30"/>
      <c r="M278" s="30"/>
    </row>
    <row r="279" spans="1:13" s="14" customFormat="1" x14ac:dyDescent="0.25">
      <c r="A279" s="13"/>
      <c r="D279" s="30"/>
      <c r="E279" s="31"/>
      <c r="F279" s="30"/>
      <c r="G279" s="30"/>
      <c r="H279" s="30"/>
      <c r="I279" s="30"/>
      <c r="J279" s="30"/>
      <c r="K279" s="30"/>
      <c r="L279" s="30"/>
      <c r="M279" s="30"/>
    </row>
    <row r="280" spans="1:13" s="14" customFormat="1" x14ac:dyDescent="0.25">
      <c r="A280" s="13"/>
      <c r="D280" s="30"/>
      <c r="E280" s="31"/>
      <c r="F280" s="30"/>
      <c r="G280" s="30"/>
      <c r="H280" s="30"/>
      <c r="I280" s="30"/>
      <c r="J280" s="30"/>
      <c r="K280" s="30"/>
      <c r="L280" s="30"/>
      <c r="M280" s="30"/>
    </row>
    <row r="281" spans="1:13" s="14" customFormat="1" x14ac:dyDescent="0.25">
      <c r="A281" s="13"/>
      <c r="D281" s="30"/>
      <c r="E281" s="31"/>
      <c r="F281" s="30"/>
      <c r="G281" s="30"/>
      <c r="H281" s="30"/>
      <c r="I281" s="30"/>
      <c r="J281" s="30"/>
      <c r="K281" s="30"/>
      <c r="L281" s="30"/>
      <c r="M281" s="30"/>
    </row>
    <row r="282" spans="1:13" s="14" customFormat="1" x14ac:dyDescent="0.25">
      <c r="A282" s="13"/>
      <c r="D282" s="30"/>
      <c r="E282" s="31"/>
      <c r="F282" s="30"/>
      <c r="G282" s="30"/>
      <c r="H282" s="30"/>
      <c r="I282" s="30"/>
      <c r="J282" s="30"/>
      <c r="K282" s="30"/>
      <c r="L282" s="30"/>
      <c r="M282" s="30"/>
    </row>
    <row r="283" spans="1:13" s="14" customFormat="1" x14ac:dyDescent="0.25">
      <c r="A283" s="13"/>
      <c r="D283" s="30"/>
      <c r="E283" s="31"/>
      <c r="F283" s="30"/>
      <c r="G283" s="30"/>
      <c r="H283" s="30"/>
      <c r="I283" s="30"/>
      <c r="J283" s="30"/>
      <c r="K283" s="30"/>
      <c r="L283" s="30"/>
      <c r="M283" s="30"/>
    </row>
    <row r="284" spans="1:13" s="14" customFormat="1" x14ac:dyDescent="0.25">
      <c r="A284" s="13"/>
      <c r="D284" s="30"/>
      <c r="E284" s="31"/>
      <c r="F284" s="30"/>
      <c r="G284" s="30"/>
      <c r="H284" s="30"/>
      <c r="I284" s="30"/>
      <c r="J284" s="30"/>
      <c r="K284" s="30"/>
      <c r="L284" s="30"/>
      <c r="M284" s="30"/>
    </row>
    <row r="285" spans="1:13" s="14" customFormat="1" x14ac:dyDescent="0.25">
      <c r="A285" s="13"/>
      <c r="D285" s="30"/>
      <c r="E285" s="31"/>
      <c r="F285" s="30"/>
      <c r="G285" s="30"/>
      <c r="H285" s="30"/>
      <c r="I285" s="30"/>
      <c r="J285" s="30"/>
      <c r="K285" s="30"/>
      <c r="L285" s="30"/>
      <c r="M285" s="30"/>
    </row>
    <row r="286" spans="1:13" s="14" customFormat="1" x14ac:dyDescent="0.25">
      <c r="A286" s="13"/>
      <c r="D286" s="30"/>
      <c r="E286" s="31"/>
      <c r="F286" s="30"/>
      <c r="G286" s="30"/>
      <c r="H286" s="30"/>
      <c r="I286" s="30"/>
      <c r="J286" s="30"/>
      <c r="K286" s="30"/>
      <c r="L286" s="30"/>
      <c r="M286" s="30"/>
    </row>
    <row r="287" spans="1:13" s="14" customFormat="1" x14ac:dyDescent="0.25">
      <c r="A287" s="13"/>
      <c r="D287" s="30"/>
      <c r="E287" s="31"/>
      <c r="F287" s="30"/>
      <c r="G287" s="30"/>
      <c r="H287" s="30"/>
      <c r="I287" s="30"/>
      <c r="J287" s="30"/>
      <c r="K287" s="30"/>
      <c r="L287" s="30"/>
      <c r="M287" s="30"/>
    </row>
    <row r="288" spans="1:13" s="14" customFormat="1" x14ac:dyDescent="0.25">
      <c r="A288" s="13"/>
      <c r="D288" s="30"/>
      <c r="E288" s="31"/>
      <c r="F288" s="30"/>
      <c r="G288" s="30"/>
      <c r="H288" s="30"/>
      <c r="I288" s="30"/>
      <c r="J288" s="30"/>
      <c r="K288" s="30"/>
      <c r="L288" s="30"/>
      <c r="M288" s="30"/>
    </row>
    <row r="289" spans="1:13" s="14" customFormat="1" x14ac:dyDescent="0.25">
      <c r="A289" s="13"/>
      <c r="D289" s="30"/>
      <c r="E289" s="31"/>
      <c r="F289" s="30"/>
      <c r="G289" s="30"/>
      <c r="H289" s="30"/>
      <c r="I289" s="30"/>
      <c r="J289" s="30"/>
      <c r="K289" s="30"/>
      <c r="L289" s="30"/>
      <c r="M289" s="30"/>
    </row>
    <row r="290" spans="1:13" s="14" customFormat="1" x14ac:dyDescent="0.25">
      <c r="A290" s="13"/>
      <c r="D290" s="30"/>
      <c r="E290" s="31"/>
      <c r="F290" s="30"/>
      <c r="G290" s="30"/>
      <c r="H290" s="30"/>
      <c r="I290" s="30"/>
      <c r="J290" s="30"/>
      <c r="K290" s="30"/>
      <c r="L290" s="30"/>
      <c r="M290" s="30"/>
    </row>
    <row r="291" spans="1:13" s="14" customFormat="1" x14ac:dyDescent="0.25">
      <c r="A291" s="13"/>
      <c r="D291" s="30"/>
      <c r="E291" s="31"/>
      <c r="F291" s="30"/>
      <c r="G291" s="30"/>
      <c r="H291" s="30"/>
      <c r="I291" s="30"/>
      <c r="J291" s="30"/>
      <c r="K291" s="30"/>
      <c r="L291" s="30"/>
      <c r="M291" s="30"/>
    </row>
    <row r="292" spans="1:13" s="14" customFormat="1" x14ac:dyDescent="0.25">
      <c r="A292" s="13"/>
      <c r="D292" s="30"/>
      <c r="E292" s="31"/>
      <c r="F292" s="30"/>
      <c r="G292" s="30"/>
      <c r="H292" s="30"/>
      <c r="I292" s="30"/>
      <c r="J292" s="30"/>
      <c r="K292" s="30"/>
      <c r="L292" s="30"/>
      <c r="M292" s="30"/>
    </row>
    <row r="293" spans="1:13" s="14" customFormat="1" x14ac:dyDescent="0.25">
      <c r="A293" s="13"/>
      <c r="D293" s="30"/>
      <c r="E293" s="31"/>
      <c r="F293" s="30"/>
      <c r="G293" s="30"/>
      <c r="H293" s="30"/>
      <c r="I293" s="30"/>
      <c r="J293" s="30"/>
      <c r="K293" s="30"/>
      <c r="L293" s="30"/>
      <c r="M293" s="30"/>
    </row>
    <row r="294" spans="1:13" s="14" customFormat="1" x14ac:dyDescent="0.25">
      <c r="A294" s="13"/>
      <c r="D294" s="30"/>
      <c r="E294" s="31"/>
      <c r="F294" s="30"/>
      <c r="G294" s="30"/>
      <c r="H294" s="30"/>
      <c r="I294" s="30"/>
      <c r="J294" s="30"/>
      <c r="K294" s="30"/>
      <c r="L294" s="30"/>
      <c r="M294" s="30"/>
    </row>
    <row r="295" spans="1:13" s="14" customFormat="1" x14ac:dyDescent="0.25">
      <c r="A295" s="13"/>
      <c r="D295" s="30"/>
      <c r="E295" s="31"/>
      <c r="F295" s="30"/>
      <c r="G295" s="30"/>
      <c r="H295" s="30"/>
      <c r="I295" s="30"/>
      <c r="J295" s="30"/>
      <c r="K295" s="30"/>
      <c r="L295" s="30"/>
      <c r="M295" s="30"/>
    </row>
    <row r="296" spans="1:13" s="14" customFormat="1" x14ac:dyDescent="0.25">
      <c r="A296" s="13"/>
      <c r="D296" s="30"/>
      <c r="E296" s="31"/>
      <c r="F296" s="30"/>
      <c r="G296" s="30"/>
      <c r="H296" s="30"/>
      <c r="I296" s="30"/>
      <c r="J296" s="30"/>
      <c r="K296" s="30"/>
      <c r="L296" s="30"/>
      <c r="M296" s="30"/>
    </row>
    <row r="297" spans="1:13" s="14" customFormat="1" x14ac:dyDescent="0.25">
      <c r="A297" s="13"/>
      <c r="D297" s="30"/>
      <c r="E297" s="31"/>
      <c r="F297" s="30"/>
      <c r="G297" s="30"/>
      <c r="H297" s="30"/>
      <c r="I297" s="30"/>
      <c r="J297" s="30"/>
      <c r="K297" s="30"/>
      <c r="L297" s="30"/>
      <c r="M297" s="30"/>
    </row>
    <row r="298" spans="1:13" s="14" customFormat="1" x14ac:dyDescent="0.25">
      <c r="A298" s="13"/>
      <c r="D298" s="30"/>
      <c r="E298" s="31"/>
      <c r="F298" s="30"/>
      <c r="G298" s="30"/>
      <c r="H298" s="30"/>
      <c r="I298" s="30"/>
      <c r="J298" s="30"/>
      <c r="K298" s="30"/>
      <c r="L298" s="30"/>
      <c r="M298" s="30"/>
    </row>
    <row r="299" spans="1:13" s="14" customFormat="1" x14ac:dyDescent="0.25">
      <c r="A299" s="13"/>
      <c r="D299" s="30"/>
      <c r="E299" s="31"/>
      <c r="F299" s="30"/>
      <c r="G299" s="30"/>
      <c r="H299" s="30"/>
      <c r="I299" s="30"/>
      <c r="J299" s="30"/>
      <c r="K299" s="30"/>
      <c r="L299" s="30"/>
      <c r="M299" s="30"/>
    </row>
    <row r="300" spans="1:13" s="14" customFormat="1" x14ac:dyDescent="0.25">
      <c r="A300" s="13"/>
      <c r="D300" s="30"/>
      <c r="E300" s="31"/>
      <c r="F300" s="30"/>
      <c r="G300" s="30"/>
      <c r="H300" s="30"/>
      <c r="I300" s="30"/>
      <c r="J300" s="30"/>
      <c r="K300" s="30"/>
      <c r="L300" s="30"/>
      <c r="M300" s="30"/>
    </row>
    <row r="301" spans="1:13" s="14" customFormat="1" x14ac:dyDescent="0.25">
      <c r="A301" s="13"/>
      <c r="D301" s="30"/>
      <c r="E301" s="31"/>
      <c r="F301" s="30"/>
      <c r="G301" s="30"/>
      <c r="H301" s="30"/>
      <c r="I301" s="30"/>
      <c r="J301" s="30"/>
      <c r="K301" s="30"/>
      <c r="L301" s="30"/>
      <c r="M301" s="30"/>
    </row>
    <row r="302" spans="1:13" s="14" customFormat="1" x14ac:dyDescent="0.25">
      <c r="A302" s="13"/>
      <c r="D302" s="30"/>
      <c r="E302" s="31"/>
      <c r="F302" s="30"/>
      <c r="G302" s="30"/>
      <c r="H302" s="30"/>
      <c r="I302" s="30"/>
      <c r="J302" s="30"/>
      <c r="K302" s="30"/>
      <c r="L302" s="30"/>
      <c r="M302" s="30"/>
    </row>
    <row r="303" spans="1:13" s="14" customFormat="1" x14ac:dyDescent="0.25">
      <c r="A303" s="13"/>
      <c r="D303" s="30"/>
      <c r="E303" s="31"/>
      <c r="F303" s="30"/>
      <c r="G303" s="30"/>
      <c r="H303" s="30"/>
      <c r="I303" s="30"/>
      <c r="J303" s="30"/>
      <c r="K303" s="30"/>
      <c r="L303" s="30"/>
      <c r="M303" s="30"/>
    </row>
    <row r="304" spans="1:13" s="14" customFormat="1" x14ac:dyDescent="0.25">
      <c r="A304" s="13"/>
      <c r="D304" s="30"/>
      <c r="E304" s="31"/>
      <c r="F304" s="30"/>
      <c r="G304" s="30"/>
      <c r="H304" s="30"/>
      <c r="I304" s="30"/>
      <c r="J304" s="30"/>
      <c r="K304" s="30"/>
      <c r="L304" s="30"/>
      <c r="M304" s="30"/>
    </row>
    <row r="305" spans="1:13" s="14" customFormat="1" x14ac:dyDescent="0.25">
      <c r="A305" s="13"/>
      <c r="D305" s="30"/>
      <c r="E305" s="31"/>
      <c r="F305" s="30"/>
      <c r="G305" s="30"/>
      <c r="H305" s="30"/>
      <c r="I305" s="30"/>
      <c r="J305" s="30"/>
      <c r="K305" s="30"/>
      <c r="L305" s="30"/>
      <c r="M305" s="30"/>
    </row>
    <row r="306" spans="1:13" s="14" customFormat="1" x14ac:dyDescent="0.25">
      <c r="A306" s="13"/>
      <c r="D306" s="30"/>
      <c r="E306" s="31"/>
      <c r="F306" s="30"/>
      <c r="G306" s="30"/>
      <c r="H306" s="30"/>
      <c r="I306" s="30"/>
      <c r="J306" s="30"/>
      <c r="K306" s="30"/>
      <c r="L306" s="30"/>
      <c r="M306" s="30"/>
    </row>
    <row r="307" spans="1:13" s="14" customFormat="1" x14ac:dyDescent="0.25">
      <c r="A307" s="13"/>
      <c r="D307" s="30"/>
      <c r="E307" s="31"/>
      <c r="F307" s="30"/>
      <c r="G307" s="30"/>
      <c r="H307" s="30"/>
      <c r="I307" s="30"/>
      <c r="J307" s="30"/>
      <c r="K307" s="30"/>
      <c r="L307" s="30"/>
      <c r="M307" s="30"/>
    </row>
    <row r="308" spans="1:13" s="14" customFormat="1" x14ac:dyDescent="0.25">
      <c r="A308" s="13"/>
      <c r="D308" s="30"/>
      <c r="E308" s="31"/>
      <c r="F308" s="30"/>
      <c r="G308" s="30"/>
      <c r="H308" s="30"/>
      <c r="I308" s="30"/>
      <c r="J308" s="30"/>
      <c r="K308" s="30"/>
      <c r="L308" s="30"/>
      <c r="M308" s="30"/>
    </row>
    <row r="309" spans="1:13" s="14" customFormat="1" x14ac:dyDescent="0.25">
      <c r="A309" s="13"/>
      <c r="D309" s="30"/>
      <c r="E309" s="31"/>
      <c r="F309" s="30"/>
      <c r="G309" s="30"/>
      <c r="H309" s="30"/>
      <c r="I309" s="30"/>
      <c r="J309" s="30"/>
      <c r="K309" s="30"/>
      <c r="L309" s="30"/>
      <c r="M309" s="30"/>
    </row>
    <row r="310" spans="1:13" s="14" customFormat="1" x14ac:dyDescent="0.25">
      <c r="A310" s="13"/>
      <c r="D310" s="30"/>
      <c r="E310" s="31"/>
      <c r="F310" s="30"/>
      <c r="G310" s="30"/>
      <c r="H310" s="30"/>
      <c r="I310" s="30"/>
      <c r="J310" s="30"/>
      <c r="K310" s="30"/>
      <c r="L310" s="30"/>
      <c r="M310" s="30"/>
    </row>
    <row r="311" spans="1:13" s="14" customFormat="1" x14ac:dyDescent="0.25">
      <c r="A311" s="13"/>
      <c r="D311" s="30"/>
      <c r="E311" s="31"/>
      <c r="F311" s="30"/>
      <c r="G311" s="30"/>
      <c r="H311" s="30"/>
      <c r="I311" s="30"/>
      <c r="J311" s="30"/>
      <c r="K311" s="30"/>
      <c r="L311" s="30"/>
      <c r="M311" s="30"/>
    </row>
    <row r="312" spans="1:13" s="14" customFormat="1" x14ac:dyDescent="0.25">
      <c r="A312" s="13"/>
      <c r="D312" s="30"/>
      <c r="E312" s="31"/>
      <c r="F312" s="30"/>
      <c r="G312" s="30"/>
      <c r="H312" s="30"/>
      <c r="I312" s="30"/>
      <c r="J312" s="30"/>
      <c r="K312" s="30"/>
      <c r="L312" s="30"/>
      <c r="M312" s="30"/>
    </row>
    <row r="313" spans="1:13" s="14" customFormat="1" x14ac:dyDescent="0.25">
      <c r="A313" s="13"/>
      <c r="D313" s="30"/>
      <c r="E313" s="31"/>
      <c r="F313" s="30"/>
      <c r="G313" s="30"/>
      <c r="H313" s="30"/>
      <c r="I313" s="30"/>
      <c r="J313" s="30"/>
      <c r="K313" s="30"/>
      <c r="L313" s="30"/>
      <c r="M313" s="30"/>
    </row>
    <row r="314" spans="1:13" s="14" customFormat="1" x14ac:dyDescent="0.25">
      <c r="A314" s="13"/>
      <c r="D314" s="30"/>
      <c r="E314" s="31"/>
      <c r="F314" s="30"/>
      <c r="G314" s="30"/>
      <c r="H314" s="30"/>
      <c r="I314" s="30"/>
      <c r="J314" s="30"/>
      <c r="K314" s="30"/>
      <c r="L314" s="30"/>
      <c r="M314" s="30"/>
    </row>
    <row r="315" spans="1:13" s="14" customFormat="1" x14ac:dyDescent="0.25">
      <c r="A315" s="13"/>
      <c r="D315" s="30"/>
      <c r="E315" s="31"/>
      <c r="F315" s="30"/>
      <c r="G315" s="30"/>
      <c r="H315" s="30"/>
      <c r="I315" s="30"/>
      <c r="J315" s="30"/>
      <c r="K315" s="30"/>
      <c r="L315" s="30"/>
      <c r="M315" s="30"/>
    </row>
    <row r="316" spans="1:13" s="14" customFormat="1" x14ac:dyDescent="0.25">
      <c r="A316" s="13"/>
      <c r="D316" s="30"/>
      <c r="E316" s="31"/>
      <c r="F316" s="30"/>
      <c r="G316" s="30"/>
      <c r="H316" s="30"/>
      <c r="I316" s="30"/>
      <c r="J316" s="30"/>
      <c r="K316" s="30"/>
      <c r="L316" s="30"/>
      <c r="M316" s="30"/>
    </row>
    <row r="317" spans="1:13" s="14" customFormat="1" x14ac:dyDescent="0.25">
      <c r="A317" s="13"/>
      <c r="D317" s="30"/>
      <c r="E317" s="31"/>
      <c r="F317" s="30"/>
      <c r="G317" s="30"/>
      <c r="H317" s="30"/>
      <c r="I317" s="30"/>
      <c r="J317" s="30"/>
      <c r="K317" s="30"/>
      <c r="L317" s="30"/>
      <c r="M317" s="30"/>
    </row>
    <row r="318" spans="1:13" s="14" customFormat="1" x14ac:dyDescent="0.25">
      <c r="A318" s="13"/>
      <c r="D318" s="30"/>
      <c r="E318" s="31"/>
      <c r="F318" s="30"/>
      <c r="G318" s="30"/>
      <c r="H318" s="30"/>
      <c r="I318" s="30"/>
      <c r="J318" s="30"/>
      <c r="K318" s="30"/>
      <c r="L318" s="30"/>
      <c r="M318" s="30"/>
    </row>
    <row r="319" spans="1:13" s="14" customFormat="1" x14ac:dyDescent="0.25">
      <c r="A319" s="13"/>
      <c r="D319" s="30"/>
      <c r="E319" s="31"/>
      <c r="F319" s="30"/>
      <c r="G319" s="30"/>
      <c r="H319" s="30"/>
      <c r="I319" s="30"/>
      <c r="J319" s="30"/>
      <c r="K319" s="30"/>
      <c r="L319" s="30"/>
      <c r="M319" s="30"/>
    </row>
    <row r="320" spans="1:13" s="14" customFormat="1" x14ac:dyDescent="0.25">
      <c r="A320" s="13"/>
      <c r="D320" s="30"/>
      <c r="E320" s="31"/>
      <c r="F320" s="30"/>
      <c r="G320" s="30"/>
      <c r="H320" s="30"/>
      <c r="I320" s="30"/>
      <c r="J320" s="30"/>
      <c r="K320" s="30"/>
      <c r="L320" s="30"/>
      <c r="M320" s="30"/>
    </row>
    <row r="321" spans="1:13" s="14" customFormat="1" x14ac:dyDescent="0.25">
      <c r="A321" s="13"/>
      <c r="D321" s="30"/>
      <c r="E321" s="31"/>
      <c r="F321" s="30"/>
      <c r="G321" s="30"/>
      <c r="H321" s="30"/>
      <c r="I321" s="30"/>
      <c r="J321" s="30"/>
      <c r="K321" s="30"/>
      <c r="L321" s="30"/>
      <c r="M321" s="30"/>
    </row>
    <row r="322" spans="1:13" s="14" customFormat="1" x14ac:dyDescent="0.25">
      <c r="A322" s="13"/>
      <c r="D322" s="30"/>
      <c r="E322" s="31"/>
      <c r="F322" s="30"/>
      <c r="G322" s="30"/>
      <c r="H322" s="30"/>
      <c r="I322" s="30"/>
      <c r="J322" s="30"/>
      <c r="K322" s="30"/>
      <c r="L322" s="30"/>
      <c r="M322" s="30"/>
    </row>
    <row r="323" spans="1:13" s="14" customFormat="1" x14ac:dyDescent="0.25">
      <c r="A323" s="13"/>
      <c r="D323" s="30"/>
      <c r="E323" s="31"/>
      <c r="F323" s="30"/>
      <c r="G323" s="30"/>
      <c r="H323" s="30"/>
      <c r="I323" s="30"/>
      <c r="J323" s="30"/>
      <c r="K323" s="30"/>
      <c r="L323" s="30"/>
      <c r="M323" s="30"/>
    </row>
    <row r="324" spans="1:13" s="14" customFormat="1" x14ac:dyDescent="0.25">
      <c r="A324" s="13"/>
      <c r="D324" s="30"/>
      <c r="E324" s="31"/>
      <c r="F324" s="30"/>
      <c r="G324" s="30"/>
      <c r="H324" s="30"/>
      <c r="I324" s="30"/>
      <c r="J324" s="30"/>
      <c r="K324" s="30"/>
      <c r="L324" s="30"/>
      <c r="M324" s="30"/>
    </row>
    <row r="325" spans="1:13" s="14" customFormat="1" x14ac:dyDescent="0.25">
      <c r="A325" s="13"/>
      <c r="D325" s="30"/>
      <c r="E325" s="31"/>
      <c r="F325" s="30"/>
      <c r="G325" s="30"/>
      <c r="H325" s="30"/>
      <c r="I325" s="30"/>
      <c r="J325" s="30"/>
      <c r="K325" s="30"/>
      <c r="L325" s="30"/>
      <c r="M325" s="30"/>
    </row>
    <row r="326" spans="1:13" s="14" customFormat="1" x14ac:dyDescent="0.25">
      <c r="A326" s="13"/>
      <c r="D326" s="30"/>
      <c r="E326" s="31"/>
      <c r="F326" s="30"/>
      <c r="G326" s="30"/>
      <c r="H326" s="30"/>
      <c r="I326" s="30"/>
      <c r="J326" s="30"/>
      <c r="K326" s="30"/>
      <c r="L326" s="30"/>
      <c r="M326" s="30"/>
    </row>
    <row r="327" spans="1:13" s="14" customFormat="1" x14ac:dyDescent="0.25">
      <c r="A327" s="13"/>
      <c r="D327" s="30"/>
      <c r="E327" s="31"/>
      <c r="F327" s="30"/>
      <c r="G327" s="30"/>
      <c r="H327" s="30"/>
      <c r="I327" s="30"/>
      <c r="J327" s="30"/>
      <c r="K327" s="30"/>
      <c r="L327" s="30"/>
      <c r="M327" s="30"/>
    </row>
    <row r="328" spans="1:13" s="14" customFormat="1" x14ac:dyDescent="0.25">
      <c r="A328" s="13"/>
      <c r="D328" s="30"/>
      <c r="E328" s="31"/>
      <c r="F328" s="30"/>
      <c r="G328" s="30"/>
      <c r="H328" s="30"/>
      <c r="I328" s="30"/>
      <c r="J328" s="30"/>
      <c r="K328" s="30"/>
      <c r="L328" s="30"/>
      <c r="M328" s="30"/>
    </row>
    <row r="329" spans="1:13" s="14" customFormat="1" x14ac:dyDescent="0.25">
      <c r="A329" s="13"/>
      <c r="D329" s="30"/>
      <c r="E329" s="31"/>
      <c r="F329" s="30"/>
      <c r="G329" s="30"/>
      <c r="H329" s="30"/>
      <c r="I329" s="30"/>
      <c r="J329" s="30"/>
      <c r="K329" s="30"/>
      <c r="L329" s="30"/>
      <c r="M329" s="30"/>
    </row>
    <row r="330" spans="1:13" s="14" customFormat="1" x14ac:dyDescent="0.25">
      <c r="A330" s="13"/>
      <c r="D330" s="30"/>
      <c r="E330" s="31"/>
      <c r="F330" s="30"/>
      <c r="G330" s="30"/>
      <c r="H330" s="30"/>
      <c r="I330" s="30"/>
      <c r="J330" s="30"/>
      <c r="K330" s="30"/>
      <c r="L330" s="30"/>
      <c r="M330" s="30"/>
    </row>
    <row r="331" spans="1:13" s="14" customFormat="1" x14ac:dyDescent="0.25">
      <c r="A331" s="13"/>
      <c r="D331" s="30"/>
      <c r="E331" s="31"/>
      <c r="F331" s="30"/>
      <c r="G331" s="30"/>
      <c r="H331" s="30"/>
      <c r="I331" s="30"/>
      <c r="J331" s="30"/>
      <c r="K331" s="30"/>
      <c r="L331" s="30"/>
      <c r="M331" s="30"/>
    </row>
    <row r="332" spans="1:13" s="14" customFormat="1" x14ac:dyDescent="0.25">
      <c r="A332" s="13"/>
      <c r="D332" s="30"/>
      <c r="E332" s="31"/>
      <c r="F332" s="30"/>
      <c r="G332" s="30"/>
      <c r="H332" s="30"/>
      <c r="I332" s="30"/>
      <c r="J332" s="30"/>
      <c r="K332" s="30"/>
      <c r="L332" s="30"/>
      <c r="M332" s="30"/>
    </row>
    <row r="333" spans="1:13" s="14" customFormat="1" x14ac:dyDescent="0.25">
      <c r="A333" s="13"/>
      <c r="D333" s="30"/>
      <c r="E333" s="31"/>
      <c r="F333" s="30"/>
      <c r="G333" s="30"/>
      <c r="H333" s="30"/>
      <c r="I333" s="30"/>
      <c r="J333" s="30"/>
      <c r="K333" s="30"/>
      <c r="L333" s="30"/>
      <c r="M333" s="30"/>
    </row>
    <row r="334" spans="1:13" s="14" customFormat="1" x14ac:dyDescent="0.25">
      <c r="A334" s="13"/>
      <c r="D334" s="30"/>
      <c r="E334" s="31"/>
      <c r="F334" s="30"/>
      <c r="G334" s="30"/>
      <c r="H334" s="30"/>
      <c r="I334" s="30"/>
      <c r="J334" s="30"/>
      <c r="K334" s="30"/>
      <c r="L334" s="30"/>
      <c r="M334" s="30"/>
    </row>
    <row r="335" spans="1:13" s="14" customFormat="1" x14ac:dyDescent="0.25">
      <c r="A335" s="13"/>
      <c r="D335" s="30"/>
      <c r="E335" s="31"/>
      <c r="F335" s="30"/>
      <c r="G335" s="30"/>
      <c r="H335" s="30"/>
      <c r="I335" s="30"/>
      <c r="J335" s="30"/>
      <c r="K335" s="30"/>
      <c r="L335" s="30"/>
      <c r="M335" s="30"/>
    </row>
    <row r="336" spans="1:13" s="14" customFormat="1" x14ac:dyDescent="0.25">
      <c r="A336" s="13"/>
      <c r="D336" s="30"/>
      <c r="E336" s="31"/>
      <c r="F336" s="30"/>
      <c r="G336" s="30"/>
      <c r="H336" s="30"/>
      <c r="I336" s="30"/>
      <c r="J336" s="30"/>
      <c r="K336" s="30"/>
      <c r="L336" s="30"/>
      <c r="M336" s="30"/>
    </row>
    <row r="337" spans="1:13" s="14" customFormat="1" x14ac:dyDescent="0.25">
      <c r="A337" s="13"/>
      <c r="D337" s="30"/>
      <c r="E337" s="31"/>
      <c r="F337" s="30"/>
      <c r="G337" s="30"/>
      <c r="H337" s="30"/>
      <c r="I337" s="30"/>
      <c r="J337" s="30"/>
      <c r="K337" s="30"/>
      <c r="L337" s="30"/>
      <c r="M337" s="30"/>
    </row>
    <row r="338" spans="1:13" s="14" customFormat="1" x14ac:dyDescent="0.25">
      <c r="A338" s="13"/>
      <c r="D338" s="30"/>
      <c r="E338" s="31"/>
      <c r="F338" s="30"/>
      <c r="G338" s="30"/>
      <c r="H338" s="30"/>
      <c r="I338" s="30"/>
      <c r="J338" s="30"/>
      <c r="K338" s="30"/>
      <c r="L338" s="30"/>
      <c r="M338" s="30"/>
    </row>
    <row r="339" spans="1:13" s="14" customFormat="1" x14ac:dyDescent="0.25">
      <c r="A339" s="13"/>
      <c r="D339" s="30"/>
      <c r="E339" s="31"/>
      <c r="F339" s="30"/>
      <c r="G339" s="30"/>
      <c r="H339" s="30"/>
      <c r="I339" s="30"/>
      <c r="J339" s="30"/>
      <c r="K339" s="30"/>
      <c r="L339" s="30"/>
      <c r="M339" s="30"/>
    </row>
    <row r="340" spans="1:13" s="14" customFormat="1" x14ac:dyDescent="0.25">
      <c r="A340" s="13"/>
      <c r="D340" s="30"/>
      <c r="E340" s="31"/>
      <c r="F340" s="30"/>
      <c r="G340" s="30"/>
      <c r="H340" s="30"/>
      <c r="I340" s="30"/>
      <c r="J340" s="30"/>
      <c r="K340" s="30"/>
      <c r="L340" s="30"/>
      <c r="M340" s="30"/>
    </row>
    <row r="341" spans="1:13" s="14" customFormat="1" x14ac:dyDescent="0.25">
      <c r="A341" s="13"/>
      <c r="D341" s="30"/>
      <c r="E341" s="31"/>
      <c r="F341" s="30"/>
      <c r="G341" s="30"/>
      <c r="H341" s="30"/>
      <c r="I341" s="30"/>
      <c r="J341" s="30"/>
      <c r="K341" s="30"/>
      <c r="L341" s="30"/>
      <c r="M341" s="30"/>
    </row>
    <row r="342" spans="1:13" s="14" customFormat="1" x14ac:dyDescent="0.25">
      <c r="A342" s="13"/>
      <c r="D342" s="30"/>
      <c r="E342" s="31"/>
      <c r="F342" s="30"/>
      <c r="G342" s="30"/>
      <c r="H342" s="30"/>
      <c r="I342" s="30"/>
      <c r="J342" s="30"/>
      <c r="K342" s="30"/>
      <c r="L342" s="30"/>
      <c r="M342" s="30"/>
    </row>
    <row r="343" spans="1:13" s="14" customFormat="1" x14ac:dyDescent="0.25">
      <c r="A343" s="13"/>
      <c r="D343" s="30"/>
      <c r="E343" s="31"/>
      <c r="F343" s="30"/>
      <c r="G343" s="30"/>
      <c r="H343" s="30"/>
      <c r="I343" s="30"/>
      <c r="J343" s="30"/>
      <c r="K343" s="30"/>
      <c r="L343" s="30"/>
      <c r="M343" s="30"/>
    </row>
    <row r="344" spans="1:13" s="14" customFormat="1" x14ac:dyDescent="0.25">
      <c r="A344" s="13"/>
      <c r="D344" s="30"/>
      <c r="E344" s="31"/>
      <c r="F344" s="30"/>
      <c r="G344" s="30"/>
      <c r="H344" s="30"/>
      <c r="I344" s="30"/>
      <c r="J344" s="30"/>
      <c r="K344" s="30"/>
      <c r="L344" s="30"/>
      <c r="M344" s="30"/>
    </row>
    <row r="345" spans="1:13" s="14" customFormat="1" x14ac:dyDescent="0.25">
      <c r="A345" s="13"/>
      <c r="D345" s="30"/>
      <c r="E345" s="31"/>
      <c r="F345" s="30"/>
      <c r="G345" s="30"/>
      <c r="H345" s="30"/>
      <c r="I345" s="30"/>
      <c r="J345" s="30"/>
      <c r="K345" s="30"/>
      <c r="L345" s="30"/>
      <c r="M345" s="30"/>
    </row>
    <row r="346" spans="1:13" s="14" customFormat="1" x14ac:dyDescent="0.25">
      <c r="A346" s="13"/>
      <c r="D346" s="30"/>
      <c r="E346" s="31"/>
      <c r="F346" s="30"/>
      <c r="G346" s="30"/>
      <c r="H346" s="30"/>
      <c r="I346" s="30"/>
      <c r="J346" s="30"/>
      <c r="K346" s="30"/>
      <c r="L346" s="30"/>
      <c r="M346" s="30"/>
    </row>
    <row r="347" spans="1:13" s="14" customFormat="1" x14ac:dyDescent="0.25">
      <c r="A347" s="13"/>
      <c r="D347" s="30"/>
      <c r="E347" s="31"/>
      <c r="F347" s="30"/>
      <c r="G347" s="30"/>
      <c r="H347" s="30"/>
      <c r="I347" s="30"/>
      <c r="J347" s="30"/>
      <c r="K347" s="30"/>
      <c r="L347" s="30"/>
      <c r="M347" s="30"/>
    </row>
    <row r="348" spans="1:13" s="14" customFormat="1" x14ac:dyDescent="0.25">
      <c r="A348" s="13"/>
      <c r="D348" s="30"/>
      <c r="E348" s="31"/>
      <c r="F348" s="30"/>
      <c r="G348" s="30"/>
      <c r="H348" s="30"/>
      <c r="I348" s="30"/>
      <c r="J348" s="30"/>
      <c r="K348" s="30"/>
      <c r="L348" s="30"/>
      <c r="M348" s="30"/>
    </row>
    <row r="349" spans="1:13" s="14" customFormat="1" x14ac:dyDescent="0.25">
      <c r="A349" s="13"/>
      <c r="D349" s="30"/>
      <c r="E349" s="31"/>
      <c r="F349" s="30"/>
      <c r="G349" s="30"/>
      <c r="H349" s="30"/>
      <c r="I349" s="30"/>
      <c r="J349" s="30"/>
      <c r="K349" s="30"/>
      <c r="L349" s="30"/>
      <c r="M349" s="30"/>
    </row>
    <row r="350" spans="1:13" s="14" customFormat="1" x14ac:dyDescent="0.25">
      <c r="A350" s="13"/>
      <c r="D350" s="30"/>
      <c r="E350" s="31"/>
      <c r="F350" s="30"/>
      <c r="G350" s="30"/>
      <c r="H350" s="30"/>
      <c r="I350" s="30"/>
      <c r="J350" s="30"/>
      <c r="K350" s="30"/>
      <c r="L350" s="30"/>
      <c r="M350" s="30"/>
    </row>
    <row r="351" spans="1:13" s="14" customFormat="1" x14ac:dyDescent="0.25">
      <c r="A351" s="13"/>
      <c r="D351" s="30"/>
      <c r="E351" s="31"/>
      <c r="F351" s="30"/>
      <c r="G351" s="30"/>
      <c r="H351" s="30"/>
      <c r="I351" s="30"/>
      <c r="J351" s="30"/>
      <c r="K351" s="30"/>
      <c r="L351" s="30"/>
      <c r="M351" s="30"/>
    </row>
    <row r="352" spans="1:13" s="14" customFormat="1" x14ac:dyDescent="0.25">
      <c r="A352" s="13"/>
      <c r="D352" s="30"/>
      <c r="E352" s="31"/>
      <c r="F352" s="30"/>
      <c r="G352" s="30"/>
      <c r="H352" s="30"/>
      <c r="I352" s="30"/>
      <c r="J352" s="30"/>
      <c r="K352" s="30"/>
      <c r="L352" s="30"/>
      <c r="M352" s="30"/>
    </row>
    <row r="353" spans="1:13" s="14" customFormat="1" x14ac:dyDescent="0.25">
      <c r="A353" s="13"/>
      <c r="D353" s="30"/>
      <c r="E353" s="31"/>
      <c r="F353" s="30"/>
      <c r="G353" s="30"/>
      <c r="H353" s="30"/>
      <c r="I353" s="30"/>
      <c r="J353" s="30"/>
      <c r="K353" s="30"/>
      <c r="L353" s="30"/>
      <c r="M353" s="30"/>
    </row>
    <row r="354" spans="1:13" s="14" customFormat="1" x14ac:dyDescent="0.25">
      <c r="A354" s="13"/>
      <c r="D354" s="30"/>
      <c r="E354" s="31"/>
      <c r="F354" s="30"/>
      <c r="G354" s="30"/>
      <c r="H354" s="30"/>
      <c r="I354" s="30"/>
      <c r="J354" s="30"/>
      <c r="K354" s="30"/>
      <c r="L354" s="30"/>
      <c r="M354" s="30"/>
    </row>
    <row r="355" spans="1:13" s="14" customFormat="1" x14ac:dyDescent="0.25">
      <c r="A355" s="13"/>
      <c r="D355" s="30"/>
      <c r="E355" s="31"/>
      <c r="F355" s="30"/>
      <c r="G355" s="30"/>
      <c r="H355" s="30"/>
      <c r="I355" s="30"/>
      <c r="J355" s="30"/>
      <c r="K355" s="30"/>
      <c r="L355" s="30"/>
      <c r="M355" s="30"/>
    </row>
    <row r="356" spans="1:13" s="14" customFormat="1" x14ac:dyDescent="0.25">
      <c r="A356" s="13"/>
      <c r="D356" s="30"/>
      <c r="E356" s="31"/>
      <c r="F356" s="30"/>
      <c r="G356" s="30"/>
      <c r="H356" s="30"/>
      <c r="I356" s="30"/>
      <c r="J356" s="30"/>
      <c r="K356" s="30"/>
      <c r="L356" s="30"/>
      <c r="M356" s="30"/>
    </row>
    <row r="357" spans="1:13" s="14" customFormat="1" x14ac:dyDescent="0.25">
      <c r="A357" s="13"/>
      <c r="D357" s="30"/>
      <c r="E357" s="31"/>
      <c r="F357" s="30"/>
      <c r="G357" s="30"/>
      <c r="H357" s="30"/>
      <c r="I357" s="30"/>
      <c r="J357" s="30"/>
      <c r="K357" s="30"/>
      <c r="L357" s="30"/>
      <c r="M357" s="30"/>
    </row>
    <row r="358" spans="1:13" s="14" customFormat="1" x14ac:dyDescent="0.25">
      <c r="A358" s="13"/>
      <c r="D358" s="30"/>
      <c r="E358" s="31"/>
      <c r="F358" s="30"/>
      <c r="G358" s="30"/>
      <c r="H358" s="30"/>
      <c r="I358" s="30"/>
      <c r="J358" s="30"/>
      <c r="K358" s="30"/>
      <c r="L358" s="30"/>
      <c r="M358" s="30"/>
    </row>
    <row r="359" spans="1:13" s="14" customFormat="1" x14ac:dyDescent="0.25">
      <c r="A359" s="13"/>
      <c r="D359" s="30"/>
      <c r="E359" s="31"/>
      <c r="F359" s="30"/>
      <c r="G359" s="30"/>
      <c r="H359" s="30"/>
      <c r="I359" s="30"/>
      <c r="J359" s="30"/>
      <c r="K359" s="30"/>
      <c r="L359" s="30"/>
      <c r="M359" s="30"/>
    </row>
    <row r="360" spans="1:13" s="14" customFormat="1" x14ac:dyDescent="0.25">
      <c r="A360" s="13"/>
      <c r="D360" s="30"/>
      <c r="E360" s="31"/>
      <c r="F360" s="30"/>
      <c r="G360" s="30"/>
      <c r="H360" s="30"/>
      <c r="I360" s="30"/>
      <c r="J360" s="30"/>
      <c r="K360" s="30"/>
      <c r="L360" s="30"/>
      <c r="M360" s="30"/>
    </row>
    <row r="361" spans="1:13" s="14" customFormat="1" x14ac:dyDescent="0.25">
      <c r="A361" s="13"/>
      <c r="D361" s="30"/>
      <c r="E361" s="31"/>
      <c r="F361" s="30"/>
      <c r="G361" s="30"/>
      <c r="H361" s="30"/>
      <c r="I361" s="30"/>
      <c r="J361" s="30"/>
      <c r="K361" s="30"/>
      <c r="L361" s="30"/>
      <c r="M361" s="30"/>
    </row>
    <row r="362" spans="1:13" s="14" customFormat="1" x14ac:dyDescent="0.25">
      <c r="A362" s="13"/>
      <c r="D362" s="30"/>
      <c r="E362" s="31"/>
      <c r="F362" s="30"/>
      <c r="G362" s="30"/>
      <c r="H362" s="30"/>
      <c r="I362" s="30"/>
      <c r="J362" s="30"/>
      <c r="K362" s="30"/>
      <c r="L362" s="30"/>
      <c r="M362" s="30"/>
    </row>
    <row r="363" spans="1:13" s="14" customFormat="1" x14ac:dyDescent="0.25">
      <c r="A363" s="13"/>
      <c r="D363" s="30"/>
      <c r="E363" s="31"/>
      <c r="F363" s="30"/>
      <c r="G363" s="30"/>
      <c r="H363" s="30"/>
      <c r="I363" s="30"/>
      <c r="J363" s="30"/>
      <c r="K363" s="30"/>
      <c r="L363" s="30"/>
      <c r="M363" s="30"/>
    </row>
    <row r="364" spans="1:13" s="14" customFormat="1" x14ac:dyDescent="0.25">
      <c r="A364" s="13"/>
      <c r="D364" s="30"/>
      <c r="E364" s="31"/>
      <c r="F364" s="30"/>
      <c r="G364" s="30"/>
      <c r="H364" s="30"/>
      <c r="I364" s="30"/>
      <c r="J364" s="30"/>
      <c r="K364" s="30"/>
      <c r="L364" s="30"/>
      <c r="M364" s="30"/>
    </row>
    <row r="365" spans="1:13" s="14" customFormat="1" x14ac:dyDescent="0.25">
      <c r="A365" s="13"/>
      <c r="D365" s="30"/>
      <c r="E365" s="31"/>
      <c r="F365" s="30"/>
      <c r="G365" s="30"/>
      <c r="H365" s="30"/>
      <c r="I365" s="30"/>
      <c r="J365" s="30"/>
      <c r="K365" s="30"/>
      <c r="L365" s="30"/>
      <c r="M365" s="30"/>
    </row>
    <row r="366" spans="1:13" s="14" customFormat="1" x14ac:dyDescent="0.25">
      <c r="A366" s="13"/>
      <c r="D366" s="30"/>
      <c r="E366" s="31"/>
      <c r="F366" s="30"/>
      <c r="G366" s="30"/>
      <c r="H366" s="30"/>
      <c r="I366" s="30"/>
      <c r="J366" s="30"/>
      <c r="K366" s="30"/>
      <c r="L366" s="30"/>
      <c r="M366" s="30"/>
    </row>
    <row r="367" spans="1:13" s="14" customFormat="1" x14ac:dyDescent="0.25">
      <c r="A367" s="13"/>
      <c r="D367" s="30"/>
      <c r="E367" s="31"/>
      <c r="F367" s="30"/>
      <c r="G367" s="30"/>
      <c r="H367" s="30"/>
      <c r="I367" s="30"/>
      <c r="J367" s="30"/>
      <c r="K367" s="30"/>
      <c r="L367" s="30"/>
      <c r="M367" s="30"/>
    </row>
    <row r="368" spans="1:13" s="14" customFormat="1" x14ac:dyDescent="0.25">
      <c r="A368" s="13"/>
      <c r="D368" s="30"/>
      <c r="E368" s="31"/>
      <c r="F368" s="30"/>
      <c r="G368" s="30"/>
      <c r="H368" s="30"/>
      <c r="I368" s="30"/>
      <c r="J368" s="30"/>
      <c r="K368" s="30"/>
      <c r="L368" s="30"/>
      <c r="M368" s="30"/>
    </row>
    <row r="369" spans="1:13" s="14" customFormat="1" x14ac:dyDescent="0.25">
      <c r="A369" s="13"/>
      <c r="D369" s="30"/>
      <c r="E369" s="31"/>
      <c r="F369" s="30"/>
      <c r="G369" s="30"/>
      <c r="H369" s="30"/>
      <c r="I369" s="30"/>
      <c r="J369" s="30"/>
      <c r="K369" s="30"/>
      <c r="L369" s="30"/>
      <c r="M369" s="30"/>
    </row>
    <row r="370" spans="1:13" s="14" customFormat="1" x14ac:dyDescent="0.25">
      <c r="A370" s="13"/>
      <c r="D370" s="30"/>
      <c r="E370" s="31"/>
      <c r="F370" s="30"/>
      <c r="G370" s="30"/>
      <c r="H370" s="30"/>
      <c r="I370" s="30"/>
      <c r="J370" s="30"/>
      <c r="K370" s="30"/>
      <c r="L370" s="30"/>
      <c r="M370" s="30"/>
    </row>
    <row r="371" spans="1:13" s="14" customFormat="1" x14ac:dyDescent="0.25">
      <c r="A371" s="13"/>
      <c r="D371" s="30"/>
      <c r="E371" s="31"/>
      <c r="F371" s="30"/>
      <c r="G371" s="30"/>
      <c r="H371" s="30"/>
      <c r="I371" s="30"/>
      <c r="J371" s="30"/>
      <c r="K371" s="30"/>
      <c r="L371" s="30"/>
      <c r="M371" s="30"/>
    </row>
    <row r="372" spans="1:13" s="14" customFormat="1" x14ac:dyDescent="0.25">
      <c r="A372" s="13"/>
      <c r="D372" s="30"/>
      <c r="E372" s="31"/>
      <c r="F372" s="30"/>
      <c r="G372" s="30"/>
      <c r="H372" s="30"/>
      <c r="I372" s="30"/>
      <c r="J372" s="30"/>
      <c r="K372" s="30"/>
      <c r="L372" s="30"/>
      <c r="M372" s="30"/>
    </row>
    <row r="373" spans="1:13" s="14" customFormat="1" x14ac:dyDescent="0.25">
      <c r="A373" s="13"/>
      <c r="D373" s="30"/>
      <c r="E373" s="31"/>
      <c r="F373" s="30"/>
      <c r="G373" s="30"/>
      <c r="H373" s="30"/>
      <c r="I373" s="30"/>
      <c r="J373" s="30"/>
      <c r="K373" s="30"/>
      <c r="L373" s="30"/>
      <c r="M373" s="30"/>
    </row>
    <row r="374" spans="1:13" s="14" customFormat="1" x14ac:dyDescent="0.25">
      <c r="A374" s="13"/>
      <c r="D374" s="30"/>
      <c r="E374" s="31"/>
      <c r="F374" s="30"/>
      <c r="G374" s="30"/>
      <c r="H374" s="30"/>
      <c r="I374" s="30"/>
      <c r="J374" s="30"/>
      <c r="K374" s="30"/>
      <c r="L374" s="30"/>
      <c r="M374" s="30"/>
    </row>
    <row r="375" spans="1:13" s="14" customFormat="1" x14ac:dyDescent="0.25">
      <c r="A375" s="13"/>
      <c r="D375" s="30"/>
      <c r="E375" s="31"/>
      <c r="F375" s="30"/>
      <c r="G375" s="30"/>
      <c r="H375" s="30"/>
      <c r="I375" s="30"/>
      <c r="J375" s="30"/>
      <c r="K375" s="30"/>
      <c r="L375" s="30"/>
      <c r="M375" s="30"/>
    </row>
    <row r="376" spans="1:13" s="14" customFormat="1" x14ac:dyDescent="0.25">
      <c r="A376" s="13"/>
      <c r="D376" s="30"/>
      <c r="E376" s="31"/>
      <c r="F376" s="30"/>
      <c r="G376" s="30"/>
      <c r="H376" s="30"/>
      <c r="I376" s="30"/>
      <c r="J376" s="30"/>
      <c r="K376" s="30"/>
      <c r="L376" s="30"/>
      <c r="M376" s="30"/>
    </row>
    <row r="377" spans="1:13" s="14" customFormat="1" x14ac:dyDescent="0.25">
      <c r="A377" s="13"/>
      <c r="D377" s="30"/>
      <c r="E377" s="31"/>
      <c r="F377" s="30"/>
      <c r="G377" s="30"/>
      <c r="H377" s="30"/>
      <c r="I377" s="30"/>
      <c r="J377" s="30"/>
      <c r="K377" s="30"/>
      <c r="L377" s="30"/>
      <c r="M377" s="30"/>
    </row>
    <row r="378" spans="1:13" s="14" customFormat="1" x14ac:dyDescent="0.25">
      <c r="A378" s="13"/>
      <c r="D378" s="30"/>
      <c r="E378" s="31"/>
      <c r="F378" s="30"/>
      <c r="G378" s="30"/>
      <c r="H378" s="30"/>
      <c r="I378" s="30"/>
      <c r="J378" s="30"/>
      <c r="K378" s="30"/>
      <c r="L378" s="30"/>
      <c r="M378" s="30"/>
    </row>
    <row r="379" spans="1:13" s="14" customFormat="1" x14ac:dyDescent="0.25">
      <c r="A379" s="13"/>
      <c r="D379" s="30"/>
      <c r="E379" s="31"/>
      <c r="F379" s="30"/>
      <c r="G379" s="30"/>
      <c r="H379" s="30"/>
      <c r="I379" s="30"/>
      <c r="J379" s="30"/>
      <c r="K379" s="30"/>
      <c r="L379" s="30"/>
      <c r="M379" s="30"/>
    </row>
    <row r="380" spans="1:13" s="14" customFormat="1" x14ac:dyDescent="0.25">
      <c r="A380" s="13"/>
      <c r="D380" s="30"/>
      <c r="E380" s="31"/>
      <c r="F380" s="30"/>
      <c r="G380" s="30"/>
      <c r="H380" s="30"/>
      <c r="I380" s="30"/>
      <c r="J380" s="30"/>
      <c r="K380" s="30"/>
      <c r="L380" s="30"/>
      <c r="M380" s="30"/>
    </row>
    <row r="381" spans="1:13" s="14" customFormat="1" x14ac:dyDescent="0.25">
      <c r="A381" s="13"/>
      <c r="D381" s="30"/>
      <c r="E381" s="31"/>
      <c r="F381" s="30"/>
      <c r="G381" s="30"/>
      <c r="H381" s="30"/>
      <c r="I381" s="30"/>
      <c r="J381" s="30"/>
      <c r="K381" s="30"/>
      <c r="L381" s="30"/>
      <c r="M381" s="30"/>
    </row>
    <row r="382" spans="1:13" s="14" customFormat="1" x14ac:dyDescent="0.25">
      <c r="A382" s="13"/>
      <c r="D382" s="30"/>
      <c r="E382" s="31"/>
      <c r="F382" s="30"/>
      <c r="G382" s="30"/>
      <c r="H382" s="30"/>
      <c r="I382" s="30"/>
      <c r="J382" s="30"/>
      <c r="K382" s="30"/>
      <c r="L382" s="30"/>
      <c r="M382" s="30"/>
    </row>
    <row r="383" spans="1:13" s="14" customFormat="1" x14ac:dyDescent="0.25">
      <c r="A383" s="13"/>
      <c r="D383" s="30"/>
      <c r="E383" s="31"/>
      <c r="F383" s="30"/>
      <c r="G383" s="30"/>
      <c r="H383" s="30"/>
      <c r="I383" s="30"/>
      <c r="J383" s="30"/>
      <c r="K383" s="30"/>
      <c r="L383" s="30"/>
      <c r="M383" s="30"/>
    </row>
    <row r="384" spans="1:13" s="14" customFormat="1" x14ac:dyDescent="0.25">
      <c r="A384" s="13"/>
      <c r="D384" s="30"/>
      <c r="E384" s="31"/>
      <c r="F384" s="30"/>
      <c r="G384" s="30"/>
      <c r="H384" s="30"/>
      <c r="I384" s="30"/>
      <c r="J384" s="30"/>
      <c r="K384" s="30"/>
      <c r="L384" s="30"/>
      <c r="M384" s="30"/>
    </row>
    <row r="385" spans="1:13" s="14" customFormat="1" x14ac:dyDescent="0.25">
      <c r="A385" s="13"/>
      <c r="D385" s="30"/>
      <c r="E385" s="31"/>
      <c r="F385" s="30"/>
      <c r="G385" s="30"/>
      <c r="H385" s="30"/>
      <c r="I385" s="30"/>
      <c r="J385" s="30"/>
      <c r="K385" s="30"/>
      <c r="L385" s="30"/>
      <c r="M385" s="30"/>
    </row>
    <row r="386" spans="1:13" s="14" customFormat="1" x14ac:dyDescent="0.25">
      <c r="A386" s="13"/>
      <c r="D386" s="30"/>
      <c r="E386" s="31"/>
      <c r="F386" s="30"/>
      <c r="G386" s="30"/>
      <c r="H386" s="30"/>
      <c r="I386" s="30"/>
      <c r="J386" s="30"/>
      <c r="K386" s="30"/>
      <c r="L386" s="30"/>
      <c r="M386" s="30"/>
    </row>
    <row r="387" spans="1:13" s="14" customFormat="1" x14ac:dyDescent="0.25">
      <c r="A387" s="13"/>
      <c r="D387" s="30"/>
      <c r="E387" s="31"/>
      <c r="F387" s="30"/>
      <c r="G387" s="30"/>
      <c r="H387" s="30"/>
      <c r="I387" s="30"/>
      <c r="J387" s="30"/>
      <c r="K387" s="30"/>
      <c r="L387" s="30"/>
      <c r="M387" s="30"/>
    </row>
    <row r="388" spans="1:13" s="14" customFormat="1" x14ac:dyDescent="0.25">
      <c r="A388" s="13"/>
      <c r="D388" s="30"/>
      <c r="E388" s="31"/>
      <c r="F388" s="30"/>
      <c r="G388" s="30"/>
      <c r="H388" s="30"/>
      <c r="I388" s="30"/>
      <c r="J388" s="30"/>
      <c r="K388" s="30"/>
      <c r="L388" s="30"/>
      <c r="M388" s="30"/>
    </row>
    <row r="389" spans="1:13" s="14" customFormat="1" x14ac:dyDescent="0.25">
      <c r="A389" s="13"/>
      <c r="D389" s="30"/>
      <c r="E389" s="31"/>
      <c r="F389" s="30"/>
      <c r="G389" s="30"/>
      <c r="H389" s="30"/>
      <c r="I389" s="30"/>
      <c r="J389" s="30"/>
      <c r="K389" s="30"/>
      <c r="L389" s="30"/>
      <c r="M389" s="30"/>
    </row>
    <row r="390" spans="1:13" s="14" customFormat="1" x14ac:dyDescent="0.25">
      <c r="A390" s="13"/>
      <c r="D390" s="30"/>
      <c r="E390" s="31"/>
      <c r="F390" s="30"/>
      <c r="G390" s="30"/>
      <c r="H390" s="30"/>
      <c r="I390" s="30"/>
      <c r="J390" s="30"/>
      <c r="K390" s="30"/>
      <c r="L390" s="30"/>
      <c r="M390" s="30"/>
    </row>
    <row r="391" spans="1:13" s="14" customFormat="1" x14ac:dyDescent="0.25">
      <c r="A391" s="13"/>
      <c r="D391" s="30"/>
      <c r="E391" s="31"/>
      <c r="F391" s="30"/>
      <c r="G391" s="30"/>
      <c r="H391" s="30"/>
      <c r="I391" s="30"/>
      <c r="J391" s="30"/>
      <c r="K391" s="30"/>
      <c r="L391" s="30"/>
      <c r="M391" s="30"/>
    </row>
    <row r="392" spans="1:13" s="14" customFormat="1" x14ac:dyDescent="0.25">
      <c r="A392" s="13"/>
      <c r="D392" s="30"/>
      <c r="E392" s="31"/>
      <c r="F392" s="30"/>
      <c r="G392" s="30"/>
      <c r="H392" s="30"/>
      <c r="I392" s="30"/>
      <c r="J392" s="30"/>
      <c r="K392" s="30"/>
      <c r="L392" s="30"/>
      <c r="M392" s="30"/>
    </row>
    <row r="393" spans="1:13" s="14" customFormat="1" x14ac:dyDescent="0.25">
      <c r="A393" s="13"/>
      <c r="D393" s="30"/>
      <c r="E393" s="31"/>
      <c r="F393" s="30"/>
      <c r="G393" s="30"/>
      <c r="H393" s="30"/>
      <c r="I393" s="30"/>
      <c r="J393" s="30"/>
      <c r="K393" s="30"/>
      <c r="L393" s="30"/>
      <c r="M393" s="30"/>
    </row>
    <row r="394" spans="1:13" s="14" customFormat="1" x14ac:dyDescent="0.25">
      <c r="A394" s="13"/>
      <c r="D394" s="30"/>
      <c r="E394" s="31"/>
      <c r="F394" s="30"/>
      <c r="G394" s="30"/>
      <c r="H394" s="30"/>
      <c r="I394" s="30"/>
      <c r="J394" s="30"/>
      <c r="K394" s="30"/>
      <c r="L394" s="30"/>
      <c r="M394" s="30"/>
    </row>
    <row r="395" spans="1:13" s="14" customFormat="1" x14ac:dyDescent="0.25">
      <c r="A395" s="13"/>
      <c r="D395" s="30"/>
      <c r="E395" s="31"/>
      <c r="F395" s="30"/>
      <c r="G395" s="30"/>
      <c r="H395" s="30"/>
      <c r="I395" s="30"/>
      <c r="J395" s="30"/>
      <c r="K395" s="30"/>
      <c r="L395" s="30"/>
      <c r="M395" s="30"/>
    </row>
    <row r="396" spans="1:13" s="14" customFormat="1" x14ac:dyDescent="0.25">
      <c r="A396" s="13"/>
      <c r="D396" s="30"/>
      <c r="E396" s="31"/>
      <c r="F396" s="30"/>
      <c r="G396" s="30"/>
      <c r="H396" s="30"/>
      <c r="I396" s="30"/>
      <c r="J396" s="30"/>
      <c r="K396" s="30"/>
      <c r="L396" s="30"/>
      <c r="M396" s="30"/>
    </row>
    <row r="397" spans="1:13" s="14" customFormat="1" x14ac:dyDescent="0.25">
      <c r="A397" s="13"/>
      <c r="D397" s="30"/>
      <c r="E397" s="31"/>
      <c r="F397" s="30"/>
      <c r="G397" s="30"/>
      <c r="H397" s="30"/>
      <c r="I397" s="30"/>
      <c r="J397" s="30"/>
      <c r="K397" s="30"/>
      <c r="L397" s="30"/>
      <c r="M397" s="30"/>
    </row>
    <row r="398" spans="1:13" s="14" customFormat="1" x14ac:dyDescent="0.25">
      <c r="A398" s="13"/>
      <c r="D398" s="30"/>
      <c r="E398" s="31"/>
      <c r="F398" s="30"/>
      <c r="G398" s="30"/>
      <c r="H398" s="30"/>
      <c r="I398" s="30"/>
      <c r="J398" s="30"/>
      <c r="K398" s="30"/>
      <c r="L398" s="30"/>
      <c r="M398" s="30"/>
    </row>
    <row r="399" spans="1:13" s="14" customFormat="1" x14ac:dyDescent="0.25">
      <c r="A399" s="13"/>
      <c r="D399" s="30"/>
      <c r="E399" s="31"/>
      <c r="F399" s="30"/>
      <c r="G399" s="30"/>
      <c r="H399" s="30"/>
      <c r="I399" s="30"/>
      <c r="J399" s="30"/>
      <c r="K399" s="30"/>
      <c r="L399" s="30"/>
      <c r="M399" s="30"/>
    </row>
    <row r="400" spans="1:13" s="14" customFormat="1" x14ac:dyDescent="0.25">
      <c r="A400" s="13"/>
      <c r="D400" s="30"/>
      <c r="E400" s="31"/>
      <c r="F400" s="30"/>
      <c r="G400" s="30"/>
      <c r="H400" s="30"/>
      <c r="I400" s="30"/>
      <c r="J400" s="30"/>
      <c r="K400" s="30"/>
      <c r="L400" s="30"/>
      <c r="M400" s="30"/>
    </row>
    <row r="401" spans="1:13" s="14" customFormat="1" x14ac:dyDescent="0.25">
      <c r="A401" s="13"/>
      <c r="D401" s="30"/>
      <c r="E401" s="31"/>
      <c r="F401" s="30"/>
      <c r="G401" s="30"/>
      <c r="H401" s="30"/>
      <c r="I401" s="30"/>
      <c r="J401" s="30"/>
      <c r="K401" s="30"/>
      <c r="L401" s="30"/>
      <c r="M401" s="30"/>
    </row>
    <row r="402" spans="1:13" s="14" customFormat="1" x14ac:dyDescent="0.25">
      <c r="A402" s="13"/>
      <c r="D402" s="30"/>
      <c r="E402" s="31"/>
      <c r="F402" s="30"/>
      <c r="G402" s="30"/>
      <c r="H402" s="30"/>
      <c r="I402" s="30"/>
      <c r="J402" s="30"/>
      <c r="K402" s="30"/>
      <c r="L402" s="30"/>
      <c r="M402" s="30"/>
    </row>
    <row r="403" spans="1:13" s="14" customFormat="1" x14ac:dyDescent="0.25">
      <c r="A403" s="13"/>
      <c r="D403" s="30"/>
      <c r="E403" s="31"/>
      <c r="F403" s="30"/>
      <c r="G403" s="30"/>
      <c r="H403" s="30"/>
      <c r="I403" s="30"/>
      <c r="J403" s="30"/>
      <c r="K403" s="30"/>
      <c r="L403" s="30"/>
      <c r="M403" s="30"/>
    </row>
    <row r="404" spans="1:13" s="14" customFormat="1" x14ac:dyDescent="0.25">
      <c r="A404" s="13"/>
      <c r="D404" s="30"/>
      <c r="E404" s="31"/>
      <c r="F404" s="30"/>
      <c r="G404" s="30"/>
      <c r="H404" s="30"/>
      <c r="I404" s="30"/>
      <c r="J404" s="30"/>
      <c r="K404" s="30"/>
      <c r="L404" s="30"/>
      <c r="M404" s="30"/>
    </row>
    <row r="405" spans="1:13" s="14" customFormat="1" x14ac:dyDescent="0.25">
      <c r="A405" s="13"/>
      <c r="D405" s="30"/>
      <c r="E405" s="31"/>
      <c r="F405" s="30"/>
      <c r="G405" s="30"/>
      <c r="H405" s="30"/>
      <c r="I405" s="30"/>
      <c r="J405" s="30"/>
      <c r="K405" s="30"/>
      <c r="L405" s="30"/>
      <c r="M405" s="30"/>
    </row>
    <row r="406" spans="1:13" s="14" customFormat="1" x14ac:dyDescent="0.25">
      <c r="A406" s="13"/>
      <c r="D406" s="30"/>
      <c r="E406" s="31"/>
      <c r="F406" s="30"/>
      <c r="G406" s="30"/>
      <c r="H406" s="30"/>
      <c r="I406" s="30"/>
      <c r="J406" s="30"/>
      <c r="K406" s="30"/>
      <c r="L406" s="30"/>
      <c r="M406" s="30"/>
    </row>
    <row r="407" spans="1:13" s="14" customFormat="1" x14ac:dyDescent="0.25">
      <c r="A407" s="13"/>
      <c r="D407" s="30"/>
      <c r="E407" s="31"/>
      <c r="F407" s="30"/>
      <c r="G407" s="30"/>
      <c r="H407" s="30"/>
      <c r="I407" s="30"/>
      <c r="J407" s="30"/>
      <c r="K407" s="30"/>
      <c r="L407" s="30"/>
      <c r="M407" s="30"/>
    </row>
    <row r="408" spans="1:13" s="14" customFormat="1" x14ac:dyDescent="0.25">
      <c r="A408" s="13"/>
      <c r="D408" s="30"/>
      <c r="E408" s="31"/>
      <c r="F408" s="30"/>
      <c r="G408" s="30"/>
      <c r="H408" s="30"/>
      <c r="I408" s="30"/>
      <c r="J408" s="30"/>
      <c r="K408" s="30"/>
      <c r="L408" s="30"/>
      <c r="M408" s="30"/>
    </row>
    <row r="409" spans="1:13" s="14" customFormat="1" x14ac:dyDescent="0.25">
      <c r="A409" s="13"/>
      <c r="D409" s="30"/>
      <c r="E409" s="31"/>
      <c r="F409" s="30"/>
      <c r="G409" s="30"/>
      <c r="H409" s="30"/>
      <c r="I409" s="30"/>
      <c r="J409" s="30"/>
      <c r="K409" s="30"/>
      <c r="L409" s="30"/>
      <c r="M409" s="30"/>
    </row>
    <row r="410" spans="1:13" s="14" customFormat="1" x14ac:dyDescent="0.25">
      <c r="A410" s="13"/>
      <c r="D410" s="30"/>
      <c r="E410" s="31"/>
      <c r="F410" s="30"/>
      <c r="G410" s="30"/>
      <c r="H410" s="30"/>
      <c r="I410" s="30"/>
      <c r="J410" s="30"/>
      <c r="K410" s="30"/>
      <c r="L410" s="30"/>
      <c r="M410" s="30"/>
    </row>
    <row r="411" spans="1:13" s="14" customFormat="1" x14ac:dyDescent="0.25">
      <c r="A411" s="13"/>
      <c r="D411" s="30"/>
      <c r="E411" s="31"/>
      <c r="F411" s="30"/>
      <c r="G411" s="30"/>
      <c r="H411" s="30"/>
      <c r="I411" s="30"/>
      <c r="J411" s="30"/>
      <c r="K411" s="30"/>
      <c r="L411" s="30"/>
      <c r="M411" s="30"/>
    </row>
    <row r="412" spans="1:13" s="14" customFormat="1" x14ac:dyDescent="0.25">
      <c r="A412" s="13"/>
      <c r="D412" s="30"/>
      <c r="E412" s="31"/>
      <c r="F412" s="30"/>
      <c r="G412" s="30"/>
      <c r="H412" s="30"/>
      <c r="I412" s="30"/>
      <c r="J412" s="30"/>
      <c r="K412" s="30"/>
      <c r="L412" s="30"/>
      <c r="M412" s="30"/>
    </row>
    <row r="413" spans="1:13" s="14" customFormat="1" x14ac:dyDescent="0.25">
      <c r="A413" s="13"/>
      <c r="D413" s="30"/>
      <c r="E413" s="31"/>
      <c r="F413" s="30"/>
      <c r="G413" s="30"/>
      <c r="H413" s="30"/>
      <c r="I413" s="30"/>
      <c r="J413" s="30"/>
      <c r="K413" s="30"/>
      <c r="L413" s="30"/>
      <c r="M413" s="30"/>
    </row>
    <row r="414" spans="1:13" s="14" customFormat="1" x14ac:dyDescent="0.25">
      <c r="A414" s="13"/>
      <c r="D414" s="30"/>
      <c r="E414" s="31"/>
      <c r="F414" s="30"/>
      <c r="G414" s="30"/>
      <c r="H414" s="30"/>
      <c r="I414" s="30"/>
      <c r="J414" s="30"/>
      <c r="K414" s="30"/>
      <c r="L414" s="30"/>
      <c r="M414" s="30"/>
    </row>
    <row r="415" spans="1:13" s="14" customFormat="1" x14ac:dyDescent="0.25">
      <c r="A415" s="13"/>
      <c r="D415" s="30"/>
      <c r="E415" s="31"/>
      <c r="F415" s="30"/>
      <c r="G415" s="30"/>
      <c r="H415" s="30"/>
      <c r="I415" s="30"/>
      <c r="J415" s="30"/>
      <c r="K415" s="30"/>
      <c r="L415" s="30"/>
      <c r="M415" s="30"/>
    </row>
    <row r="416" spans="1:13" s="14" customFormat="1" x14ac:dyDescent="0.25">
      <c r="A416" s="13"/>
      <c r="D416" s="30"/>
      <c r="E416" s="31"/>
      <c r="F416" s="30"/>
      <c r="G416" s="30"/>
      <c r="H416" s="30"/>
      <c r="I416" s="30"/>
      <c r="J416" s="30"/>
      <c r="K416" s="30"/>
      <c r="L416" s="30"/>
      <c r="M416" s="30"/>
    </row>
    <row r="417" spans="1:13" s="14" customFormat="1" x14ac:dyDescent="0.25">
      <c r="A417" s="13"/>
      <c r="D417" s="30"/>
      <c r="E417" s="31"/>
      <c r="F417" s="30"/>
      <c r="G417" s="30"/>
      <c r="H417" s="30"/>
      <c r="I417" s="30"/>
      <c r="J417" s="30"/>
      <c r="K417" s="30"/>
      <c r="L417" s="30"/>
      <c r="M417" s="30"/>
    </row>
    <row r="418" spans="1:13" s="14" customFormat="1" x14ac:dyDescent="0.25">
      <c r="A418" s="13"/>
      <c r="D418" s="30"/>
      <c r="E418" s="31"/>
      <c r="F418" s="30"/>
      <c r="G418" s="30"/>
      <c r="H418" s="30"/>
      <c r="I418" s="30"/>
      <c r="J418" s="30"/>
      <c r="K418" s="30"/>
      <c r="L418" s="30"/>
      <c r="M418" s="30"/>
    </row>
    <row r="419" spans="1:13" s="14" customFormat="1" x14ac:dyDescent="0.25">
      <c r="A419" s="13"/>
      <c r="D419" s="30"/>
      <c r="E419" s="31"/>
      <c r="F419" s="30"/>
      <c r="G419" s="30"/>
      <c r="H419" s="30"/>
      <c r="I419" s="30"/>
      <c r="J419" s="30"/>
      <c r="K419" s="30"/>
      <c r="L419" s="30"/>
      <c r="M419" s="30"/>
    </row>
    <row r="420" spans="1:13" s="14" customFormat="1" x14ac:dyDescent="0.25">
      <c r="A420" s="13"/>
      <c r="D420" s="30"/>
      <c r="E420" s="31"/>
      <c r="F420" s="30"/>
      <c r="G420" s="30"/>
      <c r="H420" s="30"/>
      <c r="I420" s="30"/>
      <c r="J420" s="30"/>
      <c r="K420" s="30"/>
      <c r="L420" s="30"/>
      <c r="M420" s="30"/>
    </row>
    <row r="421" spans="1:13" s="14" customFormat="1" x14ac:dyDescent="0.25">
      <c r="A421" s="13"/>
      <c r="D421" s="30"/>
      <c r="E421" s="31"/>
      <c r="F421" s="30"/>
      <c r="G421" s="30"/>
      <c r="H421" s="30"/>
      <c r="I421" s="30"/>
      <c r="J421" s="30"/>
      <c r="K421" s="30"/>
      <c r="L421" s="30"/>
      <c r="M421" s="30"/>
    </row>
    <row r="422" spans="1:13" s="14" customFormat="1" x14ac:dyDescent="0.25">
      <c r="A422" s="13"/>
      <c r="D422" s="30"/>
      <c r="E422" s="31"/>
      <c r="F422" s="30"/>
      <c r="G422" s="30"/>
      <c r="H422" s="30"/>
      <c r="I422" s="30"/>
      <c r="J422" s="30"/>
      <c r="K422" s="30"/>
      <c r="L422" s="30"/>
      <c r="M422" s="30"/>
    </row>
    <row r="423" spans="1:13" s="14" customFormat="1" x14ac:dyDescent="0.25">
      <c r="A423" s="13"/>
      <c r="D423" s="30"/>
      <c r="E423" s="31"/>
      <c r="F423" s="30"/>
      <c r="G423" s="30"/>
      <c r="H423" s="30"/>
      <c r="I423" s="30"/>
      <c r="J423" s="30"/>
      <c r="K423" s="30"/>
      <c r="L423" s="30"/>
      <c r="M423" s="30"/>
    </row>
    <row r="424" spans="1:13" s="14" customFormat="1" x14ac:dyDescent="0.25">
      <c r="A424" s="13"/>
      <c r="D424" s="30"/>
      <c r="E424" s="31"/>
      <c r="F424" s="30"/>
      <c r="G424" s="30"/>
      <c r="H424" s="30"/>
      <c r="I424" s="30"/>
      <c r="J424" s="30"/>
      <c r="K424" s="30"/>
      <c r="L424" s="30"/>
      <c r="M424" s="30"/>
    </row>
    <row r="425" spans="1:13" s="14" customFormat="1" x14ac:dyDescent="0.25">
      <c r="A425" s="13"/>
      <c r="D425" s="30"/>
      <c r="E425" s="31"/>
      <c r="F425" s="30"/>
      <c r="G425" s="30"/>
      <c r="H425" s="30"/>
      <c r="I425" s="30"/>
      <c r="J425" s="30"/>
      <c r="K425" s="30"/>
      <c r="L425" s="30"/>
      <c r="M425" s="30"/>
    </row>
    <row r="426" spans="1:13" s="14" customFormat="1" x14ac:dyDescent="0.25">
      <c r="A426" s="13"/>
      <c r="D426" s="30"/>
      <c r="E426" s="31"/>
      <c r="F426" s="30"/>
      <c r="G426" s="30"/>
      <c r="H426" s="30"/>
      <c r="I426" s="30"/>
      <c r="J426" s="30"/>
      <c r="K426" s="30"/>
      <c r="L426" s="30"/>
      <c r="M426" s="30"/>
    </row>
    <row r="427" spans="1:13" s="14" customFormat="1" x14ac:dyDescent="0.25">
      <c r="A427" s="13"/>
      <c r="D427" s="30"/>
      <c r="E427" s="31"/>
      <c r="F427" s="30"/>
      <c r="G427" s="30"/>
      <c r="H427" s="30"/>
      <c r="I427" s="30"/>
      <c r="J427" s="30"/>
      <c r="K427" s="30"/>
      <c r="L427" s="30"/>
      <c r="M427" s="30"/>
    </row>
    <row r="428" spans="1:13" s="14" customFormat="1" x14ac:dyDescent="0.25">
      <c r="A428" s="13"/>
      <c r="D428" s="30"/>
      <c r="E428" s="31"/>
      <c r="F428" s="30"/>
      <c r="G428" s="30"/>
      <c r="H428" s="30"/>
      <c r="I428" s="30"/>
      <c r="J428" s="30"/>
      <c r="K428" s="30"/>
      <c r="L428" s="30"/>
      <c r="M428" s="30"/>
    </row>
    <row r="429" spans="1:13" s="14" customFormat="1" x14ac:dyDescent="0.25">
      <c r="A429" s="13"/>
      <c r="D429" s="30"/>
      <c r="E429" s="31"/>
      <c r="F429" s="30"/>
      <c r="G429" s="30"/>
      <c r="H429" s="30"/>
      <c r="I429" s="30"/>
      <c r="J429" s="30"/>
      <c r="K429" s="30"/>
      <c r="L429" s="30"/>
      <c r="M429" s="30"/>
    </row>
    <row r="430" spans="1:13" s="14" customFormat="1" x14ac:dyDescent="0.25">
      <c r="A430" s="13"/>
      <c r="D430" s="30"/>
      <c r="E430" s="31"/>
      <c r="F430" s="30"/>
      <c r="G430" s="30"/>
      <c r="H430" s="30"/>
      <c r="I430" s="30"/>
      <c r="J430" s="30"/>
      <c r="K430" s="30"/>
      <c r="L430" s="30"/>
      <c r="M430" s="30"/>
    </row>
    <row r="431" spans="1:13" s="14" customFormat="1" x14ac:dyDescent="0.25">
      <c r="A431" s="13"/>
      <c r="D431" s="30"/>
      <c r="E431" s="31"/>
      <c r="F431" s="30"/>
      <c r="G431" s="30"/>
      <c r="H431" s="30"/>
      <c r="I431" s="30"/>
      <c r="J431" s="30"/>
      <c r="K431" s="30"/>
      <c r="L431" s="30"/>
      <c r="M431" s="30"/>
    </row>
    <row r="432" spans="1:13" s="14" customFormat="1" x14ac:dyDescent="0.25">
      <c r="A432" s="13"/>
      <c r="D432" s="30"/>
      <c r="E432" s="31"/>
      <c r="F432" s="30"/>
      <c r="G432" s="30"/>
      <c r="H432" s="30"/>
      <c r="I432" s="30"/>
      <c r="J432" s="30"/>
      <c r="K432" s="30"/>
      <c r="L432" s="30"/>
      <c r="M432" s="30"/>
    </row>
    <row r="433" spans="1:13" s="14" customFormat="1" x14ac:dyDescent="0.25">
      <c r="A433" s="13"/>
      <c r="D433" s="30"/>
      <c r="E433" s="31"/>
      <c r="F433" s="30"/>
      <c r="G433" s="30"/>
      <c r="H433" s="30"/>
      <c r="I433" s="30"/>
      <c r="J433" s="30"/>
      <c r="K433" s="30"/>
      <c r="L433" s="30"/>
      <c r="M433" s="30"/>
    </row>
    <row r="434" spans="1:13" s="14" customFormat="1" x14ac:dyDescent="0.25">
      <c r="A434" s="13"/>
      <c r="D434" s="30"/>
      <c r="E434" s="31"/>
      <c r="F434" s="30"/>
      <c r="G434" s="30"/>
      <c r="H434" s="30"/>
      <c r="I434" s="30"/>
      <c r="J434" s="30"/>
      <c r="K434" s="30"/>
      <c r="L434" s="30"/>
      <c r="M434" s="30"/>
    </row>
    <row r="435" spans="1:13" s="14" customFormat="1" x14ac:dyDescent="0.25">
      <c r="A435" s="13"/>
      <c r="D435" s="30"/>
      <c r="E435" s="31"/>
      <c r="F435" s="30"/>
      <c r="G435" s="30"/>
      <c r="H435" s="30"/>
      <c r="I435" s="30"/>
      <c r="J435" s="30"/>
      <c r="K435" s="30"/>
      <c r="L435" s="30"/>
      <c r="M435" s="30"/>
    </row>
    <row r="436" spans="1:13" s="14" customFormat="1" x14ac:dyDescent="0.25">
      <c r="A436" s="13"/>
      <c r="D436" s="30"/>
      <c r="E436" s="31"/>
      <c r="F436" s="30"/>
      <c r="G436" s="30"/>
      <c r="H436" s="30"/>
      <c r="I436" s="30"/>
      <c r="J436" s="30"/>
      <c r="K436" s="30"/>
      <c r="L436" s="30"/>
      <c r="M436" s="30"/>
    </row>
    <row r="437" spans="1:13" s="14" customFormat="1" x14ac:dyDescent="0.25">
      <c r="A437" s="13"/>
      <c r="D437" s="30"/>
      <c r="E437" s="31"/>
      <c r="F437" s="30"/>
      <c r="G437" s="30"/>
      <c r="H437" s="30"/>
      <c r="I437" s="30"/>
      <c r="J437" s="30"/>
      <c r="K437" s="30"/>
      <c r="L437" s="30"/>
      <c r="M437" s="30"/>
    </row>
    <row r="438" spans="1:13" s="14" customFormat="1" x14ac:dyDescent="0.25">
      <c r="A438" s="13"/>
      <c r="D438" s="30"/>
      <c r="E438" s="31"/>
      <c r="F438" s="30"/>
      <c r="G438" s="30"/>
      <c r="H438" s="30"/>
      <c r="I438" s="30"/>
      <c r="J438" s="30"/>
      <c r="K438" s="30"/>
      <c r="L438" s="30"/>
      <c r="M438" s="30"/>
    </row>
    <row r="439" spans="1:13" s="14" customFormat="1" x14ac:dyDescent="0.25">
      <c r="A439" s="13"/>
      <c r="D439" s="30"/>
      <c r="E439" s="31"/>
      <c r="F439" s="30"/>
      <c r="G439" s="30"/>
      <c r="H439" s="30"/>
      <c r="I439" s="30"/>
      <c r="J439" s="30"/>
      <c r="K439" s="30"/>
      <c r="L439" s="30"/>
      <c r="M439" s="30"/>
    </row>
    <row r="440" spans="1:13" s="14" customFormat="1" x14ac:dyDescent="0.25">
      <c r="A440" s="13"/>
      <c r="D440" s="30"/>
      <c r="E440" s="31"/>
      <c r="F440" s="30"/>
      <c r="G440" s="30"/>
      <c r="H440" s="30"/>
      <c r="I440" s="30"/>
      <c r="J440" s="30"/>
      <c r="K440" s="30"/>
      <c r="L440" s="30"/>
      <c r="M440" s="30"/>
    </row>
    <row r="441" spans="1:13" s="14" customFormat="1" x14ac:dyDescent="0.25">
      <c r="A441" s="13"/>
      <c r="D441" s="30"/>
      <c r="E441" s="31"/>
      <c r="F441" s="30"/>
      <c r="G441" s="30"/>
      <c r="H441" s="30"/>
      <c r="I441" s="30"/>
      <c r="J441" s="30"/>
      <c r="K441" s="30"/>
      <c r="L441" s="30"/>
      <c r="M441" s="30"/>
    </row>
    <row r="442" spans="1:13" s="14" customFormat="1" x14ac:dyDescent="0.25">
      <c r="A442" s="13"/>
      <c r="D442" s="30"/>
      <c r="E442" s="31"/>
      <c r="F442" s="30"/>
      <c r="G442" s="30"/>
      <c r="H442" s="30"/>
      <c r="I442" s="30"/>
      <c r="J442" s="30"/>
      <c r="K442" s="30"/>
      <c r="L442" s="30"/>
      <c r="M442" s="30"/>
    </row>
    <row r="443" spans="1:13" s="14" customFormat="1" x14ac:dyDescent="0.25">
      <c r="A443" s="13"/>
      <c r="D443" s="30"/>
      <c r="E443" s="31"/>
      <c r="F443" s="30"/>
      <c r="G443" s="30"/>
      <c r="H443" s="30"/>
      <c r="I443" s="30"/>
      <c r="J443" s="30"/>
      <c r="K443" s="30"/>
      <c r="L443" s="30"/>
      <c r="M443" s="30"/>
    </row>
    <row r="444" spans="1:13" s="14" customFormat="1" x14ac:dyDescent="0.25">
      <c r="A444" s="13"/>
      <c r="D444" s="30"/>
      <c r="E444" s="31"/>
      <c r="F444" s="30"/>
      <c r="G444" s="30"/>
      <c r="H444" s="30"/>
      <c r="I444" s="30"/>
      <c r="J444" s="30"/>
      <c r="K444" s="30"/>
      <c r="L444" s="30"/>
      <c r="M444" s="30"/>
    </row>
    <row r="445" spans="1:13" s="14" customFormat="1" x14ac:dyDescent="0.25">
      <c r="A445" s="13"/>
      <c r="D445" s="30"/>
      <c r="E445" s="31"/>
      <c r="F445" s="30"/>
      <c r="G445" s="30"/>
      <c r="H445" s="30"/>
      <c r="I445" s="30"/>
      <c r="J445" s="30"/>
      <c r="K445" s="30"/>
      <c r="L445" s="30"/>
      <c r="M445" s="30"/>
    </row>
    <row r="446" spans="1:13" s="14" customFormat="1" x14ac:dyDescent="0.25">
      <c r="A446" s="13"/>
      <c r="D446" s="30"/>
      <c r="E446" s="31"/>
      <c r="F446" s="30"/>
      <c r="G446" s="30"/>
      <c r="H446" s="30"/>
      <c r="I446" s="30"/>
      <c r="J446" s="30"/>
      <c r="K446" s="30"/>
      <c r="L446" s="30"/>
      <c r="M446" s="30"/>
    </row>
    <row r="447" spans="1:13" s="14" customFormat="1" x14ac:dyDescent="0.25">
      <c r="A447" s="13"/>
      <c r="D447" s="30"/>
      <c r="E447" s="31"/>
      <c r="F447" s="30"/>
      <c r="G447" s="30"/>
      <c r="H447" s="30"/>
      <c r="I447" s="30"/>
      <c r="J447" s="30"/>
      <c r="K447" s="30"/>
      <c r="L447" s="30"/>
      <c r="M447" s="30"/>
    </row>
    <row r="448" spans="1:13" s="14" customFormat="1" x14ac:dyDescent="0.25">
      <c r="A448" s="13"/>
      <c r="D448" s="30"/>
      <c r="E448" s="31"/>
      <c r="F448" s="30"/>
      <c r="G448" s="30"/>
      <c r="H448" s="30"/>
      <c r="I448" s="30"/>
      <c r="J448" s="30"/>
      <c r="K448" s="30"/>
      <c r="L448" s="30"/>
      <c r="M448" s="30"/>
    </row>
    <row r="449" spans="1:13" s="14" customFormat="1" x14ac:dyDescent="0.25">
      <c r="A449" s="13"/>
      <c r="D449" s="30"/>
      <c r="E449" s="31"/>
      <c r="F449" s="30"/>
      <c r="G449" s="30"/>
      <c r="H449" s="30"/>
      <c r="I449" s="30"/>
      <c r="J449" s="30"/>
      <c r="K449" s="30"/>
      <c r="L449" s="30"/>
      <c r="M449" s="30"/>
    </row>
    <row r="450" spans="1:13" s="14" customFormat="1" x14ac:dyDescent="0.25">
      <c r="A450" s="13"/>
      <c r="D450" s="30"/>
      <c r="E450" s="31"/>
      <c r="F450" s="30"/>
      <c r="G450" s="30"/>
      <c r="H450" s="30"/>
      <c r="I450" s="30"/>
      <c r="J450" s="30"/>
      <c r="K450" s="30"/>
      <c r="L450" s="30"/>
      <c r="M450" s="30"/>
    </row>
    <row r="451" spans="1:13" s="14" customFormat="1" x14ac:dyDescent="0.25">
      <c r="A451" s="13"/>
      <c r="D451" s="30"/>
      <c r="E451" s="31"/>
      <c r="F451" s="30"/>
      <c r="G451" s="30"/>
      <c r="H451" s="30"/>
      <c r="I451" s="30"/>
      <c r="J451" s="30"/>
      <c r="K451" s="30"/>
      <c r="L451" s="30"/>
      <c r="M451" s="30"/>
    </row>
    <row r="452" spans="1:13" s="14" customFormat="1" x14ac:dyDescent="0.25">
      <c r="A452" s="13"/>
      <c r="D452" s="30"/>
      <c r="E452" s="31"/>
      <c r="F452" s="30"/>
      <c r="G452" s="30"/>
      <c r="H452" s="30"/>
      <c r="I452" s="30"/>
      <c r="J452" s="30"/>
      <c r="K452" s="30"/>
      <c r="L452" s="30"/>
      <c r="M452" s="30"/>
    </row>
    <row r="453" spans="1:13" s="14" customFormat="1" x14ac:dyDescent="0.25">
      <c r="A453" s="13"/>
      <c r="D453" s="30"/>
      <c r="E453" s="31"/>
      <c r="F453" s="30"/>
      <c r="G453" s="30"/>
      <c r="H453" s="30"/>
      <c r="I453" s="30"/>
      <c r="J453" s="30"/>
      <c r="K453" s="30"/>
      <c r="L453" s="30"/>
      <c r="M453" s="30"/>
    </row>
    <row r="454" spans="1:13" s="14" customFormat="1" x14ac:dyDescent="0.25">
      <c r="A454" s="13"/>
      <c r="D454" s="30"/>
      <c r="E454" s="31"/>
      <c r="F454" s="30"/>
      <c r="G454" s="30"/>
      <c r="H454" s="30"/>
      <c r="I454" s="30"/>
      <c r="J454" s="30"/>
      <c r="K454" s="30"/>
      <c r="L454" s="30"/>
      <c r="M454" s="30"/>
    </row>
    <row r="455" spans="1:13" s="14" customFormat="1" x14ac:dyDescent="0.25">
      <c r="A455" s="13"/>
      <c r="D455" s="30"/>
      <c r="E455" s="31"/>
      <c r="F455" s="30"/>
      <c r="G455" s="30"/>
      <c r="H455" s="30"/>
      <c r="I455" s="30"/>
      <c r="J455" s="30"/>
      <c r="K455" s="30"/>
      <c r="L455" s="30"/>
      <c r="M455" s="30"/>
    </row>
    <row r="456" spans="1:13" s="14" customFormat="1" x14ac:dyDescent="0.25">
      <c r="A456" s="13"/>
      <c r="D456" s="30"/>
      <c r="E456" s="31"/>
      <c r="F456" s="30"/>
      <c r="G456" s="30"/>
      <c r="H456" s="30"/>
      <c r="I456" s="30"/>
      <c r="J456" s="30"/>
      <c r="K456" s="30"/>
      <c r="L456" s="30"/>
      <c r="M456" s="30"/>
    </row>
    <row r="457" spans="1:13" s="14" customFormat="1" x14ac:dyDescent="0.25">
      <c r="A457" s="13"/>
      <c r="D457" s="30"/>
      <c r="E457" s="31"/>
      <c r="F457" s="30"/>
      <c r="G457" s="30"/>
      <c r="H457" s="30"/>
      <c r="I457" s="30"/>
      <c r="J457" s="30"/>
      <c r="K457" s="30"/>
      <c r="L457" s="30"/>
      <c r="M457" s="30"/>
    </row>
    <row r="458" spans="1:13" s="14" customFormat="1" x14ac:dyDescent="0.25">
      <c r="A458" s="13"/>
      <c r="D458" s="30"/>
      <c r="E458" s="31"/>
      <c r="F458" s="30"/>
      <c r="G458" s="30"/>
      <c r="H458" s="30"/>
      <c r="I458" s="30"/>
      <c r="J458" s="30"/>
      <c r="K458" s="30"/>
      <c r="L458" s="30"/>
      <c r="M458" s="30"/>
    </row>
    <row r="459" spans="1:13" s="14" customFormat="1" x14ac:dyDescent="0.25">
      <c r="A459" s="13"/>
      <c r="D459" s="30"/>
      <c r="E459" s="31"/>
      <c r="F459" s="30"/>
      <c r="G459" s="30"/>
      <c r="H459" s="30"/>
      <c r="I459" s="30"/>
      <c r="J459" s="30"/>
      <c r="K459" s="30"/>
      <c r="L459" s="30"/>
      <c r="M459" s="30"/>
    </row>
    <row r="460" spans="1:13" s="14" customFormat="1" x14ac:dyDescent="0.25">
      <c r="A460" s="13"/>
      <c r="D460" s="30"/>
      <c r="E460" s="31"/>
      <c r="F460" s="30"/>
      <c r="G460" s="30"/>
      <c r="H460" s="30"/>
      <c r="I460" s="30"/>
      <c r="J460" s="30"/>
      <c r="K460" s="30"/>
      <c r="L460" s="30"/>
      <c r="M460" s="30"/>
    </row>
    <row r="461" spans="1:13" s="14" customFormat="1" x14ac:dyDescent="0.25">
      <c r="A461" s="13"/>
      <c r="D461" s="30"/>
      <c r="E461" s="31"/>
      <c r="F461" s="30"/>
      <c r="G461" s="30"/>
      <c r="H461" s="30"/>
      <c r="I461" s="30"/>
      <c r="J461" s="30"/>
      <c r="K461" s="30"/>
      <c r="L461" s="30"/>
      <c r="M461" s="30"/>
    </row>
    <row r="462" spans="1:13" s="14" customFormat="1" x14ac:dyDescent="0.25">
      <c r="A462" s="13"/>
      <c r="D462" s="30"/>
      <c r="E462" s="31"/>
      <c r="F462" s="30"/>
      <c r="G462" s="30"/>
      <c r="H462" s="30"/>
      <c r="I462" s="30"/>
      <c r="J462" s="30"/>
      <c r="K462" s="30"/>
      <c r="L462" s="30"/>
      <c r="M462" s="30"/>
    </row>
    <row r="463" spans="1:13" s="14" customFormat="1" x14ac:dyDescent="0.25">
      <c r="A463" s="13"/>
      <c r="D463" s="30"/>
      <c r="E463" s="31"/>
      <c r="F463" s="30"/>
      <c r="G463" s="30"/>
      <c r="H463" s="30"/>
      <c r="I463" s="30"/>
      <c r="J463" s="30"/>
      <c r="K463" s="30"/>
      <c r="L463" s="30"/>
      <c r="M463" s="30"/>
    </row>
    <row r="464" spans="1:13" s="14" customFormat="1" x14ac:dyDescent="0.25">
      <c r="A464" s="13"/>
      <c r="D464" s="30"/>
      <c r="E464" s="31"/>
      <c r="F464" s="30"/>
      <c r="G464" s="30"/>
      <c r="H464" s="30"/>
      <c r="I464" s="30"/>
      <c r="J464" s="30"/>
      <c r="K464" s="30"/>
      <c r="L464" s="30"/>
      <c r="M464" s="30"/>
    </row>
    <row r="465" spans="1:13" s="14" customFormat="1" x14ac:dyDescent="0.25">
      <c r="A465" s="13"/>
      <c r="D465" s="30"/>
      <c r="E465" s="31"/>
      <c r="F465" s="30"/>
      <c r="G465" s="30"/>
      <c r="H465" s="30"/>
      <c r="I465" s="30"/>
      <c r="J465" s="30"/>
      <c r="K465" s="30"/>
      <c r="L465" s="30"/>
      <c r="M465" s="30"/>
    </row>
    <row r="466" spans="1:13" s="14" customFormat="1" x14ac:dyDescent="0.25">
      <c r="A466" s="13"/>
      <c r="D466" s="30"/>
      <c r="E466" s="31"/>
      <c r="F466" s="30"/>
      <c r="G466" s="30"/>
      <c r="H466" s="30"/>
      <c r="I466" s="30"/>
      <c r="J466" s="30"/>
      <c r="K466" s="30"/>
      <c r="L466" s="30"/>
      <c r="M466" s="30"/>
    </row>
    <row r="467" spans="1:13" s="14" customFormat="1" x14ac:dyDescent="0.25">
      <c r="A467" s="13"/>
      <c r="D467" s="30"/>
      <c r="E467" s="31"/>
      <c r="F467" s="30"/>
      <c r="G467" s="30"/>
      <c r="H467" s="30"/>
      <c r="I467" s="30"/>
      <c r="J467" s="30"/>
      <c r="K467" s="30"/>
      <c r="L467" s="30"/>
      <c r="M467" s="30"/>
    </row>
    <row r="468" spans="1:13" s="14" customFormat="1" x14ac:dyDescent="0.25">
      <c r="A468" s="13"/>
      <c r="D468" s="30"/>
      <c r="E468" s="31"/>
      <c r="F468" s="30"/>
      <c r="G468" s="30"/>
      <c r="H468" s="30"/>
      <c r="I468" s="30"/>
      <c r="J468" s="30"/>
      <c r="K468" s="30"/>
      <c r="L468" s="30"/>
      <c r="M468" s="30"/>
    </row>
    <row r="469" spans="1:13" s="14" customFormat="1" x14ac:dyDescent="0.25">
      <c r="A469" s="13"/>
      <c r="D469" s="30"/>
      <c r="E469" s="31"/>
      <c r="F469" s="30"/>
      <c r="G469" s="30"/>
      <c r="H469" s="30"/>
      <c r="I469" s="30"/>
      <c r="J469" s="30"/>
      <c r="K469" s="30"/>
      <c r="L469" s="30"/>
      <c r="M469" s="30"/>
    </row>
    <row r="470" spans="1:13" s="14" customFormat="1" x14ac:dyDescent="0.25">
      <c r="A470" s="13"/>
      <c r="D470" s="30"/>
      <c r="E470" s="31"/>
      <c r="F470" s="30"/>
      <c r="G470" s="30"/>
      <c r="H470" s="30"/>
      <c r="I470" s="30"/>
      <c r="J470" s="30"/>
      <c r="K470" s="30"/>
      <c r="L470" s="30"/>
      <c r="M470" s="30"/>
    </row>
    <row r="471" spans="1:13" s="14" customFormat="1" x14ac:dyDescent="0.25">
      <c r="A471" s="13"/>
      <c r="D471" s="30"/>
      <c r="E471" s="31"/>
      <c r="F471" s="30"/>
      <c r="G471" s="30"/>
      <c r="H471" s="30"/>
      <c r="I471" s="30"/>
      <c r="J471" s="30"/>
      <c r="K471" s="30"/>
      <c r="L471" s="30"/>
      <c r="M471" s="30"/>
    </row>
    <row r="472" spans="1:13" s="14" customFormat="1" x14ac:dyDescent="0.25">
      <c r="A472" s="13"/>
      <c r="D472" s="30"/>
      <c r="E472" s="31"/>
      <c r="F472" s="30"/>
      <c r="G472" s="30"/>
      <c r="H472" s="30"/>
      <c r="I472" s="30"/>
      <c r="J472" s="30"/>
      <c r="K472" s="30"/>
      <c r="L472" s="30"/>
      <c r="M472" s="30"/>
    </row>
    <row r="473" spans="1:13" s="14" customFormat="1" x14ac:dyDescent="0.25">
      <c r="A473" s="13"/>
      <c r="D473" s="30"/>
      <c r="E473" s="31"/>
      <c r="F473" s="30"/>
      <c r="G473" s="30"/>
      <c r="H473" s="30"/>
      <c r="I473" s="30"/>
      <c r="J473" s="30"/>
      <c r="K473" s="30"/>
      <c r="L473" s="30"/>
      <c r="M473" s="30"/>
    </row>
    <row r="474" spans="1:13" s="14" customFormat="1" x14ac:dyDescent="0.25">
      <c r="A474" s="13"/>
      <c r="D474" s="30"/>
      <c r="E474" s="31"/>
      <c r="F474" s="30"/>
      <c r="G474" s="30"/>
      <c r="H474" s="30"/>
      <c r="I474" s="30"/>
      <c r="J474" s="30"/>
      <c r="K474" s="30"/>
      <c r="L474" s="30"/>
      <c r="M474" s="30"/>
    </row>
    <row r="475" spans="1:13" s="14" customFormat="1" x14ac:dyDescent="0.25">
      <c r="A475" s="13"/>
      <c r="D475" s="30"/>
      <c r="E475" s="31"/>
      <c r="F475" s="30"/>
      <c r="G475" s="30"/>
      <c r="H475" s="30"/>
      <c r="I475" s="30"/>
      <c r="J475" s="30"/>
      <c r="K475" s="30"/>
      <c r="L475" s="30"/>
      <c r="M475" s="30"/>
    </row>
    <row r="476" spans="1:13" s="14" customFormat="1" x14ac:dyDescent="0.25">
      <c r="A476" s="13"/>
      <c r="D476" s="30"/>
      <c r="E476" s="31"/>
      <c r="F476" s="30"/>
      <c r="G476" s="30"/>
      <c r="H476" s="30"/>
      <c r="I476" s="30"/>
      <c r="J476" s="30"/>
      <c r="K476" s="30"/>
      <c r="L476" s="30"/>
      <c r="M476" s="30"/>
    </row>
    <row r="477" spans="1:13" s="14" customFormat="1" x14ac:dyDescent="0.25">
      <c r="A477" s="13"/>
      <c r="D477" s="30"/>
      <c r="E477" s="31"/>
      <c r="F477" s="30"/>
      <c r="G477" s="30"/>
      <c r="H477" s="30"/>
      <c r="I477" s="30"/>
      <c r="J477" s="30"/>
      <c r="K477" s="30"/>
      <c r="L477" s="30"/>
      <c r="M477" s="30"/>
    </row>
    <row r="478" spans="1:13" s="14" customFormat="1" x14ac:dyDescent="0.25">
      <c r="A478" s="13"/>
      <c r="D478" s="30"/>
      <c r="E478" s="31"/>
      <c r="F478" s="30"/>
      <c r="G478" s="30"/>
      <c r="H478" s="30"/>
      <c r="I478" s="30"/>
      <c r="J478" s="30"/>
      <c r="K478" s="30"/>
      <c r="L478" s="30"/>
      <c r="M478" s="30"/>
    </row>
    <row r="479" spans="1:13" s="14" customFormat="1" x14ac:dyDescent="0.25">
      <c r="A479" s="13"/>
      <c r="D479" s="30"/>
      <c r="E479" s="31"/>
      <c r="F479" s="30"/>
      <c r="G479" s="30"/>
      <c r="H479" s="30"/>
      <c r="I479" s="30"/>
      <c r="J479" s="30"/>
      <c r="K479" s="30"/>
      <c r="L479" s="30"/>
      <c r="M479" s="30"/>
    </row>
    <row r="480" spans="1:13" s="14" customFormat="1" x14ac:dyDescent="0.25">
      <c r="A480" s="13"/>
      <c r="D480" s="30"/>
      <c r="E480" s="31"/>
      <c r="F480" s="30"/>
      <c r="G480" s="30"/>
      <c r="H480" s="30"/>
      <c r="I480" s="30"/>
      <c r="J480" s="30"/>
      <c r="K480" s="30"/>
      <c r="L480" s="30"/>
      <c r="M480" s="30"/>
    </row>
    <row r="481" spans="1:13" s="14" customFormat="1" x14ac:dyDescent="0.25">
      <c r="A481" s="13"/>
      <c r="D481" s="30"/>
      <c r="E481" s="31"/>
      <c r="F481" s="30"/>
      <c r="G481" s="30"/>
      <c r="H481" s="30"/>
      <c r="I481" s="30"/>
      <c r="J481" s="30"/>
      <c r="K481" s="30"/>
      <c r="L481" s="30"/>
      <c r="M481" s="30"/>
    </row>
    <row r="482" spans="1:13" s="14" customFormat="1" x14ac:dyDescent="0.25">
      <c r="A482" s="13"/>
      <c r="D482" s="30"/>
      <c r="E482" s="31"/>
      <c r="F482" s="30"/>
      <c r="G482" s="30"/>
      <c r="H482" s="30"/>
      <c r="I482" s="30"/>
      <c r="J482" s="30"/>
      <c r="K482" s="30"/>
      <c r="L482" s="30"/>
      <c r="M482" s="30"/>
    </row>
    <row r="483" spans="1:13" s="14" customFormat="1" x14ac:dyDescent="0.25">
      <c r="A483" s="13"/>
      <c r="D483" s="30"/>
      <c r="E483" s="31"/>
      <c r="F483" s="30"/>
      <c r="G483" s="30"/>
      <c r="H483" s="30"/>
      <c r="I483" s="30"/>
      <c r="J483" s="30"/>
      <c r="K483" s="30"/>
      <c r="L483" s="30"/>
      <c r="M483" s="30"/>
    </row>
    <row r="484" spans="1:13" s="14" customFormat="1" x14ac:dyDescent="0.25">
      <c r="A484" s="13"/>
      <c r="D484" s="30"/>
      <c r="E484" s="31"/>
      <c r="F484" s="30"/>
      <c r="G484" s="30"/>
      <c r="H484" s="30"/>
      <c r="I484" s="30"/>
      <c r="J484" s="30"/>
      <c r="K484" s="30"/>
      <c r="L484" s="30"/>
      <c r="M484" s="30"/>
    </row>
    <row r="485" spans="1:13" s="14" customFormat="1" x14ac:dyDescent="0.25">
      <c r="A485" s="13"/>
      <c r="D485" s="30"/>
      <c r="E485" s="31"/>
      <c r="F485" s="30"/>
      <c r="G485" s="30"/>
      <c r="H485" s="30"/>
      <c r="I485" s="30"/>
      <c r="J485" s="30"/>
      <c r="K485" s="30"/>
      <c r="L485" s="30"/>
      <c r="M485" s="30"/>
    </row>
    <row r="486" spans="1:13" s="14" customFormat="1" x14ac:dyDescent="0.25">
      <c r="A486" s="13"/>
      <c r="D486" s="30"/>
      <c r="E486" s="31"/>
      <c r="F486" s="30"/>
      <c r="G486" s="30"/>
      <c r="H486" s="30"/>
      <c r="I486" s="30"/>
      <c r="J486" s="30"/>
      <c r="K486" s="30"/>
      <c r="L486" s="30"/>
      <c r="M486" s="30"/>
    </row>
    <row r="487" spans="1:13" s="14" customFormat="1" x14ac:dyDescent="0.25">
      <c r="A487" s="13"/>
      <c r="D487" s="30"/>
      <c r="E487" s="31"/>
      <c r="F487" s="30"/>
      <c r="G487" s="30"/>
      <c r="H487" s="30"/>
      <c r="I487" s="30"/>
      <c r="J487" s="30"/>
      <c r="K487" s="30"/>
      <c r="L487" s="30"/>
      <c r="M487" s="30"/>
    </row>
    <row r="488" spans="1:13" s="14" customFormat="1" x14ac:dyDescent="0.25">
      <c r="A488" s="13"/>
      <c r="D488" s="30"/>
      <c r="E488" s="31"/>
      <c r="F488" s="30"/>
      <c r="G488" s="30"/>
      <c r="H488" s="30"/>
      <c r="I488" s="30"/>
      <c r="J488" s="30"/>
      <c r="K488" s="30"/>
      <c r="L488" s="30"/>
      <c r="M488" s="30"/>
    </row>
    <row r="489" spans="1:13" s="14" customFormat="1" x14ac:dyDescent="0.25">
      <c r="A489" s="13"/>
      <c r="D489" s="30"/>
      <c r="E489" s="31"/>
      <c r="F489" s="30"/>
      <c r="G489" s="30"/>
      <c r="H489" s="30"/>
      <c r="I489" s="30"/>
      <c r="J489" s="30"/>
      <c r="K489" s="30"/>
      <c r="L489" s="30"/>
      <c r="M489" s="30"/>
    </row>
    <row r="490" spans="1:13" s="14" customFormat="1" x14ac:dyDescent="0.25">
      <c r="A490" s="13"/>
      <c r="D490" s="30"/>
      <c r="E490" s="31"/>
      <c r="F490" s="30"/>
      <c r="G490" s="30"/>
      <c r="H490" s="30"/>
      <c r="I490" s="30"/>
      <c r="J490" s="30"/>
      <c r="K490" s="30"/>
      <c r="L490" s="30"/>
      <c r="M490" s="30"/>
    </row>
    <row r="491" spans="1:13" s="14" customFormat="1" x14ac:dyDescent="0.25">
      <c r="A491" s="13"/>
      <c r="D491" s="30"/>
      <c r="E491" s="31"/>
      <c r="F491" s="30"/>
      <c r="G491" s="30"/>
      <c r="H491" s="30"/>
      <c r="I491" s="30"/>
      <c r="J491" s="30"/>
      <c r="K491" s="30"/>
      <c r="L491" s="30"/>
      <c r="M491" s="30"/>
    </row>
    <row r="492" spans="1:13" s="14" customFormat="1" x14ac:dyDescent="0.25">
      <c r="A492" s="13"/>
      <c r="D492" s="30"/>
      <c r="E492" s="31"/>
      <c r="F492" s="30"/>
      <c r="G492" s="30"/>
      <c r="H492" s="30"/>
      <c r="I492" s="30"/>
      <c r="J492" s="30"/>
      <c r="K492" s="30"/>
      <c r="L492" s="30"/>
      <c r="M492" s="30"/>
    </row>
    <row r="493" spans="1:13" s="14" customFormat="1" x14ac:dyDescent="0.25">
      <c r="A493" s="13"/>
      <c r="D493" s="30"/>
      <c r="E493" s="31"/>
      <c r="F493" s="30"/>
      <c r="G493" s="30"/>
      <c r="H493" s="30"/>
      <c r="I493" s="30"/>
      <c r="J493" s="30"/>
      <c r="K493" s="30"/>
      <c r="L493" s="30"/>
      <c r="M493" s="30"/>
    </row>
    <row r="494" spans="1:13" s="14" customFormat="1" x14ac:dyDescent="0.25">
      <c r="A494" s="13"/>
      <c r="D494" s="30"/>
      <c r="E494" s="31"/>
      <c r="F494" s="30"/>
      <c r="G494" s="30"/>
      <c r="H494" s="30"/>
      <c r="I494" s="30"/>
      <c r="J494" s="30"/>
      <c r="K494" s="30"/>
      <c r="L494" s="30"/>
      <c r="M494" s="30"/>
    </row>
    <row r="495" spans="1:13" s="14" customFormat="1" x14ac:dyDescent="0.25">
      <c r="A495" s="13"/>
      <c r="D495" s="30"/>
      <c r="E495" s="31"/>
      <c r="F495" s="30"/>
      <c r="G495" s="30"/>
      <c r="H495" s="30"/>
      <c r="I495" s="30"/>
      <c r="J495" s="30"/>
      <c r="K495" s="30"/>
      <c r="L495" s="30"/>
      <c r="M495" s="30"/>
    </row>
    <row r="496" spans="1:13" s="14" customFormat="1" x14ac:dyDescent="0.25">
      <c r="A496" s="13"/>
      <c r="D496" s="30"/>
      <c r="E496" s="31"/>
      <c r="F496" s="30"/>
      <c r="G496" s="30"/>
      <c r="H496" s="30"/>
      <c r="I496" s="30"/>
      <c r="J496" s="30"/>
      <c r="K496" s="30"/>
      <c r="L496" s="30"/>
      <c r="M496" s="30"/>
    </row>
    <row r="497" spans="1:13" s="14" customFormat="1" x14ac:dyDescent="0.25">
      <c r="A497" s="13"/>
      <c r="D497" s="30"/>
      <c r="E497" s="31"/>
      <c r="F497" s="30"/>
      <c r="G497" s="30"/>
      <c r="H497" s="30"/>
      <c r="I497" s="30"/>
      <c r="J497" s="30"/>
      <c r="K497" s="30"/>
      <c r="L497" s="30"/>
      <c r="M497" s="30"/>
    </row>
    <row r="498" spans="1:13" s="14" customFormat="1" x14ac:dyDescent="0.25">
      <c r="A498" s="13"/>
      <c r="D498" s="30"/>
      <c r="E498" s="31"/>
      <c r="F498" s="30"/>
      <c r="G498" s="30"/>
      <c r="H498" s="30"/>
      <c r="I498" s="30"/>
      <c r="J498" s="30"/>
      <c r="K498" s="30"/>
      <c r="L498" s="30"/>
      <c r="M498" s="30"/>
    </row>
    <row r="499" spans="1:13" s="14" customFormat="1" x14ac:dyDescent="0.25">
      <c r="A499" s="13"/>
      <c r="D499" s="30"/>
      <c r="E499" s="31"/>
      <c r="F499" s="30"/>
      <c r="G499" s="30"/>
      <c r="H499" s="30"/>
      <c r="I499" s="30"/>
      <c r="J499" s="30"/>
      <c r="K499" s="30"/>
      <c r="L499" s="30"/>
      <c r="M499" s="30"/>
    </row>
    <row r="500" spans="1:13" s="14" customFormat="1" x14ac:dyDescent="0.25">
      <c r="A500" s="13"/>
      <c r="D500" s="30"/>
      <c r="E500" s="31"/>
      <c r="F500" s="30"/>
      <c r="G500" s="30"/>
      <c r="H500" s="30"/>
      <c r="I500" s="30"/>
      <c r="J500" s="30"/>
      <c r="K500" s="30"/>
      <c r="L500" s="30"/>
      <c r="M500" s="30"/>
    </row>
    <row r="501" spans="1:13" s="14" customFormat="1" x14ac:dyDescent="0.25">
      <c r="A501" s="13"/>
      <c r="D501" s="30"/>
      <c r="E501" s="31"/>
      <c r="F501" s="30"/>
      <c r="G501" s="30"/>
      <c r="H501" s="30"/>
      <c r="I501" s="30"/>
      <c r="J501" s="30"/>
      <c r="K501" s="30"/>
      <c r="L501" s="30"/>
      <c r="M501" s="30"/>
    </row>
    <row r="502" spans="1:13" s="14" customFormat="1" x14ac:dyDescent="0.25">
      <c r="A502" s="13"/>
      <c r="D502" s="30"/>
      <c r="E502" s="31"/>
      <c r="F502" s="30"/>
      <c r="G502" s="30"/>
      <c r="H502" s="30"/>
      <c r="I502" s="30"/>
      <c r="J502" s="30"/>
      <c r="K502" s="30"/>
      <c r="L502" s="30"/>
      <c r="M502" s="30"/>
    </row>
    <row r="503" spans="1:13" s="14" customFormat="1" x14ac:dyDescent="0.25">
      <c r="A503" s="13"/>
      <c r="D503" s="30"/>
      <c r="E503" s="31"/>
      <c r="F503" s="30"/>
      <c r="G503" s="30"/>
      <c r="H503" s="30"/>
      <c r="I503" s="30"/>
      <c r="J503" s="30"/>
      <c r="K503" s="30"/>
      <c r="L503" s="30"/>
      <c r="M503" s="30"/>
    </row>
    <row r="504" spans="1:13" s="14" customFormat="1" x14ac:dyDescent="0.25">
      <c r="A504" s="13"/>
      <c r="D504" s="30"/>
      <c r="E504" s="31"/>
      <c r="F504" s="30"/>
      <c r="G504" s="30"/>
      <c r="H504" s="30"/>
      <c r="I504" s="30"/>
      <c r="J504" s="30"/>
      <c r="K504" s="30"/>
      <c r="L504" s="30"/>
      <c r="M504" s="30"/>
    </row>
    <row r="505" spans="1:13" s="14" customFormat="1" x14ac:dyDescent="0.25">
      <c r="A505" s="13"/>
      <c r="D505" s="30"/>
      <c r="E505" s="31"/>
      <c r="F505" s="30"/>
      <c r="G505" s="30"/>
      <c r="H505" s="30"/>
      <c r="I505" s="30"/>
      <c r="J505" s="30"/>
      <c r="K505" s="30"/>
      <c r="L505" s="30"/>
      <c r="M505" s="30"/>
    </row>
    <row r="506" spans="1:13" s="14" customFormat="1" x14ac:dyDescent="0.25">
      <c r="A506" s="13"/>
      <c r="D506" s="30"/>
      <c r="E506" s="31"/>
      <c r="F506" s="30"/>
      <c r="G506" s="30"/>
      <c r="H506" s="30"/>
      <c r="I506" s="30"/>
      <c r="J506" s="30"/>
      <c r="K506" s="30"/>
      <c r="L506" s="30"/>
      <c r="M506" s="30"/>
    </row>
    <row r="507" spans="1:13" s="14" customFormat="1" x14ac:dyDescent="0.25">
      <c r="A507" s="13"/>
      <c r="D507" s="30"/>
      <c r="E507" s="31"/>
      <c r="F507" s="30"/>
      <c r="G507" s="30"/>
      <c r="H507" s="30"/>
      <c r="I507" s="30"/>
      <c r="J507" s="30"/>
      <c r="K507" s="30"/>
      <c r="L507" s="30"/>
      <c r="M507" s="30"/>
    </row>
    <row r="508" spans="1:13" s="14" customFormat="1" x14ac:dyDescent="0.25">
      <c r="A508" s="13"/>
      <c r="D508" s="30"/>
      <c r="E508" s="31"/>
      <c r="F508" s="30"/>
      <c r="G508" s="30"/>
      <c r="H508" s="30"/>
      <c r="I508" s="30"/>
      <c r="J508" s="30"/>
      <c r="K508" s="30"/>
      <c r="L508" s="30"/>
      <c r="M508" s="30"/>
    </row>
    <row r="509" spans="1:13" s="14" customFormat="1" x14ac:dyDescent="0.25">
      <c r="A509" s="13"/>
      <c r="D509" s="30"/>
      <c r="E509" s="31"/>
      <c r="F509" s="30"/>
      <c r="G509" s="30"/>
      <c r="H509" s="30"/>
      <c r="I509" s="30"/>
      <c r="J509" s="30"/>
      <c r="K509" s="30"/>
      <c r="L509" s="30"/>
      <c r="M509" s="30"/>
    </row>
    <row r="510" spans="1:13" s="14" customFormat="1" x14ac:dyDescent="0.25">
      <c r="A510" s="13"/>
      <c r="D510" s="30"/>
      <c r="E510" s="31"/>
      <c r="F510" s="30"/>
      <c r="G510" s="30"/>
      <c r="H510" s="30"/>
      <c r="I510" s="30"/>
      <c r="J510" s="30"/>
      <c r="K510" s="30"/>
      <c r="L510" s="30"/>
      <c r="M510" s="30"/>
    </row>
    <row r="511" spans="1:13" s="14" customFormat="1" x14ac:dyDescent="0.25">
      <c r="A511" s="13"/>
      <c r="D511" s="30"/>
      <c r="E511" s="31"/>
      <c r="F511" s="30"/>
      <c r="G511" s="30"/>
      <c r="H511" s="30"/>
      <c r="I511" s="30"/>
      <c r="J511" s="30"/>
      <c r="K511" s="30"/>
      <c r="L511" s="30"/>
      <c r="M511" s="30"/>
    </row>
    <row r="512" spans="1:13" s="14" customFormat="1" x14ac:dyDescent="0.25">
      <c r="A512" s="13"/>
      <c r="D512" s="30"/>
      <c r="E512" s="31"/>
      <c r="F512" s="30"/>
      <c r="G512" s="30"/>
      <c r="H512" s="30"/>
      <c r="I512" s="30"/>
      <c r="J512" s="30"/>
      <c r="K512" s="30"/>
      <c r="L512" s="30"/>
      <c r="M512" s="30"/>
    </row>
    <row r="513" spans="1:13" s="14" customFormat="1" x14ac:dyDescent="0.25">
      <c r="A513" s="13"/>
      <c r="D513" s="30"/>
      <c r="E513" s="31"/>
      <c r="F513" s="30"/>
      <c r="G513" s="30"/>
      <c r="H513" s="30"/>
      <c r="I513" s="30"/>
      <c r="J513" s="30"/>
      <c r="K513" s="30"/>
      <c r="L513" s="30"/>
      <c r="M513" s="30"/>
    </row>
    <row r="514" spans="1:13" s="14" customFormat="1" x14ac:dyDescent="0.25">
      <c r="A514" s="13"/>
      <c r="D514" s="30"/>
      <c r="E514" s="31"/>
      <c r="F514" s="30"/>
      <c r="G514" s="30"/>
      <c r="H514" s="30"/>
      <c r="I514" s="30"/>
      <c r="J514" s="30"/>
      <c r="K514" s="30"/>
      <c r="L514" s="30"/>
      <c r="M514" s="30"/>
    </row>
    <row r="515" spans="1:13" s="14" customFormat="1" x14ac:dyDescent="0.25">
      <c r="A515" s="13"/>
      <c r="D515" s="30"/>
      <c r="E515" s="31"/>
      <c r="F515" s="30"/>
      <c r="G515" s="30"/>
      <c r="H515" s="30"/>
      <c r="I515" s="30"/>
      <c r="J515" s="30"/>
      <c r="K515" s="30"/>
      <c r="L515" s="30"/>
      <c r="M515" s="30"/>
    </row>
    <row r="516" spans="1:13" s="14" customFormat="1" x14ac:dyDescent="0.25">
      <c r="A516" s="13"/>
      <c r="D516" s="30"/>
      <c r="E516" s="31"/>
      <c r="F516" s="30"/>
      <c r="G516" s="30"/>
      <c r="H516" s="30"/>
      <c r="I516" s="30"/>
      <c r="J516" s="30"/>
      <c r="K516" s="30"/>
      <c r="L516" s="30"/>
      <c r="M516" s="30"/>
    </row>
    <row r="517" spans="1:13" s="14" customFormat="1" x14ac:dyDescent="0.25">
      <c r="A517" s="13"/>
      <c r="D517" s="30"/>
      <c r="E517" s="31"/>
      <c r="F517" s="30"/>
      <c r="G517" s="30"/>
      <c r="H517" s="30"/>
      <c r="I517" s="30"/>
      <c r="J517" s="30"/>
      <c r="K517" s="30"/>
      <c r="L517" s="30"/>
      <c r="M517" s="30"/>
    </row>
    <row r="518" spans="1:13" s="14" customFormat="1" x14ac:dyDescent="0.25">
      <c r="A518" s="13"/>
      <c r="D518" s="30"/>
      <c r="E518" s="31"/>
      <c r="F518" s="30"/>
      <c r="G518" s="30"/>
      <c r="H518" s="30"/>
      <c r="I518" s="30"/>
      <c r="J518" s="30"/>
      <c r="K518" s="30"/>
      <c r="L518" s="30"/>
      <c r="M518" s="30"/>
    </row>
    <row r="519" spans="1:13" s="14" customFormat="1" x14ac:dyDescent="0.25">
      <c r="A519" s="13"/>
      <c r="D519" s="30"/>
      <c r="E519" s="31"/>
      <c r="F519" s="30"/>
      <c r="G519" s="30"/>
      <c r="H519" s="30"/>
      <c r="I519" s="30"/>
      <c r="J519" s="30"/>
      <c r="K519" s="30"/>
      <c r="L519" s="30"/>
      <c r="M519" s="30"/>
    </row>
    <row r="520" spans="1:13" s="14" customFormat="1" x14ac:dyDescent="0.25">
      <c r="A520" s="13"/>
      <c r="D520" s="30"/>
      <c r="E520" s="31"/>
      <c r="F520" s="30"/>
      <c r="G520" s="30"/>
      <c r="H520" s="30"/>
      <c r="I520" s="30"/>
      <c r="J520" s="30"/>
      <c r="K520" s="30"/>
      <c r="L520" s="30"/>
      <c r="M520" s="30"/>
    </row>
    <row r="521" spans="1:13" s="14" customFormat="1" x14ac:dyDescent="0.25">
      <c r="A521" s="13"/>
      <c r="D521" s="30"/>
      <c r="E521" s="31"/>
      <c r="F521" s="30"/>
      <c r="G521" s="30"/>
      <c r="H521" s="30"/>
      <c r="I521" s="30"/>
      <c r="J521" s="30"/>
      <c r="K521" s="30"/>
      <c r="L521" s="30"/>
      <c r="M521" s="30"/>
    </row>
    <row r="522" spans="1:13" s="14" customFormat="1" x14ac:dyDescent="0.25">
      <c r="A522" s="13"/>
      <c r="D522" s="30"/>
      <c r="E522" s="31"/>
      <c r="F522" s="30"/>
      <c r="G522" s="30"/>
      <c r="H522" s="30"/>
      <c r="I522" s="30"/>
      <c r="J522" s="30"/>
      <c r="K522" s="30"/>
      <c r="L522" s="30"/>
      <c r="M522" s="30"/>
    </row>
    <row r="523" spans="1:13" s="14" customFormat="1" x14ac:dyDescent="0.25">
      <c r="A523" s="13"/>
      <c r="D523" s="30"/>
      <c r="E523" s="31"/>
      <c r="F523" s="30"/>
      <c r="G523" s="30"/>
      <c r="H523" s="30"/>
      <c r="I523" s="30"/>
      <c r="J523" s="30"/>
      <c r="K523" s="30"/>
      <c r="L523" s="30"/>
      <c r="M523" s="30"/>
    </row>
    <row r="524" spans="1:13" s="14" customFormat="1" x14ac:dyDescent="0.25">
      <c r="A524" s="13"/>
      <c r="D524" s="30"/>
      <c r="E524" s="31"/>
      <c r="F524" s="30"/>
      <c r="G524" s="30"/>
      <c r="H524" s="30"/>
      <c r="I524" s="30"/>
      <c r="J524" s="30"/>
      <c r="K524" s="30"/>
      <c r="L524" s="30"/>
      <c r="M524" s="30"/>
    </row>
    <row r="525" spans="1:13" s="14" customFormat="1" x14ac:dyDescent="0.25">
      <c r="A525" s="13"/>
      <c r="D525" s="30"/>
      <c r="E525" s="31"/>
      <c r="F525" s="30"/>
      <c r="G525" s="30"/>
      <c r="H525" s="30"/>
      <c r="I525" s="30"/>
      <c r="J525" s="30"/>
      <c r="K525" s="30"/>
      <c r="L525" s="30"/>
      <c r="M525" s="30"/>
    </row>
    <row r="526" spans="1:13" s="14" customFormat="1" x14ac:dyDescent="0.25">
      <c r="A526" s="13"/>
      <c r="D526" s="30"/>
      <c r="E526" s="31"/>
      <c r="F526" s="30"/>
      <c r="G526" s="30"/>
      <c r="H526" s="30"/>
      <c r="I526" s="30"/>
      <c r="J526" s="30"/>
      <c r="K526" s="30"/>
      <c r="L526" s="30"/>
      <c r="M526" s="30"/>
    </row>
    <row r="527" spans="1:13" s="14" customFormat="1" x14ac:dyDescent="0.25">
      <c r="A527" s="13"/>
      <c r="D527" s="30"/>
      <c r="E527" s="31"/>
      <c r="F527" s="30"/>
      <c r="G527" s="30"/>
      <c r="H527" s="30"/>
      <c r="I527" s="30"/>
      <c r="J527" s="30"/>
      <c r="K527" s="30"/>
      <c r="L527" s="30"/>
      <c r="M527" s="30"/>
    </row>
    <row r="528" spans="1:13" s="14" customFormat="1" x14ac:dyDescent="0.25">
      <c r="A528" s="13"/>
      <c r="D528" s="30"/>
      <c r="E528" s="31"/>
      <c r="F528" s="30"/>
      <c r="G528" s="30"/>
      <c r="H528" s="30"/>
      <c r="I528" s="30"/>
      <c r="J528" s="30"/>
      <c r="K528" s="30"/>
      <c r="L528" s="30"/>
      <c r="M528" s="30"/>
    </row>
    <row r="529" spans="1:13" s="14" customFormat="1" x14ac:dyDescent="0.25">
      <c r="A529" s="13"/>
      <c r="D529" s="30"/>
      <c r="E529" s="31"/>
      <c r="F529" s="30"/>
      <c r="G529" s="30"/>
      <c r="H529" s="30"/>
      <c r="I529" s="30"/>
      <c r="J529" s="30"/>
      <c r="K529" s="30"/>
      <c r="L529" s="30"/>
      <c r="M529" s="30"/>
    </row>
    <row r="530" spans="1:13" s="14" customFormat="1" x14ac:dyDescent="0.25">
      <c r="A530" s="13"/>
      <c r="D530" s="30"/>
      <c r="E530" s="31"/>
      <c r="F530" s="30"/>
      <c r="G530" s="30"/>
      <c r="H530" s="30"/>
      <c r="I530" s="30"/>
      <c r="J530" s="30"/>
      <c r="K530" s="30"/>
      <c r="L530" s="30"/>
      <c r="M530" s="30"/>
    </row>
    <row r="531" spans="1:13" s="14" customFormat="1" x14ac:dyDescent="0.25">
      <c r="A531" s="13"/>
      <c r="D531" s="30"/>
      <c r="E531" s="31"/>
      <c r="F531" s="30"/>
      <c r="G531" s="30"/>
      <c r="H531" s="30"/>
      <c r="I531" s="30"/>
      <c r="J531" s="30"/>
      <c r="K531" s="30"/>
      <c r="L531" s="30"/>
      <c r="M531" s="30"/>
    </row>
    <row r="532" spans="1:13" s="14" customFormat="1" x14ac:dyDescent="0.25">
      <c r="A532" s="13"/>
      <c r="D532" s="30"/>
      <c r="E532" s="31"/>
      <c r="F532" s="30"/>
      <c r="G532" s="30"/>
      <c r="H532" s="30"/>
      <c r="I532" s="30"/>
      <c r="J532" s="30"/>
      <c r="K532" s="30"/>
      <c r="L532" s="30"/>
      <c r="M532" s="30"/>
    </row>
    <row r="533" spans="1:13" s="14" customFormat="1" x14ac:dyDescent="0.25">
      <c r="A533" s="13"/>
      <c r="D533" s="30"/>
      <c r="E533" s="31"/>
      <c r="F533" s="30"/>
      <c r="G533" s="30"/>
      <c r="H533" s="30"/>
      <c r="I533" s="30"/>
      <c r="J533" s="30"/>
      <c r="K533" s="30"/>
      <c r="L533" s="30"/>
      <c r="M533" s="30"/>
    </row>
    <row r="534" spans="1:13" s="14" customFormat="1" x14ac:dyDescent="0.25">
      <c r="A534" s="13"/>
      <c r="D534" s="30"/>
      <c r="E534" s="31"/>
      <c r="F534" s="30"/>
      <c r="G534" s="30"/>
      <c r="H534" s="30"/>
      <c r="I534" s="30"/>
      <c r="J534" s="30"/>
      <c r="K534" s="30"/>
      <c r="L534" s="30"/>
      <c r="M534" s="30"/>
    </row>
    <row r="535" spans="1:13" s="14" customFormat="1" x14ac:dyDescent="0.25">
      <c r="A535" s="13"/>
      <c r="D535" s="30"/>
      <c r="E535" s="31"/>
      <c r="F535" s="30"/>
      <c r="G535" s="30"/>
      <c r="H535" s="30"/>
      <c r="I535" s="30"/>
      <c r="J535" s="30"/>
      <c r="K535" s="30"/>
      <c r="L535" s="30"/>
      <c r="M535" s="30"/>
    </row>
    <row r="536" spans="1:13" s="14" customFormat="1" x14ac:dyDescent="0.25">
      <c r="A536" s="13"/>
      <c r="D536" s="30"/>
      <c r="E536" s="31"/>
      <c r="F536" s="30"/>
      <c r="G536" s="30"/>
      <c r="H536" s="30"/>
      <c r="I536" s="30"/>
      <c r="J536" s="30"/>
      <c r="K536" s="30"/>
      <c r="L536" s="30"/>
      <c r="M536" s="30"/>
    </row>
    <row r="537" spans="1:13" s="14" customFormat="1" x14ac:dyDescent="0.25">
      <c r="A537" s="13"/>
      <c r="D537" s="30"/>
      <c r="E537" s="31"/>
      <c r="F537" s="30"/>
      <c r="G537" s="30"/>
      <c r="H537" s="30"/>
      <c r="I537" s="30"/>
      <c r="J537" s="30"/>
      <c r="K537" s="30"/>
      <c r="L537" s="30"/>
      <c r="M537" s="30"/>
    </row>
    <row r="538" spans="1:13" s="14" customFormat="1" x14ac:dyDescent="0.25">
      <c r="A538" s="13"/>
      <c r="D538" s="30"/>
      <c r="E538" s="31"/>
      <c r="F538" s="30"/>
      <c r="G538" s="30"/>
      <c r="H538" s="30"/>
      <c r="I538" s="30"/>
      <c r="J538" s="30"/>
      <c r="K538" s="30"/>
      <c r="L538" s="30"/>
      <c r="M538" s="30"/>
    </row>
    <row r="539" spans="1:13" s="14" customFormat="1" x14ac:dyDescent="0.25">
      <c r="A539" s="13"/>
      <c r="D539" s="30"/>
      <c r="E539" s="31"/>
      <c r="F539" s="30"/>
      <c r="G539" s="30"/>
      <c r="H539" s="30"/>
      <c r="I539" s="30"/>
      <c r="J539" s="30"/>
      <c r="K539" s="30"/>
      <c r="L539" s="30"/>
      <c r="M539" s="30"/>
    </row>
    <row r="540" spans="1:13" s="14" customFormat="1" x14ac:dyDescent="0.25">
      <c r="A540" s="13"/>
      <c r="D540" s="30"/>
      <c r="E540" s="31"/>
      <c r="F540" s="30"/>
      <c r="G540" s="30"/>
      <c r="H540" s="30"/>
      <c r="I540" s="30"/>
      <c r="J540" s="30"/>
      <c r="K540" s="30"/>
      <c r="L540" s="30"/>
      <c r="M540" s="30"/>
    </row>
    <row r="541" spans="1:13" s="14" customFormat="1" x14ac:dyDescent="0.25">
      <c r="A541" s="13"/>
      <c r="D541" s="30"/>
      <c r="E541" s="31"/>
      <c r="F541" s="30"/>
      <c r="G541" s="30"/>
      <c r="H541" s="30"/>
      <c r="I541" s="30"/>
      <c r="J541" s="30"/>
      <c r="K541" s="30"/>
      <c r="L541" s="30"/>
      <c r="M541" s="30"/>
    </row>
    <row r="542" spans="1:13" s="14" customFormat="1" x14ac:dyDescent="0.25">
      <c r="A542" s="13"/>
      <c r="D542" s="30"/>
      <c r="E542" s="31"/>
      <c r="F542" s="30"/>
      <c r="G542" s="30"/>
      <c r="H542" s="30"/>
      <c r="I542" s="30"/>
      <c r="J542" s="30"/>
      <c r="K542" s="30"/>
      <c r="L542" s="30"/>
      <c r="M542" s="30"/>
    </row>
    <row r="543" spans="1:13" s="14" customFormat="1" x14ac:dyDescent="0.25">
      <c r="A543" s="13"/>
      <c r="D543" s="30"/>
      <c r="E543" s="31"/>
      <c r="F543" s="30"/>
      <c r="G543" s="30"/>
      <c r="H543" s="30"/>
      <c r="I543" s="30"/>
      <c r="J543" s="30"/>
      <c r="K543" s="30"/>
      <c r="L543" s="30"/>
      <c r="M543" s="30"/>
    </row>
    <row r="544" spans="1:13" s="14" customFormat="1" x14ac:dyDescent="0.25">
      <c r="A544" s="13"/>
      <c r="D544" s="30"/>
      <c r="E544" s="31"/>
      <c r="F544" s="30"/>
      <c r="G544" s="30"/>
      <c r="H544" s="30"/>
      <c r="I544" s="30"/>
      <c r="J544" s="30"/>
      <c r="K544" s="30"/>
      <c r="L544" s="30"/>
      <c r="M544" s="30"/>
    </row>
    <row r="545" spans="1:13" s="14" customFormat="1" x14ac:dyDescent="0.25">
      <c r="A545" s="13"/>
      <c r="D545" s="30"/>
      <c r="E545" s="31"/>
      <c r="F545" s="30"/>
      <c r="G545" s="30"/>
      <c r="H545" s="30"/>
      <c r="I545" s="30"/>
      <c r="J545" s="30"/>
      <c r="K545" s="30"/>
      <c r="L545" s="30"/>
      <c r="M545" s="30"/>
    </row>
    <row r="546" spans="1:13" s="14" customFormat="1" x14ac:dyDescent="0.25">
      <c r="A546" s="13"/>
      <c r="D546" s="30"/>
      <c r="E546" s="31"/>
      <c r="F546" s="30"/>
      <c r="G546" s="30"/>
      <c r="H546" s="30"/>
      <c r="I546" s="30"/>
      <c r="J546" s="30"/>
      <c r="K546" s="30"/>
      <c r="L546" s="30"/>
      <c r="M546" s="30"/>
    </row>
    <row r="547" spans="1:13" s="14" customFormat="1" x14ac:dyDescent="0.25">
      <c r="A547" s="13"/>
      <c r="D547" s="30"/>
      <c r="E547" s="31"/>
      <c r="F547" s="30"/>
      <c r="G547" s="30"/>
      <c r="H547" s="30"/>
      <c r="I547" s="30"/>
      <c r="J547" s="30"/>
      <c r="K547" s="30"/>
      <c r="L547" s="30"/>
      <c r="M547" s="30"/>
    </row>
    <row r="548" spans="1:13" s="14" customFormat="1" x14ac:dyDescent="0.25">
      <c r="A548" s="13"/>
      <c r="D548" s="30"/>
      <c r="E548" s="31"/>
      <c r="F548" s="30"/>
      <c r="G548" s="30"/>
      <c r="H548" s="30"/>
      <c r="I548" s="30"/>
      <c r="J548" s="30"/>
      <c r="K548" s="30"/>
      <c r="L548" s="30"/>
      <c r="M548" s="30"/>
    </row>
    <row r="549" spans="1:13" s="14" customFormat="1" x14ac:dyDescent="0.25">
      <c r="A549" s="13"/>
      <c r="D549" s="30"/>
      <c r="E549" s="31"/>
      <c r="F549" s="30"/>
      <c r="G549" s="30"/>
      <c r="H549" s="30"/>
      <c r="I549" s="30"/>
      <c r="J549" s="30"/>
      <c r="K549" s="30"/>
      <c r="L549" s="30"/>
      <c r="M549" s="30"/>
    </row>
    <row r="550" spans="1:13" s="14" customFormat="1" x14ac:dyDescent="0.25">
      <c r="A550" s="13"/>
      <c r="D550" s="30"/>
      <c r="E550" s="31"/>
      <c r="F550" s="30"/>
      <c r="G550" s="30"/>
      <c r="H550" s="30"/>
      <c r="I550" s="30"/>
      <c r="J550" s="30"/>
      <c r="K550" s="30"/>
      <c r="L550" s="30"/>
      <c r="M550" s="30"/>
    </row>
    <row r="551" spans="1:13" s="14" customFormat="1" x14ac:dyDescent="0.25">
      <c r="A551" s="13"/>
      <c r="D551" s="30"/>
      <c r="E551" s="31"/>
      <c r="F551" s="30"/>
      <c r="G551" s="30"/>
      <c r="H551" s="30"/>
      <c r="I551" s="30"/>
      <c r="J551" s="30"/>
      <c r="K551" s="30"/>
      <c r="L551" s="30"/>
      <c r="M551" s="30"/>
    </row>
    <row r="552" spans="1:13" s="14" customFormat="1" x14ac:dyDescent="0.25">
      <c r="A552" s="13"/>
      <c r="D552" s="30"/>
      <c r="E552" s="31"/>
      <c r="F552" s="30"/>
      <c r="G552" s="30"/>
      <c r="H552" s="30"/>
      <c r="I552" s="30"/>
      <c r="J552" s="30"/>
      <c r="K552" s="30"/>
      <c r="L552" s="30"/>
      <c r="M552" s="30"/>
    </row>
    <row r="553" spans="1:13" s="14" customFormat="1" x14ac:dyDescent="0.25">
      <c r="A553" s="13"/>
      <c r="D553" s="30"/>
      <c r="E553" s="31"/>
      <c r="F553" s="30"/>
      <c r="G553" s="30"/>
      <c r="H553" s="30"/>
      <c r="I553" s="30"/>
      <c r="J553" s="30"/>
      <c r="K553" s="30"/>
      <c r="L553" s="30"/>
      <c r="M553" s="30"/>
    </row>
    <row r="554" spans="1:13" s="14" customFormat="1" x14ac:dyDescent="0.25">
      <c r="A554" s="13"/>
      <c r="D554" s="30"/>
      <c r="E554" s="31"/>
      <c r="F554" s="30"/>
      <c r="G554" s="30"/>
      <c r="H554" s="30"/>
      <c r="I554" s="30"/>
      <c r="J554" s="30"/>
      <c r="K554" s="30"/>
      <c r="L554" s="30"/>
      <c r="M554" s="30"/>
    </row>
    <row r="555" spans="1:13" s="14" customFormat="1" x14ac:dyDescent="0.25">
      <c r="A555" s="13"/>
      <c r="D555" s="30"/>
      <c r="E555" s="31"/>
      <c r="F555" s="30"/>
      <c r="G555" s="30"/>
      <c r="H555" s="30"/>
      <c r="I555" s="30"/>
      <c r="J555" s="30"/>
      <c r="K555" s="30"/>
      <c r="L555" s="30"/>
      <c r="M555" s="30"/>
    </row>
    <row r="556" spans="1:13" s="14" customFormat="1" x14ac:dyDescent="0.25">
      <c r="A556" s="13"/>
      <c r="D556" s="30"/>
      <c r="E556" s="31"/>
      <c r="F556" s="30"/>
      <c r="G556" s="30"/>
      <c r="H556" s="30"/>
      <c r="I556" s="30"/>
      <c r="J556" s="30"/>
      <c r="K556" s="30"/>
      <c r="L556" s="30"/>
      <c r="M556" s="30"/>
    </row>
    <row r="557" spans="1:13" s="14" customFormat="1" x14ac:dyDescent="0.25">
      <c r="A557" s="13"/>
      <c r="D557" s="30"/>
      <c r="E557" s="31"/>
      <c r="F557" s="30"/>
      <c r="G557" s="30"/>
      <c r="H557" s="30"/>
      <c r="I557" s="30"/>
      <c r="J557" s="30"/>
      <c r="K557" s="30"/>
      <c r="L557" s="30"/>
      <c r="M557" s="30"/>
    </row>
    <row r="558" spans="1:13" s="14" customFormat="1" x14ac:dyDescent="0.25">
      <c r="A558" s="13"/>
      <c r="D558" s="30"/>
      <c r="E558" s="31"/>
      <c r="F558" s="30"/>
      <c r="G558" s="30"/>
      <c r="H558" s="30"/>
      <c r="I558" s="30"/>
      <c r="J558" s="30"/>
      <c r="K558" s="30"/>
      <c r="L558" s="30"/>
      <c r="M558" s="30"/>
    </row>
    <row r="559" spans="1:13" s="14" customFormat="1" x14ac:dyDescent="0.25">
      <c r="A559" s="13"/>
      <c r="D559" s="30"/>
      <c r="E559" s="31"/>
      <c r="F559" s="30"/>
      <c r="G559" s="30"/>
      <c r="H559" s="30"/>
      <c r="I559" s="30"/>
      <c r="J559" s="30"/>
      <c r="K559" s="30"/>
      <c r="L559" s="30"/>
      <c r="M559" s="30"/>
    </row>
    <row r="560" spans="1:13" s="14" customFormat="1" x14ac:dyDescent="0.25">
      <c r="A560" s="13"/>
      <c r="D560" s="30"/>
      <c r="E560" s="31"/>
      <c r="F560" s="30"/>
      <c r="G560" s="30"/>
      <c r="H560" s="30"/>
      <c r="I560" s="30"/>
      <c r="J560" s="30"/>
      <c r="K560" s="30"/>
      <c r="L560" s="30"/>
      <c r="M560" s="30"/>
    </row>
    <row r="561" spans="1:13" s="14" customFormat="1" x14ac:dyDescent="0.25">
      <c r="A561" s="13"/>
      <c r="D561" s="30"/>
      <c r="E561" s="31"/>
      <c r="F561" s="30"/>
      <c r="G561" s="30"/>
      <c r="H561" s="30"/>
      <c r="I561" s="30"/>
      <c r="J561" s="30"/>
      <c r="K561" s="30"/>
      <c r="L561" s="30"/>
      <c r="M561" s="30"/>
    </row>
    <row r="562" spans="1:13" s="14" customFormat="1" x14ac:dyDescent="0.25">
      <c r="A562" s="13"/>
      <c r="D562" s="30"/>
      <c r="E562" s="31"/>
      <c r="F562" s="30"/>
      <c r="G562" s="30"/>
      <c r="H562" s="30"/>
      <c r="I562" s="30"/>
      <c r="J562" s="30"/>
      <c r="K562" s="30"/>
      <c r="L562" s="30"/>
      <c r="M562" s="30"/>
    </row>
    <row r="563" spans="1:13" s="14" customFormat="1" x14ac:dyDescent="0.25">
      <c r="A563" s="13"/>
      <c r="D563" s="30"/>
      <c r="E563" s="31"/>
      <c r="F563" s="30"/>
      <c r="G563" s="30"/>
      <c r="H563" s="30"/>
      <c r="I563" s="30"/>
      <c r="J563" s="30"/>
      <c r="K563" s="30"/>
      <c r="L563" s="30"/>
      <c r="M563" s="30"/>
    </row>
    <row r="564" spans="1:13" s="14" customFormat="1" x14ac:dyDescent="0.25">
      <c r="A564" s="13"/>
      <c r="D564" s="30"/>
      <c r="E564" s="31"/>
      <c r="F564" s="30"/>
      <c r="G564" s="30"/>
      <c r="H564" s="30"/>
      <c r="I564" s="30"/>
      <c r="J564" s="30"/>
      <c r="K564" s="30"/>
      <c r="L564" s="30"/>
      <c r="M564" s="30"/>
    </row>
    <row r="565" spans="1:13" s="14" customFormat="1" x14ac:dyDescent="0.25">
      <c r="A565" s="13"/>
      <c r="D565" s="30"/>
      <c r="E565" s="31"/>
      <c r="F565" s="30"/>
      <c r="G565" s="30"/>
      <c r="H565" s="30"/>
      <c r="I565" s="30"/>
      <c r="J565" s="30"/>
      <c r="K565" s="30"/>
      <c r="L565" s="30"/>
      <c r="M565" s="30"/>
    </row>
    <row r="566" spans="1:13" s="14" customFormat="1" x14ac:dyDescent="0.25">
      <c r="A566" s="13"/>
      <c r="D566" s="30"/>
      <c r="E566" s="31"/>
      <c r="F566" s="30"/>
      <c r="G566" s="30"/>
      <c r="H566" s="30"/>
      <c r="I566" s="30"/>
      <c r="J566" s="30"/>
      <c r="K566" s="30"/>
      <c r="L566" s="30"/>
      <c r="M566" s="30"/>
    </row>
    <row r="567" spans="1:13" s="14" customFormat="1" x14ac:dyDescent="0.25">
      <c r="A567" s="13"/>
      <c r="D567" s="30"/>
      <c r="E567" s="31"/>
      <c r="F567" s="30"/>
      <c r="G567" s="30"/>
      <c r="H567" s="30"/>
      <c r="I567" s="30"/>
      <c r="J567" s="30"/>
      <c r="K567" s="30"/>
      <c r="L567" s="30"/>
      <c r="M567" s="30"/>
    </row>
    <row r="568" spans="1:13" s="14" customFormat="1" x14ac:dyDescent="0.25">
      <c r="A568" s="13"/>
      <c r="D568" s="30"/>
      <c r="E568" s="31"/>
      <c r="F568" s="30"/>
      <c r="G568" s="30"/>
      <c r="H568" s="30"/>
      <c r="I568" s="30"/>
      <c r="J568" s="30"/>
      <c r="K568" s="30"/>
      <c r="L568" s="30"/>
      <c r="M568" s="30"/>
    </row>
    <row r="569" spans="1:13" s="14" customFormat="1" x14ac:dyDescent="0.25">
      <c r="A569" s="13"/>
      <c r="D569" s="30"/>
      <c r="E569" s="31"/>
      <c r="F569" s="30"/>
      <c r="G569" s="30"/>
      <c r="H569" s="30"/>
      <c r="I569" s="30"/>
      <c r="J569" s="30"/>
      <c r="K569" s="30"/>
      <c r="L569" s="30"/>
      <c r="M569" s="30"/>
    </row>
    <row r="570" spans="1:13" s="14" customFormat="1" x14ac:dyDescent="0.25">
      <c r="A570" s="13"/>
      <c r="D570" s="30"/>
      <c r="E570" s="31"/>
      <c r="F570" s="30"/>
      <c r="G570" s="30"/>
      <c r="H570" s="30"/>
      <c r="I570" s="30"/>
      <c r="J570" s="30"/>
      <c r="K570" s="30"/>
      <c r="L570" s="30"/>
      <c r="M570" s="30"/>
    </row>
    <row r="571" spans="1:13" s="14" customFormat="1" x14ac:dyDescent="0.25">
      <c r="A571" s="13"/>
      <c r="D571" s="30"/>
      <c r="E571" s="31"/>
      <c r="F571" s="30"/>
      <c r="G571" s="30"/>
      <c r="H571" s="30"/>
      <c r="I571" s="30"/>
      <c r="J571" s="30"/>
      <c r="K571" s="30"/>
      <c r="L571" s="30"/>
      <c r="M571" s="30"/>
    </row>
    <row r="572" spans="1:13" s="14" customFormat="1" x14ac:dyDescent="0.25">
      <c r="A572" s="13"/>
      <c r="D572" s="30"/>
      <c r="E572" s="31"/>
      <c r="F572" s="30"/>
      <c r="G572" s="30"/>
      <c r="H572" s="30"/>
      <c r="I572" s="30"/>
      <c r="J572" s="30"/>
      <c r="K572" s="30"/>
      <c r="L572" s="30"/>
      <c r="M572" s="30"/>
    </row>
    <row r="573" spans="1:13" s="14" customFormat="1" x14ac:dyDescent="0.25">
      <c r="A573" s="13"/>
      <c r="D573" s="30"/>
      <c r="E573" s="31"/>
      <c r="F573" s="30"/>
      <c r="G573" s="30"/>
      <c r="H573" s="30"/>
      <c r="I573" s="30"/>
      <c r="J573" s="30"/>
      <c r="K573" s="30"/>
      <c r="L573" s="30"/>
      <c r="M573" s="30"/>
    </row>
    <row r="574" spans="1:13" s="14" customFormat="1" x14ac:dyDescent="0.25">
      <c r="A574" s="13"/>
      <c r="D574" s="30"/>
      <c r="E574" s="31"/>
      <c r="F574" s="30"/>
      <c r="G574" s="30"/>
      <c r="H574" s="30"/>
      <c r="I574" s="30"/>
      <c r="J574" s="30"/>
      <c r="K574" s="30"/>
      <c r="L574" s="30"/>
      <c r="M574" s="30"/>
    </row>
    <row r="575" spans="1:13" s="14" customFormat="1" x14ac:dyDescent="0.25">
      <c r="A575" s="13"/>
      <c r="D575" s="30"/>
      <c r="E575" s="31"/>
      <c r="F575" s="30"/>
      <c r="G575" s="30"/>
      <c r="H575" s="30"/>
      <c r="I575" s="30"/>
      <c r="J575" s="30"/>
      <c r="K575" s="30"/>
      <c r="L575" s="30"/>
      <c r="M575" s="30"/>
    </row>
    <row r="576" spans="1:13" s="14" customFormat="1" x14ac:dyDescent="0.25">
      <c r="A576" s="13"/>
      <c r="D576" s="30"/>
      <c r="E576" s="31"/>
      <c r="F576" s="30"/>
      <c r="G576" s="30"/>
      <c r="H576" s="30"/>
      <c r="I576" s="30"/>
      <c r="J576" s="30"/>
      <c r="K576" s="30"/>
      <c r="L576" s="30"/>
      <c r="M576" s="30"/>
    </row>
    <row r="577" spans="1:13" s="14" customFormat="1" x14ac:dyDescent="0.25">
      <c r="A577" s="13"/>
      <c r="D577" s="30"/>
      <c r="E577" s="31"/>
      <c r="F577" s="30"/>
      <c r="G577" s="30"/>
      <c r="H577" s="30"/>
      <c r="I577" s="30"/>
      <c r="J577" s="30"/>
      <c r="K577" s="30"/>
      <c r="L577" s="30"/>
      <c r="M577" s="30"/>
    </row>
    <row r="578" spans="1:13" s="14" customFormat="1" x14ac:dyDescent="0.25">
      <c r="A578" s="13"/>
      <c r="D578" s="30"/>
      <c r="E578" s="31"/>
      <c r="F578" s="30"/>
      <c r="G578" s="30"/>
      <c r="H578" s="30"/>
      <c r="I578" s="30"/>
      <c r="J578" s="30"/>
      <c r="K578" s="30"/>
      <c r="L578" s="30"/>
      <c r="M578" s="30"/>
    </row>
    <row r="579" spans="1:13" s="14" customFormat="1" x14ac:dyDescent="0.25">
      <c r="A579" s="13"/>
      <c r="D579" s="30"/>
      <c r="E579" s="31"/>
      <c r="F579" s="30"/>
      <c r="G579" s="30"/>
      <c r="H579" s="30"/>
      <c r="I579" s="30"/>
      <c r="J579" s="30"/>
      <c r="K579" s="30"/>
      <c r="L579" s="30"/>
      <c r="M579" s="30"/>
    </row>
    <row r="580" spans="1:13" s="14" customFormat="1" x14ac:dyDescent="0.25">
      <c r="A580" s="13"/>
      <c r="D580" s="30"/>
      <c r="E580" s="31"/>
      <c r="F580" s="30"/>
      <c r="G580" s="30"/>
      <c r="H580" s="30"/>
      <c r="I580" s="30"/>
      <c r="J580" s="30"/>
      <c r="K580" s="30"/>
      <c r="L580" s="30"/>
      <c r="M580" s="30"/>
    </row>
    <row r="581" spans="1:13" s="14" customFormat="1" x14ac:dyDescent="0.25">
      <c r="A581" s="13"/>
      <c r="D581" s="30"/>
      <c r="E581" s="31"/>
      <c r="F581" s="30"/>
      <c r="G581" s="30"/>
      <c r="H581" s="30"/>
      <c r="I581" s="30"/>
      <c r="J581" s="30"/>
      <c r="K581" s="30"/>
      <c r="L581" s="30"/>
      <c r="M581" s="30"/>
    </row>
    <row r="582" spans="1:13" s="14" customFormat="1" x14ac:dyDescent="0.25">
      <c r="A582" s="13"/>
      <c r="D582" s="30"/>
      <c r="E582" s="31"/>
      <c r="F582" s="30"/>
      <c r="G582" s="30"/>
      <c r="H582" s="30"/>
      <c r="I582" s="30"/>
      <c r="J582" s="30"/>
      <c r="K582" s="30"/>
      <c r="L582" s="30"/>
      <c r="M582" s="30"/>
    </row>
    <row r="583" spans="1:13" s="14" customFormat="1" x14ac:dyDescent="0.25">
      <c r="A583" s="13"/>
      <c r="D583" s="30"/>
      <c r="E583" s="31"/>
      <c r="F583" s="30"/>
      <c r="G583" s="30"/>
      <c r="H583" s="30"/>
      <c r="I583" s="30"/>
      <c r="J583" s="30"/>
      <c r="K583" s="30"/>
      <c r="L583" s="30"/>
      <c r="M583" s="30"/>
    </row>
    <row r="584" spans="1:13" s="14" customFormat="1" x14ac:dyDescent="0.25">
      <c r="A584" s="13"/>
      <c r="D584" s="30"/>
      <c r="E584" s="31"/>
      <c r="F584" s="30"/>
      <c r="G584" s="30"/>
      <c r="H584" s="30"/>
      <c r="I584" s="30"/>
      <c r="J584" s="30"/>
      <c r="K584" s="30"/>
      <c r="L584" s="30"/>
      <c r="M584" s="30"/>
    </row>
    <row r="585" spans="1:13" s="14" customFormat="1" x14ac:dyDescent="0.25">
      <c r="A585" s="13"/>
      <c r="D585" s="30"/>
      <c r="E585" s="31"/>
      <c r="F585" s="30"/>
      <c r="G585" s="30"/>
      <c r="H585" s="30"/>
      <c r="I585" s="30"/>
      <c r="J585" s="30"/>
      <c r="K585" s="30"/>
      <c r="L585" s="30"/>
      <c r="M585" s="30"/>
    </row>
    <row r="586" spans="1:13" s="14" customFormat="1" x14ac:dyDescent="0.25">
      <c r="A586" s="13"/>
      <c r="D586" s="30"/>
      <c r="E586" s="31"/>
      <c r="F586" s="30"/>
      <c r="G586" s="30"/>
      <c r="H586" s="30"/>
      <c r="I586" s="30"/>
      <c r="J586" s="30"/>
      <c r="K586" s="30"/>
      <c r="L586" s="30"/>
      <c r="M586" s="30"/>
    </row>
    <row r="587" spans="1:13" s="14" customFormat="1" x14ac:dyDescent="0.25">
      <c r="A587" s="13"/>
      <c r="D587" s="30"/>
      <c r="E587" s="31"/>
      <c r="F587" s="30"/>
      <c r="G587" s="30"/>
      <c r="H587" s="30"/>
      <c r="I587" s="30"/>
      <c r="J587" s="30"/>
      <c r="K587" s="30"/>
      <c r="L587" s="30"/>
      <c r="M587" s="30"/>
    </row>
    <row r="588" spans="1:13" s="14" customFormat="1" x14ac:dyDescent="0.25">
      <c r="A588" s="13"/>
      <c r="D588" s="30"/>
      <c r="E588" s="31"/>
      <c r="F588" s="30"/>
      <c r="G588" s="30"/>
      <c r="H588" s="30"/>
      <c r="I588" s="30"/>
      <c r="J588" s="30"/>
      <c r="K588" s="30"/>
      <c r="L588" s="30"/>
      <c r="M588" s="30"/>
    </row>
    <row r="589" spans="1:13" s="14" customFormat="1" x14ac:dyDescent="0.25">
      <c r="A589" s="13"/>
      <c r="D589" s="30"/>
      <c r="E589" s="31"/>
      <c r="F589" s="30"/>
      <c r="G589" s="30"/>
      <c r="H589" s="30"/>
      <c r="I589" s="30"/>
      <c r="J589" s="30"/>
      <c r="K589" s="30"/>
      <c r="L589" s="30"/>
      <c r="M589" s="30"/>
    </row>
    <row r="590" spans="1:13" s="14" customFormat="1" x14ac:dyDescent="0.25">
      <c r="A590" s="13"/>
      <c r="D590" s="30"/>
      <c r="E590" s="31"/>
      <c r="F590" s="30"/>
      <c r="G590" s="30"/>
      <c r="H590" s="30"/>
      <c r="I590" s="30"/>
      <c r="J590" s="30"/>
      <c r="K590" s="30"/>
      <c r="L590" s="30"/>
      <c r="M590" s="30"/>
    </row>
    <row r="591" spans="1:13" s="14" customFormat="1" x14ac:dyDescent="0.25">
      <c r="A591" s="13"/>
      <c r="D591" s="30"/>
      <c r="E591" s="31"/>
      <c r="F591" s="30"/>
      <c r="G591" s="30"/>
      <c r="H591" s="30"/>
      <c r="I591" s="30"/>
      <c r="J591" s="30"/>
      <c r="K591" s="30"/>
      <c r="L591" s="30"/>
      <c r="M591" s="30"/>
    </row>
    <row r="592" spans="1:13" s="14" customFormat="1" x14ac:dyDescent="0.25">
      <c r="A592" s="13"/>
      <c r="D592" s="30"/>
      <c r="E592" s="31"/>
      <c r="F592" s="30"/>
      <c r="G592" s="30"/>
      <c r="H592" s="30"/>
      <c r="I592" s="30"/>
      <c r="J592" s="30"/>
      <c r="K592" s="30"/>
      <c r="L592" s="30"/>
      <c r="M592" s="30"/>
    </row>
    <row r="593" spans="1:13" s="14" customFormat="1" x14ac:dyDescent="0.25">
      <c r="A593" s="13"/>
      <c r="D593" s="30"/>
      <c r="E593" s="31"/>
      <c r="F593" s="30"/>
      <c r="G593" s="30"/>
      <c r="H593" s="30"/>
      <c r="I593" s="30"/>
      <c r="J593" s="30"/>
      <c r="K593" s="30"/>
      <c r="L593" s="30"/>
      <c r="M593" s="30"/>
    </row>
    <row r="594" spans="1:13" s="14" customFormat="1" x14ac:dyDescent="0.25">
      <c r="A594" s="13"/>
      <c r="D594" s="30"/>
      <c r="E594" s="31"/>
      <c r="F594" s="30"/>
      <c r="G594" s="30"/>
      <c r="H594" s="30"/>
      <c r="I594" s="30"/>
      <c r="J594" s="30"/>
      <c r="K594" s="30"/>
      <c r="L594" s="30"/>
      <c r="M594" s="30"/>
    </row>
    <row r="595" spans="1:13" s="14" customFormat="1" x14ac:dyDescent="0.25">
      <c r="A595" s="13"/>
      <c r="D595" s="30"/>
      <c r="E595" s="31"/>
      <c r="F595" s="30"/>
      <c r="G595" s="30"/>
      <c r="H595" s="30"/>
      <c r="I595" s="30"/>
      <c r="J595" s="30"/>
      <c r="K595" s="30"/>
      <c r="L595" s="30"/>
      <c r="M595" s="30"/>
    </row>
    <row r="596" spans="1:13" s="14" customFormat="1" x14ac:dyDescent="0.25">
      <c r="A596" s="13"/>
      <c r="D596" s="30"/>
      <c r="E596" s="31"/>
      <c r="F596" s="30"/>
      <c r="G596" s="30"/>
      <c r="H596" s="30"/>
      <c r="I596" s="30"/>
      <c r="J596" s="30"/>
      <c r="K596" s="30"/>
      <c r="L596" s="30"/>
      <c r="M596" s="30"/>
    </row>
    <row r="597" spans="1:13" s="14" customFormat="1" x14ac:dyDescent="0.25">
      <c r="A597" s="13"/>
      <c r="D597" s="30"/>
      <c r="E597" s="31"/>
      <c r="F597" s="30"/>
      <c r="G597" s="30"/>
      <c r="H597" s="30"/>
      <c r="I597" s="30"/>
      <c r="J597" s="30"/>
      <c r="K597" s="30"/>
      <c r="L597" s="30"/>
      <c r="M597" s="30"/>
    </row>
    <row r="598" spans="1:13" s="14" customFormat="1" x14ac:dyDescent="0.25">
      <c r="A598" s="13"/>
      <c r="D598" s="30"/>
      <c r="E598" s="31"/>
      <c r="F598" s="30"/>
      <c r="G598" s="30"/>
      <c r="H598" s="30"/>
      <c r="I598" s="30"/>
      <c r="J598" s="30"/>
      <c r="K598" s="30"/>
      <c r="L598" s="30"/>
      <c r="M598" s="30"/>
    </row>
    <row r="599" spans="1:13" s="14" customFormat="1" x14ac:dyDescent="0.25">
      <c r="A599" s="13"/>
      <c r="D599" s="30"/>
      <c r="E599" s="31"/>
      <c r="F599" s="30"/>
      <c r="G599" s="30"/>
      <c r="H599" s="30"/>
      <c r="I599" s="30"/>
      <c r="J599" s="30"/>
      <c r="K599" s="30"/>
      <c r="L599" s="30"/>
      <c r="M599" s="30"/>
    </row>
    <row r="600" spans="1:13" s="14" customFormat="1" x14ac:dyDescent="0.25">
      <c r="A600" s="13"/>
      <c r="D600" s="30"/>
      <c r="E600" s="31"/>
      <c r="F600" s="30"/>
      <c r="G600" s="30"/>
      <c r="H600" s="30"/>
      <c r="I600" s="30"/>
      <c r="J600" s="30"/>
      <c r="K600" s="30"/>
      <c r="L600" s="30"/>
      <c r="M600" s="30"/>
    </row>
    <row r="601" spans="1:13" s="14" customFormat="1" x14ac:dyDescent="0.25">
      <c r="A601" s="13"/>
      <c r="D601" s="30"/>
      <c r="E601" s="31"/>
      <c r="F601" s="30"/>
      <c r="G601" s="30"/>
      <c r="H601" s="30"/>
      <c r="I601" s="30"/>
      <c r="J601" s="30"/>
      <c r="K601" s="30"/>
      <c r="L601" s="30"/>
      <c r="M601" s="30"/>
    </row>
    <row r="602" spans="1:13" s="14" customFormat="1" x14ac:dyDescent="0.25">
      <c r="A602" s="13"/>
      <c r="D602" s="30"/>
      <c r="E602" s="31"/>
      <c r="F602" s="30"/>
      <c r="G602" s="30"/>
      <c r="H602" s="30"/>
      <c r="I602" s="30"/>
      <c r="J602" s="30"/>
      <c r="K602" s="30"/>
      <c r="L602" s="30"/>
      <c r="M602" s="30"/>
    </row>
    <row r="603" spans="1:13" s="14" customFormat="1" x14ac:dyDescent="0.25">
      <c r="A603" s="13"/>
      <c r="D603" s="30"/>
      <c r="E603" s="31"/>
      <c r="F603" s="30"/>
      <c r="G603" s="30"/>
      <c r="H603" s="30"/>
      <c r="I603" s="30"/>
      <c r="J603" s="30"/>
      <c r="K603" s="30"/>
      <c r="L603" s="30"/>
      <c r="M603" s="30"/>
    </row>
    <row r="604" spans="1:13" s="14" customFormat="1" x14ac:dyDescent="0.25">
      <c r="A604" s="13"/>
      <c r="D604" s="30"/>
      <c r="E604" s="31"/>
      <c r="F604" s="30"/>
      <c r="G604" s="30"/>
      <c r="H604" s="30"/>
      <c r="I604" s="30"/>
      <c r="J604" s="30"/>
      <c r="K604" s="30"/>
      <c r="L604" s="30"/>
      <c r="M604" s="30"/>
    </row>
    <row r="605" spans="1:13" s="14" customFormat="1" x14ac:dyDescent="0.25">
      <c r="A605" s="13"/>
      <c r="D605" s="30"/>
      <c r="E605" s="31"/>
      <c r="F605" s="30"/>
      <c r="G605" s="30"/>
      <c r="H605" s="30"/>
      <c r="I605" s="30"/>
      <c r="J605" s="30"/>
      <c r="K605" s="30"/>
      <c r="L605" s="30"/>
      <c r="M605" s="30"/>
    </row>
    <row r="606" spans="1:13" s="14" customFormat="1" x14ac:dyDescent="0.25">
      <c r="A606" s="13"/>
      <c r="D606" s="30"/>
      <c r="E606" s="31"/>
      <c r="F606" s="30"/>
      <c r="G606" s="30"/>
      <c r="H606" s="30"/>
      <c r="I606" s="30"/>
      <c r="J606" s="30"/>
      <c r="K606" s="30"/>
      <c r="L606" s="30"/>
      <c r="M606" s="30"/>
    </row>
    <row r="607" spans="1:13" s="14" customFormat="1" x14ac:dyDescent="0.25">
      <c r="A607" s="13"/>
      <c r="D607" s="30"/>
      <c r="E607" s="31"/>
      <c r="F607" s="30"/>
      <c r="G607" s="30"/>
      <c r="H607" s="30"/>
      <c r="I607" s="30"/>
      <c r="J607" s="30"/>
      <c r="K607" s="30"/>
      <c r="L607" s="30"/>
      <c r="M607" s="30"/>
    </row>
    <row r="608" spans="1:13" s="14" customFormat="1" x14ac:dyDescent="0.25">
      <c r="A608" s="13"/>
      <c r="D608" s="30"/>
      <c r="E608" s="31"/>
      <c r="F608" s="30"/>
      <c r="G608" s="30"/>
      <c r="H608" s="30"/>
      <c r="I608" s="30"/>
      <c r="J608" s="30"/>
      <c r="K608" s="30"/>
      <c r="L608" s="30"/>
      <c r="M608" s="30"/>
    </row>
    <row r="609" spans="1:13" s="14" customFormat="1" x14ac:dyDescent="0.25">
      <c r="A609" s="13"/>
      <c r="D609" s="30"/>
      <c r="E609" s="31"/>
      <c r="F609" s="30"/>
      <c r="G609" s="30"/>
      <c r="H609" s="30"/>
      <c r="I609" s="30"/>
      <c r="J609" s="30"/>
      <c r="K609" s="30"/>
      <c r="L609" s="30"/>
      <c r="M609" s="30"/>
    </row>
    <row r="610" spans="1:13" s="14" customFormat="1" x14ac:dyDescent="0.25">
      <c r="A610" s="13"/>
      <c r="D610" s="30"/>
      <c r="E610" s="31"/>
      <c r="F610" s="30"/>
      <c r="G610" s="30"/>
      <c r="H610" s="30"/>
      <c r="I610" s="30"/>
      <c r="J610" s="30"/>
      <c r="K610" s="30"/>
      <c r="L610" s="30"/>
      <c r="M610" s="30"/>
    </row>
    <row r="611" spans="1:13" s="14" customFormat="1" x14ac:dyDescent="0.25">
      <c r="A611" s="13"/>
      <c r="D611" s="30"/>
      <c r="E611" s="31"/>
      <c r="F611" s="30"/>
      <c r="G611" s="30"/>
      <c r="H611" s="30"/>
      <c r="I611" s="30"/>
      <c r="J611" s="30"/>
      <c r="K611" s="30"/>
      <c r="L611" s="30"/>
      <c r="M611" s="30"/>
    </row>
    <row r="612" spans="1:13" s="14" customFormat="1" x14ac:dyDescent="0.25">
      <c r="A612" s="13"/>
      <c r="D612" s="30"/>
      <c r="E612" s="31"/>
      <c r="F612" s="30"/>
      <c r="G612" s="30"/>
      <c r="H612" s="30"/>
      <c r="I612" s="30"/>
      <c r="J612" s="30"/>
      <c r="K612" s="30"/>
      <c r="L612" s="30"/>
      <c r="M612" s="30"/>
    </row>
    <row r="613" spans="1:13" s="14" customFormat="1" x14ac:dyDescent="0.25">
      <c r="A613" s="13"/>
      <c r="D613" s="30"/>
      <c r="E613" s="31"/>
      <c r="F613" s="30"/>
      <c r="G613" s="30"/>
      <c r="H613" s="30"/>
      <c r="I613" s="30"/>
      <c r="J613" s="30"/>
      <c r="K613" s="30"/>
      <c r="L613" s="30"/>
      <c r="M613" s="30"/>
    </row>
    <row r="614" spans="1:13" s="14" customFormat="1" x14ac:dyDescent="0.25">
      <c r="A614" s="13"/>
      <c r="D614" s="30"/>
      <c r="E614" s="31"/>
      <c r="F614" s="30"/>
      <c r="G614" s="30"/>
      <c r="H614" s="30"/>
      <c r="I614" s="30"/>
      <c r="J614" s="30"/>
      <c r="K614" s="30"/>
      <c r="L614" s="30"/>
      <c r="M614" s="30"/>
    </row>
    <row r="615" spans="1:13" s="14" customFormat="1" x14ac:dyDescent="0.25">
      <c r="A615" s="13"/>
      <c r="D615" s="30"/>
      <c r="E615" s="31"/>
      <c r="F615" s="30"/>
      <c r="G615" s="30"/>
      <c r="H615" s="30"/>
      <c r="I615" s="30"/>
      <c r="J615" s="30"/>
      <c r="K615" s="30"/>
      <c r="L615" s="30"/>
      <c r="M615" s="30"/>
    </row>
    <row r="616" spans="1:13" s="14" customFormat="1" x14ac:dyDescent="0.25">
      <c r="A616" s="13"/>
      <c r="D616" s="30"/>
      <c r="E616" s="31"/>
      <c r="F616" s="30"/>
      <c r="G616" s="30"/>
      <c r="H616" s="30"/>
      <c r="I616" s="30"/>
      <c r="J616" s="30"/>
      <c r="K616" s="30"/>
      <c r="L616" s="30"/>
      <c r="M616" s="30"/>
    </row>
    <row r="617" spans="1:13" s="14" customFormat="1" x14ac:dyDescent="0.25">
      <c r="A617" s="13"/>
      <c r="D617" s="30"/>
      <c r="E617" s="31"/>
      <c r="F617" s="30"/>
      <c r="G617" s="30"/>
      <c r="H617" s="30"/>
      <c r="I617" s="30"/>
      <c r="J617" s="30"/>
      <c r="K617" s="30"/>
      <c r="L617" s="30"/>
      <c r="M617" s="30"/>
    </row>
    <row r="618" spans="1:13" s="14" customFormat="1" x14ac:dyDescent="0.25">
      <c r="A618" s="13"/>
      <c r="D618" s="30"/>
      <c r="E618" s="31"/>
      <c r="F618" s="30"/>
      <c r="G618" s="30"/>
      <c r="H618" s="30"/>
      <c r="I618" s="30"/>
      <c r="J618" s="30"/>
      <c r="K618" s="30"/>
      <c r="L618" s="30"/>
      <c r="M618" s="30"/>
    </row>
    <row r="619" spans="1:13" s="14" customFormat="1" x14ac:dyDescent="0.25">
      <c r="A619" s="13"/>
      <c r="D619" s="30"/>
      <c r="E619" s="31"/>
      <c r="F619" s="30"/>
      <c r="G619" s="30"/>
      <c r="H619" s="30"/>
      <c r="I619" s="30"/>
      <c r="J619" s="30"/>
      <c r="K619" s="30"/>
      <c r="L619" s="30"/>
      <c r="M619" s="30"/>
    </row>
    <row r="620" spans="1:13" s="14" customFormat="1" x14ac:dyDescent="0.25">
      <c r="A620" s="13"/>
      <c r="D620" s="30"/>
      <c r="E620" s="31"/>
      <c r="F620" s="30"/>
      <c r="G620" s="30"/>
      <c r="H620" s="30"/>
      <c r="I620" s="30"/>
      <c r="J620" s="30"/>
      <c r="K620" s="30"/>
      <c r="L620" s="30"/>
      <c r="M620" s="30"/>
    </row>
    <row r="621" spans="1:13" s="14" customFormat="1" x14ac:dyDescent="0.25">
      <c r="A621" s="13"/>
      <c r="D621" s="30"/>
      <c r="E621" s="31"/>
      <c r="F621" s="30"/>
      <c r="G621" s="30"/>
      <c r="H621" s="30"/>
      <c r="I621" s="30"/>
      <c r="J621" s="30"/>
      <c r="K621" s="30"/>
      <c r="L621" s="30"/>
      <c r="M621" s="30"/>
    </row>
    <row r="622" spans="1:13" s="14" customFormat="1" x14ac:dyDescent="0.25">
      <c r="A622" s="13"/>
      <c r="D622" s="30"/>
      <c r="E622" s="31"/>
      <c r="F622" s="30"/>
      <c r="G622" s="30"/>
      <c r="H622" s="30"/>
      <c r="I622" s="30"/>
      <c r="J622" s="30"/>
      <c r="K622" s="30"/>
      <c r="L622" s="30"/>
      <c r="M622" s="30"/>
    </row>
    <row r="623" spans="1:13" s="14" customFormat="1" x14ac:dyDescent="0.25">
      <c r="A623" s="13"/>
      <c r="D623" s="30"/>
      <c r="E623" s="31"/>
      <c r="F623" s="30"/>
      <c r="G623" s="30"/>
      <c r="H623" s="30"/>
      <c r="I623" s="30"/>
      <c r="J623" s="30"/>
      <c r="K623" s="30"/>
      <c r="L623" s="30"/>
      <c r="M623" s="30"/>
    </row>
    <row r="624" spans="1:13" s="14" customFormat="1" x14ac:dyDescent="0.25">
      <c r="A624" s="13"/>
      <c r="D624" s="30"/>
      <c r="E624" s="31"/>
      <c r="F624" s="30"/>
      <c r="G624" s="30"/>
      <c r="H624" s="30"/>
      <c r="I624" s="30"/>
      <c r="J624" s="30"/>
      <c r="K624" s="30"/>
      <c r="L624" s="30"/>
      <c r="M624" s="30"/>
    </row>
    <row r="625" spans="1:13" s="14" customFormat="1" x14ac:dyDescent="0.25">
      <c r="A625" s="13"/>
      <c r="D625" s="30"/>
      <c r="E625" s="31"/>
      <c r="F625" s="30"/>
      <c r="G625" s="30"/>
      <c r="H625" s="30"/>
      <c r="I625" s="30"/>
      <c r="J625" s="30"/>
      <c r="K625" s="30"/>
      <c r="L625" s="30"/>
      <c r="M625" s="30"/>
    </row>
    <row r="626" spans="1:13" s="14" customFormat="1" x14ac:dyDescent="0.25">
      <c r="A626" s="13"/>
      <c r="D626" s="30"/>
      <c r="E626" s="31"/>
      <c r="F626" s="30"/>
      <c r="G626" s="30"/>
      <c r="H626" s="30"/>
      <c r="I626" s="30"/>
      <c r="J626" s="30"/>
      <c r="K626" s="30"/>
      <c r="L626" s="30"/>
      <c r="M626" s="30"/>
    </row>
    <row r="627" spans="1:13" s="14" customFormat="1" x14ac:dyDescent="0.25">
      <c r="A627" s="13"/>
      <c r="D627" s="30"/>
      <c r="E627" s="31"/>
      <c r="F627" s="30"/>
      <c r="G627" s="30"/>
      <c r="H627" s="30"/>
      <c r="I627" s="30"/>
      <c r="J627" s="30"/>
      <c r="K627" s="30"/>
      <c r="L627" s="30"/>
      <c r="M627" s="30"/>
    </row>
    <row r="628" spans="1:13" s="14" customFormat="1" x14ac:dyDescent="0.25">
      <c r="A628" s="13"/>
      <c r="D628" s="30"/>
      <c r="E628" s="31"/>
      <c r="F628" s="30"/>
      <c r="G628" s="30"/>
      <c r="H628" s="30"/>
      <c r="I628" s="30"/>
      <c r="J628" s="30"/>
      <c r="K628" s="30"/>
      <c r="L628" s="30"/>
      <c r="M628" s="30"/>
    </row>
    <row r="629" spans="1:13" s="14" customFormat="1" x14ac:dyDescent="0.25">
      <c r="A629" s="13"/>
      <c r="D629" s="30"/>
      <c r="E629" s="31"/>
      <c r="F629" s="30"/>
      <c r="G629" s="30"/>
      <c r="H629" s="30"/>
      <c r="I629" s="30"/>
      <c r="J629" s="30"/>
      <c r="K629" s="30"/>
      <c r="L629" s="30"/>
      <c r="M629" s="30"/>
    </row>
    <row r="630" spans="1:13" s="14" customFormat="1" x14ac:dyDescent="0.25">
      <c r="A630" s="13"/>
      <c r="D630" s="30"/>
      <c r="E630" s="31"/>
      <c r="F630" s="30"/>
      <c r="G630" s="30"/>
      <c r="H630" s="30"/>
      <c r="I630" s="30"/>
      <c r="J630" s="30"/>
      <c r="K630" s="30"/>
      <c r="L630" s="30"/>
      <c r="M630" s="30"/>
    </row>
    <row r="631" spans="1:13" s="14" customFormat="1" x14ac:dyDescent="0.25">
      <c r="A631" s="13"/>
      <c r="D631" s="30"/>
      <c r="E631" s="31"/>
      <c r="F631" s="30"/>
      <c r="G631" s="30"/>
      <c r="H631" s="30"/>
      <c r="I631" s="30"/>
      <c r="J631" s="30"/>
      <c r="K631" s="30"/>
      <c r="L631" s="30"/>
      <c r="M631" s="30"/>
    </row>
    <row r="632" spans="1:13" s="14" customFormat="1" x14ac:dyDescent="0.25">
      <c r="A632" s="13"/>
      <c r="D632" s="30"/>
      <c r="E632" s="31"/>
      <c r="F632" s="30"/>
      <c r="G632" s="30"/>
      <c r="H632" s="30"/>
      <c r="I632" s="30"/>
      <c r="J632" s="30"/>
      <c r="K632" s="30"/>
      <c r="L632" s="30"/>
      <c r="M632" s="30"/>
    </row>
    <row r="633" spans="1:13" s="14" customFormat="1" x14ac:dyDescent="0.25">
      <c r="A633" s="13"/>
      <c r="D633" s="30"/>
      <c r="E633" s="31"/>
      <c r="F633" s="30"/>
      <c r="G633" s="30"/>
      <c r="H633" s="30"/>
      <c r="I633" s="30"/>
      <c r="J633" s="30"/>
      <c r="K633" s="30"/>
      <c r="L633" s="30"/>
      <c r="M633" s="30"/>
    </row>
    <row r="634" spans="1:13" s="14" customFormat="1" x14ac:dyDescent="0.25">
      <c r="A634" s="13"/>
      <c r="D634" s="30"/>
      <c r="E634" s="31"/>
      <c r="F634" s="30"/>
      <c r="G634" s="30"/>
      <c r="H634" s="30"/>
      <c r="I634" s="30"/>
      <c r="J634" s="30"/>
      <c r="K634" s="30"/>
      <c r="L634" s="30"/>
      <c r="M634" s="30"/>
    </row>
    <row r="635" spans="1:13" s="14" customFormat="1" x14ac:dyDescent="0.25">
      <c r="A635" s="13"/>
      <c r="D635" s="30"/>
      <c r="E635" s="31"/>
      <c r="F635" s="30"/>
      <c r="G635" s="30"/>
      <c r="H635" s="30"/>
      <c r="I635" s="30"/>
      <c r="J635" s="30"/>
      <c r="K635" s="30"/>
      <c r="L635" s="30"/>
      <c r="M635" s="30"/>
    </row>
    <row r="636" spans="1:13" s="14" customFormat="1" x14ac:dyDescent="0.25">
      <c r="A636" s="13"/>
      <c r="D636" s="30"/>
      <c r="E636" s="31"/>
      <c r="F636" s="30"/>
      <c r="G636" s="30"/>
      <c r="H636" s="30"/>
      <c r="I636" s="30"/>
      <c r="J636" s="30"/>
      <c r="K636" s="30"/>
      <c r="L636" s="30"/>
      <c r="M636" s="30"/>
    </row>
    <row r="637" spans="1:13" s="14" customFormat="1" x14ac:dyDescent="0.25">
      <c r="A637" s="13"/>
      <c r="D637" s="30"/>
      <c r="E637" s="31"/>
      <c r="F637" s="30"/>
      <c r="G637" s="30"/>
      <c r="H637" s="30"/>
      <c r="I637" s="30"/>
      <c r="J637" s="30"/>
      <c r="K637" s="30"/>
      <c r="L637" s="30"/>
      <c r="M637" s="30"/>
    </row>
    <row r="638" spans="1:13" s="14" customFormat="1" x14ac:dyDescent="0.25">
      <c r="A638" s="13"/>
      <c r="D638" s="30"/>
      <c r="E638" s="31"/>
      <c r="F638" s="30"/>
      <c r="G638" s="30"/>
      <c r="H638" s="30"/>
      <c r="I638" s="30"/>
      <c r="J638" s="30"/>
      <c r="K638" s="30"/>
      <c r="L638" s="30"/>
      <c r="M638" s="30"/>
    </row>
    <row r="639" spans="1:13" s="14" customFormat="1" x14ac:dyDescent="0.25">
      <c r="A639" s="13"/>
      <c r="D639" s="30"/>
      <c r="E639" s="31"/>
      <c r="F639" s="30"/>
      <c r="G639" s="30"/>
      <c r="H639" s="30"/>
      <c r="I639" s="30"/>
      <c r="J639" s="30"/>
      <c r="K639" s="30"/>
      <c r="L639" s="30"/>
      <c r="M639" s="30"/>
    </row>
    <row r="640" spans="1:13" s="14" customFormat="1" x14ac:dyDescent="0.25">
      <c r="A640" s="13"/>
      <c r="D640" s="30"/>
      <c r="E640" s="31"/>
      <c r="F640" s="30"/>
      <c r="G640" s="30"/>
      <c r="H640" s="30"/>
      <c r="I640" s="30"/>
      <c r="J640" s="30"/>
      <c r="K640" s="30"/>
      <c r="L640" s="30"/>
      <c r="M640" s="30"/>
    </row>
    <row r="641" spans="1:13" s="14" customFormat="1" x14ac:dyDescent="0.25">
      <c r="A641" s="13"/>
      <c r="D641" s="30"/>
      <c r="E641" s="31"/>
      <c r="F641" s="30"/>
      <c r="G641" s="30"/>
      <c r="H641" s="30"/>
      <c r="I641" s="30"/>
      <c r="J641" s="30"/>
      <c r="K641" s="30"/>
      <c r="L641" s="30"/>
      <c r="M641" s="30"/>
    </row>
    <row r="642" spans="1:13" s="14" customFormat="1" x14ac:dyDescent="0.25">
      <c r="A642" s="13"/>
      <c r="D642" s="30"/>
      <c r="E642" s="31"/>
      <c r="F642" s="30"/>
      <c r="G642" s="30"/>
      <c r="H642" s="30"/>
      <c r="I642" s="30"/>
      <c r="J642" s="30"/>
      <c r="K642" s="30"/>
      <c r="L642" s="30"/>
      <c r="M642" s="30"/>
    </row>
    <row r="643" spans="1:13" s="14" customFormat="1" x14ac:dyDescent="0.25">
      <c r="A643" s="13"/>
      <c r="D643" s="30"/>
      <c r="E643" s="31"/>
      <c r="F643" s="30"/>
      <c r="G643" s="30"/>
      <c r="H643" s="30"/>
      <c r="I643" s="30"/>
      <c r="J643" s="30"/>
      <c r="K643" s="30"/>
      <c r="L643" s="30"/>
      <c r="M643" s="30"/>
    </row>
    <row r="644" spans="1:13" s="14" customFormat="1" x14ac:dyDescent="0.25">
      <c r="A644" s="13"/>
      <c r="D644" s="30"/>
      <c r="E644" s="31"/>
      <c r="F644" s="30"/>
      <c r="G644" s="30"/>
      <c r="H644" s="30"/>
      <c r="I644" s="30"/>
      <c r="J644" s="30"/>
      <c r="K644" s="30"/>
      <c r="L644" s="30"/>
      <c r="M644" s="30"/>
    </row>
    <row r="645" spans="1:13" s="14" customFormat="1" x14ac:dyDescent="0.25">
      <c r="A645" s="13"/>
      <c r="D645" s="30"/>
      <c r="E645" s="31"/>
      <c r="F645" s="30"/>
      <c r="G645" s="30"/>
      <c r="H645" s="30"/>
      <c r="I645" s="30"/>
      <c r="J645" s="30"/>
      <c r="K645" s="30"/>
      <c r="L645" s="30"/>
      <c r="M645" s="30"/>
    </row>
    <row r="646" spans="1:13" s="14" customFormat="1" x14ac:dyDescent="0.25">
      <c r="A646" s="13"/>
      <c r="D646" s="30"/>
      <c r="E646" s="31"/>
      <c r="F646" s="30"/>
      <c r="G646" s="30"/>
      <c r="H646" s="30"/>
      <c r="I646" s="30"/>
      <c r="J646" s="30"/>
      <c r="K646" s="30"/>
      <c r="L646" s="30"/>
      <c r="M646" s="30"/>
    </row>
    <row r="647" spans="1:13" s="14" customFormat="1" x14ac:dyDescent="0.25">
      <c r="A647" s="13"/>
      <c r="D647" s="30"/>
      <c r="E647" s="31"/>
      <c r="F647" s="30"/>
      <c r="G647" s="30"/>
      <c r="H647" s="30"/>
      <c r="I647" s="30"/>
      <c r="J647" s="30"/>
      <c r="K647" s="30"/>
      <c r="L647" s="30"/>
      <c r="M647" s="30"/>
    </row>
    <row r="648" spans="1:13" s="14" customFormat="1" x14ac:dyDescent="0.25">
      <c r="A648" s="13"/>
      <c r="D648" s="30"/>
      <c r="E648" s="31"/>
      <c r="F648" s="30"/>
      <c r="G648" s="30"/>
      <c r="H648" s="30"/>
      <c r="I648" s="30"/>
      <c r="J648" s="30"/>
      <c r="K648" s="30"/>
      <c r="L648" s="30"/>
      <c r="M648" s="30"/>
    </row>
    <row r="649" spans="1:13" s="14" customFormat="1" x14ac:dyDescent="0.25">
      <c r="A649" s="13"/>
      <c r="D649" s="30"/>
      <c r="E649" s="31"/>
      <c r="F649" s="30"/>
      <c r="G649" s="30"/>
      <c r="H649" s="30"/>
      <c r="I649" s="30"/>
      <c r="J649" s="30"/>
      <c r="K649" s="30"/>
      <c r="L649" s="30"/>
      <c r="M649" s="30"/>
    </row>
    <row r="650" spans="1:13" s="14" customFormat="1" x14ac:dyDescent="0.25">
      <c r="A650" s="13"/>
      <c r="D650" s="30"/>
      <c r="E650" s="31"/>
      <c r="F650" s="30"/>
      <c r="G650" s="30"/>
      <c r="H650" s="30"/>
      <c r="I650" s="30"/>
      <c r="J650" s="30"/>
      <c r="K650" s="30"/>
      <c r="L650" s="30"/>
      <c r="M650" s="30"/>
    </row>
    <row r="651" spans="1:13" s="14" customFormat="1" x14ac:dyDescent="0.25">
      <c r="A651" s="13"/>
      <c r="D651" s="30"/>
      <c r="E651" s="31"/>
      <c r="F651" s="30"/>
      <c r="G651" s="30"/>
      <c r="H651" s="30"/>
      <c r="I651" s="30"/>
      <c r="J651" s="30"/>
      <c r="K651" s="30"/>
      <c r="L651" s="30"/>
      <c r="M651" s="30"/>
    </row>
    <row r="652" spans="1:13" s="14" customFormat="1" x14ac:dyDescent="0.25">
      <c r="A652" s="13"/>
      <c r="D652" s="30"/>
      <c r="E652" s="31"/>
      <c r="F652" s="30"/>
      <c r="G652" s="30"/>
      <c r="H652" s="30"/>
      <c r="I652" s="30"/>
      <c r="J652" s="30"/>
      <c r="K652" s="30"/>
      <c r="L652" s="30"/>
      <c r="M652" s="30"/>
    </row>
    <row r="653" spans="1:13" s="14" customFormat="1" x14ac:dyDescent="0.25">
      <c r="A653" s="13"/>
      <c r="D653" s="30"/>
      <c r="E653" s="31"/>
      <c r="F653" s="30"/>
      <c r="G653" s="30"/>
      <c r="H653" s="30"/>
      <c r="I653" s="30"/>
      <c r="J653" s="30"/>
      <c r="K653" s="30"/>
      <c r="L653" s="30"/>
      <c r="M653" s="30"/>
    </row>
    <row r="654" spans="1:13" s="14" customFormat="1" x14ac:dyDescent="0.25">
      <c r="A654" s="13"/>
      <c r="D654" s="30"/>
      <c r="E654" s="31"/>
      <c r="F654" s="30"/>
      <c r="G654" s="30"/>
      <c r="H654" s="30"/>
      <c r="I654" s="30"/>
      <c r="J654" s="30"/>
      <c r="K654" s="30"/>
      <c r="L654" s="30"/>
      <c r="M654" s="30"/>
    </row>
    <row r="655" spans="1:13" s="14" customFormat="1" x14ac:dyDescent="0.25">
      <c r="A655" s="13"/>
      <c r="D655" s="30"/>
      <c r="E655" s="31"/>
      <c r="F655" s="30"/>
      <c r="G655" s="30"/>
      <c r="H655" s="30"/>
      <c r="I655" s="30"/>
      <c r="J655" s="30"/>
      <c r="K655" s="30"/>
      <c r="L655" s="30"/>
      <c r="M655" s="30"/>
    </row>
    <row r="656" spans="1:13" s="14" customFormat="1" x14ac:dyDescent="0.25">
      <c r="A656" s="13"/>
      <c r="D656" s="30"/>
      <c r="E656" s="31"/>
      <c r="F656" s="30"/>
      <c r="G656" s="30"/>
      <c r="H656" s="30"/>
      <c r="I656" s="30"/>
      <c r="J656" s="30"/>
      <c r="K656" s="30"/>
      <c r="L656" s="30"/>
      <c r="M656" s="30"/>
    </row>
    <row r="657" spans="1:13" s="14" customFormat="1" x14ac:dyDescent="0.25">
      <c r="A657" s="13"/>
      <c r="D657" s="30"/>
      <c r="E657" s="31"/>
      <c r="F657" s="30"/>
      <c r="G657" s="30"/>
      <c r="H657" s="30"/>
      <c r="I657" s="30"/>
      <c r="J657" s="30"/>
      <c r="K657" s="30"/>
      <c r="L657" s="30"/>
      <c r="M657" s="30"/>
    </row>
    <row r="658" spans="1:13" s="14" customFormat="1" x14ac:dyDescent="0.25">
      <c r="A658" s="13"/>
      <c r="D658" s="30"/>
      <c r="E658" s="31"/>
      <c r="F658" s="30"/>
      <c r="G658" s="30"/>
      <c r="H658" s="30"/>
      <c r="I658" s="30"/>
      <c r="J658" s="30"/>
      <c r="K658" s="30"/>
      <c r="L658" s="30"/>
      <c r="M658" s="30"/>
    </row>
    <row r="659" spans="1:13" s="14" customFormat="1" x14ac:dyDescent="0.25">
      <c r="A659" s="13"/>
      <c r="D659" s="30"/>
      <c r="E659" s="31"/>
      <c r="F659" s="30"/>
      <c r="G659" s="30"/>
      <c r="H659" s="30"/>
      <c r="I659" s="30"/>
      <c r="J659" s="30"/>
      <c r="K659" s="30"/>
      <c r="L659" s="30"/>
      <c r="M659" s="30"/>
    </row>
    <row r="660" spans="1:13" s="14" customFormat="1" x14ac:dyDescent="0.25">
      <c r="A660" s="13"/>
      <c r="D660" s="30"/>
      <c r="E660" s="31"/>
      <c r="F660" s="30"/>
      <c r="G660" s="30"/>
      <c r="H660" s="30"/>
      <c r="I660" s="30"/>
      <c r="J660" s="30"/>
      <c r="K660" s="30"/>
      <c r="L660" s="30"/>
      <c r="M660" s="30"/>
    </row>
    <row r="661" spans="1:13" s="14" customFormat="1" x14ac:dyDescent="0.25">
      <c r="A661" s="13"/>
      <c r="D661" s="30"/>
      <c r="E661" s="31"/>
      <c r="F661" s="30"/>
      <c r="G661" s="30"/>
      <c r="H661" s="30"/>
      <c r="I661" s="30"/>
      <c r="J661" s="30"/>
      <c r="K661" s="30"/>
      <c r="L661" s="30"/>
      <c r="M661" s="30"/>
    </row>
    <row r="662" spans="1:13" s="14" customFormat="1" x14ac:dyDescent="0.25">
      <c r="A662" s="13"/>
      <c r="D662" s="30"/>
      <c r="E662" s="31"/>
      <c r="F662" s="30"/>
      <c r="G662" s="30"/>
      <c r="H662" s="30"/>
      <c r="I662" s="30"/>
      <c r="J662" s="30"/>
      <c r="K662" s="30"/>
      <c r="L662" s="30"/>
      <c r="M662" s="30"/>
    </row>
    <row r="663" spans="1:13" s="14" customFormat="1" x14ac:dyDescent="0.25">
      <c r="A663" s="13"/>
      <c r="D663" s="30"/>
      <c r="E663" s="31"/>
      <c r="F663" s="30"/>
      <c r="G663" s="30"/>
      <c r="H663" s="30"/>
      <c r="I663" s="30"/>
      <c r="J663" s="30"/>
      <c r="K663" s="30"/>
      <c r="L663" s="30"/>
      <c r="M663" s="30"/>
    </row>
    <row r="664" spans="1:13" s="14" customFormat="1" x14ac:dyDescent="0.25">
      <c r="A664" s="13"/>
      <c r="D664" s="30"/>
      <c r="E664" s="31"/>
      <c r="F664" s="30"/>
      <c r="G664" s="30"/>
      <c r="H664" s="30"/>
      <c r="I664" s="30"/>
      <c r="J664" s="30"/>
      <c r="K664" s="30"/>
      <c r="L664" s="30"/>
      <c r="M664" s="30"/>
    </row>
    <row r="665" spans="1:13" s="14" customFormat="1" x14ac:dyDescent="0.25">
      <c r="A665" s="13"/>
      <c r="D665" s="30"/>
      <c r="E665" s="31"/>
      <c r="F665" s="30"/>
      <c r="G665" s="30"/>
      <c r="H665" s="30"/>
      <c r="I665" s="30"/>
      <c r="J665" s="30"/>
      <c r="K665" s="30"/>
      <c r="L665" s="30"/>
      <c r="M665" s="30"/>
    </row>
    <row r="666" spans="1:13" s="14" customFormat="1" x14ac:dyDescent="0.25">
      <c r="A666" s="13"/>
      <c r="D666" s="30"/>
      <c r="E666" s="31"/>
      <c r="F666" s="30"/>
      <c r="G666" s="30"/>
      <c r="H666" s="30"/>
      <c r="I666" s="30"/>
      <c r="J666" s="30"/>
      <c r="K666" s="30"/>
      <c r="L666" s="30"/>
      <c r="M666" s="30"/>
    </row>
    <row r="667" spans="1:13" s="14" customFormat="1" x14ac:dyDescent="0.25">
      <c r="A667" s="13"/>
      <c r="D667" s="30"/>
      <c r="E667" s="31"/>
      <c r="F667" s="30"/>
      <c r="G667" s="30"/>
      <c r="H667" s="30"/>
      <c r="I667" s="30"/>
      <c r="J667" s="30"/>
      <c r="K667" s="30"/>
      <c r="L667" s="30"/>
      <c r="M667" s="30"/>
    </row>
    <row r="668" spans="1:13" s="14" customFormat="1" x14ac:dyDescent="0.25">
      <c r="A668" s="13"/>
      <c r="D668" s="30"/>
      <c r="E668" s="31"/>
      <c r="F668" s="30"/>
      <c r="G668" s="30"/>
      <c r="H668" s="30"/>
      <c r="I668" s="30"/>
      <c r="J668" s="30"/>
      <c r="K668" s="30"/>
      <c r="L668" s="30"/>
      <c r="M668" s="30"/>
    </row>
    <row r="669" spans="1:13" s="14" customFormat="1" x14ac:dyDescent="0.25">
      <c r="A669" s="13"/>
      <c r="D669" s="30"/>
      <c r="E669" s="31"/>
      <c r="F669" s="30"/>
      <c r="G669" s="30"/>
      <c r="H669" s="30"/>
      <c r="I669" s="30"/>
      <c r="J669" s="30"/>
      <c r="K669" s="30"/>
      <c r="L669" s="30"/>
      <c r="M669" s="30"/>
    </row>
    <row r="670" spans="1:13" s="14" customFormat="1" x14ac:dyDescent="0.25">
      <c r="A670" s="13"/>
      <c r="D670" s="30"/>
      <c r="E670" s="31"/>
      <c r="F670" s="30"/>
      <c r="G670" s="30"/>
      <c r="H670" s="30"/>
      <c r="I670" s="30"/>
      <c r="J670" s="30"/>
      <c r="K670" s="30"/>
      <c r="L670" s="30"/>
      <c r="M670" s="30"/>
    </row>
    <row r="671" spans="1:13" s="14" customFormat="1" x14ac:dyDescent="0.25">
      <c r="A671" s="13"/>
      <c r="D671" s="30"/>
      <c r="E671" s="31"/>
      <c r="F671" s="30"/>
      <c r="G671" s="30"/>
      <c r="H671" s="30"/>
      <c r="I671" s="30"/>
      <c r="J671" s="30"/>
      <c r="K671" s="30"/>
      <c r="L671" s="30"/>
      <c r="M671" s="30"/>
    </row>
    <row r="672" spans="1:13" s="14" customFormat="1" x14ac:dyDescent="0.25">
      <c r="A672" s="13"/>
      <c r="D672" s="30"/>
      <c r="E672" s="31"/>
      <c r="F672" s="30"/>
      <c r="G672" s="30"/>
      <c r="H672" s="30"/>
      <c r="I672" s="30"/>
      <c r="J672" s="30"/>
      <c r="K672" s="30"/>
      <c r="L672" s="30"/>
      <c r="M672" s="30"/>
    </row>
    <row r="673" spans="1:13" s="14" customFormat="1" x14ac:dyDescent="0.25">
      <c r="A673" s="13"/>
      <c r="D673" s="30"/>
      <c r="E673" s="31"/>
      <c r="F673" s="30"/>
      <c r="G673" s="30"/>
      <c r="H673" s="30"/>
      <c r="I673" s="30"/>
      <c r="J673" s="30"/>
      <c r="K673" s="30"/>
      <c r="L673" s="30"/>
      <c r="M673" s="30"/>
    </row>
    <row r="674" spans="1:13" s="14" customFormat="1" x14ac:dyDescent="0.25">
      <c r="A674" s="13"/>
      <c r="D674" s="30"/>
      <c r="E674" s="31"/>
      <c r="F674" s="30"/>
      <c r="G674" s="30"/>
      <c r="H674" s="30"/>
      <c r="I674" s="30"/>
      <c r="J674" s="30"/>
      <c r="K674" s="30"/>
      <c r="L674" s="30"/>
      <c r="M674" s="30"/>
    </row>
    <row r="675" spans="1:13" s="14" customFormat="1" x14ac:dyDescent="0.25">
      <c r="A675" s="13"/>
      <c r="D675" s="30"/>
      <c r="E675" s="31"/>
      <c r="F675" s="30"/>
      <c r="G675" s="30"/>
      <c r="H675" s="30"/>
      <c r="I675" s="30"/>
      <c r="J675" s="30"/>
      <c r="K675" s="30"/>
      <c r="L675" s="30"/>
      <c r="M675" s="30"/>
    </row>
    <row r="676" spans="1:13" s="14" customFormat="1" x14ac:dyDescent="0.25">
      <c r="A676" s="13"/>
      <c r="D676" s="30"/>
      <c r="E676" s="31"/>
      <c r="F676" s="30"/>
      <c r="G676" s="30"/>
      <c r="H676" s="30"/>
      <c r="I676" s="30"/>
      <c r="J676" s="30"/>
      <c r="K676" s="30"/>
      <c r="L676" s="30"/>
      <c r="M676" s="30"/>
    </row>
    <row r="677" spans="1:13" s="14" customFormat="1" x14ac:dyDescent="0.25">
      <c r="A677" s="13"/>
      <c r="D677" s="30"/>
      <c r="E677" s="31"/>
      <c r="F677" s="30"/>
      <c r="G677" s="30"/>
      <c r="H677" s="30"/>
      <c r="I677" s="30"/>
      <c r="J677" s="30"/>
      <c r="K677" s="30"/>
      <c r="L677" s="30"/>
      <c r="M677" s="30"/>
    </row>
    <row r="678" spans="1:13" s="14" customFormat="1" x14ac:dyDescent="0.25">
      <c r="A678" s="13"/>
      <c r="D678" s="30"/>
      <c r="E678" s="31"/>
      <c r="F678" s="30"/>
      <c r="G678" s="30"/>
      <c r="H678" s="30"/>
      <c r="I678" s="30"/>
      <c r="J678" s="30"/>
      <c r="K678" s="30"/>
      <c r="L678" s="30"/>
      <c r="M678" s="30"/>
    </row>
    <row r="679" spans="1:13" s="14" customFormat="1" x14ac:dyDescent="0.25">
      <c r="A679" s="13"/>
      <c r="D679" s="30"/>
      <c r="E679" s="31"/>
      <c r="F679" s="30"/>
      <c r="G679" s="30"/>
      <c r="H679" s="30"/>
      <c r="I679" s="30"/>
      <c r="J679" s="30"/>
      <c r="K679" s="30"/>
      <c r="L679" s="30"/>
      <c r="M679" s="30"/>
    </row>
    <row r="680" spans="1:13" s="14" customFormat="1" x14ac:dyDescent="0.25">
      <c r="A680" s="13"/>
      <c r="D680" s="30"/>
      <c r="E680" s="31"/>
      <c r="F680" s="30"/>
      <c r="G680" s="30"/>
      <c r="H680" s="30"/>
      <c r="I680" s="30"/>
      <c r="J680" s="30"/>
      <c r="K680" s="30"/>
      <c r="L680" s="30"/>
      <c r="M680" s="30"/>
    </row>
    <row r="681" spans="1:13" s="14" customFormat="1" x14ac:dyDescent="0.25">
      <c r="A681" s="13"/>
      <c r="D681" s="30"/>
      <c r="E681" s="31"/>
      <c r="F681" s="30"/>
      <c r="G681" s="30"/>
      <c r="H681" s="30"/>
      <c r="I681" s="30"/>
      <c r="J681" s="30"/>
      <c r="K681" s="30"/>
      <c r="L681" s="30"/>
      <c r="M681" s="30"/>
    </row>
    <row r="682" spans="1:13" s="14" customFormat="1" x14ac:dyDescent="0.25">
      <c r="A682" s="13"/>
      <c r="D682" s="30"/>
      <c r="E682" s="31"/>
      <c r="F682" s="30"/>
      <c r="G682" s="30"/>
      <c r="H682" s="30"/>
      <c r="I682" s="30"/>
      <c r="J682" s="30"/>
      <c r="K682" s="30"/>
      <c r="L682" s="30"/>
      <c r="M682" s="30"/>
    </row>
    <row r="683" spans="1:13" s="14" customFormat="1" x14ac:dyDescent="0.25">
      <c r="A683" s="13"/>
      <c r="D683" s="30"/>
      <c r="E683" s="31"/>
      <c r="F683" s="30"/>
      <c r="G683" s="30"/>
      <c r="H683" s="30"/>
      <c r="I683" s="30"/>
      <c r="J683" s="30"/>
      <c r="K683" s="30"/>
      <c r="L683" s="30"/>
      <c r="M683" s="30"/>
    </row>
    <row r="684" spans="1:13" s="14" customFormat="1" x14ac:dyDescent="0.25">
      <c r="A684" s="13"/>
      <c r="D684" s="30"/>
      <c r="E684" s="31"/>
      <c r="F684" s="30"/>
      <c r="G684" s="30"/>
      <c r="H684" s="30"/>
      <c r="I684" s="30"/>
      <c r="J684" s="30"/>
      <c r="K684" s="30"/>
      <c r="L684" s="30"/>
      <c r="M684" s="30"/>
    </row>
    <row r="685" spans="1:13" s="14" customFormat="1" x14ac:dyDescent="0.25">
      <c r="A685" s="13"/>
      <c r="D685" s="30"/>
      <c r="E685" s="31"/>
      <c r="F685" s="30"/>
      <c r="G685" s="30"/>
      <c r="H685" s="30"/>
      <c r="I685" s="30"/>
      <c r="J685" s="30"/>
      <c r="K685" s="30"/>
      <c r="L685" s="30"/>
      <c r="M685" s="30"/>
    </row>
    <row r="686" spans="1:13" s="14" customFormat="1" x14ac:dyDescent="0.25">
      <c r="A686" s="13"/>
      <c r="D686" s="30"/>
      <c r="E686" s="31"/>
      <c r="F686" s="30"/>
      <c r="G686" s="30"/>
      <c r="H686" s="30"/>
      <c r="I686" s="30"/>
      <c r="J686" s="30"/>
      <c r="K686" s="30"/>
      <c r="L686" s="30"/>
      <c r="M686" s="30"/>
    </row>
    <row r="687" spans="1:13" s="14" customFormat="1" x14ac:dyDescent="0.25">
      <c r="A687" s="13"/>
      <c r="D687" s="30"/>
      <c r="E687" s="31"/>
      <c r="F687" s="30"/>
      <c r="G687" s="30"/>
      <c r="H687" s="30"/>
      <c r="I687" s="30"/>
      <c r="J687" s="30"/>
      <c r="K687" s="30"/>
      <c r="L687" s="30"/>
      <c r="M687" s="30"/>
    </row>
    <row r="688" spans="1:13" s="14" customFormat="1" x14ac:dyDescent="0.25">
      <c r="A688" s="13"/>
      <c r="D688" s="30"/>
      <c r="E688" s="31"/>
      <c r="F688" s="30"/>
      <c r="G688" s="30"/>
      <c r="H688" s="30"/>
      <c r="I688" s="30"/>
      <c r="J688" s="30"/>
      <c r="K688" s="30"/>
      <c r="L688" s="30"/>
      <c r="M688" s="30"/>
    </row>
    <row r="689" spans="1:13" s="14" customFormat="1" x14ac:dyDescent="0.25">
      <c r="A689" s="13"/>
      <c r="D689" s="30"/>
      <c r="E689" s="31"/>
      <c r="F689" s="30"/>
      <c r="G689" s="30"/>
      <c r="H689" s="30"/>
      <c r="I689" s="30"/>
      <c r="J689" s="30"/>
      <c r="K689" s="30"/>
      <c r="L689" s="30"/>
      <c r="M689" s="30"/>
    </row>
    <row r="690" spans="1:13" s="14" customFormat="1" x14ac:dyDescent="0.25">
      <c r="A690" s="13"/>
      <c r="D690" s="30"/>
      <c r="E690" s="31"/>
      <c r="F690" s="30"/>
      <c r="G690" s="30"/>
      <c r="H690" s="30"/>
      <c r="I690" s="30"/>
      <c r="J690" s="30"/>
      <c r="K690" s="30"/>
      <c r="L690" s="30"/>
      <c r="M690" s="30"/>
    </row>
    <row r="691" spans="1:13" s="14" customFormat="1" x14ac:dyDescent="0.25">
      <c r="A691" s="13"/>
      <c r="D691" s="30"/>
      <c r="E691" s="31"/>
      <c r="F691" s="30"/>
      <c r="G691" s="30"/>
      <c r="H691" s="30"/>
      <c r="I691" s="30"/>
      <c r="J691" s="30"/>
      <c r="K691" s="30"/>
      <c r="L691" s="30"/>
      <c r="M691" s="30"/>
    </row>
    <row r="692" spans="1:13" s="14" customFormat="1" x14ac:dyDescent="0.25">
      <c r="A692" s="13"/>
      <c r="D692" s="30"/>
      <c r="E692" s="31"/>
      <c r="F692" s="30"/>
      <c r="G692" s="30"/>
      <c r="H692" s="30"/>
      <c r="I692" s="30"/>
      <c r="J692" s="30"/>
      <c r="K692" s="30"/>
      <c r="L692" s="30"/>
      <c r="M692" s="30"/>
    </row>
    <row r="693" spans="1:13" s="14" customFormat="1" x14ac:dyDescent="0.25">
      <c r="A693" s="13"/>
      <c r="D693" s="30"/>
      <c r="E693" s="31"/>
      <c r="F693" s="30"/>
      <c r="G693" s="30"/>
      <c r="H693" s="30"/>
      <c r="I693" s="30"/>
      <c r="J693" s="30"/>
      <c r="K693" s="30"/>
      <c r="L693" s="30"/>
      <c r="M693" s="30"/>
    </row>
    <row r="694" spans="1:13" s="14" customFormat="1" x14ac:dyDescent="0.25">
      <c r="A694" s="13"/>
      <c r="D694" s="30"/>
      <c r="E694" s="31"/>
      <c r="F694" s="30"/>
      <c r="G694" s="30"/>
      <c r="H694" s="30"/>
      <c r="I694" s="30"/>
      <c r="J694" s="30"/>
      <c r="K694" s="30"/>
      <c r="L694" s="30"/>
      <c r="M694" s="30"/>
    </row>
    <row r="695" spans="1:13" s="14" customFormat="1" x14ac:dyDescent="0.25">
      <c r="A695" s="13"/>
      <c r="D695" s="30"/>
      <c r="E695" s="31"/>
      <c r="F695" s="30"/>
      <c r="G695" s="30"/>
      <c r="H695" s="30"/>
      <c r="I695" s="30"/>
      <c r="J695" s="30"/>
      <c r="K695" s="30"/>
      <c r="L695" s="30"/>
      <c r="M695" s="30"/>
    </row>
    <row r="696" spans="1:13" s="14" customFormat="1" x14ac:dyDescent="0.25">
      <c r="A696" s="13"/>
      <c r="D696" s="30"/>
      <c r="E696" s="31"/>
      <c r="F696" s="30"/>
      <c r="G696" s="30"/>
      <c r="H696" s="30"/>
      <c r="I696" s="30"/>
      <c r="J696" s="30"/>
      <c r="K696" s="30"/>
      <c r="L696" s="30"/>
      <c r="M696" s="30"/>
    </row>
    <row r="697" spans="1:13" s="14" customFormat="1" x14ac:dyDescent="0.25">
      <c r="A697" s="13"/>
      <c r="D697" s="30"/>
      <c r="E697" s="31"/>
      <c r="F697" s="30"/>
      <c r="G697" s="30"/>
      <c r="H697" s="30"/>
      <c r="I697" s="30"/>
      <c r="J697" s="30"/>
      <c r="K697" s="30"/>
      <c r="L697" s="30"/>
      <c r="M697" s="30"/>
    </row>
    <row r="698" spans="1:13" s="14" customFormat="1" x14ac:dyDescent="0.25">
      <c r="A698" s="13"/>
      <c r="D698" s="30"/>
      <c r="E698" s="31"/>
      <c r="F698" s="30"/>
      <c r="G698" s="30"/>
      <c r="H698" s="30"/>
      <c r="I698" s="30"/>
      <c r="J698" s="30"/>
      <c r="K698" s="30"/>
      <c r="L698" s="30"/>
      <c r="M698" s="30"/>
    </row>
    <row r="699" spans="1:13" s="14" customFormat="1" x14ac:dyDescent="0.25">
      <c r="A699" s="13"/>
      <c r="D699" s="30"/>
      <c r="E699" s="31"/>
      <c r="F699" s="30"/>
      <c r="G699" s="30"/>
      <c r="H699" s="30"/>
      <c r="I699" s="30"/>
      <c r="J699" s="30"/>
      <c r="K699" s="30"/>
      <c r="L699" s="30"/>
      <c r="M699" s="30"/>
    </row>
    <row r="700" spans="1:13" s="14" customFormat="1" x14ac:dyDescent="0.25">
      <c r="A700" s="13"/>
      <c r="D700" s="30"/>
      <c r="E700" s="31"/>
      <c r="F700" s="30"/>
      <c r="G700" s="30"/>
      <c r="H700" s="30"/>
      <c r="I700" s="30"/>
      <c r="J700" s="30"/>
      <c r="K700" s="30"/>
      <c r="L700" s="30"/>
      <c r="M700" s="30"/>
    </row>
    <row r="701" spans="1:13" s="14" customFormat="1" x14ac:dyDescent="0.25">
      <c r="A701" s="13"/>
      <c r="D701" s="30"/>
      <c r="E701" s="31"/>
      <c r="F701" s="30"/>
      <c r="G701" s="30"/>
      <c r="H701" s="30"/>
      <c r="I701" s="30"/>
      <c r="J701" s="30"/>
      <c r="K701" s="30"/>
      <c r="L701" s="30"/>
      <c r="M701" s="30"/>
    </row>
    <row r="702" spans="1:13" s="14" customFormat="1" x14ac:dyDescent="0.25">
      <c r="A702" s="13"/>
      <c r="D702" s="30"/>
      <c r="E702" s="31"/>
      <c r="F702" s="30"/>
      <c r="G702" s="30"/>
      <c r="H702" s="30"/>
      <c r="I702" s="30"/>
      <c r="J702" s="30"/>
      <c r="K702" s="30"/>
      <c r="L702" s="30"/>
      <c r="M702" s="30"/>
    </row>
    <row r="703" spans="1:13" s="14" customFormat="1" x14ac:dyDescent="0.25">
      <c r="A703" s="13"/>
      <c r="D703" s="30"/>
      <c r="E703" s="31"/>
      <c r="F703" s="30"/>
      <c r="G703" s="30"/>
      <c r="H703" s="30"/>
      <c r="I703" s="30"/>
      <c r="J703" s="30"/>
      <c r="K703" s="30"/>
      <c r="L703" s="30"/>
      <c r="M703" s="30"/>
    </row>
    <row r="704" spans="1:13" s="14" customFormat="1" x14ac:dyDescent="0.25">
      <c r="A704" s="13"/>
      <c r="D704" s="30"/>
      <c r="E704" s="31"/>
      <c r="F704" s="30"/>
      <c r="G704" s="30"/>
      <c r="H704" s="30"/>
      <c r="I704" s="30"/>
      <c r="J704" s="30"/>
      <c r="K704" s="30"/>
      <c r="L704" s="30"/>
      <c r="M704" s="30"/>
    </row>
    <row r="705" spans="1:13" s="14" customFormat="1" x14ac:dyDescent="0.25">
      <c r="A705" s="13"/>
      <c r="D705" s="30"/>
      <c r="E705" s="31"/>
      <c r="F705" s="30"/>
      <c r="G705" s="30"/>
      <c r="H705" s="30"/>
      <c r="I705" s="30"/>
      <c r="J705" s="30"/>
      <c r="K705" s="30"/>
      <c r="L705" s="30"/>
      <c r="M705" s="30"/>
    </row>
    <row r="706" spans="1:13" s="14" customFormat="1" x14ac:dyDescent="0.25">
      <c r="A706" s="13"/>
      <c r="D706" s="30"/>
      <c r="E706" s="31"/>
      <c r="F706" s="30"/>
      <c r="G706" s="30"/>
      <c r="H706" s="30"/>
      <c r="I706" s="30"/>
      <c r="J706" s="30"/>
      <c r="K706" s="30"/>
      <c r="L706" s="30"/>
      <c r="M706" s="30"/>
    </row>
    <row r="707" spans="1:13" s="14" customFormat="1" x14ac:dyDescent="0.25">
      <c r="A707" s="13"/>
      <c r="D707" s="30"/>
      <c r="E707" s="31"/>
      <c r="F707" s="30"/>
      <c r="G707" s="30"/>
      <c r="H707" s="30"/>
      <c r="I707" s="30"/>
      <c r="J707" s="30"/>
      <c r="K707" s="30"/>
      <c r="L707" s="30"/>
      <c r="M707" s="30"/>
    </row>
    <row r="708" spans="1:13" s="14" customFormat="1" x14ac:dyDescent="0.25">
      <c r="A708" s="13"/>
      <c r="D708" s="30"/>
      <c r="E708" s="31"/>
      <c r="F708" s="30"/>
      <c r="G708" s="30"/>
      <c r="H708" s="30"/>
      <c r="I708" s="30"/>
      <c r="J708" s="30"/>
      <c r="K708" s="30"/>
      <c r="L708" s="30"/>
      <c r="M708" s="30"/>
    </row>
    <row r="709" spans="1:13" s="14" customFormat="1" x14ac:dyDescent="0.25">
      <c r="A709" s="13"/>
      <c r="D709" s="30"/>
      <c r="E709" s="31"/>
      <c r="F709" s="30"/>
      <c r="G709" s="30"/>
      <c r="H709" s="30"/>
      <c r="I709" s="30"/>
      <c r="J709" s="30"/>
      <c r="K709" s="30"/>
      <c r="L709" s="30"/>
      <c r="M709" s="30"/>
    </row>
    <row r="710" spans="1:13" s="14" customFormat="1" x14ac:dyDescent="0.25">
      <c r="A710" s="13"/>
      <c r="D710" s="30"/>
      <c r="E710" s="31"/>
      <c r="F710" s="30"/>
      <c r="G710" s="30"/>
      <c r="H710" s="30"/>
      <c r="I710" s="30"/>
      <c r="J710" s="30"/>
      <c r="K710" s="30"/>
      <c r="L710" s="30"/>
      <c r="M710" s="30"/>
    </row>
    <row r="711" spans="1:13" s="14" customFormat="1" x14ac:dyDescent="0.25">
      <c r="A711" s="13"/>
      <c r="D711" s="30"/>
      <c r="E711" s="31"/>
      <c r="F711" s="30"/>
      <c r="G711" s="30"/>
      <c r="H711" s="30"/>
      <c r="I711" s="30"/>
      <c r="J711" s="30"/>
      <c r="K711" s="30"/>
      <c r="L711" s="30"/>
      <c r="M711" s="30"/>
    </row>
    <row r="712" spans="1:13" s="14" customFormat="1" x14ac:dyDescent="0.25">
      <c r="A712" s="13"/>
      <c r="D712" s="30"/>
      <c r="E712" s="31"/>
      <c r="F712" s="30"/>
      <c r="G712" s="30"/>
      <c r="H712" s="30"/>
      <c r="I712" s="30"/>
      <c r="J712" s="30"/>
      <c r="K712" s="30"/>
      <c r="L712" s="30"/>
      <c r="M712" s="30"/>
    </row>
    <row r="713" spans="1:13" s="14" customFormat="1" x14ac:dyDescent="0.25">
      <c r="A713" s="13"/>
      <c r="D713" s="30"/>
      <c r="E713" s="31"/>
      <c r="F713" s="30"/>
      <c r="G713" s="30"/>
      <c r="H713" s="30"/>
      <c r="I713" s="30"/>
      <c r="J713" s="30"/>
      <c r="K713" s="30"/>
      <c r="L713" s="30"/>
      <c r="M713" s="30"/>
    </row>
    <row r="714" spans="1:13" s="14" customFormat="1" x14ac:dyDescent="0.25">
      <c r="A714" s="13"/>
      <c r="D714" s="30"/>
      <c r="E714" s="31"/>
      <c r="F714" s="30"/>
      <c r="G714" s="30"/>
      <c r="H714" s="30"/>
      <c r="I714" s="30"/>
      <c r="J714" s="30"/>
      <c r="K714" s="30"/>
      <c r="L714" s="30"/>
      <c r="M714" s="30"/>
    </row>
    <row r="715" spans="1:13" s="14" customFormat="1" x14ac:dyDescent="0.25">
      <c r="A715" s="13"/>
      <c r="D715" s="30"/>
      <c r="E715" s="31"/>
      <c r="F715" s="30"/>
      <c r="G715" s="30"/>
      <c r="H715" s="30"/>
      <c r="I715" s="30"/>
      <c r="J715" s="30"/>
      <c r="K715" s="30"/>
      <c r="L715" s="30"/>
      <c r="M715" s="30"/>
    </row>
    <row r="716" spans="1:13" s="14" customFormat="1" x14ac:dyDescent="0.25">
      <c r="A716" s="13"/>
      <c r="D716" s="30"/>
      <c r="E716" s="31"/>
      <c r="F716" s="30"/>
      <c r="G716" s="30"/>
      <c r="H716" s="30"/>
      <c r="I716" s="30"/>
      <c r="J716" s="30"/>
      <c r="K716" s="30"/>
      <c r="L716" s="30"/>
      <c r="M716" s="30"/>
    </row>
    <row r="717" spans="1:13" s="14" customFormat="1" x14ac:dyDescent="0.25">
      <c r="A717" s="13"/>
      <c r="D717" s="30"/>
      <c r="E717" s="31"/>
      <c r="F717" s="30"/>
      <c r="G717" s="30"/>
      <c r="H717" s="30"/>
      <c r="I717" s="30"/>
      <c r="J717" s="30"/>
      <c r="K717" s="30"/>
      <c r="L717" s="30"/>
      <c r="M717" s="30"/>
    </row>
    <row r="718" spans="1:13" s="14" customFormat="1" x14ac:dyDescent="0.25">
      <c r="A718" s="13"/>
      <c r="D718" s="30"/>
      <c r="E718" s="31"/>
      <c r="F718" s="30"/>
      <c r="G718" s="30"/>
      <c r="H718" s="30"/>
      <c r="I718" s="30"/>
      <c r="J718" s="30"/>
      <c r="K718" s="30"/>
      <c r="L718" s="30"/>
      <c r="M718" s="30"/>
    </row>
    <row r="719" spans="1:13" s="14" customFormat="1" x14ac:dyDescent="0.25">
      <c r="A719" s="13"/>
      <c r="D719" s="30"/>
      <c r="E719" s="31"/>
      <c r="F719" s="30"/>
      <c r="G719" s="30"/>
      <c r="H719" s="30"/>
      <c r="I719" s="30"/>
      <c r="J719" s="30"/>
      <c r="K719" s="30"/>
      <c r="L719" s="30"/>
      <c r="M719" s="30"/>
    </row>
    <row r="720" spans="1:13" s="14" customFormat="1" x14ac:dyDescent="0.25">
      <c r="A720" s="13"/>
      <c r="D720" s="30"/>
      <c r="E720" s="31"/>
      <c r="F720" s="30"/>
      <c r="G720" s="30"/>
      <c r="H720" s="30"/>
      <c r="I720" s="30"/>
      <c r="J720" s="30"/>
      <c r="K720" s="30"/>
      <c r="L720" s="30"/>
      <c r="M720" s="30"/>
    </row>
    <row r="721" spans="1:13" s="14" customFormat="1" x14ac:dyDescent="0.25">
      <c r="A721" s="13"/>
      <c r="D721" s="30"/>
      <c r="E721" s="31"/>
      <c r="F721" s="30"/>
      <c r="G721" s="30"/>
      <c r="H721" s="30"/>
      <c r="I721" s="30"/>
      <c r="J721" s="30"/>
      <c r="K721" s="30"/>
      <c r="L721" s="30"/>
      <c r="M721" s="30"/>
    </row>
    <row r="722" spans="1:13" s="14" customFormat="1" x14ac:dyDescent="0.25">
      <c r="A722" s="13"/>
      <c r="D722" s="30"/>
      <c r="E722" s="31"/>
      <c r="F722" s="30"/>
      <c r="G722" s="30"/>
      <c r="H722" s="30"/>
      <c r="I722" s="30"/>
      <c r="J722" s="30"/>
      <c r="K722" s="30"/>
      <c r="L722" s="30"/>
      <c r="M722" s="30"/>
    </row>
    <row r="723" spans="1:13" s="14" customFormat="1" x14ac:dyDescent="0.25">
      <c r="A723" s="13"/>
      <c r="D723" s="30"/>
      <c r="E723" s="31"/>
      <c r="F723" s="30"/>
      <c r="G723" s="30"/>
      <c r="H723" s="30"/>
      <c r="I723" s="30"/>
      <c r="J723" s="30"/>
      <c r="K723" s="30"/>
      <c r="L723" s="30"/>
      <c r="M723" s="30"/>
    </row>
    <row r="724" spans="1:13" s="14" customFormat="1" x14ac:dyDescent="0.25">
      <c r="A724" s="13"/>
      <c r="D724" s="30"/>
      <c r="E724" s="31"/>
      <c r="F724" s="30"/>
      <c r="G724" s="30"/>
      <c r="H724" s="30"/>
      <c r="I724" s="30"/>
      <c r="J724" s="30"/>
      <c r="K724" s="30"/>
      <c r="L724" s="30"/>
      <c r="M724" s="30"/>
    </row>
    <row r="725" spans="1:13" s="14" customFormat="1" x14ac:dyDescent="0.25">
      <c r="A725" s="13"/>
      <c r="D725" s="30"/>
      <c r="E725" s="31"/>
      <c r="F725" s="30"/>
      <c r="G725" s="30"/>
      <c r="H725" s="30"/>
      <c r="I725" s="30"/>
      <c r="J725" s="30"/>
      <c r="K725" s="30"/>
      <c r="L725" s="30"/>
      <c r="M725" s="30"/>
    </row>
    <row r="726" spans="1:13" s="14" customFormat="1" x14ac:dyDescent="0.25">
      <c r="A726" s="13"/>
      <c r="D726" s="30"/>
      <c r="E726" s="31"/>
      <c r="F726" s="30"/>
      <c r="G726" s="30"/>
      <c r="H726" s="30"/>
      <c r="I726" s="30"/>
      <c r="J726" s="30"/>
      <c r="K726" s="30"/>
      <c r="L726" s="30"/>
      <c r="M726" s="30"/>
    </row>
    <row r="727" spans="1:13" s="14" customFormat="1" x14ac:dyDescent="0.25">
      <c r="A727" s="13"/>
      <c r="D727" s="30"/>
      <c r="E727" s="31"/>
      <c r="F727" s="30"/>
      <c r="G727" s="30"/>
      <c r="H727" s="30"/>
      <c r="I727" s="30"/>
      <c r="J727" s="30"/>
      <c r="K727" s="30"/>
      <c r="L727" s="30"/>
      <c r="M727" s="30"/>
    </row>
    <row r="728" spans="1:13" s="14" customFormat="1" x14ac:dyDescent="0.25">
      <c r="A728" s="13"/>
      <c r="D728" s="30"/>
      <c r="E728" s="31"/>
      <c r="F728" s="30"/>
      <c r="G728" s="30"/>
      <c r="H728" s="30"/>
      <c r="I728" s="30"/>
      <c r="J728" s="30"/>
      <c r="K728" s="30"/>
      <c r="L728" s="30"/>
      <c r="M728" s="30"/>
    </row>
    <row r="729" spans="1:13" s="14" customFormat="1" x14ac:dyDescent="0.25">
      <c r="A729" s="13"/>
      <c r="D729" s="30"/>
      <c r="E729" s="31"/>
      <c r="F729" s="30"/>
      <c r="G729" s="30"/>
      <c r="H729" s="30"/>
      <c r="I729" s="30"/>
      <c r="J729" s="30"/>
      <c r="K729" s="30"/>
      <c r="L729" s="30"/>
      <c r="M729" s="30"/>
    </row>
    <row r="730" spans="1:13" s="14" customFormat="1" x14ac:dyDescent="0.25">
      <c r="A730" s="13"/>
      <c r="D730" s="30"/>
      <c r="E730" s="31"/>
      <c r="F730" s="30"/>
      <c r="G730" s="30"/>
      <c r="H730" s="30"/>
      <c r="I730" s="30"/>
      <c r="J730" s="30"/>
      <c r="K730" s="30"/>
      <c r="L730" s="30"/>
      <c r="M730" s="30"/>
    </row>
    <row r="731" spans="1:13" s="14" customFormat="1" x14ac:dyDescent="0.25">
      <c r="A731" s="13"/>
      <c r="D731" s="30"/>
      <c r="E731" s="31"/>
      <c r="F731" s="30"/>
      <c r="G731" s="30"/>
      <c r="H731" s="30"/>
      <c r="I731" s="30"/>
      <c r="J731" s="30"/>
      <c r="K731" s="30"/>
      <c r="L731" s="30"/>
      <c r="M731" s="30"/>
    </row>
    <row r="732" spans="1:13" s="14" customFormat="1" x14ac:dyDescent="0.25">
      <c r="A732" s="13"/>
      <c r="D732" s="30"/>
      <c r="E732" s="31"/>
      <c r="F732" s="30"/>
      <c r="G732" s="30"/>
      <c r="H732" s="30"/>
      <c r="I732" s="30"/>
      <c r="J732" s="30"/>
      <c r="K732" s="30"/>
      <c r="L732" s="30"/>
      <c r="M732" s="30"/>
    </row>
    <row r="733" spans="1:13" s="14" customFormat="1" x14ac:dyDescent="0.25">
      <c r="A733" s="13"/>
      <c r="D733" s="30"/>
      <c r="E733" s="31"/>
      <c r="F733" s="30"/>
      <c r="G733" s="30"/>
      <c r="H733" s="30"/>
      <c r="I733" s="30"/>
      <c r="J733" s="30"/>
      <c r="K733" s="30"/>
      <c r="L733" s="30"/>
      <c r="M733" s="30"/>
    </row>
    <row r="734" spans="1:13" s="14" customFormat="1" x14ac:dyDescent="0.25">
      <c r="A734" s="13"/>
      <c r="D734" s="30"/>
      <c r="E734" s="31"/>
      <c r="F734" s="30"/>
      <c r="G734" s="30"/>
      <c r="H734" s="30"/>
      <c r="I734" s="30"/>
      <c r="J734" s="30"/>
      <c r="K734" s="30"/>
      <c r="L734" s="30"/>
      <c r="M734" s="30"/>
    </row>
    <row r="735" spans="1:13" s="14" customFormat="1" x14ac:dyDescent="0.25">
      <c r="A735" s="13"/>
      <c r="D735" s="30"/>
      <c r="E735" s="31"/>
      <c r="F735" s="30"/>
      <c r="G735" s="30"/>
      <c r="H735" s="30"/>
      <c r="I735" s="30"/>
      <c r="J735" s="30"/>
      <c r="K735" s="30"/>
      <c r="L735" s="30"/>
      <c r="M735" s="30"/>
    </row>
    <row r="736" spans="1:13" s="14" customFormat="1" x14ac:dyDescent="0.25">
      <c r="A736" s="13"/>
      <c r="D736" s="30"/>
      <c r="E736" s="31"/>
      <c r="F736" s="30"/>
      <c r="G736" s="30"/>
      <c r="H736" s="30"/>
      <c r="I736" s="30"/>
      <c r="J736" s="30"/>
      <c r="K736" s="30"/>
      <c r="L736" s="30"/>
      <c r="M736" s="30"/>
    </row>
    <row r="737" spans="1:13" s="14" customFormat="1" x14ac:dyDescent="0.25">
      <c r="A737" s="13"/>
      <c r="D737" s="30"/>
      <c r="E737" s="31"/>
      <c r="F737" s="30"/>
      <c r="G737" s="30"/>
      <c r="H737" s="30"/>
      <c r="I737" s="30"/>
      <c r="J737" s="30"/>
      <c r="K737" s="30"/>
      <c r="L737" s="30"/>
      <c r="M737" s="30"/>
    </row>
    <row r="738" spans="1:13" s="14" customFormat="1" x14ac:dyDescent="0.25">
      <c r="A738" s="13"/>
      <c r="D738" s="30"/>
      <c r="E738" s="31"/>
      <c r="F738" s="30"/>
      <c r="G738" s="30"/>
      <c r="H738" s="30"/>
      <c r="I738" s="30"/>
      <c r="J738" s="30"/>
      <c r="K738" s="30"/>
      <c r="L738" s="30"/>
      <c r="M738" s="30"/>
    </row>
    <row r="739" spans="1:13" s="14" customFormat="1" x14ac:dyDescent="0.25">
      <c r="A739" s="13"/>
      <c r="D739" s="30"/>
      <c r="E739" s="31"/>
      <c r="F739" s="30"/>
      <c r="G739" s="30"/>
      <c r="H739" s="30"/>
      <c r="I739" s="30"/>
      <c r="J739" s="30"/>
      <c r="K739" s="30"/>
      <c r="L739" s="30"/>
      <c r="M739" s="30"/>
    </row>
    <row r="740" spans="1:13" s="14" customFormat="1" x14ac:dyDescent="0.25">
      <c r="A740" s="13"/>
      <c r="D740" s="30"/>
      <c r="E740" s="31"/>
      <c r="F740" s="30"/>
      <c r="G740" s="30"/>
      <c r="H740" s="30"/>
      <c r="I740" s="30"/>
      <c r="J740" s="30"/>
      <c r="K740" s="30"/>
      <c r="L740" s="30"/>
      <c r="M740" s="30"/>
    </row>
    <row r="741" spans="1:13" s="14" customFormat="1" x14ac:dyDescent="0.25">
      <c r="A741" s="13"/>
      <c r="D741" s="30"/>
      <c r="E741" s="31"/>
      <c r="F741" s="30"/>
      <c r="G741" s="30"/>
      <c r="H741" s="30"/>
      <c r="I741" s="30"/>
      <c r="J741" s="30"/>
      <c r="K741" s="30"/>
      <c r="L741" s="30"/>
      <c r="M741" s="30"/>
    </row>
    <row r="742" spans="1:13" s="14" customFormat="1" x14ac:dyDescent="0.25">
      <c r="A742" s="13"/>
      <c r="D742" s="30"/>
      <c r="E742" s="31"/>
      <c r="F742" s="30"/>
      <c r="G742" s="30"/>
      <c r="H742" s="30"/>
      <c r="I742" s="30"/>
      <c r="J742" s="30"/>
      <c r="K742" s="30"/>
      <c r="L742" s="30"/>
      <c r="M742" s="30"/>
    </row>
    <row r="743" spans="1:13" s="14" customFormat="1" x14ac:dyDescent="0.25">
      <c r="A743" s="13"/>
      <c r="D743" s="30"/>
      <c r="E743" s="31"/>
      <c r="F743" s="30"/>
      <c r="G743" s="30"/>
      <c r="H743" s="30"/>
      <c r="I743" s="30"/>
      <c r="J743" s="30"/>
      <c r="K743" s="30"/>
      <c r="L743" s="30"/>
      <c r="M743" s="30"/>
    </row>
    <row r="744" spans="1:13" s="14" customFormat="1" x14ac:dyDescent="0.25">
      <c r="A744" s="13"/>
      <c r="D744" s="30"/>
      <c r="E744" s="31"/>
      <c r="F744" s="30"/>
      <c r="G744" s="30"/>
      <c r="H744" s="30"/>
      <c r="I744" s="30"/>
      <c r="J744" s="30"/>
      <c r="K744" s="30"/>
      <c r="L744" s="30"/>
      <c r="M744" s="30"/>
    </row>
    <row r="745" spans="1:13" s="14" customFormat="1" x14ac:dyDescent="0.25">
      <c r="A745" s="13"/>
      <c r="D745" s="30"/>
      <c r="E745" s="31"/>
      <c r="F745" s="30"/>
      <c r="G745" s="30"/>
      <c r="H745" s="30"/>
      <c r="I745" s="30"/>
      <c r="J745" s="30"/>
      <c r="K745" s="30"/>
      <c r="L745" s="30"/>
      <c r="M745" s="30"/>
    </row>
    <row r="746" spans="1:13" s="14" customFormat="1" x14ac:dyDescent="0.25">
      <c r="A746" s="13"/>
      <c r="D746" s="30"/>
      <c r="E746" s="31"/>
      <c r="F746" s="30"/>
      <c r="G746" s="30"/>
      <c r="H746" s="30"/>
      <c r="I746" s="30"/>
      <c r="J746" s="30"/>
      <c r="K746" s="30"/>
      <c r="L746" s="30"/>
      <c r="M746" s="30"/>
    </row>
    <row r="747" spans="1:13" s="14" customFormat="1" x14ac:dyDescent="0.25">
      <c r="A747" s="13"/>
      <c r="D747" s="30"/>
      <c r="E747" s="31"/>
      <c r="F747" s="30"/>
      <c r="G747" s="30"/>
      <c r="H747" s="30"/>
      <c r="I747" s="30"/>
      <c r="J747" s="30"/>
      <c r="K747" s="30"/>
      <c r="L747" s="30"/>
      <c r="M747" s="30"/>
    </row>
    <row r="748" spans="1:13" s="14" customFormat="1" x14ac:dyDescent="0.25">
      <c r="A748" s="13"/>
      <c r="D748" s="30"/>
      <c r="E748" s="31"/>
      <c r="F748" s="30"/>
      <c r="G748" s="30"/>
      <c r="H748" s="30"/>
      <c r="I748" s="30"/>
      <c r="J748" s="30"/>
      <c r="K748" s="30"/>
      <c r="L748" s="30"/>
      <c r="M748" s="30"/>
    </row>
    <row r="749" spans="1:13" s="14" customFormat="1" x14ac:dyDescent="0.25">
      <c r="A749" s="13"/>
      <c r="D749" s="30"/>
      <c r="E749" s="31"/>
      <c r="F749" s="30"/>
      <c r="G749" s="30"/>
      <c r="H749" s="30"/>
      <c r="I749" s="30"/>
      <c r="J749" s="30"/>
      <c r="K749" s="30"/>
      <c r="L749" s="30"/>
      <c r="M749" s="30"/>
    </row>
    <row r="750" spans="1:13" s="14" customFormat="1" x14ac:dyDescent="0.25">
      <c r="A750" s="13"/>
      <c r="D750" s="30"/>
      <c r="E750" s="31"/>
      <c r="F750" s="30"/>
      <c r="G750" s="30"/>
      <c r="H750" s="30"/>
      <c r="I750" s="30"/>
      <c r="J750" s="30"/>
      <c r="K750" s="30"/>
      <c r="L750" s="30"/>
      <c r="M750" s="30"/>
    </row>
    <row r="751" spans="1:13" s="14" customFormat="1" x14ac:dyDescent="0.25">
      <c r="A751" s="13"/>
      <c r="D751" s="30"/>
      <c r="E751" s="31"/>
      <c r="F751" s="30"/>
      <c r="G751" s="30"/>
      <c r="H751" s="30"/>
      <c r="I751" s="30"/>
      <c r="J751" s="30"/>
      <c r="K751" s="30"/>
      <c r="L751" s="30"/>
      <c r="M751" s="30"/>
    </row>
    <row r="752" spans="1:13" s="14" customFormat="1" x14ac:dyDescent="0.25">
      <c r="A752" s="13"/>
      <c r="D752" s="30"/>
      <c r="E752" s="31"/>
      <c r="F752" s="30"/>
      <c r="G752" s="30"/>
      <c r="H752" s="30"/>
      <c r="I752" s="30"/>
      <c r="J752" s="30"/>
      <c r="K752" s="30"/>
      <c r="L752" s="30"/>
      <c r="M752" s="30"/>
    </row>
    <row r="753" spans="1:13" s="14" customFormat="1" x14ac:dyDescent="0.25">
      <c r="A753" s="13"/>
      <c r="D753" s="30"/>
      <c r="E753" s="31"/>
      <c r="F753" s="30"/>
      <c r="G753" s="30"/>
      <c r="H753" s="30"/>
      <c r="I753" s="30"/>
      <c r="J753" s="30"/>
      <c r="K753" s="30"/>
      <c r="L753" s="30"/>
      <c r="M753" s="30"/>
    </row>
    <row r="754" spans="1:13" s="14" customFormat="1" x14ac:dyDescent="0.25">
      <c r="A754" s="13"/>
      <c r="D754" s="30"/>
      <c r="E754" s="31"/>
      <c r="F754" s="30"/>
      <c r="G754" s="30"/>
      <c r="H754" s="30"/>
      <c r="I754" s="30"/>
      <c r="J754" s="30"/>
      <c r="K754" s="30"/>
      <c r="L754" s="30"/>
      <c r="M754" s="30"/>
    </row>
    <row r="755" spans="1:13" s="14" customFormat="1" x14ac:dyDescent="0.25">
      <c r="A755" s="13"/>
      <c r="D755" s="30"/>
      <c r="E755" s="31"/>
      <c r="F755" s="30"/>
      <c r="G755" s="30"/>
      <c r="H755" s="30"/>
      <c r="I755" s="30"/>
      <c r="J755" s="30"/>
      <c r="K755" s="30"/>
      <c r="L755" s="30"/>
      <c r="M755" s="30"/>
    </row>
    <row r="756" spans="1:13" s="14" customFormat="1" x14ac:dyDescent="0.25">
      <c r="A756" s="13"/>
      <c r="D756" s="30"/>
      <c r="E756" s="31"/>
      <c r="F756" s="30"/>
      <c r="G756" s="30"/>
      <c r="H756" s="30"/>
      <c r="I756" s="30"/>
      <c r="J756" s="30"/>
      <c r="K756" s="30"/>
      <c r="L756" s="30"/>
      <c r="M756" s="30"/>
    </row>
    <row r="757" spans="1:13" s="14" customFormat="1" x14ac:dyDescent="0.25">
      <c r="A757" s="13"/>
      <c r="D757" s="30"/>
      <c r="E757" s="31"/>
      <c r="F757" s="30"/>
      <c r="G757" s="30"/>
      <c r="H757" s="30"/>
      <c r="I757" s="30"/>
      <c r="J757" s="30"/>
      <c r="K757" s="30"/>
      <c r="L757" s="30"/>
      <c r="M757" s="30"/>
    </row>
    <row r="758" spans="1:13" s="14" customFormat="1" x14ac:dyDescent="0.25">
      <c r="A758" s="13"/>
      <c r="D758" s="30"/>
      <c r="E758" s="31"/>
      <c r="F758" s="30"/>
      <c r="G758" s="30"/>
      <c r="H758" s="30"/>
      <c r="I758" s="30"/>
      <c r="J758" s="30"/>
      <c r="K758" s="30"/>
      <c r="L758" s="30"/>
      <c r="M758" s="30"/>
    </row>
    <row r="759" spans="1:13" s="14" customFormat="1" x14ac:dyDescent="0.25">
      <c r="A759" s="13"/>
      <c r="D759" s="30"/>
      <c r="E759" s="31"/>
      <c r="F759" s="30"/>
      <c r="G759" s="30"/>
      <c r="H759" s="30"/>
      <c r="I759" s="30"/>
      <c r="J759" s="30"/>
      <c r="K759" s="30"/>
      <c r="L759" s="30"/>
      <c r="M759" s="30"/>
    </row>
    <row r="760" spans="1:13" s="14" customFormat="1" x14ac:dyDescent="0.25">
      <c r="A760" s="13"/>
      <c r="D760" s="30"/>
      <c r="E760" s="31"/>
      <c r="F760" s="30"/>
      <c r="G760" s="30"/>
      <c r="H760" s="30"/>
      <c r="I760" s="30"/>
      <c r="J760" s="30"/>
      <c r="K760" s="30"/>
      <c r="L760" s="30"/>
      <c r="M760" s="30"/>
    </row>
    <row r="761" spans="1:13" s="14" customFormat="1" x14ac:dyDescent="0.25">
      <c r="A761" s="13"/>
      <c r="D761" s="30"/>
      <c r="E761" s="31"/>
      <c r="F761" s="30"/>
      <c r="G761" s="30"/>
      <c r="H761" s="30"/>
      <c r="I761" s="30"/>
      <c r="J761" s="30"/>
      <c r="K761" s="30"/>
      <c r="L761" s="30"/>
      <c r="M761" s="30"/>
    </row>
    <row r="762" spans="1:13" s="14" customFormat="1" x14ac:dyDescent="0.25">
      <c r="A762" s="13"/>
      <c r="D762" s="30"/>
      <c r="E762" s="31"/>
      <c r="F762" s="30"/>
      <c r="G762" s="30"/>
      <c r="H762" s="30"/>
      <c r="I762" s="30"/>
      <c r="J762" s="30"/>
      <c r="K762" s="30"/>
      <c r="L762" s="30"/>
      <c r="M762" s="30"/>
    </row>
    <row r="763" spans="1:13" s="14" customFormat="1" x14ac:dyDescent="0.25">
      <c r="A763" s="13"/>
      <c r="D763" s="30"/>
      <c r="E763" s="31"/>
      <c r="F763" s="30"/>
      <c r="G763" s="30"/>
      <c r="H763" s="30"/>
      <c r="I763" s="30"/>
      <c r="J763" s="30"/>
      <c r="K763" s="30"/>
      <c r="L763" s="30"/>
      <c r="M763" s="30"/>
    </row>
    <row r="764" spans="1:13" s="14" customFormat="1" x14ac:dyDescent="0.25">
      <c r="A764" s="13"/>
      <c r="D764" s="30"/>
      <c r="E764" s="31"/>
      <c r="F764" s="30"/>
      <c r="G764" s="30"/>
      <c r="H764" s="30"/>
      <c r="I764" s="30"/>
      <c r="J764" s="30"/>
      <c r="K764" s="30"/>
      <c r="L764" s="30"/>
      <c r="M764" s="30"/>
    </row>
    <row r="765" spans="1:13" s="14" customFormat="1" x14ac:dyDescent="0.25">
      <c r="A765" s="13"/>
      <c r="D765" s="30"/>
      <c r="E765" s="31"/>
      <c r="F765" s="30"/>
      <c r="G765" s="30"/>
      <c r="H765" s="30"/>
      <c r="I765" s="30"/>
      <c r="J765" s="30"/>
      <c r="K765" s="30"/>
      <c r="L765" s="30"/>
      <c r="M765" s="30"/>
    </row>
    <row r="766" spans="1:13" s="14" customFormat="1" x14ac:dyDescent="0.25">
      <c r="A766" s="13"/>
      <c r="D766" s="30"/>
      <c r="E766" s="31"/>
      <c r="F766" s="30"/>
      <c r="G766" s="30"/>
      <c r="H766" s="30"/>
      <c r="I766" s="30"/>
      <c r="J766" s="30"/>
      <c r="K766" s="30"/>
      <c r="L766" s="30"/>
      <c r="M766" s="30"/>
    </row>
    <row r="767" spans="1:13" s="14" customFormat="1" x14ac:dyDescent="0.25">
      <c r="A767" s="13"/>
      <c r="D767" s="30"/>
      <c r="E767" s="31"/>
      <c r="F767" s="30"/>
      <c r="G767" s="30"/>
      <c r="H767" s="30"/>
      <c r="I767" s="30"/>
      <c r="J767" s="30"/>
      <c r="K767" s="30"/>
      <c r="L767" s="30"/>
      <c r="M767" s="30"/>
    </row>
    <row r="768" spans="1:13" s="14" customFormat="1" x14ac:dyDescent="0.25">
      <c r="A768" s="13"/>
      <c r="D768" s="30"/>
      <c r="E768" s="31"/>
      <c r="F768" s="30"/>
      <c r="G768" s="30"/>
      <c r="H768" s="30"/>
      <c r="I768" s="30"/>
      <c r="J768" s="30"/>
      <c r="K768" s="30"/>
      <c r="L768" s="30"/>
      <c r="M768" s="30"/>
    </row>
    <row r="769" spans="1:13" s="14" customFormat="1" x14ac:dyDescent="0.25">
      <c r="A769" s="13"/>
      <c r="D769" s="30"/>
      <c r="E769" s="31"/>
      <c r="F769" s="30"/>
      <c r="G769" s="30"/>
      <c r="H769" s="30"/>
      <c r="I769" s="30"/>
      <c r="J769" s="30"/>
      <c r="K769" s="30"/>
      <c r="L769" s="30"/>
      <c r="M769" s="30"/>
    </row>
    <row r="770" spans="1:13" s="14" customFormat="1" x14ac:dyDescent="0.25">
      <c r="A770" s="13"/>
      <c r="D770" s="30"/>
      <c r="E770" s="31"/>
      <c r="F770" s="30"/>
      <c r="G770" s="30"/>
      <c r="H770" s="30"/>
      <c r="I770" s="30"/>
      <c r="J770" s="30"/>
      <c r="K770" s="30"/>
      <c r="L770" s="30"/>
      <c r="M770" s="30"/>
    </row>
    <row r="771" spans="1:13" s="14" customFormat="1" x14ac:dyDescent="0.25">
      <c r="A771" s="13"/>
      <c r="D771" s="30"/>
      <c r="E771" s="31"/>
      <c r="F771" s="30"/>
      <c r="G771" s="30"/>
      <c r="H771" s="30"/>
      <c r="I771" s="30"/>
      <c r="J771" s="30"/>
      <c r="K771" s="30"/>
      <c r="L771" s="30"/>
      <c r="M771" s="30"/>
    </row>
    <row r="772" spans="1:13" s="14" customFormat="1" x14ac:dyDescent="0.25">
      <c r="A772" s="13"/>
      <c r="D772" s="30"/>
      <c r="E772" s="31"/>
      <c r="F772" s="30"/>
      <c r="G772" s="30"/>
      <c r="H772" s="30"/>
      <c r="I772" s="30"/>
      <c r="J772" s="30"/>
      <c r="K772" s="30"/>
      <c r="L772" s="30"/>
      <c r="M772" s="30"/>
    </row>
    <row r="773" spans="1:13" s="14" customFormat="1" x14ac:dyDescent="0.25">
      <c r="A773" s="13"/>
      <c r="D773" s="30"/>
      <c r="E773" s="31"/>
      <c r="F773" s="30"/>
      <c r="G773" s="30"/>
      <c r="H773" s="30"/>
      <c r="I773" s="30"/>
      <c r="J773" s="30"/>
      <c r="K773" s="30"/>
      <c r="L773" s="30"/>
      <c r="M773" s="30"/>
    </row>
    <row r="774" spans="1:13" s="14" customFormat="1" x14ac:dyDescent="0.25">
      <c r="A774" s="13"/>
      <c r="D774" s="30"/>
      <c r="E774" s="31"/>
      <c r="F774" s="30"/>
      <c r="G774" s="30"/>
      <c r="H774" s="30"/>
      <c r="I774" s="30"/>
      <c r="J774" s="30"/>
      <c r="K774" s="30"/>
      <c r="L774" s="30"/>
      <c r="M774" s="30"/>
    </row>
    <row r="775" spans="1:13" s="14" customFormat="1" x14ac:dyDescent="0.25">
      <c r="A775" s="13"/>
      <c r="D775" s="30"/>
      <c r="E775" s="31"/>
      <c r="F775" s="30"/>
      <c r="G775" s="30"/>
      <c r="H775" s="30"/>
      <c r="I775" s="30"/>
      <c r="J775" s="30"/>
      <c r="K775" s="30"/>
      <c r="L775" s="30"/>
      <c r="M775" s="30"/>
    </row>
    <row r="776" spans="1:13" s="14" customFormat="1" x14ac:dyDescent="0.25">
      <c r="A776" s="13"/>
      <c r="D776" s="30"/>
      <c r="E776" s="31"/>
      <c r="F776" s="30"/>
      <c r="G776" s="30"/>
      <c r="H776" s="30"/>
      <c r="I776" s="30"/>
      <c r="J776" s="30"/>
      <c r="K776" s="30"/>
      <c r="L776" s="30"/>
      <c r="M776" s="30"/>
    </row>
    <row r="777" spans="1:13" s="14" customFormat="1" x14ac:dyDescent="0.25">
      <c r="A777" s="13"/>
      <c r="D777" s="30"/>
      <c r="E777" s="31"/>
      <c r="F777" s="30"/>
      <c r="G777" s="30"/>
      <c r="H777" s="30"/>
      <c r="I777" s="30"/>
      <c r="J777" s="30"/>
      <c r="K777" s="30"/>
      <c r="L777" s="30"/>
      <c r="M777" s="30"/>
    </row>
    <row r="778" spans="1:13" s="14" customFormat="1" x14ac:dyDescent="0.25">
      <c r="A778" s="13"/>
      <c r="D778" s="30"/>
      <c r="E778" s="31"/>
      <c r="F778" s="30"/>
      <c r="G778" s="30"/>
      <c r="H778" s="30"/>
      <c r="I778" s="30"/>
      <c r="J778" s="30"/>
      <c r="K778" s="30"/>
      <c r="L778" s="30"/>
      <c r="M778" s="30"/>
    </row>
    <row r="779" spans="1:13" s="14" customFormat="1" x14ac:dyDescent="0.25">
      <c r="A779" s="13"/>
      <c r="D779" s="30"/>
      <c r="E779" s="31"/>
      <c r="F779" s="30"/>
      <c r="G779" s="30"/>
      <c r="H779" s="30"/>
      <c r="I779" s="30"/>
      <c r="J779" s="30"/>
      <c r="K779" s="30"/>
      <c r="L779" s="30"/>
      <c r="M779" s="30"/>
    </row>
    <row r="780" spans="1:13" s="14" customFormat="1" x14ac:dyDescent="0.25">
      <c r="A780" s="13"/>
      <c r="D780" s="30"/>
      <c r="E780" s="31"/>
      <c r="F780" s="30"/>
      <c r="G780" s="30"/>
      <c r="H780" s="30"/>
      <c r="I780" s="30"/>
      <c r="J780" s="30"/>
      <c r="K780" s="30"/>
      <c r="L780" s="30"/>
      <c r="M780" s="30"/>
    </row>
    <row r="781" spans="1:13" s="14" customFormat="1" x14ac:dyDescent="0.25">
      <c r="A781" s="13"/>
      <c r="D781" s="30"/>
      <c r="E781" s="31"/>
      <c r="F781" s="30"/>
      <c r="G781" s="30"/>
      <c r="H781" s="30"/>
      <c r="I781" s="30"/>
      <c r="J781" s="30"/>
      <c r="K781" s="30"/>
      <c r="L781" s="30"/>
      <c r="M781" s="30"/>
    </row>
    <row r="782" spans="1:13" s="14" customFormat="1" x14ac:dyDescent="0.25">
      <c r="A782" s="13"/>
      <c r="D782" s="30"/>
      <c r="E782" s="31"/>
      <c r="F782" s="30"/>
      <c r="G782" s="30"/>
      <c r="H782" s="30"/>
      <c r="I782" s="30"/>
      <c r="J782" s="30"/>
      <c r="K782" s="30"/>
      <c r="L782" s="30"/>
      <c r="M782" s="30"/>
    </row>
    <row r="783" spans="1:13" s="14" customFormat="1" x14ac:dyDescent="0.25">
      <c r="A783" s="13"/>
      <c r="D783" s="30"/>
      <c r="E783" s="31"/>
      <c r="F783" s="30"/>
      <c r="G783" s="30"/>
      <c r="H783" s="30"/>
      <c r="I783" s="30"/>
      <c r="J783" s="30"/>
      <c r="K783" s="30"/>
      <c r="L783" s="30"/>
      <c r="M783" s="30"/>
    </row>
    <row r="784" spans="1:13" s="14" customFormat="1" x14ac:dyDescent="0.25">
      <c r="A784" s="13"/>
      <c r="D784" s="30"/>
      <c r="E784" s="31"/>
      <c r="F784" s="30"/>
      <c r="G784" s="30"/>
      <c r="H784" s="30"/>
      <c r="I784" s="30"/>
      <c r="J784" s="30"/>
      <c r="K784" s="30"/>
      <c r="L784" s="30"/>
      <c r="M784" s="30"/>
    </row>
    <row r="785" spans="1:13" s="14" customFormat="1" x14ac:dyDescent="0.25">
      <c r="A785" s="13"/>
      <c r="D785" s="30"/>
      <c r="E785" s="31"/>
      <c r="F785" s="30"/>
      <c r="G785" s="30"/>
      <c r="H785" s="30"/>
      <c r="I785" s="30"/>
      <c r="J785" s="30"/>
      <c r="K785" s="30"/>
      <c r="L785" s="30"/>
      <c r="M785" s="30"/>
    </row>
    <row r="786" spans="1:13" s="14" customFormat="1" x14ac:dyDescent="0.25">
      <c r="A786" s="13"/>
      <c r="D786" s="30"/>
      <c r="E786" s="31"/>
      <c r="F786" s="30"/>
      <c r="G786" s="30"/>
      <c r="H786" s="30"/>
      <c r="I786" s="30"/>
      <c r="J786" s="30"/>
      <c r="K786" s="30"/>
      <c r="L786" s="30"/>
      <c r="M786" s="30"/>
    </row>
    <row r="787" spans="1:13" s="14" customFormat="1" x14ac:dyDescent="0.25">
      <c r="A787" s="13"/>
      <c r="D787" s="30"/>
      <c r="E787" s="31"/>
      <c r="F787" s="30"/>
      <c r="G787" s="30"/>
      <c r="H787" s="30"/>
      <c r="I787" s="30"/>
      <c r="J787" s="30"/>
      <c r="K787" s="30"/>
      <c r="L787" s="30"/>
      <c r="M787" s="30"/>
    </row>
    <row r="788" spans="1:13" s="14" customFormat="1" x14ac:dyDescent="0.25">
      <c r="A788" s="13"/>
      <c r="D788" s="30"/>
      <c r="E788" s="31"/>
      <c r="F788" s="30"/>
      <c r="G788" s="30"/>
      <c r="H788" s="30"/>
      <c r="I788" s="30"/>
      <c r="J788" s="30"/>
      <c r="K788" s="30"/>
      <c r="L788" s="30"/>
      <c r="M788" s="30"/>
    </row>
    <row r="789" spans="1:13" s="14" customFormat="1" x14ac:dyDescent="0.25">
      <c r="A789" s="13"/>
      <c r="D789" s="30"/>
      <c r="E789" s="31"/>
      <c r="F789" s="30"/>
      <c r="G789" s="30"/>
      <c r="H789" s="30"/>
      <c r="I789" s="30"/>
      <c r="J789" s="30"/>
      <c r="K789" s="30"/>
      <c r="L789" s="30"/>
      <c r="M789" s="30"/>
    </row>
    <row r="790" spans="1:13" s="14" customFormat="1" x14ac:dyDescent="0.25">
      <c r="A790" s="13"/>
      <c r="D790" s="30"/>
      <c r="E790" s="31"/>
      <c r="F790" s="30"/>
      <c r="G790" s="30"/>
      <c r="H790" s="30"/>
      <c r="I790" s="30"/>
      <c r="J790" s="30"/>
      <c r="K790" s="30"/>
      <c r="L790" s="30"/>
      <c r="M790" s="30"/>
    </row>
    <row r="791" spans="1:13" s="14" customFormat="1" x14ac:dyDescent="0.25">
      <c r="A791" s="13"/>
      <c r="D791" s="30"/>
      <c r="E791" s="31"/>
      <c r="F791" s="30"/>
      <c r="G791" s="30"/>
      <c r="H791" s="30"/>
      <c r="I791" s="30"/>
      <c r="J791" s="30"/>
      <c r="K791" s="30"/>
      <c r="L791" s="30"/>
      <c r="M791" s="30"/>
    </row>
    <row r="792" spans="1:13" s="14" customFormat="1" x14ac:dyDescent="0.25">
      <c r="A792" s="13"/>
      <c r="D792" s="30"/>
      <c r="E792" s="31"/>
      <c r="F792" s="30"/>
      <c r="G792" s="30"/>
      <c r="H792" s="30"/>
      <c r="I792" s="30"/>
      <c r="J792" s="30"/>
      <c r="K792" s="30"/>
      <c r="L792" s="30"/>
      <c r="M792" s="30"/>
    </row>
    <row r="793" spans="1:13" s="14" customFormat="1" x14ac:dyDescent="0.25">
      <c r="A793" s="13"/>
      <c r="D793" s="30"/>
      <c r="E793" s="31"/>
      <c r="F793" s="30"/>
      <c r="G793" s="30"/>
      <c r="H793" s="30"/>
      <c r="I793" s="30"/>
      <c r="J793" s="30"/>
      <c r="K793" s="30"/>
      <c r="L793" s="30"/>
      <c r="M793" s="30"/>
    </row>
    <row r="794" spans="1:13" s="14" customFormat="1" x14ac:dyDescent="0.25">
      <c r="A794" s="13"/>
      <c r="D794" s="30"/>
      <c r="E794" s="31"/>
      <c r="F794" s="30"/>
      <c r="G794" s="30"/>
      <c r="H794" s="30"/>
      <c r="I794" s="30"/>
      <c r="J794" s="30"/>
      <c r="K794" s="30"/>
      <c r="L794" s="30"/>
      <c r="M794" s="30"/>
    </row>
    <row r="795" spans="1:13" s="14" customFormat="1" x14ac:dyDescent="0.25">
      <c r="A795" s="13"/>
      <c r="D795" s="30"/>
      <c r="E795" s="31"/>
      <c r="F795" s="30"/>
      <c r="G795" s="30"/>
      <c r="H795" s="30"/>
      <c r="I795" s="30"/>
      <c r="J795" s="30"/>
      <c r="K795" s="30"/>
      <c r="L795" s="30"/>
      <c r="M795" s="30"/>
    </row>
    <row r="796" spans="1:13" s="14" customFormat="1" x14ac:dyDescent="0.25">
      <c r="A796" s="13"/>
      <c r="D796" s="30"/>
      <c r="E796" s="31"/>
      <c r="F796" s="30"/>
      <c r="G796" s="30"/>
      <c r="H796" s="30"/>
      <c r="I796" s="30"/>
      <c r="J796" s="30"/>
      <c r="K796" s="30"/>
      <c r="L796" s="30"/>
      <c r="M796" s="30"/>
    </row>
    <row r="797" spans="1:13" s="14" customFormat="1" x14ac:dyDescent="0.25">
      <c r="A797" s="13"/>
      <c r="D797" s="30"/>
      <c r="E797" s="31"/>
      <c r="F797" s="30"/>
      <c r="G797" s="30"/>
      <c r="H797" s="30"/>
      <c r="I797" s="30"/>
      <c r="J797" s="30"/>
      <c r="K797" s="30"/>
      <c r="L797" s="30"/>
      <c r="M797" s="30"/>
    </row>
    <row r="798" spans="1:13" s="14" customFormat="1" x14ac:dyDescent="0.25">
      <c r="A798" s="13"/>
      <c r="D798" s="30"/>
      <c r="E798" s="31"/>
      <c r="F798" s="30"/>
      <c r="G798" s="30"/>
      <c r="H798" s="30"/>
      <c r="I798" s="30"/>
      <c r="J798" s="30"/>
      <c r="K798" s="30"/>
      <c r="L798" s="30"/>
      <c r="M798" s="30"/>
    </row>
    <row r="799" spans="1:13" s="14" customFormat="1" x14ac:dyDescent="0.25">
      <c r="A799" s="13"/>
      <c r="D799" s="30"/>
      <c r="E799" s="31"/>
      <c r="F799" s="30"/>
      <c r="G799" s="30"/>
      <c r="H799" s="30"/>
      <c r="I799" s="30"/>
      <c r="J799" s="30"/>
      <c r="K799" s="30"/>
      <c r="L799" s="30"/>
      <c r="M799" s="30"/>
    </row>
    <row r="800" spans="1:13" s="14" customFormat="1" x14ac:dyDescent="0.25">
      <c r="A800" s="13"/>
      <c r="D800" s="30"/>
      <c r="E800" s="31"/>
      <c r="F800" s="30"/>
      <c r="G800" s="30"/>
      <c r="H800" s="30"/>
      <c r="I800" s="30"/>
      <c r="J800" s="30"/>
      <c r="K800" s="30"/>
      <c r="L800" s="30"/>
      <c r="M800" s="30"/>
    </row>
    <row r="801" spans="1:13" s="14" customFormat="1" x14ac:dyDescent="0.25">
      <c r="A801" s="13"/>
      <c r="D801" s="30"/>
      <c r="E801" s="31"/>
      <c r="F801" s="30"/>
      <c r="G801" s="30"/>
      <c r="H801" s="30"/>
      <c r="I801" s="30"/>
      <c r="J801" s="30"/>
      <c r="K801" s="30"/>
      <c r="L801" s="30"/>
      <c r="M801" s="30"/>
    </row>
    <row r="802" spans="1:13" s="14" customFormat="1" x14ac:dyDescent="0.25">
      <c r="A802" s="13"/>
      <c r="D802" s="30"/>
      <c r="E802" s="31"/>
      <c r="F802" s="30"/>
      <c r="G802" s="30"/>
      <c r="H802" s="30"/>
      <c r="I802" s="30"/>
      <c r="J802" s="30"/>
      <c r="K802" s="30"/>
      <c r="L802" s="30"/>
      <c r="M802" s="30"/>
    </row>
    <row r="803" spans="1:13" s="14" customFormat="1" x14ac:dyDescent="0.25">
      <c r="A803" s="13"/>
      <c r="D803" s="30"/>
      <c r="E803" s="31"/>
      <c r="F803" s="30"/>
      <c r="G803" s="30"/>
      <c r="H803" s="30"/>
      <c r="I803" s="30"/>
      <c r="J803" s="30"/>
      <c r="K803" s="30"/>
      <c r="L803" s="30"/>
      <c r="M803" s="30"/>
    </row>
    <row r="804" spans="1:13" s="14" customFormat="1" x14ac:dyDescent="0.25">
      <c r="A804" s="13"/>
      <c r="D804" s="30"/>
      <c r="E804" s="31"/>
      <c r="F804" s="30"/>
      <c r="G804" s="30"/>
      <c r="H804" s="30"/>
      <c r="I804" s="30"/>
      <c r="J804" s="30"/>
      <c r="K804" s="30"/>
      <c r="L804" s="30"/>
      <c r="M804" s="30"/>
    </row>
    <row r="805" spans="1:13" s="14" customFormat="1" x14ac:dyDescent="0.25">
      <c r="A805" s="13"/>
      <c r="D805" s="30"/>
      <c r="E805" s="31"/>
      <c r="F805" s="30"/>
      <c r="G805" s="30"/>
      <c r="H805" s="30"/>
      <c r="I805" s="30"/>
      <c r="J805" s="30"/>
      <c r="K805" s="30"/>
      <c r="L805" s="30"/>
      <c r="M805" s="30"/>
    </row>
    <row r="806" spans="1:13" s="14" customFormat="1" x14ac:dyDescent="0.25">
      <c r="A806" s="13"/>
      <c r="D806" s="30"/>
      <c r="E806" s="31"/>
      <c r="F806" s="30"/>
      <c r="G806" s="30"/>
      <c r="H806" s="30"/>
      <c r="I806" s="30"/>
      <c r="J806" s="30"/>
      <c r="K806" s="30"/>
      <c r="L806" s="30"/>
      <c r="M806" s="30"/>
    </row>
    <row r="807" spans="1:13" s="14" customFormat="1" x14ac:dyDescent="0.25">
      <c r="A807" s="13"/>
      <c r="D807" s="30"/>
      <c r="E807" s="31"/>
      <c r="F807" s="30"/>
      <c r="G807" s="30"/>
      <c r="H807" s="30"/>
      <c r="I807" s="30"/>
      <c r="J807" s="30"/>
      <c r="K807" s="30"/>
      <c r="L807" s="30"/>
      <c r="M807" s="30"/>
    </row>
    <row r="808" spans="1:13" s="14" customFormat="1" x14ac:dyDescent="0.25">
      <c r="A808" s="13"/>
      <c r="D808" s="30"/>
      <c r="E808" s="31"/>
      <c r="F808" s="30"/>
      <c r="G808" s="30"/>
      <c r="H808" s="30"/>
      <c r="I808" s="30"/>
      <c r="J808" s="30"/>
      <c r="K808" s="30"/>
      <c r="L808" s="30"/>
      <c r="M808" s="30"/>
    </row>
    <row r="809" spans="1:13" s="14" customFormat="1" x14ac:dyDescent="0.25">
      <c r="A809" s="13"/>
      <c r="D809" s="30"/>
      <c r="E809" s="31"/>
      <c r="F809" s="30"/>
      <c r="G809" s="30"/>
      <c r="H809" s="30"/>
      <c r="I809" s="30"/>
      <c r="J809" s="30"/>
      <c r="K809" s="30"/>
      <c r="L809" s="30"/>
      <c r="M809" s="30"/>
    </row>
    <row r="810" spans="1:13" s="14" customFormat="1" x14ac:dyDescent="0.25">
      <c r="A810" s="13"/>
      <c r="D810" s="30"/>
      <c r="E810" s="31"/>
      <c r="F810" s="30"/>
      <c r="G810" s="30"/>
      <c r="H810" s="30"/>
      <c r="I810" s="30"/>
      <c r="J810" s="30"/>
      <c r="K810" s="30"/>
      <c r="L810" s="30"/>
      <c r="M810" s="30"/>
    </row>
    <row r="811" spans="1:13" s="14" customFormat="1" x14ac:dyDescent="0.25">
      <c r="A811" s="13"/>
      <c r="D811" s="30"/>
      <c r="E811" s="31"/>
      <c r="F811" s="30"/>
      <c r="G811" s="30"/>
      <c r="H811" s="30"/>
      <c r="I811" s="30"/>
      <c r="J811" s="30"/>
      <c r="K811" s="30"/>
      <c r="L811" s="30"/>
      <c r="M811" s="30"/>
    </row>
    <row r="812" spans="1:13" s="14" customFormat="1" x14ac:dyDescent="0.25">
      <c r="A812" s="13"/>
      <c r="D812" s="30"/>
      <c r="E812" s="31"/>
      <c r="F812" s="30"/>
      <c r="G812" s="30"/>
      <c r="H812" s="30"/>
      <c r="I812" s="30"/>
      <c r="J812" s="30"/>
      <c r="K812" s="30"/>
      <c r="L812" s="30"/>
      <c r="M812" s="30"/>
    </row>
    <row r="813" spans="1:13" s="14" customFormat="1" x14ac:dyDescent="0.25">
      <c r="A813" s="13"/>
      <c r="D813" s="30"/>
      <c r="E813" s="31"/>
      <c r="F813" s="30"/>
      <c r="G813" s="30"/>
      <c r="H813" s="30"/>
      <c r="I813" s="30"/>
      <c r="J813" s="30"/>
      <c r="K813" s="30"/>
      <c r="L813" s="30"/>
      <c r="M813" s="30"/>
    </row>
    <row r="814" spans="1:13" s="14" customFormat="1" x14ac:dyDescent="0.25">
      <c r="A814" s="13"/>
      <c r="D814" s="30"/>
      <c r="E814" s="31"/>
      <c r="F814" s="30"/>
      <c r="G814" s="30"/>
      <c r="H814" s="30"/>
      <c r="I814" s="30"/>
      <c r="J814" s="30"/>
      <c r="K814" s="30"/>
      <c r="L814" s="30"/>
      <c r="M814" s="30"/>
    </row>
    <row r="815" spans="1:13" s="14" customFormat="1" x14ac:dyDescent="0.25">
      <c r="A815" s="13"/>
      <c r="D815" s="30"/>
      <c r="E815" s="31"/>
      <c r="F815" s="30"/>
      <c r="G815" s="30"/>
      <c r="H815" s="30"/>
      <c r="I815" s="30"/>
      <c r="J815" s="30"/>
      <c r="K815" s="30"/>
      <c r="L815" s="30"/>
      <c r="M815" s="30"/>
    </row>
    <row r="816" spans="1:13" s="14" customFormat="1" x14ac:dyDescent="0.25">
      <c r="A816" s="13"/>
      <c r="D816" s="30"/>
      <c r="E816" s="31"/>
      <c r="F816" s="30"/>
      <c r="G816" s="30"/>
      <c r="H816" s="30"/>
      <c r="I816" s="30"/>
      <c r="J816" s="30"/>
      <c r="K816" s="30"/>
      <c r="L816" s="30"/>
      <c r="M816" s="30"/>
    </row>
    <row r="817" spans="1:13" s="14" customFormat="1" x14ac:dyDescent="0.25">
      <c r="A817" s="13"/>
      <c r="D817" s="30"/>
      <c r="E817" s="31"/>
      <c r="F817" s="30"/>
      <c r="G817" s="30"/>
      <c r="H817" s="30"/>
      <c r="I817" s="30"/>
      <c r="J817" s="30"/>
      <c r="K817" s="30"/>
      <c r="L817" s="30"/>
      <c r="M817" s="30"/>
    </row>
    <row r="818" spans="1:13" s="14" customFormat="1" x14ac:dyDescent="0.25">
      <c r="A818" s="13"/>
      <c r="D818" s="30"/>
      <c r="E818" s="31"/>
      <c r="F818" s="30"/>
      <c r="G818" s="30"/>
      <c r="H818" s="30"/>
      <c r="I818" s="30"/>
      <c r="J818" s="30"/>
      <c r="K818" s="30"/>
      <c r="L818" s="30"/>
      <c r="M818" s="30"/>
    </row>
    <row r="819" spans="1:13" s="14" customFormat="1" x14ac:dyDescent="0.25">
      <c r="A819" s="13"/>
      <c r="D819" s="30"/>
      <c r="E819" s="31"/>
      <c r="F819" s="30"/>
      <c r="G819" s="30"/>
      <c r="H819" s="30"/>
      <c r="I819" s="30"/>
      <c r="J819" s="30"/>
      <c r="K819" s="30"/>
      <c r="L819" s="30"/>
      <c r="M819" s="30"/>
    </row>
    <row r="820" spans="1:13" s="14" customFormat="1" x14ac:dyDescent="0.25">
      <c r="A820" s="13"/>
      <c r="D820" s="30"/>
      <c r="E820" s="31"/>
      <c r="F820" s="30"/>
      <c r="G820" s="30"/>
      <c r="H820" s="30"/>
      <c r="I820" s="30"/>
      <c r="J820" s="30"/>
      <c r="K820" s="30"/>
      <c r="L820" s="30"/>
      <c r="M820" s="30"/>
    </row>
    <row r="821" spans="1:13" s="14" customFormat="1" x14ac:dyDescent="0.25">
      <c r="A821" s="13"/>
      <c r="D821" s="30"/>
      <c r="E821" s="31"/>
      <c r="F821" s="30"/>
      <c r="G821" s="30"/>
      <c r="H821" s="30"/>
      <c r="I821" s="30"/>
      <c r="J821" s="30"/>
      <c r="K821" s="30"/>
      <c r="L821" s="30"/>
      <c r="M821" s="30"/>
    </row>
    <row r="822" spans="1:13" s="14" customFormat="1" x14ac:dyDescent="0.25">
      <c r="A822" s="13"/>
      <c r="D822" s="30"/>
      <c r="E822" s="31"/>
      <c r="F822" s="30"/>
      <c r="G822" s="30"/>
      <c r="H822" s="30"/>
      <c r="I822" s="30"/>
      <c r="J822" s="30"/>
      <c r="K822" s="30"/>
      <c r="L822" s="30"/>
      <c r="M822" s="30"/>
    </row>
    <row r="823" spans="1:13" s="14" customFormat="1" x14ac:dyDescent="0.25">
      <c r="A823" s="13"/>
      <c r="D823" s="30"/>
      <c r="E823" s="31"/>
      <c r="F823" s="30"/>
      <c r="G823" s="30"/>
      <c r="H823" s="30"/>
      <c r="I823" s="30"/>
      <c r="J823" s="30"/>
      <c r="K823" s="30"/>
      <c r="L823" s="30"/>
      <c r="M823" s="30"/>
    </row>
    <row r="824" spans="1:13" s="14" customFormat="1" x14ac:dyDescent="0.25">
      <c r="A824" s="13"/>
      <c r="D824" s="30"/>
      <c r="E824" s="31"/>
      <c r="F824" s="30"/>
      <c r="G824" s="30"/>
      <c r="H824" s="30"/>
      <c r="I824" s="30"/>
      <c r="J824" s="30"/>
      <c r="K824" s="30"/>
      <c r="L824" s="30"/>
      <c r="M824" s="30"/>
    </row>
    <row r="825" spans="1:13" s="14" customFormat="1" x14ac:dyDescent="0.25">
      <c r="A825" s="13"/>
      <c r="D825" s="30"/>
      <c r="E825" s="31"/>
      <c r="F825" s="30"/>
      <c r="G825" s="30"/>
      <c r="H825" s="30"/>
      <c r="I825" s="30"/>
      <c r="J825" s="30"/>
      <c r="K825" s="30"/>
      <c r="L825" s="30"/>
      <c r="M825" s="30"/>
    </row>
    <row r="826" spans="1:13" s="14" customFormat="1" x14ac:dyDescent="0.25">
      <c r="A826" s="13"/>
      <c r="D826" s="30"/>
      <c r="E826" s="31"/>
      <c r="F826" s="30"/>
      <c r="G826" s="30"/>
      <c r="H826" s="30"/>
      <c r="I826" s="30"/>
      <c r="J826" s="30"/>
      <c r="K826" s="30"/>
      <c r="L826" s="30"/>
      <c r="M826" s="30"/>
    </row>
    <row r="827" spans="1:13" s="14" customFormat="1" x14ac:dyDescent="0.25">
      <c r="A827" s="13"/>
      <c r="D827" s="30"/>
      <c r="E827" s="31"/>
      <c r="F827" s="30"/>
      <c r="G827" s="30"/>
      <c r="H827" s="30"/>
      <c r="I827" s="30"/>
      <c r="J827" s="30"/>
      <c r="K827" s="30"/>
      <c r="L827" s="30"/>
      <c r="M827" s="30"/>
    </row>
    <row r="828" spans="1:13" s="14" customFormat="1" x14ac:dyDescent="0.25">
      <c r="A828" s="13"/>
      <c r="D828" s="30"/>
      <c r="E828" s="31"/>
      <c r="F828" s="30"/>
      <c r="G828" s="30"/>
      <c r="H828" s="30"/>
      <c r="I828" s="30"/>
      <c r="J828" s="30"/>
      <c r="K828" s="30"/>
      <c r="L828" s="30"/>
      <c r="M828" s="30"/>
    </row>
    <row r="829" spans="1:13" s="14" customFormat="1" x14ac:dyDescent="0.25">
      <c r="A829" s="13"/>
      <c r="D829" s="30"/>
      <c r="E829" s="31"/>
      <c r="F829" s="30"/>
      <c r="G829" s="30"/>
      <c r="H829" s="30"/>
      <c r="I829" s="30"/>
      <c r="J829" s="30"/>
      <c r="K829" s="30"/>
      <c r="L829" s="30"/>
      <c r="M829" s="30"/>
    </row>
    <row r="830" spans="1:13" s="14" customFormat="1" x14ac:dyDescent="0.25">
      <c r="A830" s="13"/>
      <c r="D830" s="30"/>
      <c r="E830" s="31"/>
      <c r="F830" s="30"/>
      <c r="G830" s="30"/>
      <c r="H830" s="30"/>
      <c r="I830" s="30"/>
      <c r="J830" s="30"/>
      <c r="K830" s="30"/>
      <c r="L830" s="30"/>
      <c r="M830" s="30"/>
    </row>
    <row r="831" spans="1:13" s="14" customFormat="1" x14ac:dyDescent="0.25">
      <c r="A831" s="13"/>
      <c r="D831" s="30"/>
      <c r="E831" s="31"/>
      <c r="F831" s="30"/>
      <c r="G831" s="30"/>
      <c r="H831" s="30"/>
      <c r="I831" s="30"/>
      <c r="J831" s="30"/>
      <c r="K831" s="30"/>
      <c r="L831" s="30"/>
      <c r="M831" s="30"/>
    </row>
    <row r="832" spans="1:13" s="14" customFormat="1" x14ac:dyDescent="0.25">
      <c r="A832" s="13"/>
      <c r="D832" s="30"/>
      <c r="E832" s="31"/>
      <c r="F832" s="30"/>
      <c r="G832" s="30"/>
      <c r="H832" s="30"/>
      <c r="I832" s="30"/>
      <c r="J832" s="30"/>
      <c r="K832" s="30"/>
      <c r="L832" s="30"/>
      <c r="M832" s="30"/>
    </row>
    <row r="833" spans="1:13" s="14" customFormat="1" x14ac:dyDescent="0.25">
      <c r="A833" s="13"/>
      <c r="D833" s="30"/>
      <c r="E833" s="31"/>
      <c r="F833" s="30"/>
      <c r="G833" s="30"/>
      <c r="H833" s="30"/>
      <c r="I833" s="30"/>
      <c r="J833" s="30"/>
      <c r="K833" s="30"/>
      <c r="L833" s="30"/>
      <c r="M833" s="30"/>
    </row>
    <row r="834" spans="1:13" s="14" customFormat="1" x14ac:dyDescent="0.25">
      <c r="A834" s="13"/>
      <c r="D834" s="30"/>
      <c r="E834" s="31"/>
      <c r="F834" s="30"/>
      <c r="G834" s="30"/>
      <c r="H834" s="30"/>
      <c r="I834" s="30"/>
      <c r="J834" s="30"/>
      <c r="K834" s="30"/>
      <c r="L834" s="30"/>
      <c r="M834" s="30"/>
    </row>
    <row r="835" spans="1:13" s="14" customFormat="1" x14ac:dyDescent="0.25">
      <c r="A835" s="13"/>
      <c r="D835" s="30"/>
      <c r="E835" s="31"/>
      <c r="F835" s="30"/>
      <c r="G835" s="30"/>
      <c r="H835" s="30"/>
      <c r="I835" s="30"/>
      <c r="J835" s="30"/>
      <c r="K835" s="30"/>
      <c r="L835" s="30"/>
      <c r="M835" s="30"/>
    </row>
    <row r="836" spans="1:13" s="14" customFormat="1" x14ac:dyDescent="0.25">
      <c r="A836" s="13"/>
      <c r="D836" s="30"/>
      <c r="E836" s="31"/>
      <c r="F836" s="30"/>
      <c r="G836" s="30"/>
      <c r="H836" s="30"/>
      <c r="I836" s="30"/>
      <c r="J836" s="30"/>
      <c r="K836" s="30"/>
      <c r="L836" s="30"/>
      <c r="M836" s="30"/>
    </row>
    <row r="837" spans="1:13" s="14" customFormat="1" x14ac:dyDescent="0.25">
      <c r="A837" s="13"/>
      <c r="D837" s="30"/>
      <c r="E837" s="31"/>
      <c r="F837" s="30"/>
      <c r="G837" s="30"/>
      <c r="H837" s="30"/>
      <c r="I837" s="30"/>
      <c r="J837" s="30"/>
      <c r="K837" s="30"/>
      <c r="L837" s="30"/>
      <c r="M837" s="30"/>
    </row>
    <row r="838" spans="1:13" s="14" customFormat="1" x14ac:dyDescent="0.25">
      <c r="A838" s="13"/>
      <c r="D838" s="30"/>
      <c r="E838" s="31"/>
      <c r="F838" s="30"/>
      <c r="G838" s="30"/>
      <c r="H838" s="30"/>
      <c r="I838" s="30"/>
      <c r="J838" s="30"/>
      <c r="K838" s="30"/>
      <c r="L838" s="30"/>
      <c r="M838" s="30"/>
    </row>
    <row r="839" spans="1:13" s="14" customFormat="1" x14ac:dyDescent="0.25">
      <c r="A839" s="13"/>
      <c r="D839" s="30"/>
      <c r="E839" s="31"/>
      <c r="F839" s="30"/>
      <c r="G839" s="30"/>
      <c r="H839" s="30"/>
      <c r="I839" s="30"/>
      <c r="J839" s="30"/>
      <c r="K839" s="30"/>
      <c r="L839" s="30"/>
      <c r="M839" s="30"/>
    </row>
    <row r="840" spans="1:13" s="14" customFormat="1" x14ac:dyDescent="0.25">
      <c r="A840" s="13"/>
      <c r="D840" s="30"/>
      <c r="E840" s="31"/>
      <c r="F840" s="30"/>
      <c r="G840" s="30"/>
      <c r="H840" s="30"/>
      <c r="I840" s="30"/>
      <c r="J840" s="30"/>
      <c r="K840" s="30"/>
      <c r="L840" s="30"/>
      <c r="M840" s="30"/>
    </row>
    <row r="841" spans="1:13" s="14" customFormat="1" x14ac:dyDescent="0.25">
      <c r="A841" s="13"/>
      <c r="D841" s="30"/>
      <c r="E841" s="31"/>
      <c r="F841" s="30"/>
      <c r="G841" s="30"/>
      <c r="H841" s="30"/>
      <c r="I841" s="30"/>
      <c r="J841" s="30"/>
      <c r="K841" s="30"/>
      <c r="L841" s="30"/>
      <c r="M841" s="30"/>
    </row>
    <row r="842" spans="1:13" s="14" customFormat="1" x14ac:dyDescent="0.25">
      <c r="A842" s="13"/>
      <c r="D842" s="30"/>
      <c r="E842" s="31"/>
      <c r="F842" s="30"/>
      <c r="G842" s="30"/>
      <c r="H842" s="30"/>
      <c r="I842" s="30"/>
      <c r="J842" s="30"/>
      <c r="K842" s="30"/>
      <c r="L842" s="30"/>
      <c r="M842" s="30"/>
    </row>
    <row r="843" spans="1:13" s="14" customFormat="1" x14ac:dyDescent="0.25">
      <c r="A843" s="13"/>
      <c r="D843" s="30"/>
      <c r="E843" s="31"/>
      <c r="F843" s="30"/>
      <c r="G843" s="30"/>
      <c r="H843" s="30"/>
      <c r="I843" s="30"/>
      <c r="J843" s="30"/>
      <c r="K843" s="30"/>
      <c r="L843" s="30"/>
      <c r="M843" s="30"/>
    </row>
    <row r="844" spans="1:13" s="14" customFormat="1" x14ac:dyDescent="0.25">
      <c r="A844" s="13"/>
      <c r="D844" s="30"/>
      <c r="E844" s="31"/>
      <c r="F844" s="30"/>
      <c r="G844" s="30"/>
      <c r="H844" s="30"/>
      <c r="I844" s="30"/>
      <c r="J844" s="30"/>
      <c r="K844" s="30"/>
      <c r="L844" s="30"/>
      <c r="M844" s="30"/>
    </row>
    <row r="845" spans="1:13" s="14" customFormat="1" x14ac:dyDescent="0.25">
      <c r="A845" s="13"/>
      <c r="D845" s="30"/>
      <c r="E845" s="31"/>
      <c r="F845" s="30"/>
      <c r="G845" s="30"/>
      <c r="H845" s="30"/>
      <c r="I845" s="30"/>
      <c r="J845" s="30"/>
      <c r="K845" s="30"/>
      <c r="L845" s="30"/>
      <c r="M845" s="30"/>
    </row>
    <row r="846" spans="1:13" s="14" customFormat="1" x14ac:dyDescent="0.25">
      <c r="A846" s="13"/>
      <c r="D846" s="30"/>
      <c r="E846" s="31"/>
      <c r="F846" s="30"/>
      <c r="G846" s="30"/>
      <c r="H846" s="30"/>
      <c r="I846" s="30"/>
      <c r="J846" s="30"/>
      <c r="K846" s="30"/>
      <c r="L846" s="30"/>
      <c r="M846" s="30"/>
    </row>
    <row r="847" spans="1:13" s="14" customFormat="1" x14ac:dyDescent="0.25">
      <c r="A847" s="13"/>
      <c r="D847" s="30"/>
      <c r="E847" s="31"/>
      <c r="F847" s="30"/>
      <c r="G847" s="30"/>
      <c r="H847" s="30"/>
      <c r="I847" s="30"/>
      <c r="J847" s="30"/>
      <c r="K847" s="30"/>
      <c r="L847" s="30"/>
      <c r="M847" s="30"/>
    </row>
    <row r="848" spans="1:13" s="14" customFormat="1" x14ac:dyDescent="0.25">
      <c r="A848" s="13"/>
      <c r="D848" s="30"/>
      <c r="E848" s="31"/>
      <c r="F848" s="30"/>
      <c r="G848" s="30"/>
      <c r="H848" s="30"/>
      <c r="I848" s="30"/>
      <c r="J848" s="30"/>
      <c r="K848" s="30"/>
      <c r="L848" s="30"/>
      <c r="M848" s="30"/>
    </row>
    <row r="849" spans="1:13" s="14" customFormat="1" x14ac:dyDescent="0.25">
      <c r="A849" s="13"/>
      <c r="D849" s="30"/>
      <c r="E849" s="31"/>
      <c r="F849" s="30"/>
      <c r="G849" s="30"/>
      <c r="H849" s="30"/>
      <c r="I849" s="30"/>
      <c r="J849" s="30"/>
      <c r="K849" s="30"/>
      <c r="L849" s="30"/>
      <c r="M849" s="30"/>
    </row>
    <row r="850" spans="1:13" s="14" customFormat="1" x14ac:dyDescent="0.25">
      <c r="A850" s="13"/>
      <c r="D850" s="30"/>
      <c r="E850" s="31"/>
      <c r="F850" s="30"/>
      <c r="G850" s="30"/>
      <c r="H850" s="30"/>
      <c r="I850" s="30"/>
      <c r="J850" s="30"/>
      <c r="K850" s="30"/>
      <c r="L850" s="30"/>
      <c r="M850" s="30"/>
    </row>
    <row r="851" spans="1:13" s="14" customFormat="1" x14ac:dyDescent="0.25">
      <c r="A851" s="13"/>
      <c r="D851" s="30"/>
      <c r="E851" s="31"/>
      <c r="F851" s="30"/>
      <c r="G851" s="30"/>
      <c r="H851" s="30"/>
      <c r="I851" s="30"/>
      <c r="J851" s="30"/>
      <c r="K851" s="30"/>
      <c r="L851" s="30"/>
      <c r="M851" s="30"/>
    </row>
    <row r="852" spans="1:13" s="14" customFormat="1" x14ac:dyDescent="0.25">
      <c r="A852" s="13"/>
      <c r="D852" s="30"/>
      <c r="E852" s="31"/>
      <c r="F852" s="30"/>
      <c r="G852" s="30"/>
      <c r="H852" s="30"/>
      <c r="I852" s="30"/>
      <c r="J852" s="30"/>
      <c r="K852" s="30"/>
      <c r="L852" s="30"/>
      <c r="M852" s="30"/>
    </row>
    <row r="853" spans="1:13" s="14" customFormat="1" x14ac:dyDescent="0.25">
      <c r="A853" s="13"/>
      <c r="D853" s="30"/>
      <c r="E853" s="31"/>
      <c r="F853" s="30"/>
      <c r="G853" s="30"/>
      <c r="H853" s="30"/>
      <c r="I853" s="30"/>
      <c r="J853" s="30"/>
      <c r="K853" s="30"/>
      <c r="L853" s="30"/>
      <c r="M853" s="30"/>
    </row>
    <row r="854" spans="1:13" s="14" customFormat="1" x14ac:dyDescent="0.25">
      <c r="A854" s="13"/>
      <c r="D854" s="30"/>
      <c r="E854" s="31"/>
      <c r="F854" s="30"/>
      <c r="G854" s="30"/>
      <c r="H854" s="30"/>
      <c r="I854" s="30"/>
      <c r="J854" s="30"/>
      <c r="K854" s="30"/>
      <c r="L854" s="30"/>
      <c r="M854" s="30"/>
    </row>
    <row r="855" spans="1:13" s="14" customFormat="1" x14ac:dyDescent="0.25">
      <c r="A855" s="13"/>
      <c r="D855" s="30"/>
      <c r="E855" s="31"/>
      <c r="F855" s="30"/>
      <c r="G855" s="30"/>
      <c r="H855" s="30"/>
      <c r="I855" s="30"/>
      <c r="J855" s="30"/>
      <c r="K855" s="30"/>
      <c r="L855" s="30"/>
      <c r="M855" s="30"/>
    </row>
    <row r="856" spans="1:13" s="14" customFormat="1" x14ac:dyDescent="0.25">
      <c r="A856" s="13"/>
      <c r="D856" s="30"/>
      <c r="E856" s="31"/>
      <c r="F856" s="30"/>
      <c r="G856" s="30"/>
      <c r="H856" s="30"/>
      <c r="I856" s="30"/>
      <c r="J856" s="30"/>
      <c r="K856" s="30"/>
      <c r="L856" s="30"/>
      <c r="M856" s="30"/>
    </row>
    <row r="857" spans="1:13" s="14" customFormat="1" x14ac:dyDescent="0.25">
      <c r="A857" s="13"/>
      <c r="D857" s="30"/>
      <c r="E857" s="31"/>
      <c r="F857" s="30"/>
      <c r="G857" s="30"/>
      <c r="H857" s="30"/>
      <c r="I857" s="30"/>
      <c r="J857" s="30"/>
      <c r="K857" s="30"/>
      <c r="L857" s="30"/>
      <c r="M857" s="30"/>
    </row>
    <row r="858" spans="1:13" s="14" customFormat="1" x14ac:dyDescent="0.25">
      <c r="A858" s="13"/>
      <c r="D858" s="30"/>
      <c r="E858" s="31"/>
      <c r="F858" s="30"/>
      <c r="G858" s="30"/>
      <c r="H858" s="30"/>
      <c r="I858" s="30"/>
      <c r="J858" s="30"/>
      <c r="K858" s="30"/>
      <c r="L858" s="30"/>
      <c r="M858" s="30"/>
    </row>
    <row r="859" spans="1:13" s="14" customFormat="1" x14ac:dyDescent="0.25">
      <c r="A859" s="13"/>
      <c r="D859" s="30"/>
      <c r="E859" s="31"/>
      <c r="F859" s="30"/>
      <c r="G859" s="30"/>
      <c r="H859" s="30"/>
      <c r="I859" s="30"/>
      <c r="J859" s="30"/>
      <c r="K859" s="30"/>
      <c r="L859" s="30"/>
      <c r="M859" s="30"/>
    </row>
    <row r="860" spans="1:13" s="14" customFormat="1" x14ac:dyDescent="0.25">
      <c r="A860" s="13"/>
      <c r="D860" s="30"/>
      <c r="E860" s="31"/>
      <c r="F860" s="30"/>
      <c r="G860" s="30"/>
      <c r="H860" s="30"/>
      <c r="I860" s="30"/>
      <c r="J860" s="30"/>
      <c r="K860" s="30"/>
      <c r="L860" s="30"/>
      <c r="M860" s="30"/>
    </row>
    <row r="861" spans="1:13" s="14" customFormat="1" x14ac:dyDescent="0.25">
      <c r="A861" s="13"/>
      <c r="D861" s="30"/>
      <c r="E861" s="31"/>
      <c r="F861" s="30"/>
      <c r="G861" s="30"/>
      <c r="H861" s="30"/>
      <c r="I861" s="30"/>
      <c r="J861" s="30"/>
      <c r="K861" s="30"/>
      <c r="L861" s="30"/>
      <c r="M861" s="30"/>
    </row>
    <row r="862" spans="1:13" s="14" customFormat="1" x14ac:dyDescent="0.25">
      <c r="A862" s="13"/>
      <c r="D862" s="30"/>
      <c r="E862" s="31"/>
      <c r="F862" s="30"/>
      <c r="G862" s="30"/>
      <c r="H862" s="30"/>
      <c r="I862" s="30"/>
      <c r="J862" s="30"/>
      <c r="K862" s="30"/>
      <c r="L862" s="30"/>
      <c r="M862" s="30"/>
    </row>
    <row r="863" spans="1:13" s="14" customFormat="1" x14ac:dyDescent="0.25">
      <c r="A863" s="13"/>
      <c r="D863" s="30"/>
      <c r="E863" s="31"/>
      <c r="F863" s="30"/>
      <c r="G863" s="30"/>
      <c r="H863" s="30"/>
      <c r="I863" s="30"/>
      <c r="J863" s="30"/>
      <c r="K863" s="30"/>
      <c r="L863" s="30"/>
      <c r="M863" s="30"/>
    </row>
    <row r="864" spans="1:13" s="14" customFormat="1" x14ac:dyDescent="0.25">
      <c r="A864" s="13"/>
      <c r="D864" s="30"/>
      <c r="E864" s="31"/>
      <c r="F864" s="30"/>
      <c r="G864" s="30"/>
      <c r="H864" s="30"/>
      <c r="I864" s="30"/>
      <c r="J864" s="30"/>
      <c r="K864" s="30"/>
      <c r="L864" s="30"/>
      <c r="M864" s="30"/>
    </row>
    <row r="865" spans="1:13" s="14" customFormat="1" x14ac:dyDescent="0.25">
      <c r="A865" s="13"/>
      <c r="D865" s="30"/>
      <c r="E865" s="31"/>
      <c r="F865" s="30"/>
      <c r="G865" s="30"/>
      <c r="H865" s="30"/>
      <c r="I865" s="30"/>
      <c r="J865" s="30"/>
      <c r="K865" s="30"/>
      <c r="L865" s="30"/>
      <c r="M865" s="30"/>
    </row>
    <row r="866" spans="1:13" s="14" customFormat="1" x14ac:dyDescent="0.25">
      <c r="A866" s="13"/>
      <c r="D866" s="30"/>
      <c r="E866" s="31"/>
      <c r="F866" s="30"/>
      <c r="G866" s="30"/>
      <c r="H866" s="30"/>
      <c r="I866" s="30"/>
      <c r="J866" s="30"/>
      <c r="K866" s="30"/>
      <c r="L866" s="30"/>
      <c r="M866" s="30"/>
    </row>
    <row r="867" spans="1:13" s="14" customFormat="1" x14ac:dyDescent="0.25">
      <c r="A867" s="13"/>
      <c r="D867" s="30"/>
      <c r="E867" s="31"/>
      <c r="F867" s="30"/>
      <c r="G867" s="30"/>
      <c r="H867" s="30"/>
      <c r="I867" s="30"/>
      <c r="J867" s="30"/>
      <c r="K867" s="30"/>
      <c r="L867" s="30"/>
      <c r="M867" s="30"/>
    </row>
    <row r="868" spans="1:13" s="14" customFormat="1" x14ac:dyDescent="0.25">
      <c r="A868" s="13"/>
      <c r="D868" s="30"/>
      <c r="E868" s="31"/>
      <c r="F868" s="30"/>
      <c r="G868" s="30"/>
      <c r="H868" s="30"/>
      <c r="I868" s="30"/>
      <c r="J868" s="30"/>
      <c r="K868" s="30"/>
      <c r="L868" s="30"/>
      <c r="M868" s="30"/>
    </row>
    <row r="869" spans="1:13" s="14" customFormat="1" x14ac:dyDescent="0.25">
      <c r="A869" s="13"/>
      <c r="D869" s="30"/>
      <c r="E869" s="31"/>
      <c r="F869" s="30"/>
      <c r="G869" s="30"/>
      <c r="H869" s="30"/>
      <c r="I869" s="30"/>
      <c r="J869" s="30"/>
      <c r="K869" s="30"/>
      <c r="L869" s="30"/>
      <c r="M869" s="30"/>
    </row>
    <row r="870" spans="1:13" s="14" customFormat="1" x14ac:dyDescent="0.25">
      <c r="A870" s="13"/>
      <c r="D870" s="30"/>
      <c r="E870" s="31"/>
      <c r="F870" s="30"/>
      <c r="G870" s="30"/>
      <c r="H870" s="30"/>
      <c r="I870" s="30"/>
      <c r="J870" s="30"/>
      <c r="K870" s="30"/>
      <c r="L870" s="30"/>
      <c r="M870" s="30"/>
    </row>
    <row r="871" spans="1:13" s="14" customFormat="1" x14ac:dyDescent="0.25">
      <c r="A871" s="13"/>
      <c r="D871" s="30"/>
      <c r="E871" s="31"/>
      <c r="F871" s="30"/>
      <c r="G871" s="30"/>
      <c r="H871" s="30"/>
      <c r="I871" s="30"/>
      <c r="J871" s="30"/>
      <c r="K871" s="30"/>
      <c r="L871" s="30"/>
      <c r="M871" s="30"/>
    </row>
    <row r="872" spans="1:13" s="14" customFormat="1" x14ac:dyDescent="0.25">
      <c r="A872" s="13"/>
      <c r="D872" s="30"/>
      <c r="E872" s="31"/>
      <c r="F872" s="30"/>
      <c r="G872" s="30"/>
      <c r="H872" s="30"/>
      <c r="I872" s="30"/>
      <c r="J872" s="30"/>
      <c r="K872" s="30"/>
      <c r="L872" s="30"/>
      <c r="M872" s="30"/>
    </row>
    <row r="873" spans="1:13" s="14" customFormat="1" x14ac:dyDescent="0.25">
      <c r="A873" s="13"/>
      <c r="D873" s="30"/>
      <c r="E873" s="31"/>
      <c r="F873" s="30"/>
      <c r="G873" s="30"/>
      <c r="H873" s="30"/>
      <c r="I873" s="30"/>
      <c r="J873" s="30"/>
      <c r="K873" s="30"/>
      <c r="L873" s="30"/>
      <c r="M873" s="30"/>
    </row>
    <row r="874" spans="1:13" s="14" customFormat="1" x14ac:dyDescent="0.25">
      <c r="A874" s="13"/>
      <c r="D874" s="30"/>
      <c r="E874" s="31"/>
      <c r="F874" s="30"/>
      <c r="G874" s="30"/>
      <c r="H874" s="30"/>
      <c r="I874" s="30"/>
      <c r="J874" s="30"/>
      <c r="K874" s="30"/>
      <c r="L874" s="30"/>
      <c r="M874" s="30"/>
    </row>
    <row r="875" spans="1:13" s="14" customFormat="1" x14ac:dyDescent="0.25">
      <c r="A875" s="13"/>
      <c r="D875" s="30"/>
      <c r="E875" s="31"/>
      <c r="F875" s="30"/>
      <c r="G875" s="30"/>
      <c r="H875" s="30"/>
      <c r="I875" s="30"/>
      <c r="J875" s="30"/>
      <c r="K875" s="30"/>
      <c r="L875" s="30"/>
      <c r="M875" s="30"/>
    </row>
    <row r="876" spans="1:13" s="14" customFormat="1" x14ac:dyDescent="0.25">
      <c r="A876" s="13"/>
      <c r="D876" s="30"/>
      <c r="E876" s="31"/>
      <c r="F876" s="30"/>
      <c r="G876" s="30"/>
      <c r="H876" s="30"/>
      <c r="I876" s="30"/>
      <c r="J876" s="30"/>
      <c r="K876" s="30"/>
      <c r="L876" s="30"/>
      <c r="M876" s="30"/>
    </row>
    <row r="877" spans="1:13" s="14" customFormat="1" x14ac:dyDescent="0.25">
      <c r="A877" s="13"/>
      <c r="D877" s="30"/>
      <c r="E877" s="31"/>
      <c r="F877" s="30"/>
      <c r="G877" s="30"/>
      <c r="H877" s="30"/>
      <c r="I877" s="30"/>
      <c r="J877" s="30"/>
      <c r="K877" s="30"/>
      <c r="L877" s="30"/>
      <c r="M877" s="30"/>
    </row>
    <row r="878" spans="1:13" s="14" customFormat="1" x14ac:dyDescent="0.25">
      <c r="A878" s="13"/>
      <c r="D878" s="30"/>
      <c r="E878" s="31"/>
      <c r="F878" s="30"/>
      <c r="G878" s="30"/>
      <c r="H878" s="30"/>
      <c r="I878" s="30"/>
      <c r="J878" s="30"/>
      <c r="K878" s="30"/>
      <c r="L878" s="30"/>
      <c r="M878" s="30"/>
    </row>
    <row r="879" spans="1:13" s="14" customFormat="1" x14ac:dyDescent="0.25">
      <c r="A879" s="13"/>
      <c r="D879" s="30"/>
      <c r="E879" s="31"/>
      <c r="F879" s="30"/>
      <c r="G879" s="30"/>
      <c r="H879" s="30"/>
      <c r="I879" s="30"/>
      <c r="J879" s="30"/>
      <c r="K879" s="30"/>
      <c r="L879" s="30"/>
      <c r="M879" s="30"/>
    </row>
    <row r="880" spans="1:13" s="14" customFormat="1" x14ac:dyDescent="0.25">
      <c r="A880" s="13"/>
      <c r="D880" s="30"/>
      <c r="E880" s="31"/>
      <c r="F880" s="30"/>
      <c r="G880" s="30"/>
      <c r="H880" s="30"/>
      <c r="I880" s="30"/>
      <c r="J880" s="30"/>
      <c r="K880" s="30"/>
      <c r="L880" s="30"/>
      <c r="M880" s="30"/>
    </row>
    <row r="881" spans="1:13" s="14" customFormat="1" x14ac:dyDescent="0.25">
      <c r="A881" s="13"/>
      <c r="D881" s="30"/>
      <c r="E881" s="31"/>
      <c r="F881" s="30"/>
      <c r="G881" s="30"/>
      <c r="H881" s="30"/>
      <c r="I881" s="30"/>
      <c r="J881" s="30"/>
      <c r="K881" s="30"/>
      <c r="L881" s="30"/>
      <c r="M881" s="30"/>
    </row>
    <row r="882" spans="1:13" s="14" customFormat="1" x14ac:dyDescent="0.25">
      <c r="A882" s="13"/>
      <c r="D882" s="30"/>
      <c r="E882" s="31"/>
      <c r="F882" s="30"/>
      <c r="G882" s="30"/>
      <c r="H882" s="30"/>
      <c r="I882" s="30"/>
      <c r="J882" s="30"/>
      <c r="K882" s="30"/>
      <c r="L882" s="30"/>
      <c r="M882" s="30"/>
    </row>
    <row r="883" spans="1:13" s="14" customFormat="1" x14ac:dyDescent="0.25">
      <c r="A883" s="13"/>
      <c r="D883" s="30"/>
      <c r="E883" s="31"/>
      <c r="F883" s="30"/>
      <c r="G883" s="30"/>
      <c r="H883" s="30"/>
      <c r="I883" s="30"/>
      <c r="J883" s="30"/>
      <c r="K883" s="30"/>
      <c r="L883" s="30"/>
      <c r="M883" s="30"/>
    </row>
    <row r="884" spans="1:13" s="14" customFormat="1" x14ac:dyDescent="0.25">
      <c r="A884" s="13"/>
      <c r="D884" s="30"/>
      <c r="E884" s="31"/>
      <c r="F884" s="30"/>
      <c r="G884" s="30"/>
      <c r="H884" s="30"/>
      <c r="I884" s="30"/>
      <c r="J884" s="30"/>
      <c r="K884" s="30"/>
      <c r="L884" s="30"/>
      <c r="M884" s="30"/>
    </row>
    <row r="885" spans="1:13" s="14" customFormat="1" x14ac:dyDescent="0.25">
      <c r="A885" s="13"/>
      <c r="D885" s="30"/>
      <c r="E885" s="31"/>
      <c r="F885" s="30"/>
      <c r="G885" s="30"/>
      <c r="H885" s="30"/>
      <c r="I885" s="30"/>
      <c r="J885" s="30"/>
      <c r="K885" s="30"/>
      <c r="L885" s="30"/>
      <c r="M885" s="30"/>
    </row>
    <row r="886" spans="1:13" s="14" customFormat="1" x14ac:dyDescent="0.25">
      <c r="A886" s="13"/>
      <c r="D886" s="30"/>
      <c r="E886" s="31"/>
      <c r="F886" s="30"/>
      <c r="G886" s="30"/>
      <c r="H886" s="30"/>
      <c r="I886" s="30"/>
      <c r="J886" s="30"/>
      <c r="K886" s="30"/>
      <c r="L886" s="30"/>
      <c r="M886" s="30"/>
    </row>
    <row r="887" spans="1:13" s="14" customFormat="1" x14ac:dyDescent="0.25">
      <c r="A887" s="13"/>
      <c r="D887" s="30"/>
      <c r="E887" s="31"/>
      <c r="F887" s="30"/>
      <c r="G887" s="30"/>
      <c r="H887" s="30"/>
      <c r="I887" s="30"/>
      <c r="J887" s="30"/>
      <c r="K887" s="30"/>
      <c r="L887" s="30"/>
      <c r="M887" s="30"/>
    </row>
    <row r="888" spans="1:13" s="14" customFormat="1" x14ac:dyDescent="0.25">
      <c r="A888" s="13"/>
      <c r="D888" s="30"/>
      <c r="E888" s="31"/>
      <c r="F888" s="30"/>
      <c r="G888" s="30"/>
      <c r="H888" s="30"/>
      <c r="I888" s="30"/>
      <c r="J888" s="30"/>
      <c r="K888" s="30"/>
      <c r="L888" s="30"/>
      <c r="M888" s="30"/>
    </row>
    <row r="889" spans="1:13" s="14" customFormat="1" x14ac:dyDescent="0.25">
      <c r="A889" s="13"/>
      <c r="D889" s="30"/>
      <c r="E889" s="31"/>
      <c r="F889" s="30"/>
      <c r="G889" s="30"/>
      <c r="H889" s="30"/>
      <c r="I889" s="30"/>
      <c r="J889" s="30"/>
      <c r="K889" s="30"/>
      <c r="L889" s="30"/>
      <c r="M889" s="30"/>
    </row>
    <row r="890" spans="1:13" s="14" customFormat="1" x14ac:dyDescent="0.25">
      <c r="A890" s="13"/>
      <c r="D890" s="30"/>
      <c r="E890" s="31"/>
      <c r="F890" s="30"/>
      <c r="G890" s="30"/>
      <c r="H890" s="30"/>
      <c r="I890" s="30"/>
      <c r="J890" s="30"/>
      <c r="K890" s="30"/>
      <c r="L890" s="30"/>
      <c r="M890" s="30"/>
    </row>
    <row r="891" spans="1:13" s="14" customFormat="1" x14ac:dyDescent="0.25">
      <c r="A891" s="13"/>
      <c r="D891" s="30"/>
      <c r="E891" s="31"/>
      <c r="F891" s="30"/>
      <c r="G891" s="30"/>
      <c r="H891" s="30"/>
      <c r="I891" s="30"/>
      <c r="J891" s="30"/>
      <c r="K891" s="30"/>
      <c r="L891" s="30"/>
      <c r="M891" s="30"/>
    </row>
    <row r="892" spans="1:13" s="14" customFormat="1" x14ac:dyDescent="0.25">
      <c r="A892" s="13"/>
      <c r="D892" s="30"/>
      <c r="E892" s="31"/>
      <c r="F892" s="30"/>
      <c r="G892" s="30"/>
      <c r="H892" s="30"/>
      <c r="I892" s="30"/>
      <c r="J892" s="30"/>
      <c r="K892" s="30"/>
      <c r="L892" s="30"/>
      <c r="M892" s="30"/>
    </row>
    <row r="893" spans="1:13" s="14" customFormat="1" x14ac:dyDescent="0.25">
      <c r="A893" s="13"/>
      <c r="D893" s="30"/>
      <c r="E893" s="31"/>
      <c r="F893" s="30"/>
      <c r="G893" s="30"/>
      <c r="H893" s="30"/>
      <c r="I893" s="30"/>
      <c r="J893" s="30"/>
      <c r="K893" s="30"/>
      <c r="L893" s="30"/>
      <c r="M893" s="30"/>
    </row>
    <row r="894" spans="1:13" s="14" customFormat="1" x14ac:dyDescent="0.25">
      <c r="A894" s="13"/>
      <c r="D894" s="30"/>
      <c r="E894" s="31"/>
      <c r="F894" s="30"/>
      <c r="G894" s="30"/>
      <c r="H894" s="30"/>
      <c r="I894" s="30"/>
      <c r="J894" s="30"/>
      <c r="K894" s="30"/>
      <c r="L894" s="30"/>
      <c r="M894" s="30"/>
    </row>
    <row r="895" spans="1:13" s="14" customFormat="1" x14ac:dyDescent="0.25">
      <c r="A895" s="13"/>
      <c r="D895" s="30"/>
      <c r="E895" s="31"/>
      <c r="F895" s="30"/>
      <c r="G895" s="30"/>
      <c r="H895" s="30"/>
      <c r="I895" s="30"/>
      <c r="J895" s="30"/>
      <c r="K895" s="30"/>
      <c r="L895" s="30"/>
      <c r="M895" s="30"/>
    </row>
    <row r="896" spans="1:13" s="14" customFormat="1" x14ac:dyDescent="0.25">
      <c r="A896" s="13"/>
      <c r="D896" s="30"/>
      <c r="E896" s="31"/>
      <c r="F896" s="30"/>
      <c r="G896" s="30"/>
      <c r="H896" s="30"/>
      <c r="I896" s="30"/>
      <c r="J896" s="30"/>
      <c r="K896" s="30"/>
      <c r="L896" s="30"/>
      <c r="M896" s="30"/>
    </row>
    <row r="897" spans="1:13" s="14" customFormat="1" x14ac:dyDescent="0.25">
      <c r="A897" s="13"/>
      <c r="D897" s="30"/>
      <c r="E897" s="31"/>
      <c r="F897" s="30"/>
      <c r="G897" s="30"/>
      <c r="H897" s="30"/>
      <c r="I897" s="30"/>
      <c r="J897" s="30"/>
      <c r="K897" s="30"/>
      <c r="L897" s="30"/>
      <c r="M897" s="30"/>
    </row>
    <row r="898" spans="1:13" s="14" customFormat="1" x14ac:dyDescent="0.25">
      <c r="A898" s="13"/>
      <c r="D898" s="30"/>
      <c r="E898" s="31"/>
      <c r="F898" s="30"/>
      <c r="G898" s="30"/>
      <c r="H898" s="30"/>
      <c r="I898" s="30"/>
      <c r="J898" s="30"/>
      <c r="K898" s="30"/>
      <c r="L898" s="30"/>
      <c r="M898" s="30"/>
    </row>
    <row r="899" spans="1:13" s="14" customFormat="1" x14ac:dyDescent="0.25">
      <c r="A899" s="13"/>
      <c r="D899" s="30"/>
      <c r="E899" s="31"/>
      <c r="F899" s="30"/>
      <c r="G899" s="30"/>
      <c r="H899" s="30"/>
      <c r="I899" s="30"/>
      <c r="J899" s="30"/>
      <c r="K899" s="30"/>
      <c r="L899" s="30"/>
      <c r="M899" s="30"/>
    </row>
    <row r="900" spans="1:13" s="14" customFormat="1" x14ac:dyDescent="0.25">
      <c r="A900" s="13"/>
      <c r="D900" s="30"/>
      <c r="E900" s="31"/>
      <c r="F900" s="30"/>
      <c r="G900" s="30"/>
      <c r="H900" s="30"/>
      <c r="I900" s="30"/>
      <c r="J900" s="30"/>
      <c r="K900" s="30"/>
      <c r="L900" s="30"/>
      <c r="M900" s="30"/>
    </row>
    <row r="901" spans="1:13" s="14" customFormat="1" x14ac:dyDescent="0.25">
      <c r="A901" s="13"/>
      <c r="D901" s="30"/>
      <c r="E901" s="31"/>
      <c r="F901" s="30"/>
      <c r="G901" s="30"/>
      <c r="H901" s="30"/>
      <c r="I901" s="30"/>
      <c r="J901" s="30"/>
      <c r="K901" s="30"/>
      <c r="L901" s="30"/>
      <c r="M901" s="30"/>
    </row>
    <row r="902" spans="1:13" s="14" customFormat="1" x14ac:dyDescent="0.25">
      <c r="A902" s="13"/>
      <c r="D902" s="30"/>
      <c r="E902" s="31"/>
      <c r="F902" s="30"/>
      <c r="G902" s="30"/>
      <c r="H902" s="30"/>
      <c r="I902" s="30"/>
      <c r="J902" s="30"/>
      <c r="K902" s="30"/>
      <c r="L902" s="30"/>
      <c r="M902" s="30"/>
    </row>
    <row r="903" spans="1:13" s="14" customFormat="1" x14ac:dyDescent="0.25">
      <c r="A903" s="13"/>
      <c r="D903" s="30"/>
      <c r="E903" s="31"/>
      <c r="F903" s="30"/>
      <c r="G903" s="30"/>
      <c r="H903" s="30"/>
      <c r="I903" s="30"/>
      <c r="J903" s="30"/>
      <c r="K903" s="30"/>
      <c r="L903" s="30"/>
      <c r="M903" s="30"/>
    </row>
    <row r="904" spans="1:13" s="14" customFormat="1" x14ac:dyDescent="0.25">
      <c r="A904" s="13"/>
      <c r="D904" s="30"/>
      <c r="E904" s="31"/>
      <c r="F904" s="30"/>
      <c r="G904" s="30"/>
      <c r="H904" s="30"/>
      <c r="I904" s="30"/>
      <c r="J904" s="30"/>
      <c r="K904" s="30"/>
      <c r="L904" s="30"/>
      <c r="M904" s="30"/>
    </row>
    <row r="905" spans="1:13" s="14" customFormat="1" x14ac:dyDescent="0.25">
      <c r="A905" s="13"/>
      <c r="D905" s="30"/>
      <c r="E905" s="31"/>
      <c r="F905" s="30"/>
      <c r="G905" s="30"/>
      <c r="H905" s="30"/>
      <c r="I905" s="30"/>
      <c r="J905" s="30"/>
      <c r="K905" s="30"/>
      <c r="L905" s="30"/>
      <c r="M905" s="30"/>
    </row>
    <row r="906" spans="1:13" s="14" customFormat="1" x14ac:dyDescent="0.25">
      <c r="A906" s="13"/>
      <c r="D906" s="30"/>
      <c r="E906" s="31"/>
      <c r="F906" s="30"/>
      <c r="G906" s="30"/>
      <c r="H906" s="30"/>
      <c r="I906" s="30"/>
      <c r="J906" s="30"/>
      <c r="K906" s="30"/>
      <c r="L906" s="30"/>
      <c r="M906" s="30"/>
    </row>
    <row r="907" spans="1:13" s="14" customFormat="1" x14ac:dyDescent="0.25">
      <c r="A907" s="13"/>
      <c r="D907" s="30"/>
      <c r="E907" s="31"/>
      <c r="F907" s="30"/>
      <c r="G907" s="30"/>
      <c r="H907" s="30"/>
      <c r="I907" s="30"/>
      <c r="J907" s="30"/>
      <c r="K907" s="30"/>
      <c r="L907" s="30"/>
      <c r="M907" s="30"/>
    </row>
    <row r="908" spans="1:13" s="14" customFormat="1" x14ac:dyDescent="0.25">
      <c r="A908" s="13"/>
      <c r="D908" s="30"/>
      <c r="E908" s="31"/>
      <c r="F908" s="30"/>
      <c r="G908" s="30"/>
      <c r="H908" s="30"/>
      <c r="I908" s="30"/>
      <c r="J908" s="30"/>
      <c r="K908" s="30"/>
      <c r="L908" s="30"/>
      <c r="M908" s="30"/>
    </row>
    <row r="909" spans="1:13" s="14" customFormat="1" x14ac:dyDescent="0.25">
      <c r="A909" s="13"/>
      <c r="D909" s="30"/>
      <c r="E909" s="31"/>
      <c r="F909" s="30"/>
      <c r="G909" s="30"/>
      <c r="H909" s="30"/>
      <c r="I909" s="30"/>
      <c r="J909" s="30"/>
      <c r="K909" s="30"/>
      <c r="L909" s="30"/>
      <c r="M909" s="30"/>
    </row>
    <row r="910" spans="1:13" s="14" customFormat="1" x14ac:dyDescent="0.25">
      <c r="A910" s="13"/>
      <c r="D910" s="30"/>
      <c r="E910" s="31"/>
      <c r="F910" s="30"/>
      <c r="G910" s="30"/>
      <c r="H910" s="30"/>
      <c r="I910" s="30"/>
      <c r="J910" s="30"/>
      <c r="K910" s="30"/>
      <c r="L910" s="30"/>
      <c r="M910" s="30"/>
    </row>
    <row r="911" spans="1:13" s="14" customFormat="1" x14ac:dyDescent="0.25">
      <c r="A911" s="13"/>
      <c r="D911" s="30"/>
      <c r="E911" s="31"/>
      <c r="F911" s="30"/>
      <c r="G911" s="30"/>
      <c r="H911" s="30"/>
      <c r="I911" s="30"/>
      <c r="J911" s="30"/>
      <c r="K911" s="30"/>
      <c r="L911" s="30"/>
      <c r="M911" s="30"/>
    </row>
    <row r="912" spans="1:13" s="14" customFormat="1" x14ac:dyDescent="0.25">
      <c r="A912" s="13"/>
      <c r="D912" s="30"/>
      <c r="E912" s="31"/>
      <c r="F912" s="30"/>
      <c r="G912" s="30"/>
      <c r="H912" s="30"/>
      <c r="I912" s="30"/>
      <c r="J912" s="30"/>
      <c r="K912" s="30"/>
      <c r="L912" s="30"/>
      <c r="M912" s="30"/>
    </row>
    <row r="913" spans="1:13" s="14" customFormat="1" x14ac:dyDescent="0.25">
      <c r="A913" s="13"/>
      <c r="D913" s="30"/>
      <c r="E913" s="31"/>
      <c r="F913" s="30"/>
      <c r="G913" s="30"/>
      <c r="H913" s="30"/>
      <c r="I913" s="30"/>
      <c r="J913" s="30"/>
      <c r="K913" s="30"/>
      <c r="L913" s="30"/>
      <c r="M913" s="30"/>
    </row>
    <row r="914" spans="1:13" s="14" customFormat="1" x14ac:dyDescent="0.25">
      <c r="A914" s="13"/>
      <c r="D914" s="30"/>
      <c r="E914" s="31"/>
      <c r="F914" s="30"/>
      <c r="G914" s="30"/>
      <c r="H914" s="30"/>
      <c r="I914" s="30"/>
      <c r="J914" s="30"/>
      <c r="K914" s="30"/>
      <c r="L914" s="30"/>
      <c r="M914" s="30"/>
    </row>
    <row r="915" spans="1:13" s="14" customFormat="1" x14ac:dyDescent="0.25">
      <c r="A915" s="13"/>
      <c r="D915" s="30"/>
      <c r="E915" s="31"/>
      <c r="F915" s="30"/>
      <c r="G915" s="30"/>
      <c r="H915" s="30"/>
      <c r="I915" s="30"/>
      <c r="J915" s="30"/>
      <c r="K915" s="30"/>
      <c r="L915" s="30"/>
      <c r="M915" s="30"/>
    </row>
    <row r="916" spans="1:13" s="14" customFormat="1" x14ac:dyDescent="0.25">
      <c r="A916" s="13"/>
      <c r="D916" s="30"/>
      <c r="E916" s="31"/>
      <c r="F916" s="30"/>
      <c r="G916" s="30"/>
      <c r="H916" s="30"/>
      <c r="I916" s="30"/>
      <c r="J916" s="30"/>
      <c r="K916" s="30"/>
      <c r="L916" s="30"/>
      <c r="M916" s="30"/>
    </row>
    <row r="917" spans="1:13" s="14" customFormat="1" x14ac:dyDescent="0.25">
      <c r="A917" s="13"/>
      <c r="D917" s="30"/>
      <c r="E917" s="31"/>
      <c r="F917" s="30"/>
      <c r="G917" s="30"/>
      <c r="H917" s="30"/>
      <c r="I917" s="30"/>
      <c r="J917" s="30"/>
      <c r="K917" s="30"/>
      <c r="L917" s="30"/>
      <c r="M917" s="30"/>
    </row>
    <row r="918" spans="1:13" s="14" customFormat="1" x14ac:dyDescent="0.25">
      <c r="A918" s="13"/>
      <c r="D918" s="30"/>
      <c r="E918" s="31"/>
      <c r="F918" s="30"/>
      <c r="G918" s="30"/>
      <c r="H918" s="30"/>
      <c r="I918" s="30"/>
      <c r="J918" s="30"/>
      <c r="K918" s="30"/>
      <c r="L918" s="30"/>
      <c r="M918" s="30"/>
    </row>
    <row r="919" spans="1:13" s="14" customFormat="1" x14ac:dyDescent="0.25">
      <c r="A919" s="13"/>
      <c r="D919" s="30"/>
      <c r="E919" s="31"/>
      <c r="F919" s="30"/>
      <c r="G919" s="30"/>
      <c r="H919" s="30"/>
      <c r="I919" s="30"/>
      <c r="J919" s="30"/>
      <c r="K919" s="30"/>
      <c r="L919" s="30"/>
      <c r="M919" s="30"/>
    </row>
    <row r="920" spans="1:13" s="14" customFormat="1" x14ac:dyDescent="0.25">
      <c r="A920" s="13"/>
      <c r="D920" s="30"/>
      <c r="E920" s="31"/>
      <c r="F920" s="30"/>
      <c r="G920" s="30"/>
      <c r="H920" s="30"/>
      <c r="I920" s="30"/>
      <c r="J920" s="30"/>
      <c r="K920" s="30"/>
      <c r="L920" s="30"/>
      <c r="M920" s="30"/>
    </row>
    <row r="921" spans="1:13" s="14" customFormat="1" x14ac:dyDescent="0.25">
      <c r="A921" s="13"/>
      <c r="D921" s="30"/>
      <c r="E921" s="31"/>
      <c r="F921" s="30"/>
      <c r="G921" s="30"/>
      <c r="H921" s="30"/>
      <c r="I921" s="30"/>
      <c r="J921" s="30"/>
      <c r="K921" s="30"/>
      <c r="L921" s="30"/>
      <c r="M921" s="30"/>
    </row>
    <row r="922" spans="1:13" s="14" customFormat="1" x14ac:dyDescent="0.25">
      <c r="A922" s="13"/>
      <c r="D922" s="30"/>
      <c r="E922" s="31"/>
      <c r="F922" s="30"/>
      <c r="G922" s="30"/>
      <c r="H922" s="30"/>
      <c r="I922" s="30"/>
      <c r="J922" s="30"/>
      <c r="K922" s="30"/>
      <c r="L922" s="30"/>
      <c r="M922" s="30"/>
    </row>
    <row r="923" spans="1:13" s="14" customFormat="1" x14ac:dyDescent="0.25">
      <c r="A923" s="13"/>
      <c r="D923" s="30"/>
      <c r="E923" s="31"/>
      <c r="F923" s="30"/>
      <c r="G923" s="30"/>
      <c r="H923" s="30"/>
      <c r="I923" s="30"/>
      <c r="J923" s="30"/>
      <c r="K923" s="30"/>
      <c r="L923" s="30"/>
      <c r="M923" s="30"/>
    </row>
    <row r="924" spans="1:13" s="14" customFormat="1" x14ac:dyDescent="0.25">
      <c r="A924" s="13"/>
      <c r="D924" s="30"/>
      <c r="E924" s="31"/>
      <c r="F924" s="30"/>
      <c r="G924" s="30"/>
      <c r="H924" s="30"/>
      <c r="I924" s="30"/>
      <c r="J924" s="30"/>
      <c r="K924" s="30"/>
      <c r="L924" s="30"/>
      <c r="M924" s="30"/>
    </row>
    <row r="925" spans="1:13" s="14" customFormat="1" x14ac:dyDescent="0.25">
      <c r="A925" s="13"/>
      <c r="D925" s="30"/>
      <c r="E925" s="31"/>
      <c r="F925" s="30"/>
      <c r="G925" s="30"/>
      <c r="H925" s="30"/>
      <c r="I925" s="30"/>
      <c r="J925" s="30"/>
      <c r="K925" s="30"/>
      <c r="L925" s="30"/>
      <c r="M925" s="30"/>
    </row>
    <row r="926" spans="1:13" s="14" customFormat="1" x14ac:dyDescent="0.25">
      <c r="A926" s="13"/>
      <c r="D926" s="30"/>
      <c r="E926" s="31"/>
      <c r="F926" s="30"/>
      <c r="G926" s="30"/>
      <c r="H926" s="30"/>
      <c r="I926" s="30"/>
      <c r="J926" s="30"/>
      <c r="K926" s="30"/>
      <c r="L926" s="30"/>
      <c r="M926" s="30"/>
    </row>
    <row r="927" spans="1:13" s="14" customFormat="1" x14ac:dyDescent="0.25">
      <c r="A927" s="13"/>
      <c r="D927" s="30"/>
      <c r="E927" s="31"/>
      <c r="F927" s="30"/>
      <c r="G927" s="30"/>
      <c r="H927" s="30"/>
      <c r="I927" s="30"/>
      <c r="J927" s="30"/>
      <c r="K927" s="30"/>
      <c r="L927" s="30"/>
      <c r="M927" s="30"/>
    </row>
    <row r="928" spans="1:13" s="14" customFormat="1" x14ac:dyDescent="0.25">
      <c r="A928" s="13"/>
      <c r="D928" s="30"/>
      <c r="E928" s="31"/>
      <c r="F928" s="30"/>
      <c r="G928" s="30"/>
      <c r="H928" s="30"/>
      <c r="I928" s="30"/>
      <c r="J928" s="30"/>
      <c r="K928" s="30"/>
      <c r="L928" s="30"/>
      <c r="M928" s="30"/>
    </row>
    <row r="929" spans="1:13" s="14" customFormat="1" x14ac:dyDescent="0.25">
      <c r="A929" s="13"/>
      <c r="D929" s="30"/>
      <c r="E929" s="31"/>
      <c r="F929" s="30"/>
      <c r="G929" s="30"/>
      <c r="H929" s="30"/>
      <c r="I929" s="30"/>
      <c r="J929" s="30"/>
      <c r="K929" s="30"/>
      <c r="L929" s="30"/>
      <c r="M929" s="30"/>
    </row>
    <row r="930" spans="1:13" s="14" customFormat="1" x14ac:dyDescent="0.25">
      <c r="A930" s="13"/>
      <c r="D930" s="30"/>
      <c r="E930" s="31"/>
      <c r="F930" s="30"/>
      <c r="G930" s="30"/>
      <c r="H930" s="30"/>
      <c r="I930" s="30"/>
      <c r="J930" s="30"/>
      <c r="K930" s="30"/>
      <c r="L930" s="30"/>
      <c r="M930" s="30"/>
    </row>
    <row r="931" spans="1:13" s="14" customFormat="1" x14ac:dyDescent="0.25">
      <c r="A931" s="13"/>
      <c r="D931" s="30"/>
      <c r="E931" s="31"/>
      <c r="F931" s="30"/>
      <c r="G931" s="30"/>
      <c r="H931" s="30"/>
      <c r="I931" s="30"/>
      <c r="J931" s="30"/>
      <c r="K931" s="30"/>
      <c r="L931" s="30"/>
      <c r="M931" s="30"/>
    </row>
    <row r="932" spans="1:13" s="14" customFormat="1" x14ac:dyDescent="0.25">
      <c r="A932" s="13"/>
      <c r="D932" s="30"/>
      <c r="E932" s="31"/>
      <c r="F932" s="30"/>
      <c r="G932" s="30"/>
      <c r="H932" s="30"/>
      <c r="I932" s="30"/>
      <c r="J932" s="30"/>
      <c r="K932" s="30"/>
      <c r="L932" s="30"/>
      <c r="M932" s="30"/>
    </row>
    <row r="933" spans="1:13" s="14" customFormat="1" x14ac:dyDescent="0.25">
      <c r="A933" s="13"/>
      <c r="D933" s="30"/>
      <c r="E933" s="31"/>
      <c r="F933" s="30"/>
      <c r="G933" s="30"/>
      <c r="H933" s="30"/>
      <c r="I933" s="30"/>
      <c r="J933" s="30"/>
      <c r="K933" s="30"/>
      <c r="L933" s="30"/>
      <c r="M933" s="30"/>
    </row>
    <row r="934" spans="1:13" s="14" customFormat="1" x14ac:dyDescent="0.25">
      <c r="A934" s="13"/>
      <c r="D934" s="30"/>
      <c r="E934" s="31"/>
      <c r="F934" s="30"/>
      <c r="G934" s="30"/>
      <c r="H934" s="30"/>
      <c r="I934" s="30"/>
      <c r="J934" s="30"/>
      <c r="K934" s="30"/>
      <c r="L934" s="30"/>
      <c r="M934" s="30"/>
    </row>
    <row r="935" spans="1:13" s="14" customFormat="1" x14ac:dyDescent="0.25">
      <c r="A935" s="13"/>
      <c r="D935" s="30"/>
      <c r="E935" s="31"/>
      <c r="F935" s="30"/>
      <c r="G935" s="30"/>
      <c r="H935" s="30"/>
      <c r="I935" s="30"/>
      <c r="J935" s="30"/>
      <c r="K935" s="30"/>
      <c r="L935" s="30"/>
      <c r="M935" s="30"/>
    </row>
    <row r="936" spans="1:13" s="14" customFormat="1" x14ac:dyDescent="0.25">
      <c r="A936" s="13"/>
      <c r="D936" s="30"/>
      <c r="E936" s="31"/>
      <c r="F936" s="30"/>
      <c r="G936" s="30"/>
      <c r="H936" s="30"/>
      <c r="I936" s="30"/>
      <c r="J936" s="30"/>
      <c r="K936" s="30"/>
      <c r="L936" s="30"/>
      <c r="M936" s="30"/>
    </row>
    <row r="937" spans="1:13" s="14" customFormat="1" x14ac:dyDescent="0.25">
      <c r="A937" s="13"/>
      <c r="D937" s="30"/>
      <c r="E937" s="31"/>
      <c r="F937" s="30"/>
      <c r="G937" s="30"/>
      <c r="H937" s="30"/>
      <c r="I937" s="30"/>
      <c r="J937" s="30"/>
      <c r="K937" s="30"/>
      <c r="L937" s="30"/>
      <c r="M937" s="30"/>
    </row>
    <row r="938" spans="1:13" s="14" customFormat="1" x14ac:dyDescent="0.25">
      <c r="A938" s="13"/>
      <c r="D938" s="30"/>
      <c r="E938" s="31"/>
      <c r="F938" s="30"/>
      <c r="G938" s="30"/>
      <c r="H938" s="30"/>
      <c r="I938" s="30"/>
      <c r="J938" s="30"/>
      <c r="K938" s="30"/>
      <c r="L938" s="30"/>
      <c r="M938" s="30"/>
    </row>
    <row r="939" spans="1:13" s="14" customFormat="1" x14ac:dyDescent="0.25">
      <c r="A939" s="13"/>
      <c r="D939" s="30"/>
      <c r="E939" s="31"/>
      <c r="F939" s="30"/>
      <c r="G939" s="30"/>
      <c r="H939" s="30"/>
      <c r="I939" s="30"/>
      <c r="J939" s="30"/>
      <c r="K939" s="30"/>
      <c r="L939" s="30"/>
      <c r="M939" s="30"/>
    </row>
    <row r="940" spans="1:13" s="14" customFormat="1" x14ac:dyDescent="0.25">
      <c r="A940" s="13"/>
      <c r="D940" s="30"/>
      <c r="E940" s="31"/>
      <c r="F940" s="30"/>
      <c r="G940" s="30"/>
      <c r="H940" s="30"/>
      <c r="I940" s="30"/>
      <c r="J940" s="30"/>
      <c r="K940" s="30"/>
      <c r="L940" s="30"/>
      <c r="M940" s="30"/>
    </row>
    <row r="941" spans="1:13" s="14" customFormat="1" x14ac:dyDescent="0.25">
      <c r="A941" s="13"/>
      <c r="D941" s="30"/>
      <c r="E941" s="31"/>
      <c r="F941" s="30"/>
      <c r="G941" s="30"/>
      <c r="H941" s="30"/>
      <c r="I941" s="30"/>
      <c r="J941" s="30"/>
      <c r="K941" s="30"/>
      <c r="L941" s="30"/>
      <c r="M941" s="30"/>
    </row>
    <row r="942" spans="1:13" s="14" customFormat="1" x14ac:dyDescent="0.25">
      <c r="A942" s="13"/>
      <c r="D942" s="30"/>
      <c r="E942" s="31"/>
      <c r="F942" s="30"/>
      <c r="G942" s="30"/>
      <c r="H942" s="30"/>
      <c r="I942" s="30"/>
      <c r="J942" s="30"/>
      <c r="K942" s="30"/>
      <c r="L942" s="30"/>
      <c r="M942" s="30"/>
    </row>
    <row r="943" spans="1:13" s="14" customFormat="1" x14ac:dyDescent="0.25">
      <c r="A943" s="13"/>
      <c r="D943" s="30"/>
      <c r="E943" s="31"/>
      <c r="F943" s="30"/>
      <c r="G943" s="30"/>
      <c r="H943" s="30"/>
      <c r="I943" s="30"/>
      <c r="J943" s="30"/>
      <c r="K943" s="30"/>
      <c r="L943" s="30"/>
      <c r="M943" s="30"/>
    </row>
    <row r="944" spans="1:13" s="14" customFormat="1" x14ac:dyDescent="0.25">
      <c r="A944" s="13"/>
      <c r="D944" s="30"/>
      <c r="E944" s="31"/>
      <c r="F944" s="30"/>
      <c r="G944" s="30"/>
      <c r="H944" s="30"/>
      <c r="I944" s="30"/>
      <c r="J944" s="30"/>
      <c r="K944" s="30"/>
      <c r="L944" s="30"/>
      <c r="M944" s="30"/>
    </row>
    <row r="945" spans="1:13" s="14" customFormat="1" x14ac:dyDescent="0.25">
      <c r="A945" s="13"/>
      <c r="D945" s="30"/>
      <c r="E945" s="31"/>
      <c r="F945" s="30"/>
      <c r="G945" s="30"/>
      <c r="H945" s="30"/>
      <c r="I945" s="30"/>
      <c r="J945" s="30"/>
      <c r="K945" s="30"/>
      <c r="L945" s="30"/>
      <c r="M945" s="30"/>
    </row>
    <row r="946" spans="1:13" s="14" customFormat="1" x14ac:dyDescent="0.25">
      <c r="A946" s="13"/>
      <c r="D946" s="30"/>
      <c r="E946" s="31"/>
      <c r="F946" s="30"/>
      <c r="G946" s="30"/>
      <c r="H946" s="30"/>
      <c r="I946" s="30"/>
      <c r="J946" s="30"/>
      <c r="K946" s="30"/>
      <c r="L946" s="30"/>
      <c r="M946" s="30"/>
    </row>
    <row r="947" spans="1:13" s="14" customFormat="1" x14ac:dyDescent="0.25">
      <c r="A947" s="13"/>
      <c r="D947" s="30"/>
      <c r="E947" s="31"/>
      <c r="F947" s="30"/>
      <c r="G947" s="30"/>
      <c r="H947" s="30"/>
      <c r="I947" s="30"/>
      <c r="J947" s="30"/>
      <c r="K947" s="30"/>
      <c r="L947" s="30"/>
      <c r="M947" s="30"/>
    </row>
    <row r="948" spans="1:13" s="14" customFormat="1" x14ac:dyDescent="0.25">
      <c r="A948" s="13"/>
      <c r="D948" s="30"/>
      <c r="E948" s="31"/>
      <c r="F948" s="30"/>
      <c r="G948" s="30"/>
      <c r="H948" s="30"/>
      <c r="I948" s="30"/>
      <c r="J948" s="30"/>
      <c r="K948" s="30"/>
      <c r="L948" s="30"/>
      <c r="M948" s="30"/>
    </row>
    <row r="949" spans="1:13" s="14" customFormat="1" x14ac:dyDescent="0.25">
      <c r="A949" s="13"/>
      <c r="D949" s="30"/>
      <c r="E949" s="31"/>
      <c r="F949" s="30"/>
      <c r="G949" s="30"/>
      <c r="H949" s="30"/>
      <c r="I949" s="30"/>
      <c r="J949" s="30"/>
      <c r="K949" s="30"/>
      <c r="L949" s="30"/>
      <c r="M949" s="30"/>
    </row>
    <row r="950" spans="1:13" s="14" customFormat="1" x14ac:dyDescent="0.25">
      <c r="A950" s="13"/>
      <c r="D950" s="30"/>
      <c r="E950" s="31"/>
      <c r="F950" s="30"/>
      <c r="G950" s="30"/>
      <c r="H950" s="30"/>
      <c r="I950" s="30"/>
      <c r="J950" s="30"/>
      <c r="K950" s="30"/>
      <c r="L950" s="30"/>
      <c r="M950" s="30"/>
    </row>
    <row r="951" spans="1:13" s="14" customFormat="1" x14ac:dyDescent="0.25">
      <c r="A951" s="13"/>
      <c r="D951" s="30"/>
      <c r="E951" s="31"/>
      <c r="F951" s="30"/>
      <c r="G951" s="30"/>
      <c r="H951" s="30"/>
      <c r="I951" s="30"/>
      <c r="J951" s="30"/>
      <c r="K951" s="30"/>
      <c r="L951" s="30"/>
      <c r="M951" s="30"/>
    </row>
    <row r="952" spans="1:13" s="14" customFormat="1" x14ac:dyDescent="0.25">
      <c r="A952" s="13"/>
      <c r="D952" s="30"/>
      <c r="E952" s="31"/>
      <c r="F952" s="30"/>
      <c r="G952" s="30"/>
      <c r="H952" s="30"/>
      <c r="I952" s="30"/>
      <c r="J952" s="30"/>
      <c r="K952" s="30"/>
      <c r="L952" s="30"/>
      <c r="M952" s="30"/>
    </row>
    <row r="953" spans="1:13" s="14" customFormat="1" x14ac:dyDescent="0.25">
      <c r="A953" s="13"/>
      <c r="D953" s="30"/>
      <c r="E953" s="31"/>
      <c r="F953" s="30"/>
      <c r="G953" s="30"/>
      <c r="H953" s="30"/>
      <c r="I953" s="30"/>
      <c r="J953" s="30"/>
      <c r="K953" s="30"/>
      <c r="L953" s="30"/>
      <c r="M953" s="30"/>
    </row>
    <row r="954" spans="1:13" s="14" customFormat="1" x14ac:dyDescent="0.25">
      <c r="A954" s="13"/>
      <c r="D954" s="30"/>
      <c r="E954" s="31"/>
      <c r="F954" s="30"/>
      <c r="G954" s="30"/>
      <c r="H954" s="30"/>
      <c r="I954" s="30"/>
      <c r="J954" s="30"/>
      <c r="K954" s="30"/>
      <c r="L954" s="30"/>
      <c r="M954" s="30"/>
    </row>
    <row r="955" spans="1:13" s="14" customFormat="1" x14ac:dyDescent="0.25">
      <c r="A955" s="13"/>
      <c r="D955" s="30"/>
      <c r="E955" s="31"/>
      <c r="F955" s="30"/>
      <c r="G955" s="30"/>
      <c r="H955" s="30"/>
      <c r="I955" s="30"/>
      <c r="J955" s="30"/>
      <c r="K955" s="30"/>
      <c r="L955" s="30"/>
      <c r="M955" s="30"/>
    </row>
    <row r="956" spans="1:13" s="14" customFormat="1" x14ac:dyDescent="0.25">
      <c r="A956" s="13"/>
      <c r="D956" s="30"/>
      <c r="E956" s="31"/>
      <c r="F956" s="30"/>
      <c r="G956" s="30"/>
      <c r="H956" s="30"/>
      <c r="I956" s="30"/>
      <c r="J956" s="30"/>
      <c r="K956" s="30"/>
      <c r="L956" s="30"/>
      <c r="M956" s="30"/>
    </row>
    <row r="957" spans="1:13" s="14" customFormat="1" x14ac:dyDescent="0.25">
      <c r="A957" s="13"/>
      <c r="D957" s="30"/>
      <c r="E957" s="31"/>
      <c r="F957" s="30"/>
      <c r="G957" s="30"/>
      <c r="H957" s="30"/>
      <c r="I957" s="30"/>
      <c r="J957" s="30"/>
      <c r="K957" s="30"/>
      <c r="L957" s="30"/>
      <c r="M957" s="30"/>
    </row>
    <row r="958" spans="1:13" s="14" customFormat="1" x14ac:dyDescent="0.25">
      <c r="A958" s="13"/>
      <c r="D958" s="30"/>
      <c r="E958" s="31"/>
      <c r="F958" s="30"/>
      <c r="G958" s="30"/>
      <c r="H958" s="30"/>
      <c r="I958" s="30"/>
      <c r="J958" s="30"/>
      <c r="K958" s="30"/>
      <c r="L958" s="30"/>
      <c r="M958" s="30"/>
    </row>
    <row r="959" spans="1:13" s="14" customFormat="1" x14ac:dyDescent="0.25">
      <c r="A959" s="13"/>
      <c r="D959" s="30"/>
      <c r="E959" s="31"/>
      <c r="F959" s="30"/>
      <c r="G959" s="30"/>
      <c r="H959" s="30"/>
      <c r="I959" s="30"/>
      <c r="J959" s="30"/>
      <c r="K959" s="30"/>
      <c r="L959" s="30"/>
      <c r="M959" s="30"/>
    </row>
    <row r="960" spans="1:13" s="14" customFormat="1" x14ac:dyDescent="0.25">
      <c r="A960" s="13"/>
      <c r="D960" s="30"/>
      <c r="E960" s="31"/>
      <c r="F960" s="30"/>
      <c r="G960" s="30"/>
      <c r="H960" s="30"/>
      <c r="I960" s="30"/>
      <c r="J960" s="30"/>
      <c r="K960" s="30"/>
      <c r="L960" s="30"/>
      <c r="M960" s="30"/>
    </row>
    <row r="961" spans="1:13" s="14" customFormat="1" x14ac:dyDescent="0.25">
      <c r="A961" s="13"/>
      <c r="D961" s="30"/>
      <c r="E961" s="31"/>
      <c r="F961" s="30"/>
      <c r="G961" s="30"/>
      <c r="H961" s="30"/>
      <c r="I961" s="30"/>
      <c r="J961" s="30"/>
      <c r="K961" s="30"/>
      <c r="L961" s="30"/>
      <c r="M961" s="30"/>
    </row>
    <row r="962" spans="1:13" s="14" customFormat="1" x14ac:dyDescent="0.25">
      <c r="A962" s="13"/>
      <c r="D962" s="30"/>
      <c r="E962" s="31"/>
      <c r="F962" s="30"/>
      <c r="G962" s="30"/>
      <c r="H962" s="30"/>
      <c r="I962" s="30"/>
      <c r="J962" s="30"/>
      <c r="K962" s="30"/>
      <c r="L962" s="30"/>
      <c r="M962" s="30"/>
    </row>
    <row r="963" spans="1:13" s="14" customFormat="1" x14ac:dyDescent="0.25">
      <c r="A963" s="13"/>
      <c r="D963" s="30"/>
      <c r="E963" s="31"/>
      <c r="F963" s="30"/>
      <c r="G963" s="30"/>
      <c r="H963" s="30"/>
      <c r="I963" s="30"/>
      <c r="J963" s="30"/>
      <c r="K963" s="30"/>
      <c r="L963" s="30"/>
      <c r="M963" s="30"/>
    </row>
    <row r="964" spans="1:13" s="14" customFormat="1" x14ac:dyDescent="0.25">
      <c r="A964" s="13"/>
      <c r="D964" s="30"/>
      <c r="E964" s="31"/>
      <c r="F964" s="30"/>
      <c r="G964" s="30"/>
      <c r="H964" s="30"/>
      <c r="I964" s="30"/>
      <c r="J964" s="30"/>
      <c r="K964" s="30"/>
      <c r="L964" s="30"/>
      <c r="M964" s="30"/>
    </row>
    <row r="965" spans="1:13" s="14" customFormat="1" x14ac:dyDescent="0.25">
      <c r="A965" s="13"/>
      <c r="D965" s="30"/>
      <c r="E965" s="31"/>
      <c r="F965" s="30"/>
      <c r="G965" s="30"/>
      <c r="H965" s="30"/>
      <c r="I965" s="30"/>
      <c r="J965" s="30"/>
      <c r="K965" s="30"/>
      <c r="L965" s="30"/>
      <c r="M965" s="30"/>
    </row>
    <row r="966" spans="1:13" s="14" customFormat="1" x14ac:dyDescent="0.25">
      <c r="A966" s="13"/>
      <c r="D966" s="30"/>
      <c r="E966" s="31"/>
      <c r="F966" s="30"/>
      <c r="G966" s="30"/>
      <c r="H966" s="30"/>
      <c r="I966" s="30"/>
      <c r="J966" s="30"/>
      <c r="K966" s="30"/>
      <c r="L966" s="30"/>
      <c r="M966" s="30"/>
    </row>
    <row r="967" spans="1:13" s="14" customFormat="1" x14ac:dyDescent="0.25">
      <c r="A967" s="13"/>
      <c r="D967" s="30"/>
      <c r="E967" s="31"/>
      <c r="F967" s="30"/>
      <c r="G967" s="30"/>
      <c r="H967" s="30"/>
      <c r="I967" s="30"/>
      <c r="J967" s="30"/>
      <c r="K967" s="30"/>
      <c r="L967" s="30"/>
      <c r="M967" s="30"/>
    </row>
    <row r="968" spans="1:13" s="14" customFormat="1" x14ac:dyDescent="0.25">
      <c r="A968" s="13"/>
      <c r="D968" s="30"/>
      <c r="E968" s="31"/>
      <c r="F968" s="30"/>
      <c r="G968" s="30"/>
      <c r="H968" s="30"/>
      <c r="I968" s="30"/>
      <c r="J968" s="30"/>
      <c r="K968" s="30"/>
      <c r="L968" s="30"/>
      <c r="M968" s="30"/>
    </row>
    <row r="969" spans="1:13" s="14" customFormat="1" x14ac:dyDescent="0.25">
      <c r="A969" s="13"/>
      <c r="D969" s="30"/>
      <c r="E969" s="31"/>
      <c r="F969" s="30"/>
      <c r="G969" s="30"/>
      <c r="H969" s="30"/>
      <c r="I969" s="30"/>
      <c r="J969" s="30"/>
      <c r="K969" s="30"/>
      <c r="L969" s="30"/>
      <c r="M969" s="30"/>
    </row>
    <row r="970" spans="1:13" s="14" customFormat="1" x14ac:dyDescent="0.25">
      <c r="A970" s="13"/>
      <c r="D970" s="30"/>
      <c r="E970" s="31"/>
      <c r="F970" s="30"/>
      <c r="G970" s="30"/>
      <c r="H970" s="30"/>
      <c r="I970" s="30"/>
      <c r="J970" s="30"/>
      <c r="K970" s="30"/>
      <c r="L970" s="30"/>
      <c r="M970" s="30"/>
    </row>
    <row r="971" spans="1:13" s="14" customFormat="1" x14ac:dyDescent="0.25">
      <c r="A971" s="13"/>
      <c r="D971" s="30"/>
      <c r="E971" s="31"/>
      <c r="F971" s="30"/>
      <c r="G971" s="30"/>
      <c r="H971" s="30"/>
      <c r="I971" s="30"/>
      <c r="J971" s="30"/>
      <c r="K971" s="30"/>
      <c r="L971" s="30"/>
      <c r="M971" s="30"/>
    </row>
    <row r="972" spans="1:13" s="14" customFormat="1" x14ac:dyDescent="0.25">
      <c r="A972" s="13"/>
      <c r="D972" s="30"/>
      <c r="E972" s="31"/>
      <c r="F972" s="30"/>
      <c r="G972" s="30"/>
      <c r="H972" s="30"/>
      <c r="I972" s="30"/>
      <c r="J972" s="30"/>
      <c r="K972" s="30"/>
      <c r="L972" s="30"/>
      <c r="M972" s="30"/>
    </row>
    <row r="973" spans="1:13" s="14" customFormat="1" x14ac:dyDescent="0.25">
      <c r="A973" s="13"/>
      <c r="D973" s="30"/>
      <c r="E973" s="31"/>
      <c r="F973" s="30"/>
      <c r="G973" s="30"/>
      <c r="H973" s="30"/>
      <c r="I973" s="30"/>
      <c r="J973" s="30"/>
      <c r="K973" s="30"/>
      <c r="L973" s="30"/>
      <c r="M973" s="30"/>
    </row>
    <row r="974" spans="1:13" s="14" customFormat="1" x14ac:dyDescent="0.25">
      <c r="A974" s="13"/>
      <c r="D974" s="30"/>
      <c r="E974" s="31"/>
      <c r="F974" s="30"/>
      <c r="G974" s="30"/>
      <c r="H974" s="30"/>
      <c r="I974" s="30"/>
      <c r="J974" s="30"/>
      <c r="K974" s="30"/>
      <c r="L974" s="30"/>
      <c r="M974" s="30"/>
    </row>
    <row r="975" spans="1:13" s="14" customFormat="1" x14ac:dyDescent="0.25">
      <c r="A975" s="13"/>
      <c r="D975" s="30"/>
      <c r="E975" s="31"/>
      <c r="F975" s="30"/>
      <c r="G975" s="30"/>
      <c r="H975" s="30"/>
      <c r="I975" s="30"/>
      <c r="J975" s="30"/>
      <c r="K975" s="30"/>
      <c r="L975" s="30"/>
      <c r="M975" s="30"/>
    </row>
    <row r="976" spans="1:13" s="14" customFormat="1" x14ac:dyDescent="0.25">
      <c r="A976" s="13"/>
      <c r="D976" s="30"/>
      <c r="E976" s="31"/>
      <c r="F976" s="30"/>
      <c r="G976" s="30"/>
      <c r="H976" s="30"/>
      <c r="I976" s="30"/>
      <c r="J976" s="30"/>
      <c r="K976" s="30"/>
      <c r="L976" s="30"/>
      <c r="M976" s="30"/>
    </row>
    <row r="977" spans="1:13" s="14" customFormat="1" x14ac:dyDescent="0.25">
      <c r="A977" s="13"/>
      <c r="D977" s="30"/>
      <c r="E977" s="31"/>
      <c r="F977" s="30"/>
      <c r="G977" s="30"/>
      <c r="H977" s="30"/>
      <c r="I977" s="30"/>
      <c r="J977" s="30"/>
      <c r="K977" s="30"/>
      <c r="L977" s="30"/>
      <c r="M977" s="30"/>
    </row>
    <row r="978" spans="1:13" s="14" customFormat="1" x14ac:dyDescent="0.25">
      <c r="A978" s="13"/>
      <c r="D978" s="30"/>
      <c r="E978" s="31"/>
      <c r="F978" s="30"/>
      <c r="G978" s="30"/>
      <c r="H978" s="30"/>
      <c r="I978" s="30"/>
      <c r="J978" s="30"/>
      <c r="K978" s="30"/>
      <c r="L978" s="30"/>
      <c r="M978" s="30"/>
    </row>
    <row r="979" spans="1:13" s="14" customFormat="1" x14ac:dyDescent="0.25">
      <c r="A979" s="13"/>
      <c r="D979" s="30"/>
      <c r="E979" s="31"/>
      <c r="F979" s="30"/>
      <c r="G979" s="30"/>
      <c r="H979" s="30"/>
      <c r="I979" s="30"/>
      <c r="J979" s="30"/>
      <c r="K979" s="30"/>
      <c r="L979" s="30"/>
      <c r="M979" s="30"/>
    </row>
    <row r="980" spans="1:13" s="14" customFormat="1" x14ac:dyDescent="0.25">
      <c r="A980" s="13"/>
      <c r="D980" s="30"/>
      <c r="E980" s="31"/>
      <c r="F980" s="30"/>
      <c r="G980" s="30"/>
      <c r="H980" s="30"/>
      <c r="I980" s="30"/>
      <c r="J980" s="30"/>
      <c r="K980" s="30"/>
      <c r="L980" s="30"/>
      <c r="M980" s="30"/>
    </row>
    <row r="981" spans="1:13" s="14" customFormat="1" x14ac:dyDescent="0.25">
      <c r="A981" s="13"/>
      <c r="D981" s="30"/>
      <c r="E981" s="31"/>
      <c r="F981" s="30"/>
      <c r="G981" s="30"/>
      <c r="H981" s="30"/>
      <c r="I981" s="30"/>
      <c r="J981" s="30"/>
      <c r="K981" s="30"/>
      <c r="L981" s="30"/>
      <c r="M981" s="30"/>
    </row>
    <row r="982" spans="1:13" s="14" customFormat="1" x14ac:dyDescent="0.25">
      <c r="A982" s="13"/>
      <c r="D982" s="30"/>
      <c r="E982" s="31"/>
      <c r="F982" s="30"/>
      <c r="G982" s="30"/>
      <c r="H982" s="30"/>
      <c r="I982" s="30"/>
      <c r="J982" s="30"/>
      <c r="K982" s="30"/>
      <c r="L982" s="30"/>
      <c r="M982" s="30"/>
    </row>
    <row r="983" spans="1:13" s="14" customFormat="1" x14ac:dyDescent="0.25">
      <c r="A983" s="13"/>
      <c r="D983" s="30"/>
      <c r="E983" s="31"/>
      <c r="F983" s="30"/>
      <c r="G983" s="30"/>
      <c r="H983" s="30"/>
      <c r="I983" s="30"/>
      <c r="J983" s="30"/>
      <c r="K983" s="30"/>
      <c r="L983" s="30"/>
      <c r="M983" s="30"/>
    </row>
    <row r="984" spans="1:13" s="14" customFormat="1" x14ac:dyDescent="0.25">
      <c r="A984" s="13"/>
      <c r="D984" s="30"/>
      <c r="E984" s="31"/>
      <c r="F984" s="30"/>
      <c r="G984" s="30"/>
      <c r="H984" s="30"/>
      <c r="I984" s="30"/>
      <c r="J984" s="30"/>
      <c r="K984" s="30"/>
      <c r="L984" s="30"/>
      <c r="M984" s="30"/>
    </row>
    <row r="985" spans="1:13" s="14" customFormat="1" x14ac:dyDescent="0.25">
      <c r="A985" s="13"/>
      <c r="D985" s="30"/>
      <c r="E985" s="31"/>
      <c r="F985" s="30"/>
      <c r="G985" s="30"/>
      <c r="H985" s="30"/>
      <c r="I985" s="30"/>
      <c r="J985" s="30"/>
      <c r="K985" s="30"/>
      <c r="L985" s="30"/>
      <c r="M985" s="30"/>
    </row>
    <row r="986" spans="1:13" s="14" customFormat="1" x14ac:dyDescent="0.25">
      <c r="A986" s="13"/>
      <c r="D986" s="30"/>
      <c r="E986" s="31"/>
      <c r="F986" s="30"/>
      <c r="G986" s="30"/>
      <c r="H986" s="30"/>
      <c r="I986" s="30"/>
      <c r="J986" s="30"/>
      <c r="K986" s="30"/>
      <c r="L986" s="30"/>
      <c r="M986" s="30"/>
    </row>
    <row r="987" spans="1:13" s="14" customFormat="1" x14ac:dyDescent="0.25">
      <c r="A987" s="13"/>
      <c r="D987" s="30"/>
      <c r="E987" s="31"/>
      <c r="F987" s="30"/>
      <c r="G987" s="30"/>
      <c r="H987" s="30"/>
      <c r="I987" s="30"/>
      <c r="J987" s="30"/>
      <c r="K987" s="30"/>
      <c r="L987" s="30"/>
      <c r="M987" s="30"/>
    </row>
    <row r="988" spans="1:13" s="14" customFormat="1" x14ac:dyDescent="0.25">
      <c r="A988" s="13"/>
      <c r="D988" s="30"/>
      <c r="E988" s="31"/>
      <c r="F988" s="30"/>
      <c r="G988" s="30"/>
      <c r="H988" s="30"/>
      <c r="I988" s="30"/>
      <c r="J988" s="30"/>
      <c r="K988" s="30"/>
      <c r="L988" s="30"/>
      <c r="M988" s="30"/>
    </row>
    <row r="989" spans="1:13" s="14" customFormat="1" x14ac:dyDescent="0.25">
      <c r="A989" s="13"/>
      <c r="D989" s="30"/>
      <c r="E989" s="31"/>
      <c r="F989" s="30"/>
      <c r="G989" s="30"/>
      <c r="H989" s="30"/>
      <c r="I989" s="30"/>
      <c r="J989" s="30"/>
      <c r="K989" s="30"/>
      <c r="L989" s="30"/>
      <c r="M989" s="30"/>
    </row>
    <row r="990" spans="1:13" s="14" customFormat="1" x14ac:dyDescent="0.25">
      <c r="A990" s="13"/>
      <c r="D990" s="30"/>
      <c r="E990" s="31"/>
      <c r="F990" s="30"/>
      <c r="G990" s="30"/>
      <c r="H990" s="30"/>
      <c r="I990" s="30"/>
      <c r="J990" s="30"/>
      <c r="K990" s="30"/>
      <c r="L990" s="30"/>
      <c r="M990" s="30"/>
    </row>
    <row r="991" spans="1:13" s="14" customFormat="1" x14ac:dyDescent="0.25">
      <c r="A991" s="13"/>
      <c r="D991" s="30"/>
      <c r="E991" s="31"/>
      <c r="F991" s="30"/>
      <c r="G991" s="30"/>
      <c r="H991" s="30"/>
      <c r="I991" s="30"/>
      <c r="J991" s="30"/>
      <c r="K991" s="30"/>
      <c r="L991" s="30"/>
      <c r="M991" s="30"/>
    </row>
    <row r="992" spans="1:13" s="14" customFormat="1" x14ac:dyDescent="0.25">
      <c r="A992" s="13"/>
      <c r="D992" s="30"/>
      <c r="E992" s="31"/>
      <c r="F992" s="30"/>
      <c r="G992" s="30"/>
      <c r="H992" s="30"/>
      <c r="I992" s="30"/>
      <c r="J992" s="30"/>
      <c r="K992" s="30"/>
      <c r="L992" s="30"/>
      <c r="M992" s="30"/>
    </row>
    <row r="993" spans="1:13" s="14" customFormat="1" x14ac:dyDescent="0.25">
      <c r="A993" s="13"/>
      <c r="D993" s="30"/>
      <c r="E993" s="31"/>
      <c r="F993" s="30"/>
      <c r="G993" s="30"/>
      <c r="H993" s="30"/>
      <c r="I993" s="30"/>
      <c r="J993" s="30"/>
      <c r="K993" s="30"/>
      <c r="L993" s="30"/>
      <c r="M993" s="30"/>
    </row>
    <row r="994" spans="1:13" s="14" customFormat="1" x14ac:dyDescent="0.25">
      <c r="A994" s="13"/>
      <c r="D994" s="30"/>
      <c r="E994" s="31"/>
      <c r="F994" s="30"/>
      <c r="G994" s="30"/>
      <c r="H994" s="30"/>
      <c r="I994" s="30"/>
      <c r="J994" s="30"/>
      <c r="K994" s="30"/>
      <c r="L994" s="30"/>
      <c r="M994" s="30"/>
    </row>
    <row r="995" spans="1:13" s="14" customFormat="1" x14ac:dyDescent="0.25">
      <c r="A995" s="13"/>
      <c r="D995" s="30"/>
      <c r="E995" s="31"/>
      <c r="F995" s="30"/>
      <c r="G995" s="30"/>
      <c r="H995" s="30"/>
      <c r="I995" s="30"/>
      <c r="J995" s="30"/>
      <c r="K995" s="30"/>
      <c r="L995" s="30"/>
      <c r="M995" s="30"/>
    </row>
    <row r="996" spans="1:13" s="14" customFormat="1" x14ac:dyDescent="0.25">
      <c r="A996" s="13"/>
      <c r="D996" s="30"/>
      <c r="E996" s="31"/>
      <c r="F996" s="30"/>
      <c r="G996" s="30"/>
      <c r="H996" s="30"/>
      <c r="I996" s="30"/>
      <c r="J996" s="30"/>
      <c r="K996" s="30"/>
      <c r="L996" s="30"/>
      <c r="M996" s="30"/>
    </row>
    <row r="997" spans="1:13" s="14" customFormat="1" x14ac:dyDescent="0.25">
      <c r="A997" s="13"/>
      <c r="D997" s="30"/>
      <c r="E997" s="31"/>
      <c r="F997" s="30"/>
      <c r="G997" s="30"/>
      <c r="H997" s="30"/>
      <c r="I997" s="30"/>
      <c r="J997" s="30"/>
      <c r="K997" s="30"/>
      <c r="L997" s="30"/>
      <c r="M997" s="30"/>
    </row>
    <row r="998" spans="1:13" s="14" customFormat="1" x14ac:dyDescent="0.25">
      <c r="A998" s="13"/>
      <c r="D998" s="30"/>
      <c r="E998" s="31"/>
      <c r="F998" s="30"/>
      <c r="G998" s="30"/>
      <c r="H998" s="30"/>
      <c r="I998" s="30"/>
      <c r="J998" s="30"/>
      <c r="K998" s="30"/>
      <c r="L998" s="30"/>
      <c r="M998" s="30"/>
    </row>
    <row r="999" spans="1:13" s="14" customFormat="1" x14ac:dyDescent="0.25">
      <c r="A999" s="13"/>
      <c r="D999" s="30"/>
      <c r="E999" s="31"/>
      <c r="F999" s="30"/>
      <c r="G999" s="30"/>
      <c r="H999" s="30"/>
      <c r="I999" s="30"/>
      <c r="J999" s="30"/>
      <c r="K999" s="30"/>
      <c r="L999" s="30"/>
      <c r="M999" s="30"/>
    </row>
    <row r="1000" spans="1:13" s="14" customFormat="1" x14ac:dyDescent="0.25">
      <c r="A1000" s="13"/>
      <c r="D1000" s="30"/>
      <c r="E1000" s="31"/>
      <c r="F1000" s="30"/>
      <c r="G1000" s="30"/>
      <c r="H1000" s="30"/>
      <c r="I1000" s="30"/>
      <c r="J1000" s="30"/>
      <c r="K1000" s="30"/>
      <c r="L1000" s="30"/>
      <c r="M1000" s="30"/>
    </row>
    <row r="1001" spans="1:13" s="14" customFormat="1" x14ac:dyDescent="0.25">
      <c r="A1001" s="13"/>
      <c r="D1001" s="30"/>
      <c r="E1001" s="31"/>
      <c r="F1001" s="30"/>
      <c r="G1001" s="30"/>
      <c r="H1001" s="30"/>
      <c r="I1001" s="30"/>
      <c r="J1001" s="30"/>
      <c r="K1001" s="30"/>
      <c r="L1001" s="30"/>
      <c r="M1001" s="30"/>
    </row>
    <row r="1002" spans="1:13" s="14" customFormat="1" x14ac:dyDescent="0.25">
      <c r="A1002" s="13"/>
      <c r="D1002" s="30"/>
      <c r="E1002" s="31"/>
      <c r="F1002" s="30"/>
      <c r="G1002" s="30"/>
      <c r="H1002" s="30"/>
      <c r="I1002" s="30"/>
      <c r="J1002" s="30"/>
      <c r="K1002" s="30"/>
      <c r="L1002" s="30"/>
      <c r="M1002" s="30"/>
    </row>
    <row r="1003" spans="1:13" s="14" customFormat="1" x14ac:dyDescent="0.25">
      <c r="A1003" s="13"/>
      <c r="D1003" s="30"/>
      <c r="E1003" s="31"/>
      <c r="F1003" s="30"/>
      <c r="G1003" s="30"/>
      <c r="H1003" s="30"/>
      <c r="I1003" s="30"/>
      <c r="J1003" s="30"/>
      <c r="K1003" s="30"/>
      <c r="L1003" s="30"/>
      <c r="M1003" s="30"/>
    </row>
    <row r="1004" spans="1:13" s="14" customFormat="1" x14ac:dyDescent="0.25">
      <c r="A1004" s="13"/>
      <c r="D1004" s="30"/>
      <c r="E1004" s="31"/>
      <c r="F1004" s="30"/>
      <c r="G1004" s="30"/>
      <c r="H1004" s="30"/>
      <c r="I1004" s="30"/>
      <c r="J1004" s="30"/>
      <c r="K1004" s="30"/>
      <c r="L1004" s="30"/>
      <c r="M1004" s="30"/>
    </row>
    <row r="1005" spans="1:13" s="14" customFormat="1" x14ac:dyDescent="0.25">
      <c r="A1005" s="13"/>
      <c r="D1005" s="30"/>
      <c r="E1005" s="31"/>
      <c r="F1005" s="30"/>
      <c r="G1005" s="30"/>
      <c r="H1005" s="30"/>
      <c r="I1005" s="30"/>
      <c r="J1005" s="30"/>
      <c r="K1005" s="30"/>
      <c r="L1005" s="30"/>
      <c r="M1005" s="30"/>
    </row>
    <row r="1006" spans="1:13" s="14" customFormat="1" x14ac:dyDescent="0.25">
      <c r="A1006" s="13"/>
      <c r="D1006" s="30"/>
      <c r="E1006" s="31"/>
      <c r="F1006" s="30"/>
      <c r="G1006" s="30"/>
      <c r="H1006" s="30"/>
      <c r="I1006" s="30"/>
      <c r="J1006" s="30"/>
      <c r="K1006" s="30"/>
      <c r="L1006" s="30"/>
      <c r="M1006" s="30"/>
    </row>
    <row r="1007" spans="1:13" s="14" customFormat="1" x14ac:dyDescent="0.25">
      <c r="A1007" s="13"/>
      <c r="D1007" s="30"/>
      <c r="E1007" s="31"/>
      <c r="F1007" s="30"/>
      <c r="G1007" s="30"/>
      <c r="H1007" s="30"/>
      <c r="I1007" s="30"/>
      <c r="J1007" s="30"/>
      <c r="K1007" s="30"/>
      <c r="L1007" s="30"/>
      <c r="M1007" s="30"/>
    </row>
    <row r="1008" spans="1:13" s="14" customFormat="1" x14ac:dyDescent="0.25">
      <c r="A1008" s="13"/>
      <c r="D1008" s="30"/>
      <c r="E1008" s="31"/>
      <c r="F1008" s="30"/>
      <c r="G1008" s="30"/>
      <c r="H1008" s="30"/>
      <c r="I1008" s="30"/>
      <c r="J1008" s="30"/>
      <c r="K1008" s="30"/>
      <c r="L1008" s="30"/>
      <c r="M1008" s="30"/>
    </row>
    <row r="1009" spans="1:13" s="14" customFormat="1" x14ac:dyDescent="0.25">
      <c r="A1009" s="13"/>
      <c r="D1009" s="30"/>
      <c r="E1009" s="31"/>
      <c r="F1009" s="30"/>
      <c r="G1009" s="30"/>
      <c r="H1009" s="30"/>
      <c r="I1009" s="30"/>
      <c r="J1009" s="30"/>
      <c r="K1009" s="30"/>
      <c r="L1009" s="30"/>
      <c r="M1009" s="30"/>
    </row>
    <row r="1010" spans="1:13" s="14" customFormat="1" x14ac:dyDescent="0.25">
      <c r="A1010" s="13"/>
      <c r="D1010" s="30"/>
      <c r="E1010" s="31"/>
      <c r="F1010" s="30"/>
      <c r="G1010" s="30"/>
      <c r="H1010" s="30"/>
      <c r="I1010" s="30"/>
      <c r="J1010" s="30"/>
      <c r="K1010" s="30"/>
      <c r="L1010" s="30"/>
      <c r="M1010" s="30"/>
    </row>
    <row r="1011" spans="1:13" s="14" customFormat="1" x14ac:dyDescent="0.25">
      <c r="A1011" s="13"/>
      <c r="D1011" s="30"/>
      <c r="E1011" s="31"/>
      <c r="F1011" s="30"/>
      <c r="G1011" s="30"/>
      <c r="H1011" s="30"/>
      <c r="I1011" s="30"/>
      <c r="J1011" s="30"/>
      <c r="K1011" s="30"/>
      <c r="L1011" s="30"/>
      <c r="M1011" s="30"/>
    </row>
    <row r="1012" spans="1:13" s="14" customFormat="1" x14ac:dyDescent="0.25">
      <c r="A1012" s="13"/>
      <c r="D1012" s="30"/>
      <c r="E1012" s="31"/>
      <c r="F1012" s="30"/>
      <c r="G1012" s="30"/>
      <c r="H1012" s="30"/>
      <c r="I1012" s="30"/>
      <c r="J1012" s="30"/>
      <c r="K1012" s="30"/>
      <c r="L1012" s="30"/>
      <c r="M1012" s="30"/>
    </row>
    <row r="1013" spans="1:13" s="14" customFormat="1" x14ac:dyDescent="0.25">
      <c r="A1013" s="13"/>
      <c r="D1013" s="30"/>
      <c r="E1013" s="31"/>
      <c r="F1013" s="30"/>
      <c r="G1013" s="30"/>
      <c r="H1013" s="30"/>
      <c r="I1013" s="30"/>
      <c r="J1013" s="30"/>
      <c r="K1013" s="30"/>
      <c r="L1013" s="30"/>
      <c r="M1013" s="30"/>
    </row>
    <row r="1014" spans="1:13" s="14" customFormat="1" x14ac:dyDescent="0.25">
      <c r="A1014" s="13"/>
      <c r="D1014" s="30"/>
      <c r="E1014" s="31"/>
      <c r="F1014" s="30"/>
      <c r="G1014" s="30"/>
      <c r="H1014" s="30"/>
      <c r="I1014" s="30"/>
      <c r="J1014" s="30"/>
      <c r="K1014" s="30"/>
      <c r="L1014" s="30"/>
      <c r="M1014" s="30"/>
    </row>
    <row r="1015" spans="1:13" s="14" customFormat="1" x14ac:dyDescent="0.25">
      <c r="A1015" s="13"/>
      <c r="D1015" s="30"/>
      <c r="E1015" s="31"/>
      <c r="F1015" s="30"/>
      <c r="G1015" s="30"/>
      <c r="H1015" s="30"/>
      <c r="I1015" s="30"/>
      <c r="J1015" s="30"/>
      <c r="K1015" s="30"/>
      <c r="L1015" s="30"/>
      <c r="M1015" s="30"/>
    </row>
    <row r="1016" spans="1:13" s="14" customFormat="1" x14ac:dyDescent="0.25">
      <c r="A1016" s="13"/>
      <c r="D1016" s="30"/>
      <c r="E1016" s="31"/>
      <c r="F1016" s="30"/>
      <c r="G1016" s="30"/>
      <c r="H1016" s="30"/>
      <c r="I1016" s="30"/>
      <c r="J1016" s="30"/>
      <c r="K1016" s="30"/>
      <c r="L1016" s="30"/>
      <c r="M1016" s="30"/>
    </row>
    <row r="1017" spans="1:13" s="14" customFormat="1" x14ac:dyDescent="0.25">
      <c r="A1017" s="13"/>
      <c r="D1017" s="30"/>
      <c r="E1017" s="31"/>
      <c r="F1017" s="30"/>
      <c r="G1017" s="30"/>
      <c r="H1017" s="30"/>
      <c r="I1017" s="30"/>
      <c r="J1017" s="30"/>
      <c r="K1017" s="30"/>
      <c r="L1017" s="30"/>
      <c r="M1017" s="30"/>
    </row>
    <row r="1018" spans="1:13" s="14" customFormat="1" x14ac:dyDescent="0.25">
      <c r="A1018" s="13"/>
      <c r="D1018" s="30"/>
      <c r="E1018" s="31"/>
      <c r="F1018" s="30"/>
      <c r="G1018" s="30"/>
      <c r="H1018" s="30"/>
      <c r="I1018" s="30"/>
      <c r="J1018" s="30"/>
      <c r="K1018" s="30"/>
      <c r="L1018" s="30"/>
      <c r="M1018" s="30"/>
    </row>
    <row r="1019" spans="1:13" s="14" customFormat="1" x14ac:dyDescent="0.25">
      <c r="A1019" s="13"/>
      <c r="D1019" s="30"/>
      <c r="E1019" s="31"/>
      <c r="F1019" s="30"/>
      <c r="G1019" s="30"/>
      <c r="H1019" s="30"/>
      <c r="I1019" s="30"/>
      <c r="J1019" s="30"/>
      <c r="K1019" s="30"/>
      <c r="L1019" s="30"/>
      <c r="M1019" s="30"/>
    </row>
    <row r="1020" spans="1:13" s="14" customFormat="1" x14ac:dyDescent="0.25">
      <c r="A1020" s="13"/>
      <c r="D1020" s="30"/>
      <c r="E1020" s="31"/>
      <c r="F1020" s="30"/>
      <c r="G1020" s="30"/>
      <c r="H1020" s="30"/>
      <c r="I1020" s="30"/>
      <c r="J1020" s="30"/>
      <c r="K1020" s="30"/>
      <c r="L1020" s="30"/>
      <c r="M1020" s="30"/>
    </row>
    <row r="1021" spans="1:13" s="14" customFormat="1" x14ac:dyDescent="0.25">
      <c r="A1021" s="13"/>
      <c r="D1021" s="30"/>
      <c r="E1021" s="31"/>
      <c r="F1021" s="30"/>
      <c r="G1021" s="30"/>
      <c r="H1021" s="30"/>
      <c r="I1021" s="30"/>
      <c r="J1021" s="30"/>
      <c r="K1021" s="30"/>
      <c r="L1021" s="30"/>
      <c r="M1021" s="30"/>
    </row>
    <row r="1022" spans="1:13" s="14" customFormat="1" x14ac:dyDescent="0.25">
      <c r="A1022" s="13"/>
      <c r="D1022" s="30"/>
      <c r="E1022" s="31"/>
      <c r="F1022" s="30"/>
      <c r="G1022" s="30"/>
      <c r="H1022" s="30"/>
      <c r="I1022" s="30"/>
      <c r="J1022" s="30"/>
      <c r="K1022" s="30"/>
      <c r="L1022" s="30"/>
      <c r="M1022" s="30"/>
    </row>
    <row r="1023" spans="1:13" s="14" customFormat="1" x14ac:dyDescent="0.25">
      <c r="A1023" s="13"/>
      <c r="D1023" s="30"/>
      <c r="E1023" s="31"/>
      <c r="F1023" s="30"/>
      <c r="G1023" s="30"/>
      <c r="H1023" s="30"/>
      <c r="I1023" s="30"/>
      <c r="J1023" s="30"/>
      <c r="K1023" s="30"/>
      <c r="L1023" s="30"/>
      <c r="M1023" s="30"/>
    </row>
    <row r="1024" spans="1:13" s="14" customFormat="1" x14ac:dyDescent="0.25">
      <c r="A1024" s="13"/>
      <c r="D1024" s="30"/>
      <c r="E1024" s="31"/>
      <c r="F1024" s="30"/>
      <c r="G1024" s="30"/>
      <c r="H1024" s="30"/>
      <c r="I1024" s="30"/>
      <c r="J1024" s="30"/>
      <c r="K1024" s="30"/>
      <c r="L1024" s="30"/>
      <c r="M1024" s="30"/>
    </row>
    <row r="1025" spans="1:13" s="14" customFormat="1" x14ac:dyDescent="0.25">
      <c r="A1025" s="13"/>
      <c r="D1025" s="30"/>
      <c r="E1025" s="31"/>
      <c r="F1025" s="30"/>
      <c r="G1025" s="30"/>
      <c r="H1025" s="30"/>
      <c r="I1025" s="30"/>
      <c r="J1025" s="30"/>
      <c r="K1025" s="30"/>
      <c r="L1025" s="30"/>
      <c r="M1025" s="30"/>
    </row>
    <row r="1026" spans="1:13" s="14" customFormat="1" x14ac:dyDescent="0.25">
      <c r="A1026" s="13"/>
      <c r="D1026" s="30"/>
      <c r="E1026" s="31"/>
      <c r="F1026" s="30"/>
      <c r="G1026" s="30"/>
      <c r="H1026" s="30"/>
      <c r="I1026" s="30"/>
      <c r="J1026" s="30"/>
      <c r="K1026" s="30"/>
      <c r="L1026" s="30"/>
      <c r="M1026" s="30"/>
    </row>
    <row r="1027" spans="1:13" s="14" customFormat="1" x14ac:dyDescent="0.25">
      <c r="A1027" s="13"/>
      <c r="D1027" s="30"/>
      <c r="E1027" s="31"/>
      <c r="F1027" s="30"/>
      <c r="G1027" s="30"/>
      <c r="H1027" s="30"/>
      <c r="I1027" s="30"/>
      <c r="J1027" s="30"/>
      <c r="K1027" s="30"/>
      <c r="L1027" s="30"/>
      <c r="M1027" s="30"/>
    </row>
    <row r="1028" spans="1:13" s="14" customFormat="1" x14ac:dyDescent="0.25">
      <c r="A1028" s="13"/>
      <c r="D1028" s="30"/>
      <c r="E1028" s="31"/>
      <c r="F1028" s="30"/>
      <c r="G1028" s="30"/>
      <c r="H1028" s="30"/>
      <c r="I1028" s="30"/>
      <c r="J1028" s="30"/>
      <c r="K1028" s="30"/>
      <c r="L1028" s="30"/>
      <c r="M1028" s="30"/>
    </row>
    <row r="1029" spans="1:13" s="14" customFormat="1" x14ac:dyDescent="0.25">
      <c r="A1029" s="13"/>
      <c r="D1029" s="30"/>
      <c r="E1029" s="31"/>
      <c r="F1029" s="30"/>
      <c r="G1029" s="30"/>
      <c r="H1029" s="30"/>
      <c r="I1029" s="30"/>
      <c r="J1029" s="30"/>
      <c r="K1029" s="30"/>
      <c r="L1029" s="30"/>
      <c r="M1029" s="30"/>
    </row>
    <row r="1030" spans="1:13" s="14" customFormat="1" x14ac:dyDescent="0.25">
      <c r="A1030" s="13"/>
      <c r="D1030" s="30"/>
      <c r="E1030" s="31"/>
      <c r="F1030" s="30"/>
      <c r="G1030" s="30"/>
      <c r="H1030" s="30"/>
      <c r="I1030" s="30"/>
      <c r="J1030" s="30"/>
      <c r="K1030" s="30"/>
      <c r="L1030" s="30"/>
      <c r="M1030" s="30"/>
    </row>
    <row r="1031" spans="1:13" s="14" customFormat="1" x14ac:dyDescent="0.25">
      <c r="A1031" s="13"/>
      <c r="D1031" s="30"/>
      <c r="E1031" s="31"/>
      <c r="F1031" s="30"/>
      <c r="G1031" s="30"/>
      <c r="H1031" s="30"/>
      <c r="I1031" s="30"/>
      <c r="J1031" s="30"/>
      <c r="K1031" s="30"/>
      <c r="L1031" s="30"/>
      <c r="M1031" s="30"/>
    </row>
    <row r="1032" spans="1:13" s="14" customFormat="1" x14ac:dyDescent="0.25">
      <c r="A1032" s="13"/>
      <c r="D1032" s="30"/>
      <c r="E1032" s="31"/>
      <c r="F1032" s="30"/>
      <c r="G1032" s="30"/>
      <c r="H1032" s="30"/>
      <c r="I1032" s="30"/>
      <c r="J1032" s="30"/>
      <c r="K1032" s="30"/>
      <c r="L1032" s="30"/>
      <c r="M1032" s="30"/>
    </row>
    <row r="1033" spans="1:13" s="14" customFormat="1" x14ac:dyDescent="0.25">
      <c r="A1033" s="13"/>
      <c r="D1033" s="30"/>
      <c r="E1033" s="31"/>
      <c r="F1033" s="30"/>
      <c r="G1033" s="30"/>
      <c r="H1033" s="30"/>
      <c r="I1033" s="30"/>
      <c r="J1033" s="30"/>
      <c r="K1033" s="30"/>
      <c r="L1033" s="30"/>
      <c r="M1033" s="30"/>
    </row>
    <row r="1034" spans="1:13" s="14" customFormat="1" x14ac:dyDescent="0.25">
      <c r="A1034" s="13"/>
      <c r="D1034" s="30"/>
      <c r="E1034" s="31"/>
      <c r="F1034" s="30"/>
      <c r="G1034" s="30"/>
      <c r="H1034" s="30"/>
      <c r="I1034" s="30"/>
      <c r="J1034" s="30"/>
      <c r="K1034" s="30"/>
      <c r="L1034" s="30"/>
      <c r="M1034" s="30"/>
    </row>
    <row r="1035" spans="1:13" s="14" customFormat="1" x14ac:dyDescent="0.25">
      <c r="A1035" s="13"/>
      <c r="D1035" s="30"/>
      <c r="E1035" s="31"/>
      <c r="F1035" s="30"/>
      <c r="G1035" s="30"/>
      <c r="H1035" s="30"/>
      <c r="I1035" s="30"/>
      <c r="J1035" s="30"/>
      <c r="K1035" s="30"/>
      <c r="L1035" s="30"/>
      <c r="M1035" s="30"/>
    </row>
    <row r="1036" spans="1:13" s="14" customFormat="1" x14ac:dyDescent="0.25">
      <c r="A1036" s="13"/>
      <c r="D1036" s="30"/>
      <c r="E1036" s="31"/>
      <c r="F1036" s="30"/>
      <c r="G1036" s="30"/>
      <c r="H1036" s="30"/>
      <c r="I1036" s="30"/>
      <c r="J1036" s="30"/>
      <c r="K1036" s="30"/>
      <c r="L1036" s="30"/>
      <c r="M1036" s="30"/>
    </row>
    <row r="1037" spans="1:13" s="14" customFormat="1" x14ac:dyDescent="0.25">
      <c r="A1037" s="13"/>
      <c r="D1037" s="30"/>
      <c r="E1037" s="31"/>
      <c r="F1037" s="30"/>
      <c r="G1037" s="30"/>
      <c r="H1037" s="30"/>
      <c r="I1037" s="30"/>
      <c r="J1037" s="30"/>
      <c r="K1037" s="30"/>
      <c r="L1037" s="30"/>
      <c r="M1037" s="30"/>
    </row>
    <row r="1038" spans="1:13" s="14" customFormat="1" x14ac:dyDescent="0.25">
      <c r="A1038" s="13"/>
      <c r="D1038" s="30"/>
      <c r="E1038" s="31"/>
      <c r="F1038" s="30"/>
      <c r="G1038" s="30"/>
      <c r="H1038" s="30"/>
      <c r="I1038" s="30"/>
      <c r="J1038" s="30"/>
      <c r="K1038" s="30"/>
      <c r="L1038" s="30"/>
      <c r="M1038" s="30"/>
    </row>
    <row r="1039" spans="1:13" s="14" customFormat="1" x14ac:dyDescent="0.25">
      <c r="A1039" s="13"/>
      <c r="D1039" s="30"/>
      <c r="E1039" s="31"/>
      <c r="F1039" s="30"/>
      <c r="G1039" s="30"/>
      <c r="H1039" s="30"/>
      <c r="I1039" s="30"/>
      <c r="J1039" s="30"/>
      <c r="K1039" s="30"/>
      <c r="L1039" s="30"/>
      <c r="M1039" s="30"/>
    </row>
    <row r="1040" spans="1:13" s="14" customFormat="1" x14ac:dyDescent="0.25">
      <c r="A1040" s="13"/>
      <c r="D1040" s="30"/>
      <c r="E1040" s="31"/>
      <c r="F1040" s="30"/>
      <c r="G1040" s="30"/>
      <c r="H1040" s="30"/>
      <c r="I1040" s="30"/>
      <c r="J1040" s="30"/>
      <c r="K1040" s="30"/>
      <c r="L1040" s="30"/>
      <c r="M1040" s="30"/>
    </row>
    <row r="1041" spans="1:13" s="14" customFormat="1" x14ac:dyDescent="0.25">
      <c r="A1041" s="13"/>
      <c r="D1041" s="30"/>
      <c r="E1041" s="31"/>
      <c r="F1041" s="30"/>
      <c r="G1041" s="30"/>
      <c r="H1041" s="30"/>
      <c r="I1041" s="30"/>
      <c r="J1041" s="30"/>
      <c r="K1041" s="30"/>
      <c r="L1041" s="30"/>
      <c r="M1041" s="30"/>
    </row>
    <row r="1042" spans="1:13" s="14" customFormat="1" x14ac:dyDescent="0.25">
      <c r="A1042" s="13"/>
      <c r="D1042" s="30"/>
      <c r="E1042" s="31"/>
      <c r="F1042" s="30"/>
      <c r="G1042" s="30"/>
      <c r="H1042" s="30"/>
      <c r="I1042" s="30"/>
      <c r="J1042" s="30"/>
      <c r="K1042" s="30"/>
      <c r="L1042" s="30"/>
      <c r="M1042" s="30"/>
    </row>
    <row r="1043" spans="1:13" s="14" customFormat="1" x14ac:dyDescent="0.25">
      <c r="A1043" s="13"/>
      <c r="D1043" s="30"/>
      <c r="E1043" s="31"/>
      <c r="F1043" s="30"/>
      <c r="G1043" s="30"/>
      <c r="H1043" s="30"/>
      <c r="I1043" s="30"/>
      <c r="J1043" s="30"/>
      <c r="K1043" s="30"/>
      <c r="L1043" s="30"/>
      <c r="M1043" s="30"/>
    </row>
    <row r="1044" spans="1:13" s="14" customFormat="1" x14ac:dyDescent="0.25">
      <c r="A1044" s="13"/>
      <c r="D1044" s="30"/>
      <c r="E1044" s="31"/>
      <c r="F1044" s="30"/>
      <c r="G1044" s="30"/>
      <c r="H1044" s="30"/>
      <c r="I1044" s="30"/>
      <c r="J1044" s="30"/>
      <c r="K1044" s="30"/>
      <c r="L1044" s="30"/>
      <c r="M1044" s="30"/>
    </row>
    <row r="1045" spans="1:13" s="14" customFormat="1" x14ac:dyDescent="0.25">
      <c r="A1045" s="13"/>
      <c r="D1045" s="30"/>
      <c r="E1045" s="31"/>
      <c r="F1045" s="30"/>
      <c r="G1045" s="30"/>
      <c r="H1045" s="30"/>
      <c r="I1045" s="30"/>
      <c r="J1045" s="30"/>
      <c r="K1045" s="30"/>
      <c r="L1045" s="30"/>
      <c r="M1045" s="30"/>
    </row>
    <row r="1046" spans="1:13" s="14" customFormat="1" x14ac:dyDescent="0.25">
      <c r="A1046" s="13"/>
      <c r="D1046" s="30"/>
      <c r="E1046" s="31"/>
      <c r="F1046" s="30"/>
      <c r="G1046" s="30"/>
      <c r="H1046" s="30"/>
      <c r="I1046" s="30"/>
      <c r="J1046" s="30"/>
      <c r="K1046" s="30"/>
      <c r="L1046" s="30"/>
      <c r="M1046" s="30"/>
    </row>
    <row r="1047" spans="1:13" s="14" customFormat="1" x14ac:dyDescent="0.25">
      <c r="A1047" s="13"/>
      <c r="D1047" s="30"/>
      <c r="E1047" s="31"/>
      <c r="F1047" s="30"/>
      <c r="G1047" s="30"/>
      <c r="H1047" s="30"/>
      <c r="I1047" s="30"/>
      <c r="J1047" s="30"/>
      <c r="K1047" s="30"/>
      <c r="L1047" s="30"/>
      <c r="M1047" s="30"/>
    </row>
    <row r="1048" spans="1:13" s="14" customFormat="1" x14ac:dyDescent="0.25">
      <c r="A1048" s="13"/>
      <c r="D1048" s="30"/>
      <c r="E1048" s="31"/>
      <c r="F1048" s="30"/>
      <c r="G1048" s="30"/>
      <c r="H1048" s="30"/>
      <c r="I1048" s="30"/>
      <c r="J1048" s="30"/>
      <c r="K1048" s="30"/>
      <c r="L1048" s="30"/>
      <c r="M1048" s="30"/>
    </row>
    <row r="1049" spans="1:13" s="14" customFormat="1" x14ac:dyDescent="0.25">
      <c r="A1049" s="13"/>
      <c r="D1049" s="30"/>
      <c r="E1049" s="31"/>
      <c r="F1049" s="30"/>
      <c r="G1049" s="30"/>
      <c r="H1049" s="30"/>
      <c r="I1049" s="30"/>
      <c r="J1049" s="30"/>
      <c r="K1049" s="30"/>
      <c r="L1049" s="30"/>
      <c r="M1049" s="30"/>
    </row>
    <row r="1050" spans="1:13" s="14" customFormat="1" x14ac:dyDescent="0.25">
      <c r="A1050" s="13"/>
      <c r="D1050" s="30"/>
      <c r="E1050" s="31"/>
      <c r="F1050" s="30"/>
      <c r="G1050" s="30"/>
      <c r="H1050" s="30"/>
      <c r="I1050" s="30"/>
      <c r="J1050" s="30"/>
      <c r="K1050" s="30"/>
      <c r="L1050" s="30"/>
      <c r="M1050" s="30"/>
    </row>
    <row r="1051" spans="1:13" s="14" customFormat="1" x14ac:dyDescent="0.25">
      <c r="A1051" s="13"/>
      <c r="D1051" s="30"/>
      <c r="E1051" s="31"/>
      <c r="F1051" s="30"/>
      <c r="G1051" s="30"/>
      <c r="H1051" s="30"/>
      <c r="I1051" s="30"/>
      <c r="J1051" s="30"/>
      <c r="K1051" s="30"/>
      <c r="L1051" s="30"/>
      <c r="M1051" s="30"/>
    </row>
    <row r="1052" spans="1:13" s="14" customFormat="1" x14ac:dyDescent="0.25">
      <c r="A1052" s="13"/>
      <c r="D1052" s="30"/>
      <c r="E1052" s="31"/>
      <c r="F1052" s="30"/>
      <c r="G1052" s="30"/>
      <c r="H1052" s="30"/>
      <c r="I1052" s="30"/>
      <c r="J1052" s="30"/>
      <c r="K1052" s="30"/>
      <c r="L1052" s="30"/>
      <c r="M1052" s="30"/>
    </row>
    <row r="1053" spans="1:13" s="14" customFormat="1" x14ac:dyDescent="0.25">
      <c r="A1053" s="13"/>
      <c r="D1053" s="30"/>
      <c r="E1053" s="31"/>
      <c r="F1053" s="30"/>
      <c r="G1053" s="30"/>
      <c r="H1053" s="30"/>
      <c r="I1053" s="30"/>
      <c r="J1053" s="30"/>
      <c r="K1053" s="30"/>
      <c r="L1053" s="30"/>
      <c r="M1053" s="30"/>
    </row>
    <row r="1054" spans="1:13" s="14" customFormat="1" x14ac:dyDescent="0.25">
      <c r="A1054" s="13"/>
      <c r="D1054" s="30"/>
      <c r="E1054" s="31"/>
      <c r="F1054" s="30"/>
      <c r="G1054" s="30"/>
      <c r="H1054" s="30"/>
      <c r="I1054" s="30"/>
      <c r="J1054" s="30"/>
      <c r="K1054" s="30"/>
      <c r="L1054" s="30"/>
      <c r="M1054" s="30"/>
    </row>
    <row r="1055" spans="1:13" s="14" customFormat="1" x14ac:dyDescent="0.25">
      <c r="A1055" s="13"/>
      <c r="D1055" s="30"/>
      <c r="E1055" s="31"/>
      <c r="F1055" s="30"/>
      <c r="G1055" s="30"/>
      <c r="H1055" s="30"/>
      <c r="I1055" s="30"/>
      <c r="J1055" s="30"/>
      <c r="K1055" s="30"/>
      <c r="L1055" s="30"/>
      <c r="M1055" s="30"/>
    </row>
    <row r="1056" spans="1:13" s="14" customFormat="1" x14ac:dyDescent="0.25">
      <c r="A1056" s="13"/>
      <c r="D1056" s="30"/>
      <c r="E1056" s="31"/>
      <c r="F1056" s="30"/>
      <c r="G1056" s="30"/>
      <c r="H1056" s="30"/>
      <c r="I1056" s="30"/>
      <c r="J1056" s="30"/>
      <c r="K1056" s="30"/>
      <c r="L1056" s="30"/>
      <c r="M1056" s="30"/>
    </row>
    <row r="1057" spans="1:13" s="14" customFormat="1" x14ac:dyDescent="0.25">
      <c r="A1057" s="13"/>
      <c r="D1057" s="30"/>
      <c r="E1057" s="31"/>
      <c r="F1057" s="30"/>
      <c r="G1057" s="30"/>
      <c r="H1057" s="30"/>
      <c r="I1057" s="30"/>
      <c r="J1057" s="30"/>
      <c r="K1057" s="30"/>
      <c r="L1057" s="30"/>
      <c r="M1057" s="30"/>
    </row>
    <row r="1058" spans="1:13" s="14" customFormat="1" x14ac:dyDescent="0.25">
      <c r="A1058" s="13"/>
      <c r="D1058" s="30"/>
      <c r="E1058" s="31"/>
      <c r="F1058" s="30"/>
      <c r="G1058" s="30"/>
      <c r="H1058" s="30"/>
      <c r="I1058" s="30"/>
      <c r="J1058" s="30"/>
      <c r="K1058" s="30"/>
      <c r="L1058" s="30"/>
      <c r="M1058" s="30"/>
    </row>
    <row r="1059" spans="1:13" s="14" customFormat="1" x14ac:dyDescent="0.25">
      <c r="A1059" s="13"/>
      <c r="D1059" s="30"/>
      <c r="E1059" s="31"/>
      <c r="F1059" s="30"/>
      <c r="G1059" s="30"/>
      <c r="H1059" s="30"/>
      <c r="I1059" s="30"/>
      <c r="J1059" s="30"/>
      <c r="K1059" s="30"/>
      <c r="L1059" s="30"/>
      <c r="M1059" s="30"/>
    </row>
    <row r="1060" spans="1:13" s="14" customFormat="1" x14ac:dyDescent="0.25">
      <c r="A1060" s="13"/>
      <c r="D1060" s="30"/>
      <c r="E1060" s="31"/>
      <c r="F1060" s="30"/>
      <c r="G1060" s="30"/>
      <c r="H1060" s="30"/>
      <c r="I1060" s="30"/>
      <c r="J1060" s="30"/>
      <c r="K1060" s="30"/>
      <c r="L1060" s="30"/>
      <c r="M1060" s="30"/>
    </row>
    <row r="1061" spans="1:13" s="14" customFormat="1" x14ac:dyDescent="0.25">
      <c r="A1061" s="13"/>
      <c r="D1061" s="30"/>
      <c r="E1061" s="31"/>
      <c r="F1061" s="30"/>
      <c r="G1061" s="30"/>
      <c r="H1061" s="30"/>
      <c r="I1061" s="30"/>
      <c r="J1061" s="30"/>
      <c r="K1061" s="30"/>
      <c r="L1061" s="30"/>
      <c r="M1061" s="30"/>
    </row>
    <row r="1062" spans="1:13" s="14" customFormat="1" x14ac:dyDescent="0.25">
      <c r="A1062" s="13"/>
      <c r="D1062" s="30"/>
      <c r="E1062" s="31"/>
      <c r="F1062" s="30"/>
      <c r="G1062" s="30"/>
      <c r="H1062" s="30"/>
      <c r="I1062" s="30"/>
      <c r="J1062" s="30"/>
      <c r="K1062" s="30"/>
      <c r="L1062" s="30"/>
      <c r="M1062" s="30"/>
    </row>
    <row r="1063" spans="1:13" s="14" customFormat="1" x14ac:dyDescent="0.25">
      <c r="A1063" s="13"/>
      <c r="D1063" s="30"/>
      <c r="E1063" s="31"/>
      <c r="F1063" s="30"/>
      <c r="G1063" s="30"/>
      <c r="H1063" s="30"/>
      <c r="I1063" s="30"/>
      <c r="J1063" s="30"/>
      <c r="K1063" s="30"/>
      <c r="L1063" s="30"/>
      <c r="M1063" s="30"/>
    </row>
    <row r="1064" spans="1:13" s="14" customFormat="1" x14ac:dyDescent="0.25">
      <c r="A1064" s="13"/>
      <c r="D1064" s="30"/>
      <c r="E1064" s="31"/>
      <c r="F1064" s="30"/>
      <c r="G1064" s="30"/>
      <c r="H1064" s="30"/>
      <c r="I1064" s="30"/>
      <c r="J1064" s="30"/>
      <c r="K1064" s="30"/>
      <c r="L1064" s="30"/>
      <c r="M1064" s="30"/>
    </row>
    <row r="1065" spans="1:13" s="14" customFormat="1" x14ac:dyDescent="0.25">
      <c r="A1065" s="13"/>
      <c r="D1065" s="30"/>
      <c r="E1065" s="31"/>
      <c r="F1065" s="30"/>
      <c r="G1065" s="30"/>
      <c r="H1065" s="30"/>
      <c r="I1065" s="30"/>
      <c r="J1065" s="30"/>
      <c r="K1065" s="30"/>
      <c r="L1065" s="30"/>
      <c r="M1065" s="30"/>
    </row>
    <row r="1066" spans="1:13" s="14" customFormat="1" x14ac:dyDescent="0.25">
      <c r="A1066" s="13"/>
      <c r="D1066" s="30"/>
      <c r="E1066" s="31"/>
      <c r="F1066" s="30"/>
      <c r="G1066" s="30"/>
      <c r="H1066" s="30"/>
      <c r="I1066" s="30"/>
      <c r="J1066" s="30"/>
      <c r="K1066" s="30"/>
      <c r="L1066" s="30"/>
      <c r="M1066" s="30"/>
    </row>
    <row r="1067" spans="1:13" s="14" customFormat="1" x14ac:dyDescent="0.25">
      <c r="A1067" s="13"/>
      <c r="D1067" s="30"/>
      <c r="E1067" s="31"/>
      <c r="F1067" s="30"/>
      <c r="G1067" s="30"/>
      <c r="H1067" s="30"/>
      <c r="I1067" s="30"/>
      <c r="J1067" s="30"/>
      <c r="K1067" s="30"/>
      <c r="L1067" s="30"/>
      <c r="M1067" s="30"/>
    </row>
    <row r="1068" spans="1:13" s="14" customFormat="1" x14ac:dyDescent="0.25">
      <c r="A1068" s="13"/>
      <c r="D1068" s="30"/>
      <c r="E1068" s="31"/>
      <c r="F1068" s="30"/>
      <c r="G1068" s="30"/>
      <c r="H1068" s="30"/>
      <c r="I1068" s="30"/>
      <c r="J1068" s="30"/>
      <c r="K1068" s="30"/>
      <c r="L1068" s="30"/>
      <c r="M1068" s="30"/>
    </row>
    <row r="1069" spans="1:13" s="14" customFormat="1" x14ac:dyDescent="0.25">
      <c r="A1069" s="13"/>
      <c r="D1069" s="30"/>
      <c r="E1069" s="31"/>
      <c r="F1069" s="30"/>
      <c r="G1069" s="30"/>
      <c r="H1069" s="30"/>
      <c r="I1069" s="30"/>
      <c r="J1069" s="30"/>
      <c r="K1069" s="30"/>
      <c r="L1069" s="30"/>
      <c r="M1069" s="30"/>
    </row>
    <row r="1070" spans="1:13" s="14" customFormat="1" x14ac:dyDescent="0.25">
      <c r="A1070" s="13"/>
      <c r="D1070" s="30"/>
      <c r="E1070" s="31"/>
      <c r="F1070" s="30"/>
      <c r="G1070" s="30"/>
      <c r="H1070" s="30"/>
      <c r="I1070" s="30"/>
      <c r="J1070" s="30"/>
      <c r="K1070" s="30"/>
      <c r="L1070" s="30"/>
      <c r="M1070" s="30"/>
    </row>
    <row r="1071" spans="1:13" s="14" customFormat="1" x14ac:dyDescent="0.25">
      <c r="A1071" s="13"/>
      <c r="D1071" s="30"/>
      <c r="E1071" s="31"/>
      <c r="F1071" s="30"/>
      <c r="G1071" s="30"/>
      <c r="H1071" s="30"/>
      <c r="I1071" s="30"/>
      <c r="J1071" s="30"/>
      <c r="K1071" s="30"/>
      <c r="L1071" s="30"/>
      <c r="M1071" s="30"/>
    </row>
    <row r="1072" spans="1:13" s="14" customFormat="1" x14ac:dyDescent="0.25">
      <c r="A1072" s="13"/>
      <c r="D1072" s="30"/>
      <c r="E1072" s="31"/>
      <c r="F1072" s="30"/>
      <c r="G1072" s="30"/>
      <c r="H1072" s="30"/>
      <c r="I1072" s="30"/>
      <c r="J1072" s="30"/>
      <c r="K1072" s="30"/>
      <c r="L1072" s="30"/>
      <c r="M1072" s="30"/>
    </row>
    <row r="1073" spans="1:13" s="14" customFormat="1" x14ac:dyDescent="0.25">
      <c r="A1073" s="13"/>
      <c r="D1073" s="30"/>
      <c r="E1073" s="31"/>
      <c r="F1073" s="30"/>
      <c r="G1073" s="30"/>
      <c r="H1073" s="30"/>
      <c r="I1073" s="30"/>
      <c r="J1073" s="30"/>
      <c r="K1073" s="30"/>
      <c r="L1073" s="30"/>
      <c r="M1073" s="30"/>
    </row>
    <row r="1074" spans="1:13" s="14" customFormat="1" x14ac:dyDescent="0.25">
      <c r="A1074" s="13"/>
      <c r="D1074" s="30"/>
      <c r="E1074" s="31"/>
      <c r="F1074" s="30"/>
      <c r="G1074" s="30"/>
      <c r="H1074" s="30"/>
      <c r="I1074" s="30"/>
      <c r="J1074" s="30"/>
      <c r="K1074" s="30"/>
      <c r="L1074" s="30"/>
      <c r="M1074" s="30"/>
    </row>
    <row r="1075" spans="1:13" s="14" customFormat="1" x14ac:dyDescent="0.25">
      <c r="A1075" s="13"/>
      <c r="D1075" s="30"/>
      <c r="E1075" s="31"/>
      <c r="F1075" s="30"/>
      <c r="G1075" s="30"/>
      <c r="H1075" s="30"/>
      <c r="I1075" s="30"/>
      <c r="J1075" s="30"/>
      <c r="K1075" s="30"/>
      <c r="L1075" s="30"/>
      <c r="M1075" s="30"/>
    </row>
    <row r="1076" spans="1:13" s="14" customFormat="1" x14ac:dyDescent="0.25">
      <c r="A1076" s="13"/>
      <c r="D1076" s="30"/>
      <c r="E1076" s="31"/>
      <c r="F1076" s="30"/>
      <c r="G1076" s="30"/>
      <c r="H1076" s="30"/>
      <c r="I1076" s="30"/>
      <c r="J1076" s="30"/>
      <c r="K1076" s="30"/>
      <c r="L1076" s="30"/>
      <c r="M1076" s="30"/>
    </row>
    <row r="1077" spans="1:13" s="14" customFormat="1" x14ac:dyDescent="0.25">
      <c r="A1077" s="13"/>
      <c r="D1077" s="30"/>
      <c r="E1077" s="31"/>
      <c r="F1077" s="30"/>
      <c r="G1077" s="30"/>
      <c r="H1077" s="30"/>
      <c r="I1077" s="30"/>
      <c r="J1077" s="30"/>
      <c r="K1077" s="30"/>
      <c r="L1077" s="30"/>
      <c r="M1077" s="30"/>
    </row>
    <row r="1078" spans="1:13" s="14" customFormat="1" x14ac:dyDescent="0.25">
      <c r="A1078" s="13"/>
      <c r="D1078" s="30"/>
      <c r="E1078" s="31"/>
      <c r="F1078" s="30"/>
      <c r="G1078" s="30"/>
      <c r="H1078" s="30"/>
      <c r="I1078" s="30"/>
      <c r="J1078" s="30"/>
      <c r="K1078" s="30"/>
      <c r="L1078" s="30"/>
      <c r="M1078" s="30"/>
    </row>
    <row r="1079" spans="1:13" s="14" customFormat="1" x14ac:dyDescent="0.25">
      <c r="A1079" s="13"/>
      <c r="D1079" s="30"/>
      <c r="E1079" s="31"/>
      <c r="F1079" s="30"/>
      <c r="G1079" s="30"/>
      <c r="H1079" s="30"/>
      <c r="I1079" s="30"/>
      <c r="J1079" s="30"/>
      <c r="K1079" s="30"/>
      <c r="L1079" s="30"/>
      <c r="M1079" s="30"/>
    </row>
    <row r="1080" spans="1:13" s="14" customFormat="1" x14ac:dyDescent="0.25">
      <c r="A1080" s="13"/>
      <c r="D1080" s="30"/>
      <c r="E1080" s="31"/>
      <c r="F1080" s="30"/>
      <c r="G1080" s="30"/>
      <c r="H1080" s="30"/>
      <c r="I1080" s="30"/>
      <c r="J1080" s="30"/>
      <c r="K1080" s="30"/>
      <c r="L1080" s="30"/>
      <c r="M1080" s="30"/>
    </row>
    <row r="1081" spans="1:13" s="14" customFormat="1" x14ac:dyDescent="0.25">
      <c r="A1081" s="13"/>
      <c r="D1081" s="30"/>
      <c r="E1081" s="31"/>
      <c r="F1081" s="30"/>
      <c r="G1081" s="30"/>
      <c r="H1081" s="30"/>
      <c r="I1081" s="30"/>
      <c r="J1081" s="30"/>
      <c r="K1081" s="30"/>
      <c r="L1081" s="30"/>
      <c r="M1081" s="30"/>
    </row>
    <row r="1082" spans="1:13" s="14" customFormat="1" x14ac:dyDescent="0.25">
      <c r="A1082" s="13"/>
      <c r="D1082" s="30"/>
      <c r="E1082" s="31"/>
      <c r="F1082" s="30"/>
      <c r="G1082" s="30"/>
      <c r="H1082" s="30"/>
      <c r="I1082" s="30"/>
      <c r="J1082" s="30"/>
      <c r="K1082" s="30"/>
      <c r="L1082" s="30"/>
      <c r="M1082" s="30"/>
    </row>
    <row r="1083" spans="1:13" s="14" customFormat="1" x14ac:dyDescent="0.25">
      <c r="A1083" s="13"/>
      <c r="D1083" s="30"/>
      <c r="E1083" s="31"/>
      <c r="F1083" s="30"/>
      <c r="G1083" s="30"/>
      <c r="H1083" s="30"/>
      <c r="I1083" s="30"/>
      <c r="J1083" s="30"/>
      <c r="K1083" s="30"/>
      <c r="L1083" s="30"/>
      <c r="M1083" s="30"/>
    </row>
    <row r="1084" spans="1:13" s="14" customFormat="1" x14ac:dyDescent="0.25">
      <c r="A1084" s="13"/>
      <c r="D1084" s="30"/>
      <c r="E1084" s="31"/>
      <c r="F1084" s="30"/>
      <c r="G1084" s="30"/>
      <c r="H1084" s="30"/>
      <c r="I1084" s="30"/>
      <c r="J1084" s="30"/>
      <c r="K1084" s="30"/>
      <c r="L1084" s="30"/>
      <c r="M1084" s="30"/>
    </row>
    <row r="1085" spans="1:13" s="14" customFormat="1" x14ac:dyDescent="0.25">
      <c r="A1085" s="13"/>
      <c r="D1085" s="30"/>
      <c r="E1085" s="31"/>
      <c r="F1085" s="30"/>
      <c r="G1085" s="30"/>
      <c r="H1085" s="30"/>
      <c r="I1085" s="30"/>
      <c r="J1085" s="30"/>
      <c r="K1085" s="30"/>
      <c r="L1085" s="30"/>
      <c r="M1085" s="30"/>
    </row>
    <row r="1086" spans="1:13" s="14" customFormat="1" x14ac:dyDescent="0.25">
      <c r="A1086" s="13"/>
      <c r="D1086" s="30"/>
      <c r="E1086" s="31"/>
      <c r="F1086" s="30"/>
      <c r="G1086" s="30"/>
      <c r="H1086" s="30"/>
      <c r="I1086" s="30"/>
      <c r="J1086" s="30"/>
      <c r="K1086" s="30"/>
      <c r="L1086" s="30"/>
      <c r="M1086" s="30"/>
    </row>
    <row r="1087" spans="1:13" s="14" customFormat="1" x14ac:dyDescent="0.25">
      <c r="A1087" s="13"/>
      <c r="D1087" s="30"/>
      <c r="E1087" s="31"/>
      <c r="F1087" s="30"/>
      <c r="G1087" s="30"/>
      <c r="H1087" s="30"/>
      <c r="I1087" s="30"/>
      <c r="J1087" s="30"/>
      <c r="K1087" s="30"/>
      <c r="L1087" s="30"/>
      <c r="M1087" s="30"/>
    </row>
    <row r="1088" spans="1:13" s="14" customFormat="1" x14ac:dyDescent="0.25">
      <c r="A1088" s="13"/>
      <c r="D1088" s="30"/>
      <c r="E1088" s="31"/>
      <c r="F1088" s="30"/>
      <c r="G1088" s="30"/>
      <c r="H1088" s="30"/>
      <c r="I1088" s="30"/>
      <c r="J1088" s="30"/>
      <c r="K1088" s="30"/>
      <c r="L1088" s="30"/>
      <c r="M1088" s="30"/>
    </row>
    <row r="1089" spans="1:13" s="14" customFormat="1" x14ac:dyDescent="0.25">
      <c r="A1089" s="13"/>
      <c r="D1089" s="30"/>
      <c r="E1089" s="31"/>
      <c r="F1089" s="30"/>
      <c r="G1089" s="30"/>
      <c r="H1089" s="30"/>
      <c r="I1089" s="30"/>
      <c r="J1089" s="30"/>
      <c r="K1089" s="30"/>
      <c r="L1089" s="30"/>
      <c r="M1089" s="30"/>
    </row>
    <row r="1090" spans="1:13" s="14" customFormat="1" x14ac:dyDescent="0.25">
      <c r="A1090" s="13"/>
      <c r="D1090" s="30"/>
      <c r="E1090" s="31"/>
      <c r="F1090" s="30"/>
      <c r="G1090" s="30"/>
      <c r="H1090" s="30"/>
      <c r="I1090" s="30"/>
      <c r="J1090" s="30"/>
      <c r="K1090" s="30"/>
      <c r="L1090" s="30"/>
      <c r="M1090" s="30"/>
    </row>
    <row r="1091" spans="1:13" s="14" customFormat="1" x14ac:dyDescent="0.25">
      <c r="A1091" s="13"/>
      <c r="D1091" s="30"/>
      <c r="E1091" s="31"/>
      <c r="F1091" s="30"/>
      <c r="G1091" s="30"/>
      <c r="H1091" s="30"/>
      <c r="I1091" s="30"/>
      <c r="J1091" s="30"/>
      <c r="K1091" s="30"/>
      <c r="L1091" s="30"/>
      <c r="M1091" s="30"/>
    </row>
    <row r="1092" spans="1:13" s="14" customFormat="1" x14ac:dyDescent="0.25">
      <c r="A1092" s="13"/>
      <c r="D1092" s="30"/>
      <c r="E1092" s="31"/>
      <c r="F1092" s="30"/>
      <c r="G1092" s="30"/>
      <c r="H1092" s="30"/>
      <c r="I1092" s="30"/>
      <c r="J1092" s="30"/>
      <c r="K1092" s="30"/>
      <c r="L1092" s="30"/>
      <c r="M1092" s="30"/>
    </row>
    <row r="1093" spans="1:13" s="14" customFormat="1" x14ac:dyDescent="0.25">
      <c r="A1093" s="13"/>
      <c r="D1093" s="30"/>
      <c r="E1093" s="31"/>
      <c r="F1093" s="30"/>
      <c r="G1093" s="30"/>
      <c r="H1093" s="30"/>
      <c r="I1093" s="30"/>
      <c r="J1093" s="30"/>
      <c r="K1093" s="30"/>
      <c r="L1093" s="30"/>
      <c r="M1093" s="30"/>
    </row>
    <row r="1094" spans="1:13" s="14" customFormat="1" x14ac:dyDescent="0.25">
      <c r="A1094" s="13"/>
      <c r="D1094" s="30"/>
      <c r="E1094" s="31"/>
      <c r="F1094" s="30"/>
      <c r="G1094" s="30"/>
      <c r="H1094" s="30"/>
      <c r="I1094" s="30"/>
      <c r="J1094" s="30"/>
      <c r="K1094" s="30"/>
      <c r="L1094" s="30"/>
      <c r="M1094" s="30"/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7</vt:i4>
      </vt:variant>
    </vt:vector>
  </HeadingPairs>
  <TitlesOfParts>
    <vt:vector size="24" baseType="lpstr">
      <vt:lpstr>Inputs</vt:lpstr>
      <vt:lpstr>Rev</vt:lpstr>
      <vt:lpstr>IS</vt:lpstr>
      <vt:lpstr>BS</vt:lpstr>
      <vt:lpstr>CF_F</vt:lpstr>
      <vt:lpstr>PF + Liq + Rtg</vt:lpstr>
      <vt:lpstr>Opportunity Set</vt:lpstr>
      <vt:lpstr>Comp metrics</vt:lpstr>
      <vt:lpstr>Bond Yield time series</vt:lpstr>
      <vt:lpstr>Company Presentation</vt:lpstr>
      <vt:lpstr>S&amp;P Upgrade triggers</vt:lpstr>
      <vt:lpstr>Fundamentals</vt:lpstr>
      <vt:lpstr>Technicals</vt:lpstr>
      <vt:lpstr>Internal Rating</vt:lpstr>
      <vt:lpstr>Charts &amp; Graphs</vt:lpstr>
      <vt:lpstr>CS_IS</vt:lpstr>
      <vt:lpstr>CS_BS</vt:lpstr>
      <vt:lpstr>BS!Print_Area</vt:lpstr>
      <vt:lpstr>CF_F!Print_Area</vt:lpstr>
      <vt:lpstr>'Comp metrics'!Print_Area</vt:lpstr>
      <vt:lpstr>IS!Print_Area</vt:lpstr>
      <vt:lpstr>'Opportunity Set'!Print_Area</vt:lpstr>
      <vt:lpstr>'PF + Liq + Rtg'!Print_Area</vt:lpstr>
      <vt:lpstr>Rev!Print_Area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 Houge and Laura Max</dc:creator>
  <cp:lastModifiedBy>Ben</cp:lastModifiedBy>
  <cp:lastPrinted>2023-06-19T22:20:09Z</cp:lastPrinted>
  <dcterms:created xsi:type="dcterms:W3CDTF">1999-10-03T01:56:34Z</dcterms:created>
  <dcterms:modified xsi:type="dcterms:W3CDTF">2023-06-19T22:23:07Z</dcterms:modified>
</cp:coreProperties>
</file>