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VED_C_PAPA_ROMY\Desktop\S.R\"/>
    </mc:Choice>
  </mc:AlternateContent>
  <xr:revisionPtr revIDLastSave="0" documentId="13_ncr:1_{A37D923D-E419-40D4-88C7-876F31C56DD9}" xr6:coauthVersionLast="43" xr6:coauthVersionMax="43" xr10:uidLastSave="{00000000-0000-0000-0000-000000000000}"/>
  <workbookProtection workbookAlgorithmName="SHA-512" workbookHashValue="0BJLu0LqKUO6XXcbsVTNsU9MEK/C0LSk+okRnMJlm45yNmVNmQUG5t7qjalgTKBXbpSJRmyYFLzzOHkA6Noe5A==" workbookSaltValue="dJfQd6IrqVffhjYSRORJNw==" workbookSpinCount="100000" lockStructure="1"/>
  <bookViews>
    <workbookView xWindow="-120" yWindow="-120" windowWidth="20730" windowHeight="11160" tabRatio="702" activeTab="4" xr2:uid="{AC9E0DB1-5F7F-4E83-8715-3DE102C84437}"/>
  </bookViews>
  <sheets>
    <sheet name="coût par ville" sheetId="3" r:id="rId1"/>
    <sheet name="commune TSP ODP" sheetId="1" r:id="rId2"/>
    <sheet name="coût par Type" sheetId="4" r:id="rId3"/>
    <sheet name="RAPP MOMO" sheetId="9" r:id="rId4"/>
    <sheet name="RAPP MTN" sheetId="10" r:id="rId5"/>
  </sheets>
  <definedNames>
    <definedName name="_xlnm.Print_Titles" localSheetId="1">'commune TSP ODP'!$3:$3</definedName>
    <definedName name="_xlnm.Print_Titles" localSheetId="0">'coût par ville'!$3:$3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1" l="1"/>
  <c r="C4" i="1" l="1"/>
  <c r="C36" i="10"/>
  <c r="D36" i="10"/>
  <c r="E36" i="10"/>
  <c r="B36" i="10"/>
  <c r="C25" i="9"/>
  <c r="D25" i="9"/>
  <c r="E25" i="9"/>
  <c r="B25" i="9"/>
  <c r="D52" i="4"/>
  <c r="B53" i="4"/>
  <c r="E52" i="4" l="1"/>
  <c r="C53" i="4"/>
  <c r="D53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4" i="4"/>
  <c r="E53" i="4" l="1"/>
  <c r="I340" i="3"/>
  <c r="I341" i="3"/>
  <c r="I342" i="3"/>
  <c r="I343" i="3"/>
  <c r="I339" i="3"/>
  <c r="H340" i="3"/>
  <c r="H341" i="3"/>
  <c r="H342" i="3"/>
  <c r="H343" i="3"/>
  <c r="H339" i="3"/>
  <c r="G2110" i="3"/>
  <c r="I2110" i="3"/>
  <c r="C192" i="1" s="1"/>
  <c r="H2110" i="3"/>
  <c r="B192" i="1" s="1"/>
  <c r="J2109" i="3"/>
  <c r="G2081" i="3"/>
  <c r="G2078" i="3"/>
  <c r="G1856" i="3"/>
  <c r="G1842" i="3"/>
  <c r="G1782" i="3"/>
  <c r="G1483" i="3"/>
  <c r="G1377" i="3"/>
  <c r="G1364" i="3"/>
  <c r="G1361" i="3"/>
  <c r="G1275" i="3"/>
  <c r="G1272" i="3"/>
  <c r="G1240" i="3"/>
  <c r="G1140" i="3"/>
  <c r="G1137" i="3"/>
  <c r="G887" i="3"/>
  <c r="G791" i="3"/>
  <c r="G371" i="3"/>
  <c r="G360" i="3"/>
  <c r="I360" i="3"/>
  <c r="C26" i="1" s="1"/>
  <c r="H360" i="3"/>
  <c r="B26" i="1" s="1"/>
  <c r="J359" i="3"/>
  <c r="J360" i="3" s="1"/>
  <c r="J370" i="3"/>
  <c r="I371" i="3"/>
  <c r="C28" i="1" s="1"/>
  <c r="H371" i="3"/>
  <c r="B28" i="1" s="1"/>
  <c r="G408" i="3"/>
  <c r="I408" i="3"/>
  <c r="C33" i="1" s="1"/>
  <c r="H408" i="3"/>
  <c r="B33" i="1" s="1"/>
  <c r="J407" i="3"/>
  <c r="J408" i="3" s="1"/>
  <c r="I791" i="3"/>
  <c r="C59" i="1" s="1"/>
  <c r="H791" i="3"/>
  <c r="B59" i="1" s="1"/>
  <c r="J790" i="3"/>
  <c r="J789" i="3"/>
  <c r="J791" i="3" s="1"/>
  <c r="J864" i="3"/>
  <c r="J863" i="3"/>
  <c r="I865" i="3"/>
  <c r="C65" i="1" s="1"/>
  <c r="G865" i="3"/>
  <c r="H865" i="3"/>
  <c r="B65" i="1" s="1"/>
  <c r="I887" i="3"/>
  <c r="C67" i="1" s="1"/>
  <c r="H887" i="3"/>
  <c r="B67" i="1" s="1"/>
  <c r="J886" i="3"/>
  <c r="J885" i="3"/>
  <c r="J917" i="3"/>
  <c r="J916" i="3"/>
  <c r="G918" i="3"/>
  <c r="I918" i="3"/>
  <c r="C71" i="1" s="1"/>
  <c r="H918" i="3"/>
  <c r="B71" i="1" s="1"/>
  <c r="J1054" i="3"/>
  <c r="J1053" i="3"/>
  <c r="I1055" i="3"/>
  <c r="C85" i="1" s="1"/>
  <c r="G1055" i="3"/>
  <c r="H1055" i="3"/>
  <c r="B85" i="1" s="1"/>
  <c r="I1140" i="3"/>
  <c r="C94" i="1" s="1"/>
  <c r="H1140" i="3"/>
  <c r="B94" i="1" s="1"/>
  <c r="I1137" i="3"/>
  <c r="C93" i="1" s="1"/>
  <c r="H1137" i="3"/>
  <c r="J1136" i="3"/>
  <c r="J1138" i="3"/>
  <c r="J1139" i="3"/>
  <c r="J1135" i="3"/>
  <c r="J1239" i="3"/>
  <c r="I1240" i="3"/>
  <c r="C102" i="1" s="1"/>
  <c r="H1240" i="3"/>
  <c r="B102" i="1" s="1"/>
  <c r="J1238" i="3"/>
  <c r="J1274" i="3"/>
  <c r="J1273" i="3"/>
  <c r="I1275" i="3"/>
  <c r="C111" i="1" s="1"/>
  <c r="H1275" i="3"/>
  <c r="B111" i="1" s="1"/>
  <c r="J1271" i="3"/>
  <c r="J1270" i="3"/>
  <c r="I1272" i="3"/>
  <c r="C110" i="1" s="1"/>
  <c r="H1272" i="3"/>
  <c r="B110" i="1" s="1"/>
  <c r="J1363" i="3"/>
  <c r="J1362" i="3"/>
  <c r="I1364" i="3"/>
  <c r="C119" i="1" s="1"/>
  <c r="H1364" i="3"/>
  <c r="B119" i="1" s="1"/>
  <c r="I1361" i="3"/>
  <c r="C118" i="1" s="1"/>
  <c r="H1361" i="3"/>
  <c r="B118" i="1" s="1"/>
  <c r="J1360" i="3"/>
  <c r="J1359" i="3"/>
  <c r="I1377" i="3"/>
  <c r="C121" i="1" s="1"/>
  <c r="H1377" i="3"/>
  <c r="B121" i="1" s="1"/>
  <c r="J1376" i="3"/>
  <c r="J1375" i="3"/>
  <c r="I1483" i="3"/>
  <c r="C131" i="1" s="1"/>
  <c r="H1483" i="3"/>
  <c r="B131" i="1" s="1"/>
  <c r="J1482" i="3"/>
  <c r="J1481" i="3"/>
  <c r="I1782" i="3"/>
  <c r="C155" i="1" s="1"/>
  <c r="H1782" i="3"/>
  <c r="B155" i="1" s="1"/>
  <c r="J1781" i="3"/>
  <c r="J1780" i="3"/>
  <c r="I1842" i="3"/>
  <c r="C161" i="1" s="1"/>
  <c r="H1842" i="3"/>
  <c r="B161" i="1" s="1"/>
  <c r="J1841" i="3"/>
  <c r="J1840" i="3"/>
  <c r="I1856" i="3"/>
  <c r="C163" i="1" s="1"/>
  <c r="H1856" i="3"/>
  <c r="B163" i="1" s="1"/>
  <c r="J1855" i="3"/>
  <c r="J1854" i="3"/>
  <c r="J2080" i="3"/>
  <c r="I2081" i="3"/>
  <c r="C188" i="1" s="1"/>
  <c r="H2081" i="3"/>
  <c r="B188" i="1" s="1"/>
  <c r="J2077" i="3"/>
  <c r="I2078" i="3"/>
  <c r="C187" i="1" s="1"/>
  <c r="H2078" i="3"/>
  <c r="B187" i="1" s="1"/>
  <c r="J2079" i="3"/>
  <c r="J2076" i="3"/>
  <c r="J2078" i="3" s="1"/>
  <c r="J2108" i="3"/>
  <c r="J2110" i="3" s="1"/>
  <c r="I376" i="3"/>
  <c r="C29" i="1" s="1"/>
  <c r="I271" i="3"/>
  <c r="C17" i="1" s="1"/>
  <c r="I181" i="3"/>
  <c r="C11" i="1" s="1"/>
  <c r="I2321" i="3"/>
  <c r="I2322" i="3"/>
  <c r="I2323" i="3"/>
  <c r="I2324" i="3"/>
  <c r="I2325" i="3"/>
  <c r="I2326" i="3"/>
  <c r="I2320" i="3"/>
  <c r="H2321" i="3"/>
  <c r="H2322" i="3"/>
  <c r="H2323" i="3"/>
  <c r="H2324" i="3"/>
  <c r="H2325" i="3"/>
  <c r="H2326" i="3"/>
  <c r="H2320" i="3"/>
  <c r="G2321" i="3"/>
  <c r="G2322" i="3"/>
  <c r="G2323" i="3"/>
  <c r="G2324" i="3"/>
  <c r="G2325" i="3"/>
  <c r="G2326" i="3"/>
  <c r="G2320" i="3"/>
  <c r="I2316" i="3"/>
  <c r="I2317" i="3"/>
  <c r="I2318" i="3"/>
  <c r="I2315" i="3"/>
  <c r="H2316" i="3"/>
  <c r="J2316" i="3" s="1"/>
  <c r="H2317" i="3"/>
  <c r="J2317" i="3" s="1"/>
  <c r="H2318" i="3"/>
  <c r="J2318" i="3" s="1"/>
  <c r="H2315" i="3"/>
  <c r="G2316" i="3"/>
  <c r="G2317" i="3"/>
  <c r="G2318" i="3"/>
  <c r="G2315" i="3"/>
  <c r="I2307" i="3"/>
  <c r="I2308" i="3"/>
  <c r="I2309" i="3"/>
  <c r="I2310" i="3"/>
  <c r="I2311" i="3"/>
  <c r="I2312" i="3"/>
  <c r="I2313" i="3"/>
  <c r="I2306" i="3"/>
  <c r="H2307" i="3"/>
  <c r="H2308" i="3"/>
  <c r="H2309" i="3"/>
  <c r="H2310" i="3"/>
  <c r="H2311" i="3"/>
  <c r="J2311" i="3" s="1"/>
  <c r="H2312" i="3"/>
  <c r="J2312" i="3" s="1"/>
  <c r="H2313" i="3"/>
  <c r="J2313" i="3" s="1"/>
  <c r="H2306" i="3"/>
  <c r="J2306" i="3" s="1"/>
  <c r="J2307" i="3"/>
  <c r="J2308" i="3"/>
  <c r="J2309" i="3"/>
  <c r="G2307" i="3"/>
  <c r="G2308" i="3"/>
  <c r="G2309" i="3"/>
  <c r="G2310" i="3"/>
  <c r="G2311" i="3"/>
  <c r="G2312" i="3"/>
  <c r="G2313" i="3"/>
  <c r="G2306" i="3"/>
  <c r="I2294" i="3"/>
  <c r="I2295" i="3"/>
  <c r="I2296" i="3"/>
  <c r="I2297" i="3"/>
  <c r="I2298" i="3"/>
  <c r="I2299" i="3"/>
  <c r="I2300" i="3"/>
  <c r="I2301" i="3"/>
  <c r="I2302" i="3"/>
  <c r="I2303" i="3"/>
  <c r="I2304" i="3"/>
  <c r="I2293" i="3"/>
  <c r="H2294" i="3"/>
  <c r="J2294" i="3" s="1"/>
  <c r="H2295" i="3"/>
  <c r="J2295" i="3" s="1"/>
  <c r="H2296" i="3"/>
  <c r="J2296" i="3" s="1"/>
  <c r="H2297" i="3"/>
  <c r="J2297" i="3" s="1"/>
  <c r="H2298" i="3"/>
  <c r="J2298" i="3" s="1"/>
  <c r="H2299" i="3"/>
  <c r="J2299" i="3" s="1"/>
  <c r="H2300" i="3"/>
  <c r="J2300" i="3" s="1"/>
  <c r="H2301" i="3"/>
  <c r="J2301" i="3" s="1"/>
  <c r="H2302" i="3"/>
  <c r="J2302" i="3" s="1"/>
  <c r="H2303" i="3"/>
  <c r="J2303" i="3" s="1"/>
  <c r="H2304" i="3"/>
  <c r="J2304" i="3" s="1"/>
  <c r="H2293" i="3"/>
  <c r="J2293" i="3" s="1"/>
  <c r="G2294" i="3"/>
  <c r="G2295" i="3"/>
  <c r="G2296" i="3"/>
  <c r="G2297" i="3"/>
  <c r="G2298" i="3"/>
  <c r="G2299" i="3"/>
  <c r="G2300" i="3"/>
  <c r="G2301" i="3"/>
  <c r="G2302" i="3"/>
  <c r="G2303" i="3"/>
  <c r="G2304" i="3"/>
  <c r="G2293" i="3"/>
  <c r="I2286" i="3"/>
  <c r="I2287" i="3"/>
  <c r="I2288" i="3"/>
  <c r="I2289" i="3"/>
  <c r="I2290" i="3"/>
  <c r="I2291" i="3"/>
  <c r="I2285" i="3"/>
  <c r="H2286" i="3"/>
  <c r="H2287" i="3"/>
  <c r="H2288" i="3"/>
  <c r="H2289" i="3"/>
  <c r="H2290" i="3"/>
  <c r="H2291" i="3"/>
  <c r="H2285" i="3"/>
  <c r="G2286" i="3"/>
  <c r="G2287" i="3"/>
  <c r="G2288" i="3"/>
  <c r="G2289" i="3"/>
  <c r="G2290" i="3"/>
  <c r="G2291" i="3"/>
  <c r="G2285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44" i="3"/>
  <c r="H2245" i="3"/>
  <c r="J2245" i="3" s="1"/>
  <c r="H2246" i="3"/>
  <c r="H2247" i="3"/>
  <c r="J2247" i="3" s="1"/>
  <c r="H2248" i="3"/>
  <c r="J2248" i="3" s="1"/>
  <c r="H2249" i="3"/>
  <c r="J2249" i="3" s="1"/>
  <c r="H2250" i="3"/>
  <c r="J2250" i="3" s="1"/>
  <c r="H2251" i="3"/>
  <c r="J2251" i="3" s="1"/>
  <c r="H2252" i="3"/>
  <c r="J2252" i="3" s="1"/>
  <c r="H2253" i="3"/>
  <c r="J2253" i="3" s="1"/>
  <c r="H2254" i="3"/>
  <c r="J2254" i="3" s="1"/>
  <c r="H2255" i="3"/>
  <c r="J2255" i="3" s="1"/>
  <c r="H2256" i="3"/>
  <c r="J2256" i="3" s="1"/>
  <c r="H2257" i="3"/>
  <c r="J2257" i="3" s="1"/>
  <c r="H2258" i="3"/>
  <c r="J2258" i="3" s="1"/>
  <c r="H2259" i="3"/>
  <c r="J2259" i="3" s="1"/>
  <c r="H2260" i="3"/>
  <c r="J2260" i="3" s="1"/>
  <c r="H2261" i="3"/>
  <c r="J2261" i="3" s="1"/>
  <c r="H2262" i="3"/>
  <c r="J2262" i="3" s="1"/>
  <c r="H2263" i="3"/>
  <c r="J2263" i="3" s="1"/>
  <c r="H2264" i="3"/>
  <c r="J2264" i="3" s="1"/>
  <c r="H2265" i="3"/>
  <c r="J2265" i="3" s="1"/>
  <c r="H2266" i="3"/>
  <c r="J2266" i="3" s="1"/>
  <c r="H2267" i="3"/>
  <c r="J2267" i="3" s="1"/>
  <c r="H2268" i="3"/>
  <c r="J2268" i="3" s="1"/>
  <c r="H2269" i="3"/>
  <c r="J2269" i="3" s="1"/>
  <c r="H2270" i="3"/>
  <c r="J2270" i="3" s="1"/>
  <c r="H2271" i="3"/>
  <c r="J2271" i="3" s="1"/>
  <c r="H2272" i="3"/>
  <c r="J2272" i="3" s="1"/>
  <c r="H2273" i="3"/>
  <c r="J2273" i="3" s="1"/>
  <c r="H2274" i="3"/>
  <c r="J2274" i="3" s="1"/>
  <c r="H2275" i="3"/>
  <c r="J2275" i="3" s="1"/>
  <c r="H2276" i="3"/>
  <c r="J2276" i="3" s="1"/>
  <c r="H2277" i="3"/>
  <c r="J2277" i="3" s="1"/>
  <c r="H2278" i="3"/>
  <c r="J2278" i="3" s="1"/>
  <c r="H2279" i="3"/>
  <c r="J2279" i="3" s="1"/>
  <c r="H2280" i="3"/>
  <c r="J2280" i="3" s="1"/>
  <c r="H2281" i="3"/>
  <c r="J2281" i="3" s="1"/>
  <c r="H2282" i="3"/>
  <c r="J2282" i="3" s="1"/>
  <c r="H2283" i="3"/>
  <c r="J2283" i="3" s="1"/>
  <c r="H2244" i="3"/>
  <c r="J2244" i="3" s="1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44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13" i="3"/>
  <c r="G2212" i="3"/>
  <c r="I2211" i="3"/>
  <c r="I2210" i="3"/>
  <c r="H2211" i="3"/>
  <c r="H2210" i="3"/>
  <c r="I2208" i="3"/>
  <c r="I2207" i="3"/>
  <c r="H2208" i="3"/>
  <c r="H2207" i="3"/>
  <c r="G2208" i="3"/>
  <c r="G2207" i="3"/>
  <c r="I2196" i="3"/>
  <c r="I2197" i="3"/>
  <c r="I2198" i="3"/>
  <c r="I2199" i="3"/>
  <c r="I2200" i="3"/>
  <c r="I2201" i="3"/>
  <c r="I2202" i="3"/>
  <c r="I2203" i="3"/>
  <c r="I2204" i="3"/>
  <c r="I2205" i="3"/>
  <c r="I2195" i="3"/>
  <c r="H2196" i="3"/>
  <c r="H2197" i="3"/>
  <c r="H2198" i="3"/>
  <c r="H2199" i="3"/>
  <c r="H2200" i="3"/>
  <c r="H2201" i="3"/>
  <c r="H2202" i="3"/>
  <c r="H2203" i="3"/>
  <c r="H2204" i="3"/>
  <c r="H2205" i="3"/>
  <c r="H2195" i="3"/>
  <c r="G2196" i="3"/>
  <c r="G2197" i="3"/>
  <c r="G2198" i="3"/>
  <c r="G2199" i="3"/>
  <c r="G2200" i="3"/>
  <c r="G2201" i="3"/>
  <c r="G2202" i="3"/>
  <c r="G2203" i="3"/>
  <c r="G2204" i="3"/>
  <c r="G2205" i="3"/>
  <c r="G2195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59" i="3"/>
  <c r="I2154" i="3"/>
  <c r="I2155" i="3"/>
  <c r="I2156" i="3"/>
  <c r="I2157" i="3"/>
  <c r="I2153" i="3"/>
  <c r="H2154" i="3"/>
  <c r="H2155" i="3"/>
  <c r="H2156" i="3"/>
  <c r="H2157" i="3"/>
  <c r="H2153" i="3"/>
  <c r="G2154" i="3"/>
  <c r="G2155" i="3"/>
  <c r="G2156" i="3"/>
  <c r="G2157" i="3"/>
  <c r="G2153" i="3"/>
  <c r="I2145" i="3"/>
  <c r="I2146" i="3"/>
  <c r="I2147" i="3"/>
  <c r="I2148" i="3"/>
  <c r="I2149" i="3"/>
  <c r="I2150" i="3"/>
  <c r="I2151" i="3"/>
  <c r="I2144" i="3"/>
  <c r="H2145" i="3"/>
  <c r="J2145" i="3" s="1"/>
  <c r="H2146" i="3"/>
  <c r="J2146" i="3" s="1"/>
  <c r="H2147" i="3"/>
  <c r="J2147" i="3" s="1"/>
  <c r="H2148" i="3"/>
  <c r="J2148" i="3" s="1"/>
  <c r="H2149" i="3"/>
  <c r="J2149" i="3" s="1"/>
  <c r="H2150" i="3"/>
  <c r="J2150" i="3" s="1"/>
  <c r="H2151" i="3"/>
  <c r="J2151" i="3" s="1"/>
  <c r="H2144" i="3"/>
  <c r="J2144" i="3" s="1"/>
  <c r="G2145" i="3"/>
  <c r="G2146" i="3"/>
  <c r="G2147" i="3"/>
  <c r="G2148" i="3"/>
  <c r="G2149" i="3"/>
  <c r="G2150" i="3"/>
  <c r="G2151" i="3"/>
  <c r="G2144" i="3"/>
  <c r="I2133" i="3"/>
  <c r="I2134" i="3"/>
  <c r="I2135" i="3"/>
  <c r="I2136" i="3"/>
  <c r="I2137" i="3"/>
  <c r="I2138" i="3"/>
  <c r="I2139" i="3"/>
  <c r="I2140" i="3"/>
  <c r="I2141" i="3"/>
  <c r="I2142" i="3"/>
  <c r="I2132" i="3"/>
  <c r="H2133" i="3"/>
  <c r="H2134" i="3"/>
  <c r="H2135" i="3"/>
  <c r="H2136" i="3"/>
  <c r="H2137" i="3"/>
  <c r="H2138" i="3"/>
  <c r="H2139" i="3"/>
  <c r="H2140" i="3"/>
  <c r="H2141" i="3"/>
  <c r="H2142" i="3"/>
  <c r="H2132" i="3"/>
  <c r="G2133" i="3"/>
  <c r="G2134" i="3"/>
  <c r="G2135" i="3"/>
  <c r="G2136" i="3"/>
  <c r="G2137" i="3"/>
  <c r="G2138" i="3"/>
  <c r="G2139" i="3"/>
  <c r="G2140" i="3"/>
  <c r="G2141" i="3"/>
  <c r="G2142" i="3"/>
  <c r="G2132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17" i="3"/>
  <c r="I2112" i="3"/>
  <c r="I2113" i="3"/>
  <c r="I2114" i="3"/>
  <c r="I2115" i="3"/>
  <c r="I2111" i="3"/>
  <c r="H2112" i="3"/>
  <c r="H2113" i="3"/>
  <c r="H2114" i="3"/>
  <c r="H2115" i="3"/>
  <c r="H2111" i="3"/>
  <c r="G2112" i="3"/>
  <c r="G2113" i="3"/>
  <c r="G2114" i="3"/>
  <c r="G2115" i="3"/>
  <c r="G2111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093" i="3"/>
  <c r="I2090" i="3"/>
  <c r="I2091" i="3"/>
  <c r="I2089" i="3"/>
  <c r="I2088" i="3"/>
  <c r="H2089" i="3"/>
  <c r="H2090" i="3"/>
  <c r="J2090" i="3" s="1"/>
  <c r="H2091" i="3"/>
  <c r="H2088" i="3"/>
  <c r="J2088" i="3" s="1"/>
  <c r="G2089" i="3"/>
  <c r="G2090" i="3"/>
  <c r="G2091" i="3"/>
  <c r="G2088" i="3"/>
  <c r="I2083" i="3"/>
  <c r="I2084" i="3"/>
  <c r="I2085" i="3"/>
  <c r="I2086" i="3"/>
  <c r="I2082" i="3"/>
  <c r="H2083" i="3"/>
  <c r="H2084" i="3"/>
  <c r="H2085" i="3"/>
  <c r="H2086" i="3"/>
  <c r="H2082" i="3"/>
  <c r="J2082" i="3" s="1"/>
  <c r="G2083" i="3"/>
  <c r="G2084" i="3"/>
  <c r="G2085" i="3"/>
  <c r="G2086" i="3"/>
  <c r="G2082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59" i="3"/>
  <c r="H2060" i="3"/>
  <c r="J2060" i="3" s="1"/>
  <c r="H2061" i="3"/>
  <c r="H2062" i="3"/>
  <c r="H2063" i="3"/>
  <c r="J2063" i="3" s="1"/>
  <c r="H2064" i="3"/>
  <c r="J2064" i="3" s="1"/>
  <c r="H2065" i="3"/>
  <c r="J2065" i="3" s="1"/>
  <c r="H2066" i="3"/>
  <c r="J2066" i="3" s="1"/>
  <c r="H2067" i="3"/>
  <c r="H2068" i="3"/>
  <c r="J2068" i="3" s="1"/>
  <c r="H2069" i="3"/>
  <c r="J2069" i="3" s="1"/>
  <c r="H2070" i="3"/>
  <c r="H2071" i="3"/>
  <c r="H2072" i="3"/>
  <c r="J2072" i="3" s="1"/>
  <c r="H2073" i="3"/>
  <c r="J2073" i="3" s="1"/>
  <c r="H2074" i="3"/>
  <c r="H2059" i="3"/>
  <c r="J2059" i="3" s="1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59" i="3"/>
  <c r="I2055" i="3"/>
  <c r="I2056" i="3"/>
  <c r="I2057" i="3"/>
  <c r="I2054" i="3"/>
  <c r="H2055" i="3"/>
  <c r="H2056" i="3"/>
  <c r="H2057" i="3"/>
  <c r="J2057" i="3" s="1"/>
  <c r="H2054" i="3"/>
  <c r="J2054" i="3" s="1"/>
  <c r="G2055" i="3"/>
  <c r="G2056" i="3"/>
  <c r="G2057" i="3"/>
  <c r="G2054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39" i="3"/>
  <c r="I2031" i="3"/>
  <c r="I2032" i="3"/>
  <c r="I2033" i="3"/>
  <c r="I2034" i="3"/>
  <c r="I2035" i="3"/>
  <c r="I2036" i="3"/>
  <c r="I2037" i="3"/>
  <c r="I2030" i="3"/>
  <c r="H2031" i="3"/>
  <c r="H2032" i="3"/>
  <c r="H2033" i="3"/>
  <c r="J2033" i="3" s="1"/>
  <c r="H2034" i="3"/>
  <c r="J2034" i="3" s="1"/>
  <c r="H2035" i="3"/>
  <c r="J2035" i="3" s="1"/>
  <c r="H2036" i="3"/>
  <c r="J2036" i="3" s="1"/>
  <c r="H2037" i="3"/>
  <c r="H2030" i="3"/>
  <c r="J2030" i="3" s="1"/>
  <c r="J2031" i="3"/>
  <c r="G2031" i="3"/>
  <c r="G2032" i="3"/>
  <c r="G2033" i="3"/>
  <c r="G2034" i="3"/>
  <c r="G2035" i="3"/>
  <c r="G2036" i="3"/>
  <c r="G2037" i="3"/>
  <c r="G2030" i="3"/>
  <c r="I2028" i="3"/>
  <c r="I2027" i="3"/>
  <c r="H2028" i="3"/>
  <c r="H2027" i="3"/>
  <c r="H2029" i="3" s="1"/>
  <c r="B182" i="1" s="1"/>
  <c r="G2028" i="3"/>
  <c r="G2027" i="3"/>
  <c r="I2016" i="3"/>
  <c r="I2017" i="3"/>
  <c r="I2018" i="3"/>
  <c r="I2019" i="3"/>
  <c r="I2020" i="3"/>
  <c r="I2021" i="3"/>
  <c r="I2022" i="3"/>
  <c r="I2023" i="3"/>
  <c r="I2024" i="3"/>
  <c r="I2025" i="3"/>
  <c r="I2015" i="3"/>
  <c r="H2016" i="3"/>
  <c r="H2017" i="3"/>
  <c r="H2018" i="3"/>
  <c r="H2019" i="3"/>
  <c r="H2020" i="3"/>
  <c r="H2021" i="3"/>
  <c r="H2022" i="3"/>
  <c r="H2023" i="3"/>
  <c r="H2024" i="3"/>
  <c r="H2025" i="3"/>
  <c r="H2015" i="3"/>
  <c r="G2016" i="3"/>
  <c r="G2017" i="3"/>
  <c r="G2018" i="3"/>
  <c r="G2019" i="3"/>
  <c r="G2020" i="3"/>
  <c r="G2021" i="3"/>
  <c r="G2022" i="3"/>
  <c r="G2023" i="3"/>
  <c r="G2024" i="3"/>
  <c r="G2025" i="3"/>
  <c r="G2015" i="3"/>
  <c r="H2012" i="3"/>
  <c r="J2012" i="3" s="1"/>
  <c r="H2013" i="3"/>
  <c r="J2013" i="3" s="1"/>
  <c r="H2011" i="3"/>
  <c r="G2012" i="3"/>
  <c r="G2013" i="3"/>
  <c r="G2011" i="3"/>
  <c r="J2011" i="3"/>
  <c r="I2014" i="3"/>
  <c r="C180" i="1" s="1"/>
  <c r="J2009" i="3"/>
  <c r="J2010" i="3" s="1"/>
  <c r="H2010" i="3"/>
  <c r="B179" i="1" s="1"/>
  <c r="I2010" i="3"/>
  <c r="C179" i="1" s="1"/>
  <c r="G2010" i="3"/>
  <c r="I2001" i="3"/>
  <c r="I2002" i="3"/>
  <c r="I2003" i="3"/>
  <c r="I2004" i="3"/>
  <c r="I2005" i="3"/>
  <c r="I2006" i="3"/>
  <c r="I2007" i="3"/>
  <c r="I2000" i="3"/>
  <c r="H2001" i="3"/>
  <c r="J2001" i="3" s="1"/>
  <c r="H2002" i="3"/>
  <c r="J2002" i="3" s="1"/>
  <c r="H2003" i="3"/>
  <c r="J2003" i="3" s="1"/>
  <c r="H2004" i="3"/>
  <c r="J2004" i="3" s="1"/>
  <c r="H2005" i="3"/>
  <c r="J2005" i="3" s="1"/>
  <c r="H2006" i="3"/>
  <c r="H2007" i="3"/>
  <c r="J2007" i="3" s="1"/>
  <c r="H2000" i="3"/>
  <c r="J2000" i="3" s="1"/>
  <c r="G2001" i="3"/>
  <c r="G2002" i="3"/>
  <c r="G2003" i="3"/>
  <c r="G2004" i="3"/>
  <c r="G2005" i="3"/>
  <c r="G2006" i="3"/>
  <c r="G2007" i="3"/>
  <c r="G2000" i="3"/>
  <c r="I1991" i="3"/>
  <c r="I1992" i="3"/>
  <c r="I1993" i="3"/>
  <c r="I1994" i="3"/>
  <c r="I1995" i="3"/>
  <c r="I1996" i="3"/>
  <c r="I1997" i="3"/>
  <c r="I1998" i="3"/>
  <c r="I1990" i="3"/>
  <c r="H1991" i="3"/>
  <c r="H1992" i="3"/>
  <c r="H1993" i="3"/>
  <c r="H1994" i="3"/>
  <c r="H1995" i="3"/>
  <c r="H1996" i="3"/>
  <c r="H1997" i="3"/>
  <c r="H1998" i="3"/>
  <c r="H1990" i="3"/>
  <c r="G1991" i="3"/>
  <c r="G1992" i="3"/>
  <c r="G1993" i="3"/>
  <c r="G1994" i="3"/>
  <c r="G1995" i="3"/>
  <c r="G1996" i="3"/>
  <c r="G1997" i="3"/>
  <c r="G1998" i="3"/>
  <c r="G1990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7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51" i="3"/>
  <c r="J1951" i="3" s="1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51" i="3"/>
  <c r="I1943" i="3"/>
  <c r="I1944" i="3"/>
  <c r="I1945" i="3"/>
  <c r="I1946" i="3"/>
  <c r="I1947" i="3"/>
  <c r="I1948" i="3"/>
  <c r="I1949" i="3"/>
  <c r="I1942" i="3"/>
  <c r="H1943" i="3"/>
  <c r="H1944" i="3"/>
  <c r="J1944" i="3" s="1"/>
  <c r="H1945" i="3"/>
  <c r="J1945" i="3" s="1"/>
  <c r="H1946" i="3"/>
  <c r="J1946" i="3" s="1"/>
  <c r="H1947" i="3"/>
  <c r="J1947" i="3" s="1"/>
  <c r="H1948" i="3"/>
  <c r="J1948" i="3" s="1"/>
  <c r="H1949" i="3"/>
  <c r="H1942" i="3"/>
  <c r="J1942" i="3" s="1"/>
  <c r="J1943" i="3"/>
  <c r="G1943" i="3"/>
  <c r="G1944" i="3"/>
  <c r="G1945" i="3"/>
  <c r="G1946" i="3"/>
  <c r="G1947" i="3"/>
  <c r="G1948" i="3"/>
  <c r="G1949" i="3"/>
  <c r="G1942" i="3"/>
  <c r="I1933" i="3"/>
  <c r="I1934" i="3"/>
  <c r="I1935" i="3"/>
  <c r="I1936" i="3"/>
  <c r="I1937" i="3"/>
  <c r="I1938" i="3"/>
  <c r="I1939" i="3"/>
  <c r="I1940" i="3"/>
  <c r="I1932" i="3"/>
  <c r="H1933" i="3"/>
  <c r="H1934" i="3"/>
  <c r="H1935" i="3"/>
  <c r="H1936" i="3"/>
  <c r="H1937" i="3"/>
  <c r="H1938" i="3"/>
  <c r="H1939" i="3"/>
  <c r="H1940" i="3"/>
  <c r="H1932" i="3"/>
  <c r="G1933" i="3"/>
  <c r="G1934" i="3"/>
  <c r="G1935" i="3"/>
  <c r="G1936" i="3"/>
  <c r="G1937" i="3"/>
  <c r="G1938" i="3"/>
  <c r="G1939" i="3"/>
  <c r="G1940" i="3"/>
  <c r="G1932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18" i="3"/>
  <c r="I1909" i="3"/>
  <c r="I1910" i="3"/>
  <c r="I1911" i="3"/>
  <c r="I1912" i="3"/>
  <c r="I1913" i="3"/>
  <c r="I1914" i="3"/>
  <c r="I1915" i="3"/>
  <c r="I1916" i="3"/>
  <c r="I1908" i="3"/>
  <c r="H1909" i="3"/>
  <c r="H1910" i="3"/>
  <c r="H1911" i="3"/>
  <c r="H1912" i="3"/>
  <c r="H1913" i="3"/>
  <c r="H1914" i="3"/>
  <c r="H1915" i="3"/>
  <c r="H1916" i="3"/>
  <c r="H1908" i="3"/>
  <c r="G1909" i="3"/>
  <c r="G1910" i="3"/>
  <c r="G1911" i="3"/>
  <c r="G1912" i="3"/>
  <c r="G1913" i="3"/>
  <c r="G1914" i="3"/>
  <c r="G1915" i="3"/>
  <c r="G1916" i="3"/>
  <c r="G1908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892" i="3"/>
  <c r="I1891" i="3"/>
  <c r="C169" i="1" s="1"/>
  <c r="H1890" i="3"/>
  <c r="J1890" i="3" s="1"/>
  <c r="J1891" i="3" s="1"/>
  <c r="G1890" i="3"/>
  <c r="G1891" i="3" s="1"/>
  <c r="I1885" i="3"/>
  <c r="I1886" i="3"/>
  <c r="I1887" i="3"/>
  <c r="I1888" i="3"/>
  <c r="I1884" i="3"/>
  <c r="H1885" i="3"/>
  <c r="H1886" i="3"/>
  <c r="H1887" i="3"/>
  <c r="H1888" i="3"/>
  <c r="H1884" i="3"/>
  <c r="G1885" i="3"/>
  <c r="G1886" i="3"/>
  <c r="G1887" i="3"/>
  <c r="G1888" i="3"/>
  <c r="G1884" i="3"/>
  <c r="I1879" i="3"/>
  <c r="I1880" i="3"/>
  <c r="I1881" i="3"/>
  <c r="I1882" i="3"/>
  <c r="I1878" i="3"/>
  <c r="H1879" i="3"/>
  <c r="H1880" i="3"/>
  <c r="H1881" i="3"/>
  <c r="H1882" i="3"/>
  <c r="H1878" i="3"/>
  <c r="G1879" i="3"/>
  <c r="G1880" i="3"/>
  <c r="G1881" i="3"/>
  <c r="G1882" i="3"/>
  <c r="G1878" i="3"/>
  <c r="I1872" i="3"/>
  <c r="I1873" i="3"/>
  <c r="I1874" i="3"/>
  <c r="I1875" i="3"/>
  <c r="I1876" i="3"/>
  <c r="I1871" i="3"/>
  <c r="H1872" i="3"/>
  <c r="H1873" i="3"/>
  <c r="H1874" i="3"/>
  <c r="H1875" i="3"/>
  <c r="H1876" i="3"/>
  <c r="H1871" i="3"/>
  <c r="G1872" i="3"/>
  <c r="G1873" i="3"/>
  <c r="G1874" i="3"/>
  <c r="G1875" i="3"/>
  <c r="G1876" i="3"/>
  <c r="G1871" i="3"/>
  <c r="I1862" i="3"/>
  <c r="I1863" i="3"/>
  <c r="I1864" i="3"/>
  <c r="I1865" i="3"/>
  <c r="I1866" i="3"/>
  <c r="I1867" i="3"/>
  <c r="I1868" i="3"/>
  <c r="I1869" i="3"/>
  <c r="I1861" i="3"/>
  <c r="H1862" i="3"/>
  <c r="H1863" i="3"/>
  <c r="H1864" i="3"/>
  <c r="H1865" i="3"/>
  <c r="H1866" i="3"/>
  <c r="H1867" i="3"/>
  <c r="H1868" i="3"/>
  <c r="H1869" i="3"/>
  <c r="H1861" i="3"/>
  <c r="G1862" i="3"/>
  <c r="G1863" i="3"/>
  <c r="G1864" i="3"/>
  <c r="G1865" i="3"/>
  <c r="G1866" i="3"/>
  <c r="G1867" i="3"/>
  <c r="G1868" i="3"/>
  <c r="G1869" i="3"/>
  <c r="G1861" i="3"/>
  <c r="I1858" i="3"/>
  <c r="I1859" i="3"/>
  <c r="I1857" i="3"/>
  <c r="H1858" i="3"/>
  <c r="H1859" i="3"/>
  <c r="H1857" i="3"/>
  <c r="G1858" i="3"/>
  <c r="G1859" i="3"/>
  <c r="G1857" i="3"/>
  <c r="I1844" i="3"/>
  <c r="I1845" i="3"/>
  <c r="I1846" i="3"/>
  <c r="I1847" i="3"/>
  <c r="I1848" i="3"/>
  <c r="I1849" i="3"/>
  <c r="I1850" i="3"/>
  <c r="I1851" i="3"/>
  <c r="I1852" i="3"/>
  <c r="I1843" i="3"/>
  <c r="H1844" i="3"/>
  <c r="H1845" i="3"/>
  <c r="H1846" i="3"/>
  <c r="H1847" i="3"/>
  <c r="H1848" i="3"/>
  <c r="H1849" i="3"/>
  <c r="H1850" i="3"/>
  <c r="H1851" i="3"/>
  <c r="H1852" i="3"/>
  <c r="H1843" i="3"/>
  <c r="G1844" i="3"/>
  <c r="G1845" i="3"/>
  <c r="G1846" i="3"/>
  <c r="G1847" i="3"/>
  <c r="G1848" i="3"/>
  <c r="G1849" i="3"/>
  <c r="G1850" i="3"/>
  <c r="G1851" i="3"/>
  <c r="G1852" i="3"/>
  <c r="G1843" i="3"/>
  <c r="I1830" i="3"/>
  <c r="I1831" i="3"/>
  <c r="I1832" i="3"/>
  <c r="I1833" i="3"/>
  <c r="I1834" i="3"/>
  <c r="I1835" i="3"/>
  <c r="I1836" i="3"/>
  <c r="I1837" i="3"/>
  <c r="I1838" i="3"/>
  <c r="I1829" i="3"/>
  <c r="H1830" i="3"/>
  <c r="H1831" i="3"/>
  <c r="H1832" i="3"/>
  <c r="H1833" i="3"/>
  <c r="H1834" i="3"/>
  <c r="H1835" i="3"/>
  <c r="H1836" i="3"/>
  <c r="H1837" i="3"/>
  <c r="H1838" i="3"/>
  <c r="H1829" i="3"/>
  <c r="G1830" i="3"/>
  <c r="G1831" i="3"/>
  <c r="G1832" i="3"/>
  <c r="G1833" i="3"/>
  <c r="G1834" i="3"/>
  <c r="G1835" i="3"/>
  <c r="G1836" i="3"/>
  <c r="G1837" i="3"/>
  <c r="G1838" i="3"/>
  <c r="G1829" i="3"/>
  <c r="I1823" i="3"/>
  <c r="I1824" i="3"/>
  <c r="I1825" i="3"/>
  <c r="I1826" i="3"/>
  <c r="I1827" i="3"/>
  <c r="I1822" i="3"/>
  <c r="H1823" i="3"/>
  <c r="H1824" i="3"/>
  <c r="H1825" i="3"/>
  <c r="H1826" i="3"/>
  <c r="H1827" i="3"/>
  <c r="H1822" i="3"/>
  <c r="G1823" i="3"/>
  <c r="G1824" i="3"/>
  <c r="G1825" i="3"/>
  <c r="G1826" i="3"/>
  <c r="G1827" i="3"/>
  <c r="G1822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798" i="3"/>
  <c r="I1792" i="3"/>
  <c r="I1793" i="3"/>
  <c r="I1794" i="3"/>
  <c r="I1795" i="3"/>
  <c r="I1796" i="3"/>
  <c r="I1791" i="3"/>
  <c r="H1792" i="3"/>
  <c r="H1793" i="3"/>
  <c r="H1794" i="3"/>
  <c r="H1795" i="3"/>
  <c r="H1796" i="3"/>
  <c r="H1791" i="3"/>
  <c r="G1792" i="3"/>
  <c r="G1793" i="3"/>
  <c r="G1794" i="3"/>
  <c r="G1795" i="3"/>
  <c r="G1796" i="3"/>
  <c r="G1791" i="3"/>
  <c r="I1784" i="3"/>
  <c r="I1785" i="3"/>
  <c r="I1786" i="3"/>
  <c r="I1787" i="3"/>
  <c r="I1788" i="3"/>
  <c r="I1789" i="3"/>
  <c r="I1783" i="3"/>
  <c r="H1784" i="3"/>
  <c r="H1785" i="3"/>
  <c r="H1786" i="3"/>
  <c r="H1787" i="3"/>
  <c r="H1788" i="3"/>
  <c r="H1789" i="3"/>
  <c r="H1783" i="3"/>
  <c r="G1784" i="3"/>
  <c r="G1785" i="3"/>
  <c r="G1786" i="3"/>
  <c r="G1787" i="3"/>
  <c r="G1788" i="3"/>
  <c r="G1789" i="3"/>
  <c r="G1783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64" i="3"/>
  <c r="I1755" i="3"/>
  <c r="I1756" i="3"/>
  <c r="I1757" i="3"/>
  <c r="I1758" i="3"/>
  <c r="I1759" i="3"/>
  <c r="I1760" i="3"/>
  <c r="I1761" i="3"/>
  <c r="I1762" i="3"/>
  <c r="I1754" i="3"/>
  <c r="H1755" i="3"/>
  <c r="H1756" i="3"/>
  <c r="H1757" i="3"/>
  <c r="H1758" i="3"/>
  <c r="H1759" i="3"/>
  <c r="H1760" i="3"/>
  <c r="H1761" i="3"/>
  <c r="H1762" i="3"/>
  <c r="H1754" i="3"/>
  <c r="G1755" i="3"/>
  <c r="G1756" i="3"/>
  <c r="G1757" i="3"/>
  <c r="G1758" i="3"/>
  <c r="G1759" i="3"/>
  <c r="G1760" i="3"/>
  <c r="G1761" i="3"/>
  <c r="G1762" i="3"/>
  <c r="G1754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21" i="3"/>
  <c r="H1722" i="3"/>
  <c r="J1722" i="3" s="1"/>
  <c r="H1723" i="3"/>
  <c r="J1723" i="3" s="1"/>
  <c r="H1724" i="3"/>
  <c r="J1724" i="3" s="1"/>
  <c r="H1725" i="3"/>
  <c r="J1725" i="3" s="1"/>
  <c r="H1726" i="3"/>
  <c r="J1726" i="3" s="1"/>
  <c r="H1727" i="3"/>
  <c r="J1727" i="3" s="1"/>
  <c r="H1728" i="3"/>
  <c r="J1728" i="3" s="1"/>
  <c r="H1729" i="3"/>
  <c r="H1730" i="3"/>
  <c r="J1730" i="3" s="1"/>
  <c r="H1731" i="3"/>
  <c r="J1731" i="3" s="1"/>
  <c r="H1732" i="3"/>
  <c r="J1732" i="3" s="1"/>
  <c r="H1733" i="3"/>
  <c r="J1733" i="3" s="1"/>
  <c r="H1734" i="3"/>
  <c r="J1734" i="3" s="1"/>
  <c r="H1735" i="3"/>
  <c r="J1735" i="3" s="1"/>
  <c r="H1736" i="3"/>
  <c r="J1736" i="3" s="1"/>
  <c r="H1737" i="3"/>
  <c r="J1737" i="3" s="1"/>
  <c r="H1738" i="3"/>
  <c r="J1738" i="3" s="1"/>
  <c r="H1739" i="3"/>
  <c r="J1739" i="3" s="1"/>
  <c r="H1740" i="3"/>
  <c r="J1740" i="3" s="1"/>
  <c r="H1741" i="3"/>
  <c r="J1741" i="3" s="1"/>
  <c r="H1742" i="3"/>
  <c r="J1742" i="3" s="1"/>
  <c r="H1743" i="3"/>
  <c r="J1743" i="3" s="1"/>
  <c r="H1744" i="3"/>
  <c r="J1744" i="3" s="1"/>
  <c r="H1745" i="3"/>
  <c r="J1745" i="3" s="1"/>
  <c r="H1746" i="3"/>
  <c r="J1746" i="3" s="1"/>
  <c r="H1747" i="3"/>
  <c r="J1747" i="3" s="1"/>
  <c r="H1748" i="3"/>
  <c r="J1748" i="3" s="1"/>
  <c r="H1749" i="3"/>
  <c r="J1749" i="3" s="1"/>
  <c r="H1750" i="3"/>
  <c r="J1750" i="3" s="1"/>
  <c r="H1751" i="3"/>
  <c r="J1751" i="3" s="1"/>
  <c r="H1752" i="3"/>
  <c r="J1752" i="3" s="1"/>
  <c r="H1721" i="3"/>
  <c r="J1721" i="3" s="1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21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698" i="3"/>
  <c r="I1688" i="3"/>
  <c r="I1689" i="3"/>
  <c r="I1690" i="3"/>
  <c r="I1691" i="3"/>
  <c r="I1692" i="3"/>
  <c r="I1693" i="3"/>
  <c r="I1694" i="3"/>
  <c r="I1695" i="3"/>
  <c r="I1696" i="3"/>
  <c r="I1687" i="3"/>
  <c r="H1688" i="3"/>
  <c r="H1689" i="3"/>
  <c r="H1690" i="3"/>
  <c r="H1691" i="3"/>
  <c r="H1692" i="3"/>
  <c r="H1693" i="3"/>
  <c r="H1694" i="3"/>
  <c r="H1695" i="3"/>
  <c r="H1696" i="3"/>
  <c r="H1687" i="3"/>
  <c r="G1688" i="3"/>
  <c r="G1689" i="3"/>
  <c r="G1690" i="3"/>
  <c r="G1691" i="3"/>
  <c r="G1692" i="3"/>
  <c r="G1693" i="3"/>
  <c r="G1694" i="3"/>
  <c r="G1695" i="3"/>
  <c r="G1696" i="3"/>
  <c r="G1687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73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59" i="3"/>
  <c r="I1657" i="3"/>
  <c r="I1656" i="3"/>
  <c r="H1657" i="3"/>
  <c r="H1656" i="3"/>
  <c r="G1657" i="3"/>
  <c r="G1656" i="3"/>
  <c r="I1648" i="3"/>
  <c r="I1649" i="3"/>
  <c r="I1650" i="3"/>
  <c r="I1651" i="3"/>
  <c r="I1652" i="3"/>
  <c r="I1653" i="3"/>
  <c r="I1654" i="3"/>
  <c r="I1647" i="3"/>
  <c r="H1648" i="3"/>
  <c r="J1648" i="3" s="1"/>
  <c r="H1649" i="3"/>
  <c r="H1650" i="3"/>
  <c r="J1650" i="3" s="1"/>
  <c r="H1651" i="3"/>
  <c r="J1651" i="3" s="1"/>
  <c r="H1652" i="3"/>
  <c r="H1653" i="3"/>
  <c r="J1653" i="3" s="1"/>
  <c r="H1654" i="3"/>
  <c r="H1647" i="3"/>
  <c r="J1647" i="3" s="1"/>
  <c r="G1648" i="3"/>
  <c r="G1649" i="3"/>
  <c r="G1650" i="3"/>
  <c r="G1651" i="3"/>
  <c r="G1652" i="3"/>
  <c r="G1653" i="3"/>
  <c r="G1654" i="3"/>
  <c r="G1647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28" i="3"/>
  <c r="J1628" i="3" s="1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28" i="3"/>
  <c r="H1625" i="3"/>
  <c r="J1625" i="3" s="1"/>
  <c r="H1626" i="3"/>
  <c r="J1626" i="3" s="1"/>
  <c r="H1624" i="3"/>
  <c r="J1624" i="3" s="1"/>
  <c r="I1627" i="3"/>
  <c r="C144" i="1" s="1"/>
  <c r="G1625" i="3"/>
  <c r="G1626" i="3"/>
  <c r="G1624" i="3"/>
  <c r="I1618" i="3"/>
  <c r="I1619" i="3"/>
  <c r="I1620" i="3"/>
  <c r="I1621" i="3"/>
  <c r="I1622" i="3"/>
  <c r="I1617" i="3"/>
  <c r="H1618" i="3"/>
  <c r="H1619" i="3"/>
  <c r="H1620" i="3"/>
  <c r="H1621" i="3"/>
  <c r="H1622" i="3"/>
  <c r="H1617" i="3"/>
  <c r="G1618" i="3"/>
  <c r="G1619" i="3"/>
  <c r="G1620" i="3"/>
  <c r="G1621" i="3"/>
  <c r="G1622" i="3"/>
  <c r="G1617" i="3"/>
  <c r="I1608" i="3"/>
  <c r="I1609" i="3"/>
  <c r="I1610" i="3"/>
  <c r="I1611" i="3"/>
  <c r="I1612" i="3"/>
  <c r="I1613" i="3"/>
  <c r="I1614" i="3"/>
  <c r="I1615" i="3"/>
  <c r="I1607" i="3"/>
  <c r="H1608" i="3"/>
  <c r="H1609" i="3"/>
  <c r="H1610" i="3"/>
  <c r="H1611" i="3"/>
  <c r="H1612" i="3"/>
  <c r="H1613" i="3"/>
  <c r="H1614" i="3"/>
  <c r="H1615" i="3"/>
  <c r="H1607" i="3"/>
  <c r="G1608" i="3"/>
  <c r="G1609" i="3"/>
  <c r="G1610" i="3"/>
  <c r="G1611" i="3"/>
  <c r="G1612" i="3"/>
  <c r="G1613" i="3"/>
  <c r="G1614" i="3"/>
  <c r="G1615" i="3"/>
  <c r="G1607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588" i="3"/>
  <c r="I1583" i="3"/>
  <c r="I1584" i="3"/>
  <c r="I1585" i="3"/>
  <c r="I1586" i="3"/>
  <c r="I1582" i="3"/>
  <c r="H1583" i="3"/>
  <c r="H1584" i="3"/>
  <c r="H1585" i="3"/>
  <c r="H1586" i="3"/>
  <c r="H1582" i="3"/>
  <c r="G1583" i="3"/>
  <c r="G1584" i="3"/>
  <c r="G1585" i="3"/>
  <c r="G1586" i="3"/>
  <c r="G1582" i="3"/>
  <c r="I1576" i="3"/>
  <c r="I1577" i="3"/>
  <c r="I1578" i="3"/>
  <c r="I1579" i="3"/>
  <c r="I1580" i="3"/>
  <c r="I1575" i="3"/>
  <c r="H1576" i="3"/>
  <c r="H1577" i="3"/>
  <c r="H1578" i="3"/>
  <c r="H1579" i="3"/>
  <c r="H1580" i="3"/>
  <c r="H1575" i="3"/>
  <c r="G1576" i="3"/>
  <c r="G1577" i="3"/>
  <c r="G1578" i="3"/>
  <c r="G1579" i="3"/>
  <c r="G1580" i="3"/>
  <c r="G157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55" i="3"/>
  <c r="I1551" i="3"/>
  <c r="I1552" i="3"/>
  <c r="I1553" i="3"/>
  <c r="I1550" i="3"/>
  <c r="H1551" i="3"/>
  <c r="J1551" i="3" s="1"/>
  <c r="H1552" i="3"/>
  <c r="J1552" i="3" s="1"/>
  <c r="H1553" i="3"/>
  <c r="J1553" i="3" s="1"/>
  <c r="H1550" i="3"/>
  <c r="J1550" i="3" s="1"/>
  <c r="G1551" i="3"/>
  <c r="G1552" i="3"/>
  <c r="G1553" i="3"/>
  <c r="G1550" i="3"/>
  <c r="I1548" i="3"/>
  <c r="I1547" i="3"/>
  <c r="H1548" i="3"/>
  <c r="H1547" i="3"/>
  <c r="G1548" i="3"/>
  <c r="G1547" i="3"/>
  <c r="J1659" i="3" l="1"/>
  <c r="J1764" i="3"/>
  <c r="J1798" i="3"/>
  <c r="J865" i="3"/>
  <c r="J1791" i="3"/>
  <c r="G1549" i="3"/>
  <c r="I1549" i="3"/>
  <c r="C136" i="1" s="1"/>
  <c r="G1658" i="3"/>
  <c r="I1658" i="3"/>
  <c r="C147" i="1" s="1"/>
  <c r="J1884" i="3"/>
  <c r="J918" i="3"/>
  <c r="J371" i="3"/>
  <c r="J1857" i="3"/>
  <c r="J2324" i="3"/>
  <c r="J1140" i="3"/>
  <c r="J1137" i="3"/>
  <c r="B93" i="1"/>
  <c r="J1055" i="3"/>
  <c r="J1548" i="3"/>
  <c r="J1607" i="3"/>
  <c r="J1617" i="3"/>
  <c r="J1656" i="3"/>
  <c r="J1687" i="3"/>
  <c r="J1698" i="3"/>
  <c r="J1822" i="3"/>
  <c r="J1843" i="3"/>
  <c r="J1918" i="3"/>
  <c r="J1990" i="3"/>
  <c r="J2091" i="3"/>
  <c r="J2153" i="3"/>
  <c r="G2209" i="3"/>
  <c r="I2209" i="3"/>
  <c r="C200" i="1" s="1"/>
  <c r="J1272" i="3"/>
  <c r="J1275" i="3"/>
  <c r="J2081" i="3"/>
  <c r="J1240" i="3"/>
  <c r="J887" i="3"/>
  <c r="J2015" i="3"/>
  <c r="J2132" i="3"/>
  <c r="J2320" i="3"/>
  <c r="J1555" i="3"/>
  <c r="J1575" i="3"/>
  <c r="J1892" i="3"/>
  <c r="J2028" i="3"/>
  <c r="J2089" i="3"/>
  <c r="J2092" i="3" s="1"/>
  <c r="J2117" i="3"/>
  <c r="J2195" i="3"/>
  <c r="G2319" i="3"/>
  <c r="H2319" i="3"/>
  <c r="B207" i="1" s="1"/>
  <c r="J2326" i="3"/>
  <c r="J2322" i="3"/>
  <c r="H1658" i="3"/>
  <c r="B147" i="1" s="1"/>
  <c r="J2159" i="3"/>
  <c r="J2323" i="3"/>
  <c r="J1582" i="3"/>
  <c r="J1588" i="3"/>
  <c r="J1932" i="3"/>
  <c r="J1971" i="3"/>
  <c r="G2029" i="3"/>
  <c r="I2029" i="3"/>
  <c r="C182" i="1" s="1"/>
  <c r="I2092" i="3"/>
  <c r="C190" i="1" s="1"/>
  <c r="J2208" i="3"/>
  <c r="J2211" i="3"/>
  <c r="J1842" i="3"/>
  <c r="J1364" i="3"/>
  <c r="J1783" i="3"/>
  <c r="I2212" i="3"/>
  <c r="C201" i="1" s="1"/>
  <c r="J2285" i="3"/>
  <c r="J2325" i="3"/>
  <c r="J2321" i="3"/>
  <c r="J1829" i="3"/>
  <c r="J2027" i="3"/>
  <c r="J2029" i="3" s="1"/>
  <c r="J2039" i="3"/>
  <c r="J2093" i="3"/>
  <c r="J2213" i="3"/>
  <c r="H1549" i="3"/>
  <c r="B136" i="1" s="1"/>
  <c r="J1673" i="3"/>
  <c r="J1861" i="3"/>
  <c r="J1908" i="3"/>
  <c r="J2111" i="3"/>
  <c r="J2156" i="3"/>
  <c r="H2209" i="3"/>
  <c r="B200" i="1" s="1"/>
  <c r="H2212" i="3"/>
  <c r="B201" i="1" s="1"/>
  <c r="J1782" i="3"/>
  <c r="J1483" i="3"/>
  <c r="J1377" i="3"/>
  <c r="J1361" i="3"/>
  <c r="J1547" i="3"/>
  <c r="J1657" i="3"/>
  <c r="J1658" i="3" s="1"/>
  <c r="J2210" i="3"/>
  <c r="J2315" i="3"/>
  <c r="J2319" i="3" s="1"/>
  <c r="H1891" i="3"/>
  <c r="B169" i="1" s="1"/>
  <c r="G2305" i="3"/>
  <c r="H2314" i="3"/>
  <c r="B206" i="1" s="1"/>
  <c r="J2310" i="3"/>
  <c r="I2319" i="3"/>
  <c r="C207" i="1" s="1"/>
  <c r="J1871" i="3"/>
  <c r="J1878" i="3"/>
  <c r="J2207" i="3"/>
  <c r="J2209" i="3" s="1"/>
  <c r="G2314" i="3"/>
  <c r="J1729" i="3"/>
  <c r="J1753" i="3" s="1"/>
  <c r="J1856" i="3"/>
  <c r="J1789" i="3"/>
  <c r="J1785" i="3"/>
  <c r="G1970" i="3"/>
  <c r="J1788" i="3"/>
  <c r="J1784" i="3"/>
  <c r="I1950" i="3"/>
  <c r="C174" i="1" s="1"/>
  <c r="I1790" i="3"/>
  <c r="C156" i="1" s="1"/>
  <c r="J2305" i="3"/>
  <c r="I2305" i="3"/>
  <c r="C205" i="1" s="1"/>
  <c r="I2314" i="3"/>
  <c r="C206" i="1" s="1"/>
  <c r="J2289" i="3"/>
  <c r="J2288" i="3"/>
  <c r="J2314" i="3"/>
  <c r="G2292" i="3"/>
  <c r="J2291" i="3"/>
  <c r="J2287" i="3"/>
  <c r="J2290" i="3"/>
  <c r="J2286" i="3"/>
  <c r="H2305" i="3"/>
  <c r="B205" i="1" s="1"/>
  <c r="I2292" i="3"/>
  <c r="C204" i="1" s="1"/>
  <c r="J2242" i="3"/>
  <c r="J2238" i="3"/>
  <c r="J2234" i="3"/>
  <c r="J2230" i="3"/>
  <c r="J2226" i="3"/>
  <c r="J2222" i="3"/>
  <c r="J2218" i="3"/>
  <c r="J2214" i="3"/>
  <c r="G2284" i="3"/>
  <c r="J2241" i="3"/>
  <c r="J2237" i="3"/>
  <c r="J2233" i="3"/>
  <c r="J2229" i="3"/>
  <c r="J2225" i="3"/>
  <c r="J2221" i="3"/>
  <c r="H2292" i="3"/>
  <c r="B204" i="1" s="1"/>
  <c r="I2284" i="3"/>
  <c r="C203" i="1" s="1"/>
  <c r="G2243" i="3"/>
  <c r="J2240" i="3"/>
  <c r="J2236" i="3"/>
  <c r="J2232" i="3"/>
  <c r="J2228" i="3"/>
  <c r="J2224" i="3"/>
  <c r="J2220" i="3"/>
  <c r="J2216" i="3"/>
  <c r="J2239" i="3"/>
  <c r="J2235" i="3"/>
  <c r="J2231" i="3"/>
  <c r="J2227" i="3"/>
  <c r="J2223" i="3"/>
  <c r="J2219" i="3"/>
  <c r="J2215" i="3"/>
  <c r="H2284" i="3"/>
  <c r="B203" i="1" s="1"/>
  <c r="J2246" i="3"/>
  <c r="J2284" i="3" s="1"/>
  <c r="H2243" i="3"/>
  <c r="B202" i="1" s="1"/>
  <c r="I2243" i="3"/>
  <c r="C202" i="1" s="1"/>
  <c r="J2217" i="3"/>
  <c r="J2193" i="3"/>
  <c r="J2189" i="3"/>
  <c r="J2185" i="3"/>
  <c r="J2181" i="3"/>
  <c r="J2177" i="3"/>
  <c r="J2173" i="3"/>
  <c r="J2169" i="3"/>
  <c r="J2165" i="3"/>
  <c r="J2161" i="3"/>
  <c r="J2203" i="3"/>
  <c r="J2199" i="3"/>
  <c r="J2202" i="3"/>
  <c r="J2198" i="3"/>
  <c r="J2191" i="3"/>
  <c r="J2187" i="3"/>
  <c r="J2183" i="3"/>
  <c r="J2179" i="3"/>
  <c r="J2175" i="3"/>
  <c r="J2171" i="3"/>
  <c r="J2167" i="3"/>
  <c r="J2163" i="3"/>
  <c r="J2205" i="3"/>
  <c r="J2201" i="3"/>
  <c r="J2197" i="3"/>
  <c r="I2206" i="3"/>
  <c r="C199" i="1" s="1"/>
  <c r="J2140" i="3"/>
  <c r="J2136" i="3"/>
  <c r="J2190" i="3"/>
  <c r="J2186" i="3"/>
  <c r="J2182" i="3"/>
  <c r="J2178" i="3"/>
  <c r="J2174" i="3"/>
  <c r="J2170" i="3"/>
  <c r="J2166" i="3"/>
  <c r="J2162" i="3"/>
  <c r="J2204" i="3"/>
  <c r="J2200" i="3"/>
  <c r="J2196" i="3"/>
  <c r="G2206" i="3"/>
  <c r="J2154" i="3"/>
  <c r="J2192" i="3"/>
  <c r="J2188" i="3"/>
  <c r="J2184" i="3"/>
  <c r="J2180" i="3"/>
  <c r="J2176" i="3"/>
  <c r="J2172" i="3"/>
  <c r="J2168" i="3"/>
  <c r="J2164" i="3"/>
  <c r="J2160" i="3"/>
  <c r="G2152" i="3"/>
  <c r="G2158" i="3"/>
  <c r="J2157" i="3"/>
  <c r="G2194" i="3"/>
  <c r="J2155" i="3"/>
  <c r="H2206" i="3"/>
  <c r="B199" i="1" s="1"/>
  <c r="I2194" i="3"/>
  <c r="C198" i="1" s="1"/>
  <c r="H2158" i="3"/>
  <c r="B197" i="1" s="1"/>
  <c r="H2194" i="3"/>
  <c r="B198" i="1" s="1"/>
  <c r="I2158" i="3"/>
  <c r="C197" i="1" s="1"/>
  <c r="G2143" i="3"/>
  <c r="J2139" i="3"/>
  <c r="J2135" i="3"/>
  <c r="J2130" i="3"/>
  <c r="J2126" i="3"/>
  <c r="J2122" i="3"/>
  <c r="J2118" i="3"/>
  <c r="J2142" i="3"/>
  <c r="J2138" i="3"/>
  <c r="J2134" i="3"/>
  <c r="I2143" i="3"/>
  <c r="C195" i="1" s="1"/>
  <c r="H2152" i="3"/>
  <c r="B196" i="1" s="1"/>
  <c r="J2152" i="3"/>
  <c r="J2106" i="3"/>
  <c r="J2102" i="3"/>
  <c r="J2098" i="3"/>
  <c r="J2094" i="3"/>
  <c r="J2129" i="3"/>
  <c r="J2125" i="3"/>
  <c r="J2121" i="3"/>
  <c r="I2152" i="3"/>
  <c r="C196" i="1" s="1"/>
  <c r="J2112" i="3"/>
  <c r="G2131" i="3"/>
  <c r="J2141" i="3"/>
  <c r="J2137" i="3"/>
  <c r="J2133" i="3"/>
  <c r="J2128" i="3"/>
  <c r="J2124" i="3"/>
  <c r="J2120" i="3"/>
  <c r="I2131" i="3"/>
  <c r="C194" i="1" s="1"/>
  <c r="J2115" i="3"/>
  <c r="H2143" i="3"/>
  <c r="B195" i="1" s="1"/>
  <c r="G2116" i="3"/>
  <c r="J2127" i="3"/>
  <c r="J2123" i="3"/>
  <c r="J2119" i="3"/>
  <c r="J2113" i="3"/>
  <c r="J2114" i="3"/>
  <c r="H2131" i="3"/>
  <c r="B194" i="1" s="1"/>
  <c r="J2104" i="3"/>
  <c r="J2100" i="3"/>
  <c r="J2096" i="3"/>
  <c r="J2084" i="3"/>
  <c r="I2116" i="3"/>
  <c r="C193" i="1" s="1"/>
  <c r="H2116" i="3"/>
  <c r="B193" i="1" s="1"/>
  <c r="G2107" i="3"/>
  <c r="J2103" i="3"/>
  <c r="J2099" i="3"/>
  <c r="J2095" i="3"/>
  <c r="J2105" i="3"/>
  <c r="J2101" i="3"/>
  <c r="J2097" i="3"/>
  <c r="H2107" i="3"/>
  <c r="B191" i="1" s="1"/>
  <c r="I2107" i="3"/>
  <c r="C191" i="1" s="1"/>
  <c r="J2083" i="3"/>
  <c r="G2092" i="3"/>
  <c r="G2087" i="3"/>
  <c r="J2032" i="3"/>
  <c r="G2058" i="3"/>
  <c r="J2056" i="3"/>
  <c r="H2092" i="3"/>
  <c r="B190" i="1" s="1"/>
  <c r="J2061" i="3"/>
  <c r="G2075" i="3"/>
  <c r="J2085" i="3"/>
  <c r="J2051" i="3"/>
  <c r="J2047" i="3"/>
  <c r="J2043" i="3"/>
  <c r="J1652" i="3"/>
  <c r="J1995" i="3"/>
  <c r="J1991" i="3"/>
  <c r="J2050" i="3"/>
  <c r="J2046" i="3"/>
  <c r="J2042" i="3"/>
  <c r="J2062" i="3"/>
  <c r="I2087" i="3"/>
  <c r="C189" i="1" s="1"/>
  <c r="J2086" i="3"/>
  <c r="H2087" i="3"/>
  <c r="B189" i="1" s="1"/>
  <c r="H2075" i="3"/>
  <c r="B186" i="1" s="1"/>
  <c r="J2074" i="3"/>
  <c r="J2070" i="3"/>
  <c r="J2055" i="3"/>
  <c r="J2071" i="3"/>
  <c r="I2075" i="3"/>
  <c r="C186" i="1" s="1"/>
  <c r="J2067" i="3"/>
  <c r="G2053" i="3"/>
  <c r="J2049" i="3"/>
  <c r="J2045" i="3"/>
  <c r="J2041" i="3"/>
  <c r="J2052" i="3"/>
  <c r="J2048" i="3"/>
  <c r="J2044" i="3"/>
  <c r="J2040" i="3"/>
  <c r="H2058" i="3"/>
  <c r="B185" i="1" s="1"/>
  <c r="I2058" i="3"/>
  <c r="C185" i="1" s="1"/>
  <c r="I2053" i="3"/>
  <c r="C184" i="1" s="1"/>
  <c r="G2038" i="3"/>
  <c r="H2053" i="3"/>
  <c r="B184" i="1" s="1"/>
  <c r="H2014" i="3"/>
  <c r="B180" i="1" s="1"/>
  <c r="J2024" i="3"/>
  <c r="J2020" i="3"/>
  <c r="J2016" i="3"/>
  <c r="H2038" i="3"/>
  <c r="B183" i="1" s="1"/>
  <c r="I2038" i="3"/>
  <c r="C183" i="1" s="1"/>
  <c r="J2025" i="3"/>
  <c r="J2021" i="3"/>
  <c r="J2017" i="3"/>
  <c r="J2037" i="3"/>
  <c r="G2026" i="3"/>
  <c r="J2023" i="3"/>
  <c r="J2019" i="3"/>
  <c r="I2026" i="3"/>
  <c r="C181" i="1" s="1"/>
  <c r="J1936" i="3"/>
  <c r="G2014" i="3"/>
  <c r="J2022" i="3"/>
  <c r="J2018" i="3"/>
  <c r="J2014" i="3"/>
  <c r="H2026" i="3"/>
  <c r="B181" i="1" s="1"/>
  <c r="J1654" i="3"/>
  <c r="G2008" i="3"/>
  <c r="H2008" i="3"/>
  <c r="B178" i="1" s="1"/>
  <c r="I2008" i="3"/>
  <c r="C178" i="1" s="1"/>
  <c r="J2006" i="3"/>
  <c r="J2008" i="3" s="1"/>
  <c r="J1925" i="3"/>
  <c r="J1996" i="3"/>
  <c r="J1992" i="3"/>
  <c r="J1968" i="3"/>
  <c r="J1964" i="3"/>
  <c r="J1960" i="3"/>
  <c r="J1956" i="3"/>
  <c r="J1952" i="3"/>
  <c r="J1986" i="3"/>
  <c r="J1982" i="3"/>
  <c r="J1978" i="3"/>
  <c r="J1974" i="3"/>
  <c r="J1937" i="3"/>
  <c r="J1933" i="3"/>
  <c r="G1999" i="3"/>
  <c r="J1997" i="3"/>
  <c r="J1993" i="3"/>
  <c r="J1927" i="3"/>
  <c r="J1923" i="3"/>
  <c r="J1919" i="3"/>
  <c r="J1940" i="3"/>
  <c r="J1969" i="3"/>
  <c r="J1965" i="3"/>
  <c r="J1961" i="3"/>
  <c r="J1957" i="3"/>
  <c r="J1953" i="3"/>
  <c r="H1989" i="3"/>
  <c r="B176" i="1" s="1"/>
  <c r="G1989" i="3"/>
  <c r="I1989" i="3"/>
  <c r="C176" i="1" s="1"/>
  <c r="J1987" i="3"/>
  <c r="J1983" i="3"/>
  <c r="J1979" i="3"/>
  <c r="J1975" i="3"/>
  <c r="J1998" i="3"/>
  <c r="J1994" i="3"/>
  <c r="I1999" i="3"/>
  <c r="C177" i="1" s="1"/>
  <c r="H1999" i="3"/>
  <c r="B177" i="1" s="1"/>
  <c r="J1985" i="3"/>
  <c r="J1981" i="3"/>
  <c r="J1977" i="3"/>
  <c r="J1973" i="3"/>
  <c r="J1988" i="3"/>
  <c r="J1984" i="3"/>
  <c r="J1980" i="3"/>
  <c r="J1976" i="3"/>
  <c r="J1972" i="3"/>
  <c r="G1950" i="3"/>
  <c r="J1929" i="3"/>
  <c r="J1921" i="3"/>
  <c r="I1970" i="3"/>
  <c r="C175" i="1" s="1"/>
  <c r="J1914" i="3"/>
  <c r="J1910" i="3"/>
  <c r="J1967" i="3"/>
  <c r="J1963" i="3"/>
  <c r="J1959" i="3"/>
  <c r="J1955" i="3"/>
  <c r="J1966" i="3"/>
  <c r="J1962" i="3"/>
  <c r="J1958" i="3"/>
  <c r="J1954" i="3"/>
  <c r="H1970" i="3"/>
  <c r="B175" i="1" s="1"/>
  <c r="J1904" i="3"/>
  <c r="J1900" i="3"/>
  <c r="J1896" i="3"/>
  <c r="J1915" i="3"/>
  <c r="J1911" i="3"/>
  <c r="G1941" i="3"/>
  <c r="J1949" i="3"/>
  <c r="J1950" i="3" s="1"/>
  <c r="J1913" i="3"/>
  <c r="J1909" i="3"/>
  <c r="J1938" i="3"/>
  <c r="J1934" i="3"/>
  <c r="J1939" i="3"/>
  <c r="J1935" i="3"/>
  <c r="H1950" i="3"/>
  <c r="B174" i="1" s="1"/>
  <c r="J1916" i="3"/>
  <c r="J1912" i="3"/>
  <c r="G1931" i="3"/>
  <c r="J1928" i="3"/>
  <c r="J1924" i="3"/>
  <c r="J1920" i="3"/>
  <c r="H1941" i="3"/>
  <c r="B173" i="1" s="1"/>
  <c r="I1941" i="3"/>
  <c r="C173" i="1" s="1"/>
  <c r="J1903" i="3"/>
  <c r="J1899" i="3"/>
  <c r="J1895" i="3"/>
  <c r="I1931" i="3"/>
  <c r="C172" i="1" s="1"/>
  <c r="J1906" i="3"/>
  <c r="J1902" i="3"/>
  <c r="J1898" i="3"/>
  <c r="J1894" i="3"/>
  <c r="G1917" i="3"/>
  <c r="J1930" i="3"/>
  <c r="J1926" i="3"/>
  <c r="J1922" i="3"/>
  <c r="H1931" i="3"/>
  <c r="B172" i="1" s="1"/>
  <c r="J1905" i="3"/>
  <c r="J1901" i="3"/>
  <c r="J1897" i="3"/>
  <c r="J1893" i="3"/>
  <c r="J1876" i="3"/>
  <c r="G1907" i="3"/>
  <c r="H1917" i="3"/>
  <c r="B171" i="1" s="1"/>
  <c r="I1917" i="3"/>
  <c r="C171" i="1" s="1"/>
  <c r="I1907" i="3"/>
  <c r="C170" i="1" s="1"/>
  <c r="J1886" i="3"/>
  <c r="J1873" i="3"/>
  <c r="H1907" i="3"/>
  <c r="B170" i="1" s="1"/>
  <c r="G1889" i="3"/>
  <c r="J1885" i="3"/>
  <c r="I1889" i="3"/>
  <c r="C168" i="1" s="1"/>
  <c r="J1879" i="3"/>
  <c r="J1824" i="3"/>
  <c r="J1838" i="3"/>
  <c r="J1834" i="3"/>
  <c r="J1830" i="3"/>
  <c r="J1851" i="3"/>
  <c r="G1883" i="3"/>
  <c r="J1887" i="3"/>
  <c r="J1880" i="3"/>
  <c r="J1881" i="3"/>
  <c r="J1866" i="3"/>
  <c r="J1862" i="3"/>
  <c r="J1888" i="3"/>
  <c r="H1889" i="3"/>
  <c r="B168" i="1" s="1"/>
  <c r="H1860" i="3"/>
  <c r="B164" i="1" s="1"/>
  <c r="G1877" i="3"/>
  <c r="J1872" i="3"/>
  <c r="J1756" i="3"/>
  <c r="J1848" i="3"/>
  <c r="I1860" i="3"/>
  <c r="C164" i="1" s="1"/>
  <c r="J1869" i="3"/>
  <c r="J1865" i="3"/>
  <c r="I1877" i="3"/>
  <c r="C166" i="1" s="1"/>
  <c r="J1882" i="3"/>
  <c r="I1883" i="3"/>
  <c r="C167" i="1" s="1"/>
  <c r="H1883" i="3"/>
  <c r="B167" i="1" s="1"/>
  <c r="J1775" i="3"/>
  <c r="J1771" i="3"/>
  <c r="J1820" i="3"/>
  <c r="J1812" i="3"/>
  <c r="J1808" i="3"/>
  <c r="J1804" i="3"/>
  <c r="J1759" i="3"/>
  <c r="J1703" i="3"/>
  <c r="J1795" i="3"/>
  <c r="J1827" i="3"/>
  <c r="J1823" i="3"/>
  <c r="J1837" i="3"/>
  <c r="J1850" i="3"/>
  <c r="J1846" i="3"/>
  <c r="G1860" i="3"/>
  <c r="J1760" i="3"/>
  <c r="G1870" i="3"/>
  <c r="J1867" i="3"/>
  <c r="J1863" i="3"/>
  <c r="J1868" i="3"/>
  <c r="J1864" i="3"/>
  <c r="J1875" i="3"/>
  <c r="J1874" i="3"/>
  <c r="H1877" i="3"/>
  <c r="B166" i="1" s="1"/>
  <c r="J1852" i="3"/>
  <c r="J1858" i="3"/>
  <c r="I1870" i="3"/>
  <c r="C165" i="1" s="1"/>
  <c r="H1870" i="3"/>
  <c r="B165" i="1" s="1"/>
  <c r="J1719" i="3"/>
  <c r="G1853" i="3"/>
  <c r="J1849" i="3"/>
  <c r="J1845" i="3"/>
  <c r="J1844" i="3"/>
  <c r="J1859" i="3"/>
  <c r="I1853" i="3"/>
  <c r="C162" i="1" s="1"/>
  <c r="H1853" i="3"/>
  <c r="B162" i="1" s="1"/>
  <c r="J1847" i="3"/>
  <c r="G1839" i="3"/>
  <c r="J1836" i="3"/>
  <c r="J1832" i="3"/>
  <c r="J1835" i="3"/>
  <c r="J1831" i="3"/>
  <c r="H1821" i="3"/>
  <c r="B158" i="1" s="1"/>
  <c r="I1839" i="3"/>
  <c r="C160" i="1" s="1"/>
  <c r="J1818" i="3"/>
  <c r="J1814" i="3"/>
  <c r="J1810" i="3"/>
  <c r="J1806" i="3"/>
  <c r="J1802" i="3"/>
  <c r="H1839" i="3"/>
  <c r="B160" i="1" s="1"/>
  <c r="J1833" i="3"/>
  <c r="J1817" i="3"/>
  <c r="J1813" i="3"/>
  <c r="J1809" i="3"/>
  <c r="J1805" i="3"/>
  <c r="J1801" i="3"/>
  <c r="J1816" i="3"/>
  <c r="J1800" i="3"/>
  <c r="G1828" i="3"/>
  <c r="J1825" i="3"/>
  <c r="J1769" i="3"/>
  <c r="J1794" i="3"/>
  <c r="J1819" i="3"/>
  <c r="J1815" i="3"/>
  <c r="J1811" i="3"/>
  <c r="J1807" i="3"/>
  <c r="J1803" i="3"/>
  <c r="J1799" i="3"/>
  <c r="H1828" i="3"/>
  <c r="B159" i="1" s="1"/>
  <c r="I1828" i="3"/>
  <c r="C159" i="1" s="1"/>
  <c r="J1826" i="3"/>
  <c r="G1821" i="3"/>
  <c r="J1793" i="3"/>
  <c r="I1821" i="3"/>
  <c r="C158" i="1" s="1"/>
  <c r="G1797" i="3"/>
  <c r="J1704" i="3"/>
  <c r="J1755" i="3"/>
  <c r="J1796" i="3"/>
  <c r="J1792" i="3"/>
  <c r="J1761" i="3"/>
  <c r="J1778" i="3"/>
  <c r="J1770" i="3"/>
  <c r="I1797" i="3"/>
  <c r="C157" i="1" s="1"/>
  <c r="J1777" i="3"/>
  <c r="J1773" i="3"/>
  <c r="J1765" i="3"/>
  <c r="G1790" i="3"/>
  <c r="J1774" i="3"/>
  <c r="J1766" i="3"/>
  <c r="J1685" i="3"/>
  <c r="J1681" i="3"/>
  <c r="J1677" i="3"/>
  <c r="J1776" i="3"/>
  <c r="J1772" i="3"/>
  <c r="J1768" i="3"/>
  <c r="H1797" i="3"/>
  <c r="B157" i="1" s="1"/>
  <c r="J1693" i="3"/>
  <c r="J1689" i="3"/>
  <c r="J1670" i="3"/>
  <c r="J1666" i="3"/>
  <c r="J1662" i="3"/>
  <c r="J1684" i="3"/>
  <c r="J1680" i="3"/>
  <c r="G1779" i="3"/>
  <c r="H1779" i="3"/>
  <c r="B154" i="1" s="1"/>
  <c r="I1779" i="3"/>
  <c r="C154" i="1" s="1"/>
  <c r="J1787" i="3"/>
  <c r="J1786" i="3"/>
  <c r="H1790" i="3"/>
  <c r="B156" i="1" s="1"/>
  <c r="G1763" i="3"/>
  <c r="J1712" i="3"/>
  <c r="J1767" i="3"/>
  <c r="J1711" i="3"/>
  <c r="G1753" i="3"/>
  <c r="J1757" i="3"/>
  <c r="I1763" i="3"/>
  <c r="C153" i="1" s="1"/>
  <c r="J1762" i="3"/>
  <c r="J1758" i="3"/>
  <c r="J1754" i="3"/>
  <c r="H1763" i="3"/>
  <c r="B153" i="1" s="1"/>
  <c r="G1697" i="3"/>
  <c r="J1696" i="3"/>
  <c r="J1692" i="3"/>
  <c r="J1688" i="3"/>
  <c r="J1716" i="3"/>
  <c r="J1708" i="3"/>
  <c r="H1720" i="3"/>
  <c r="B151" i="1" s="1"/>
  <c r="J1683" i="3"/>
  <c r="G1720" i="3"/>
  <c r="J1715" i="3"/>
  <c r="J1707" i="3"/>
  <c r="J1699" i="3"/>
  <c r="H1753" i="3"/>
  <c r="B152" i="1" s="1"/>
  <c r="I1753" i="3"/>
  <c r="C152" i="1" s="1"/>
  <c r="J1695" i="3"/>
  <c r="J1700" i="3"/>
  <c r="I1720" i="3"/>
  <c r="C151" i="1" s="1"/>
  <c r="J1629" i="3"/>
  <c r="J1668" i="3"/>
  <c r="J1664" i="3"/>
  <c r="J1660" i="3"/>
  <c r="J1679" i="3"/>
  <c r="J1675" i="3"/>
  <c r="J1694" i="3"/>
  <c r="J1690" i="3"/>
  <c r="J1718" i="3"/>
  <c r="J1714" i="3"/>
  <c r="J1710" i="3"/>
  <c r="J1706" i="3"/>
  <c r="J1702" i="3"/>
  <c r="J1717" i="3"/>
  <c r="J1713" i="3"/>
  <c r="J1709" i="3"/>
  <c r="J1705" i="3"/>
  <c r="J1701" i="3"/>
  <c r="J1682" i="3"/>
  <c r="J1678" i="3"/>
  <c r="J1674" i="3"/>
  <c r="J1645" i="3"/>
  <c r="J1641" i="3"/>
  <c r="J1637" i="3"/>
  <c r="J1633" i="3"/>
  <c r="I1697" i="3"/>
  <c r="C150" i="1" s="1"/>
  <c r="J1634" i="3"/>
  <c r="G1686" i="3"/>
  <c r="H1697" i="3"/>
  <c r="B150" i="1" s="1"/>
  <c r="J1691" i="3"/>
  <c r="G1672" i="3"/>
  <c r="H1686" i="3"/>
  <c r="B149" i="1" s="1"/>
  <c r="J1669" i="3"/>
  <c r="J1665" i="3"/>
  <c r="J1661" i="3"/>
  <c r="J1671" i="3"/>
  <c r="J1667" i="3"/>
  <c r="J1663" i="3"/>
  <c r="J1676" i="3"/>
  <c r="I1686" i="3"/>
  <c r="C149" i="1" s="1"/>
  <c r="I1672" i="3"/>
  <c r="C148" i="1" s="1"/>
  <c r="J1594" i="3"/>
  <c r="H1672" i="3"/>
  <c r="B148" i="1" s="1"/>
  <c r="H1655" i="3"/>
  <c r="B146" i="1" s="1"/>
  <c r="G1655" i="3"/>
  <c r="J1605" i="3"/>
  <c r="J1601" i="3"/>
  <c r="J1597" i="3"/>
  <c r="J1593" i="3"/>
  <c r="J1589" i="3"/>
  <c r="J1612" i="3"/>
  <c r="J1608" i="3"/>
  <c r="J1638" i="3"/>
  <c r="J1630" i="3"/>
  <c r="J1649" i="3"/>
  <c r="J1614" i="3"/>
  <c r="J1610" i="3"/>
  <c r="J1622" i="3"/>
  <c r="I1655" i="3"/>
  <c r="C146" i="1" s="1"/>
  <c r="J1602" i="3"/>
  <c r="J1613" i="3"/>
  <c r="J1609" i="3"/>
  <c r="J1621" i="3"/>
  <c r="I1623" i="3"/>
  <c r="C143" i="1" s="1"/>
  <c r="G1627" i="3"/>
  <c r="G1646" i="3"/>
  <c r="J1642" i="3"/>
  <c r="H1646" i="3"/>
  <c r="B145" i="1" s="1"/>
  <c r="H1627" i="3"/>
  <c r="B144" i="1" s="1"/>
  <c r="J1620" i="3"/>
  <c r="J1644" i="3"/>
  <c r="J1640" i="3"/>
  <c r="J1636" i="3"/>
  <c r="J1632" i="3"/>
  <c r="I1646" i="3"/>
  <c r="C145" i="1" s="1"/>
  <c r="J1643" i="3"/>
  <c r="J1639" i="3"/>
  <c r="J1635" i="3"/>
  <c r="J1631" i="3"/>
  <c r="J1615" i="3"/>
  <c r="J1611" i="3"/>
  <c r="G1623" i="3"/>
  <c r="J1619" i="3"/>
  <c r="J1618" i="3"/>
  <c r="J1627" i="3"/>
  <c r="G1616" i="3"/>
  <c r="J1599" i="3"/>
  <c r="J1595" i="3"/>
  <c r="J1591" i="3"/>
  <c r="J1569" i="3"/>
  <c r="I1616" i="3"/>
  <c r="C142" i="1" s="1"/>
  <c r="H1623" i="3"/>
  <c r="B143" i="1" s="1"/>
  <c r="I1587" i="3"/>
  <c r="C140" i="1" s="1"/>
  <c r="G1587" i="3"/>
  <c r="J1584" i="3"/>
  <c r="J1598" i="3"/>
  <c r="J1590" i="3"/>
  <c r="G1606" i="3"/>
  <c r="J1603" i="3"/>
  <c r="H1616" i="3"/>
  <c r="B142" i="1" s="1"/>
  <c r="G1554" i="3"/>
  <c r="J1570" i="3"/>
  <c r="J1566" i="3"/>
  <c r="J1562" i="3"/>
  <c r="J1558" i="3"/>
  <c r="G1581" i="3"/>
  <c r="J1583" i="3"/>
  <c r="H1606" i="3"/>
  <c r="B141" i="1" s="1"/>
  <c r="I1606" i="3"/>
  <c r="C141" i="1" s="1"/>
  <c r="J1604" i="3"/>
  <c r="J1600" i="3"/>
  <c r="J1596" i="3"/>
  <c r="J1592" i="3"/>
  <c r="J1565" i="3"/>
  <c r="J1557" i="3"/>
  <c r="J1577" i="3"/>
  <c r="J1580" i="3"/>
  <c r="J1576" i="3"/>
  <c r="J1586" i="3"/>
  <c r="J1573" i="3"/>
  <c r="J1561" i="3"/>
  <c r="G1574" i="3"/>
  <c r="J1578" i="3"/>
  <c r="J1585" i="3"/>
  <c r="H1587" i="3"/>
  <c r="B140" i="1" s="1"/>
  <c r="H1581" i="3"/>
  <c r="B139" i="1" s="1"/>
  <c r="J1572" i="3"/>
  <c r="J1568" i="3"/>
  <c r="J1564" i="3"/>
  <c r="J1560" i="3"/>
  <c r="J1556" i="3"/>
  <c r="J1571" i="3"/>
  <c r="J1567" i="3"/>
  <c r="J1563" i="3"/>
  <c r="J1559" i="3"/>
  <c r="I1581" i="3"/>
  <c r="C139" i="1" s="1"/>
  <c r="J1579" i="3"/>
  <c r="I1574" i="3"/>
  <c r="C138" i="1" s="1"/>
  <c r="H1574" i="3"/>
  <c r="B138" i="1" s="1"/>
  <c r="J1554" i="3"/>
  <c r="I1554" i="3"/>
  <c r="C137" i="1" s="1"/>
  <c r="H1554" i="3"/>
  <c r="B137" i="1" s="1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30" i="3"/>
  <c r="H1531" i="3"/>
  <c r="H1532" i="3"/>
  <c r="J1532" i="3" s="1"/>
  <c r="H1533" i="3"/>
  <c r="J1533" i="3" s="1"/>
  <c r="H1534" i="3"/>
  <c r="H1535" i="3"/>
  <c r="J1535" i="3" s="1"/>
  <c r="H1536" i="3"/>
  <c r="J1536" i="3" s="1"/>
  <c r="H1537" i="3"/>
  <c r="J1537" i="3" s="1"/>
  <c r="H1538" i="3"/>
  <c r="J1538" i="3" s="1"/>
  <c r="H1539" i="3"/>
  <c r="J1539" i="3" s="1"/>
  <c r="H1540" i="3"/>
  <c r="J1540" i="3" s="1"/>
  <c r="H1541" i="3"/>
  <c r="J1541" i="3" s="1"/>
  <c r="H1542" i="3"/>
  <c r="J1542" i="3" s="1"/>
  <c r="H1543" i="3"/>
  <c r="J1543" i="3" s="1"/>
  <c r="H1544" i="3"/>
  <c r="H1545" i="3"/>
  <c r="J1545" i="3" s="1"/>
  <c r="H1530" i="3"/>
  <c r="J1530" i="3" s="1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30" i="3"/>
  <c r="H1528" i="3"/>
  <c r="J1528" i="3" s="1"/>
  <c r="H1527" i="3"/>
  <c r="I1529" i="3"/>
  <c r="C134" i="1" s="1"/>
  <c r="G1528" i="3"/>
  <c r="G1527" i="3"/>
  <c r="I1522" i="3"/>
  <c r="I1523" i="3"/>
  <c r="I1524" i="3"/>
  <c r="I1525" i="3"/>
  <c r="I1521" i="3"/>
  <c r="H1522" i="3"/>
  <c r="H1523" i="3"/>
  <c r="H1524" i="3"/>
  <c r="H1525" i="3"/>
  <c r="H1521" i="3"/>
  <c r="G1522" i="3"/>
  <c r="G1523" i="3"/>
  <c r="G1524" i="3"/>
  <c r="G1525" i="3"/>
  <c r="G1521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484" i="3"/>
  <c r="H1485" i="3"/>
  <c r="J1485" i="3" s="1"/>
  <c r="H1486" i="3"/>
  <c r="H1487" i="3"/>
  <c r="J1487" i="3" s="1"/>
  <c r="H1488" i="3"/>
  <c r="J1488" i="3" s="1"/>
  <c r="H1489" i="3"/>
  <c r="J1489" i="3" s="1"/>
  <c r="H1490" i="3"/>
  <c r="J1490" i="3" s="1"/>
  <c r="H1491" i="3"/>
  <c r="J1491" i="3" s="1"/>
  <c r="H1492" i="3"/>
  <c r="J1492" i="3" s="1"/>
  <c r="H1493" i="3"/>
  <c r="J1493" i="3" s="1"/>
  <c r="H1494" i="3"/>
  <c r="H1495" i="3"/>
  <c r="H1496" i="3"/>
  <c r="J1496" i="3" s="1"/>
  <c r="H1497" i="3"/>
  <c r="J1497" i="3" s="1"/>
  <c r="H1498" i="3"/>
  <c r="J1498" i="3" s="1"/>
  <c r="H1499" i="3"/>
  <c r="J1499" i="3" s="1"/>
  <c r="H1500" i="3"/>
  <c r="J1500" i="3" s="1"/>
  <c r="H1501" i="3"/>
  <c r="J1501" i="3" s="1"/>
  <c r="H1502" i="3"/>
  <c r="J1502" i="3" s="1"/>
  <c r="H1503" i="3"/>
  <c r="J1503" i="3" s="1"/>
  <c r="H1504" i="3"/>
  <c r="J1504" i="3" s="1"/>
  <c r="H1505" i="3"/>
  <c r="J1505" i="3" s="1"/>
  <c r="H1506" i="3"/>
  <c r="J1506" i="3" s="1"/>
  <c r="H1507" i="3"/>
  <c r="J1507" i="3" s="1"/>
  <c r="H1508" i="3"/>
  <c r="J1508" i="3" s="1"/>
  <c r="H1509" i="3"/>
  <c r="J1509" i="3" s="1"/>
  <c r="H1510" i="3"/>
  <c r="J1510" i="3" s="1"/>
  <c r="H1511" i="3"/>
  <c r="J1511" i="3" s="1"/>
  <c r="H1512" i="3"/>
  <c r="J1512" i="3" s="1"/>
  <c r="H1513" i="3"/>
  <c r="J1513" i="3" s="1"/>
  <c r="H1514" i="3"/>
  <c r="J1514" i="3" s="1"/>
  <c r="H1515" i="3"/>
  <c r="J1515" i="3" s="1"/>
  <c r="H1516" i="3"/>
  <c r="J1516" i="3" s="1"/>
  <c r="H1517" i="3"/>
  <c r="J1517" i="3" s="1"/>
  <c r="H1518" i="3"/>
  <c r="J1518" i="3" s="1"/>
  <c r="H1519" i="3"/>
  <c r="J1519" i="3" s="1"/>
  <c r="H1484" i="3"/>
  <c r="J1484" i="3" s="1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484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62" i="3"/>
  <c r="I1455" i="3"/>
  <c r="I1456" i="3"/>
  <c r="I1457" i="3"/>
  <c r="I1458" i="3"/>
  <c r="I1459" i="3"/>
  <c r="I1460" i="3"/>
  <c r="I1454" i="3"/>
  <c r="H1460" i="3"/>
  <c r="H1455" i="3"/>
  <c r="J1455" i="3" s="1"/>
  <c r="H1456" i="3"/>
  <c r="J1456" i="3" s="1"/>
  <c r="H1457" i="3"/>
  <c r="H1458" i="3"/>
  <c r="J1458" i="3" s="1"/>
  <c r="H1459" i="3"/>
  <c r="J1459" i="3" s="1"/>
  <c r="H1454" i="3"/>
  <c r="G1455" i="3"/>
  <c r="G1456" i="3"/>
  <c r="G1457" i="3"/>
  <c r="G1458" i="3"/>
  <c r="G1459" i="3"/>
  <c r="G1460" i="3"/>
  <c r="G1454" i="3"/>
  <c r="I1442" i="3"/>
  <c r="I1443" i="3"/>
  <c r="I1444" i="3"/>
  <c r="I1445" i="3"/>
  <c r="I1446" i="3"/>
  <c r="I1447" i="3"/>
  <c r="I1448" i="3"/>
  <c r="I1449" i="3"/>
  <c r="I1450" i="3"/>
  <c r="I1451" i="3"/>
  <c r="I1452" i="3"/>
  <c r="I1441" i="3"/>
  <c r="H1442" i="3"/>
  <c r="J1442" i="3" s="1"/>
  <c r="H1443" i="3"/>
  <c r="J1443" i="3" s="1"/>
  <c r="H1444" i="3"/>
  <c r="J1444" i="3" s="1"/>
  <c r="H1445" i="3"/>
  <c r="J1445" i="3" s="1"/>
  <c r="H1446" i="3"/>
  <c r="J1446" i="3" s="1"/>
  <c r="H1447" i="3"/>
  <c r="J1447" i="3" s="1"/>
  <c r="H1448" i="3"/>
  <c r="J1448" i="3" s="1"/>
  <c r="H1449" i="3"/>
  <c r="J1449" i="3" s="1"/>
  <c r="H1450" i="3"/>
  <c r="J1450" i="3" s="1"/>
  <c r="H1451" i="3"/>
  <c r="H1452" i="3"/>
  <c r="J1452" i="3" s="1"/>
  <c r="H1441" i="3"/>
  <c r="J1441" i="3" s="1"/>
  <c r="G1442" i="3"/>
  <c r="G1443" i="3"/>
  <c r="G1444" i="3"/>
  <c r="G1445" i="3"/>
  <c r="G1446" i="3"/>
  <c r="G1447" i="3"/>
  <c r="G1448" i="3"/>
  <c r="G1449" i="3"/>
  <c r="G1450" i="3"/>
  <c r="G1451" i="3"/>
  <c r="G1452" i="3"/>
  <c r="G1441" i="3"/>
  <c r="I1434" i="3"/>
  <c r="I1435" i="3"/>
  <c r="I1436" i="3"/>
  <c r="I1437" i="3"/>
  <c r="I1438" i="3"/>
  <c r="I1439" i="3"/>
  <c r="I1433" i="3"/>
  <c r="H1434" i="3"/>
  <c r="H1435" i="3"/>
  <c r="H1436" i="3"/>
  <c r="H1437" i="3"/>
  <c r="H1438" i="3"/>
  <c r="H1439" i="3"/>
  <c r="H1433" i="3"/>
  <c r="G1434" i="3"/>
  <c r="G1435" i="3"/>
  <c r="G1436" i="3"/>
  <c r="G1437" i="3"/>
  <c r="G1438" i="3"/>
  <c r="G1439" i="3"/>
  <c r="G1433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19" i="3"/>
  <c r="I1408" i="3"/>
  <c r="I1409" i="3"/>
  <c r="I1410" i="3"/>
  <c r="I1411" i="3"/>
  <c r="I1412" i="3"/>
  <c r="I1413" i="3"/>
  <c r="I1414" i="3"/>
  <c r="I1415" i="3"/>
  <c r="I1416" i="3"/>
  <c r="I1417" i="3"/>
  <c r="I1407" i="3"/>
  <c r="H1408" i="3"/>
  <c r="H1409" i="3"/>
  <c r="H1410" i="3"/>
  <c r="H1411" i="3"/>
  <c r="H1412" i="3"/>
  <c r="H1413" i="3"/>
  <c r="H1414" i="3"/>
  <c r="H1415" i="3"/>
  <c r="H1416" i="3"/>
  <c r="H1417" i="3"/>
  <c r="H1407" i="3"/>
  <c r="J1407" i="3" s="1"/>
  <c r="G1408" i="3"/>
  <c r="G1409" i="3"/>
  <c r="G1410" i="3"/>
  <c r="G1411" i="3"/>
  <c r="G1412" i="3"/>
  <c r="G1413" i="3"/>
  <c r="G1414" i="3"/>
  <c r="G1415" i="3"/>
  <c r="G1416" i="3"/>
  <c r="G1417" i="3"/>
  <c r="G1407" i="3"/>
  <c r="H1401" i="3"/>
  <c r="H1402" i="3"/>
  <c r="H1403" i="3"/>
  <c r="H1404" i="3"/>
  <c r="H1405" i="3"/>
  <c r="H1400" i="3"/>
  <c r="I1401" i="3"/>
  <c r="I1402" i="3"/>
  <c r="I1403" i="3"/>
  <c r="I1404" i="3"/>
  <c r="I1405" i="3"/>
  <c r="I1400" i="3"/>
  <c r="G1401" i="3"/>
  <c r="G1402" i="3"/>
  <c r="G1403" i="3"/>
  <c r="G1404" i="3"/>
  <c r="G1405" i="3"/>
  <c r="G1400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84" i="3"/>
  <c r="I1379" i="3"/>
  <c r="I1380" i="3"/>
  <c r="I1381" i="3"/>
  <c r="I1382" i="3"/>
  <c r="I1378" i="3"/>
  <c r="H1379" i="3"/>
  <c r="H1380" i="3"/>
  <c r="H1381" i="3"/>
  <c r="H1382" i="3"/>
  <c r="H1378" i="3"/>
  <c r="G1379" i="3"/>
  <c r="G1380" i="3"/>
  <c r="G1381" i="3"/>
  <c r="G1382" i="3"/>
  <c r="G1378" i="3"/>
  <c r="I1366" i="3"/>
  <c r="I1367" i="3"/>
  <c r="I1368" i="3"/>
  <c r="I1369" i="3"/>
  <c r="I1370" i="3"/>
  <c r="I1371" i="3"/>
  <c r="I1372" i="3"/>
  <c r="I1373" i="3"/>
  <c r="I1365" i="3"/>
  <c r="H1366" i="3"/>
  <c r="H1367" i="3"/>
  <c r="H1368" i="3"/>
  <c r="H1369" i="3"/>
  <c r="H1370" i="3"/>
  <c r="H1371" i="3"/>
  <c r="H1372" i="3"/>
  <c r="H1373" i="3"/>
  <c r="H1365" i="3"/>
  <c r="G1366" i="3"/>
  <c r="G1367" i="3"/>
  <c r="G1368" i="3"/>
  <c r="G1369" i="3"/>
  <c r="G1370" i="3"/>
  <c r="G1371" i="3"/>
  <c r="G1372" i="3"/>
  <c r="G1373" i="3"/>
  <c r="G1365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24" i="3"/>
  <c r="I1317" i="3"/>
  <c r="I1318" i="3"/>
  <c r="I1319" i="3"/>
  <c r="I1320" i="3"/>
  <c r="I1321" i="3"/>
  <c r="I1322" i="3"/>
  <c r="I1316" i="3"/>
  <c r="G1317" i="3"/>
  <c r="G1318" i="3"/>
  <c r="G1319" i="3"/>
  <c r="G1320" i="3"/>
  <c r="G1321" i="3"/>
  <c r="G1322" i="3"/>
  <c r="G1316" i="3"/>
  <c r="H1317" i="3"/>
  <c r="H1318" i="3"/>
  <c r="H1319" i="3"/>
  <c r="H1320" i="3"/>
  <c r="H1321" i="3"/>
  <c r="H1322" i="3"/>
  <c r="H1316" i="3"/>
  <c r="J1316" i="3" s="1"/>
  <c r="I1313" i="3"/>
  <c r="I1314" i="3"/>
  <c r="I1312" i="3"/>
  <c r="H1313" i="3"/>
  <c r="H1314" i="3"/>
  <c r="H1312" i="3"/>
  <c r="G1313" i="3"/>
  <c r="G1314" i="3"/>
  <c r="G1312" i="3"/>
  <c r="I1309" i="3"/>
  <c r="I1310" i="3"/>
  <c r="I1308" i="3"/>
  <c r="H1309" i="3"/>
  <c r="H1310" i="3"/>
  <c r="H1308" i="3"/>
  <c r="G1309" i="3"/>
  <c r="G1310" i="3"/>
  <c r="G1308" i="3"/>
  <c r="I1305" i="3"/>
  <c r="I1306" i="3"/>
  <c r="I1304" i="3"/>
  <c r="H1305" i="3"/>
  <c r="H1306" i="3"/>
  <c r="H1304" i="3"/>
  <c r="J1304" i="3" s="1"/>
  <c r="G1305" i="3"/>
  <c r="G1306" i="3"/>
  <c r="G1304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276" i="3"/>
  <c r="I1269" i="3"/>
  <c r="C109" i="1" s="1"/>
  <c r="G1269" i="3"/>
  <c r="H1268" i="3"/>
  <c r="J1268" i="3" s="1"/>
  <c r="J1269" i="3" s="1"/>
  <c r="I1266" i="3"/>
  <c r="I1265" i="3"/>
  <c r="H1266" i="3"/>
  <c r="H1265" i="3"/>
  <c r="G1266" i="3"/>
  <c r="G1265" i="3"/>
  <c r="I1258" i="3"/>
  <c r="I1259" i="3"/>
  <c r="I1260" i="3"/>
  <c r="I1261" i="3"/>
  <c r="I1262" i="3"/>
  <c r="I1263" i="3"/>
  <c r="I1257" i="3"/>
  <c r="H1258" i="3"/>
  <c r="H1259" i="3"/>
  <c r="H1260" i="3"/>
  <c r="H1261" i="3"/>
  <c r="H1262" i="3"/>
  <c r="H1263" i="3"/>
  <c r="H1257" i="3"/>
  <c r="G1258" i="3"/>
  <c r="G1259" i="3"/>
  <c r="G1260" i="3"/>
  <c r="G1261" i="3"/>
  <c r="G1262" i="3"/>
  <c r="G1263" i="3"/>
  <c r="G1257" i="3"/>
  <c r="I1254" i="3"/>
  <c r="I1255" i="3"/>
  <c r="I1253" i="3"/>
  <c r="H1254" i="3"/>
  <c r="H1255" i="3"/>
  <c r="H1253" i="3"/>
  <c r="G1254" i="3"/>
  <c r="G1255" i="3"/>
  <c r="G1253" i="3"/>
  <c r="I1248" i="3"/>
  <c r="I1249" i="3"/>
  <c r="I1250" i="3"/>
  <c r="I1251" i="3"/>
  <c r="I1247" i="3"/>
  <c r="H1248" i="3"/>
  <c r="H1249" i="3"/>
  <c r="H1250" i="3"/>
  <c r="H1251" i="3"/>
  <c r="H1247" i="3"/>
  <c r="G1248" i="3"/>
  <c r="G1249" i="3"/>
  <c r="G1250" i="3"/>
  <c r="G1251" i="3"/>
  <c r="G1247" i="3"/>
  <c r="H1245" i="3"/>
  <c r="J1245" i="3" s="1"/>
  <c r="H1244" i="3"/>
  <c r="J1244" i="3" s="1"/>
  <c r="I1246" i="3"/>
  <c r="C104" i="1" s="1"/>
  <c r="G1245" i="3"/>
  <c r="G1244" i="3"/>
  <c r="H1242" i="3"/>
  <c r="J1242" i="3" s="1"/>
  <c r="H1241" i="3"/>
  <c r="J1241" i="3" s="1"/>
  <c r="I1243" i="3"/>
  <c r="C103" i="1" s="1"/>
  <c r="G1242" i="3"/>
  <c r="G1241" i="3"/>
  <c r="G1243" i="3" s="1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23" i="3"/>
  <c r="I1215" i="3"/>
  <c r="I1216" i="3"/>
  <c r="I1217" i="3"/>
  <c r="I1218" i="3"/>
  <c r="I1219" i="3"/>
  <c r="I1220" i="3"/>
  <c r="I1221" i="3"/>
  <c r="I1214" i="3"/>
  <c r="H1215" i="3"/>
  <c r="J1215" i="3" s="1"/>
  <c r="H1216" i="3"/>
  <c r="H1217" i="3"/>
  <c r="J1217" i="3" s="1"/>
  <c r="H1218" i="3"/>
  <c r="H1219" i="3"/>
  <c r="H1220" i="3"/>
  <c r="J1220" i="3" s="1"/>
  <c r="H1221" i="3"/>
  <c r="J1221" i="3" s="1"/>
  <c r="H1214" i="3"/>
  <c r="J1214" i="3" s="1"/>
  <c r="G1215" i="3"/>
  <c r="G1216" i="3"/>
  <c r="G1217" i="3"/>
  <c r="G1218" i="3"/>
  <c r="G1219" i="3"/>
  <c r="G1220" i="3"/>
  <c r="G1221" i="3"/>
  <c r="G1214" i="3"/>
  <c r="I1202" i="3"/>
  <c r="I1203" i="3"/>
  <c r="I1204" i="3"/>
  <c r="I1205" i="3"/>
  <c r="I1206" i="3"/>
  <c r="I1207" i="3"/>
  <c r="I1208" i="3"/>
  <c r="I1209" i="3"/>
  <c r="I1210" i="3"/>
  <c r="I1211" i="3"/>
  <c r="I1212" i="3"/>
  <c r="I1201" i="3"/>
  <c r="H1202" i="3"/>
  <c r="J1202" i="3" s="1"/>
  <c r="H1203" i="3"/>
  <c r="H1204" i="3"/>
  <c r="J1204" i="3" s="1"/>
  <c r="H1205" i="3"/>
  <c r="J1205" i="3" s="1"/>
  <c r="H1206" i="3"/>
  <c r="J1206" i="3" s="1"/>
  <c r="H1207" i="3"/>
  <c r="J1207" i="3" s="1"/>
  <c r="H1208" i="3"/>
  <c r="H1209" i="3"/>
  <c r="J1209" i="3" s="1"/>
  <c r="H1210" i="3"/>
  <c r="J1210" i="3" s="1"/>
  <c r="H1211" i="3"/>
  <c r="J1211" i="3" s="1"/>
  <c r="H1212" i="3"/>
  <c r="H1201" i="3"/>
  <c r="J1201" i="3" s="1"/>
  <c r="G1202" i="3"/>
  <c r="G1203" i="3"/>
  <c r="G1204" i="3"/>
  <c r="G1205" i="3"/>
  <c r="G1206" i="3"/>
  <c r="G1207" i="3"/>
  <c r="G1208" i="3"/>
  <c r="G1209" i="3"/>
  <c r="G1210" i="3"/>
  <c r="G1211" i="3"/>
  <c r="G1212" i="3"/>
  <c r="G1201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187" i="3"/>
  <c r="J1187" i="3" s="1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187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73" i="3"/>
  <c r="I1161" i="3"/>
  <c r="I1162" i="3"/>
  <c r="I1163" i="3"/>
  <c r="I1164" i="3"/>
  <c r="I1165" i="3"/>
  <c r="I1166" i="3"/>
  <c r="I1167" i="3"/>
  <c r="I1168" i="3"/>
  <c r="I1169" i="3"/>
  <c r="I1170" i="3"/>
  <c r="I1171" i="3"/>
  <c r="I1160" i="3"/>
  <c r="H1161" i="3"/>
  <c r="J1161" i="3" s="1"/>
  <c r="H1162" i="3"/>
  <c r="J1162" i="3" s="1"/>
  <c r="H1163" i="3"/>
  <c r="J1163" i="3" s="1"/>
  <c r="H1164" i="3"/>
  <c r="J1164" i="3" s="1"/>
  <c r="H1165" i="3"/>
  <c r="H1166" i="3"/>
  <c r="J1166" i="3" s="1"/>
  <c r="H1167" i="3"/>
  <c r="J1167" i="3" s="1"/>
  <c r="H1168" i="3"/>
  <c r="J1168" i="3" s="1"/>
  <c r="H1169" i="3"/>
  <c r="J1169" i="3" s="1"/>
  <c r="H1170" i="3"/>
  <c r="J1170" i="3" s="1"/>
  <c r="H1171" i="3"/>
  <c r="J1171" i="3" s="1"/>
  <c r="H1160" i="3"/>
  <c r="J1160" i="3" s="1"/>
  <c r="G1161" i="3"/>
  <c r="G1162" i="3"/>
  <c r="G1163" i="3"/>
  <c r="G1164" i="3"/>
  <c r="G1165" i="3"/>
  <c r="G1166" i="3"/>
  <c r="G1167" i="3"/>
  <c r="G1168" i="3"/>
  <c r="G1169" i="3"/>
  <c r="G1170" i="3"/>
  <c r="G1171" i="3"/>
  <c r="G1160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41" i="3"/>
  <c r="I1124" i="3"/>
  <c r="I1125" i="3"/>
  <c r="I1126" i="3"/>
  <c r="I1127" i="3"/>
  <c r="I1128" i="3"/>
  <c r="I1129" i="3"/>
  <c r="I1130" i="3"/>
  <c r="I1131" i="3"/>
  <c r="I1132" i="3"/>
  <c r="I1133" i="3"/>
  <c r="I1123" i="3"/>
  <c r="H1124" i="3"/>
  <c r="H1125" i="3"/>
  <c r="H1126" i="3"/>
  <c r="H1127" i="3"/>
  <c r="H1128" i="3"/>
  <c r="H1129" i="3"/>
  <c r="H1130" i="3"/>
  <c r="H1131" i="3"/>
  <c r="H1132" i="3"/>
  <c r="H1133" i="3"/>
  <c r="H1123" i="3"/>
  <c r="G1124" i="3"/>
  <c r="G1125" i="3"/>
  <c r="G1126" i="3"/>
  <c r="G1127" i="3"/>
  <c r="G1128" i="3"/>
  <c r="G1129" i="3"/>
  <c r="G1130" i="3"/>
  <c r="G1131" i="3"/>
  <c r="G1132" i="3"/>
  <c r="G1133" i="3"/>
  <c r="G1123" i="3"/>
  <c r="I1115" i="3"/>
  <c r="I1116" i="3"/>
  <c r="I1117" i="3"/>
  <c r="I1118" i="3"/>
  <c r="I1119" i="3"/>
  <c r="I1120" i="3"/>
  <c r="I1121" i="3"/>
  <c r="I1114" i="3"/>
  <c r="H1115" i="3"/>
  <c r="J1115" i="3" s="1"/>
  <c r="H1116" i="3"/>
  <c r="J1116" i="3" s="1"/>
  <c r="H1117" i="3"/>
  <c r="H1118" i="3"/>
  <c r="J1118" i="3" s="1"/>
  <c r="H1119" i="3"/>
  <c r="J1119" i="3" s="1"/>
  <c r="H1120" i="3"/>
  <c r="J1120" i="3" s="1"/>
  <c r="H1121" i="3"/>
  <c r="J1121" i="3" s="1"/>
  <c r="H1114" i="3"/>
  <c r="J1114" i="3" s="1"/>
  <c r="G1115" i="3"/>
  <c r="G1116" i="3"/>
  <c r="G1117" i="3"/>
  <c r="G1118" i="3"/>
  <c r="G1119" i="3"/>
  <c r="G1120" i="3"/>
  <c r="G1121" i="3"/>
  <c r="G1114" i="3"/>
  <c r="I1109" i="3"/>
  <c r="I1110" i="3"/>
  <c r="I1111" i="3"/>
  <c r="I1112" i="3"/>
  <c r="I1108" i="3"/>
  <c r="H1109" i="3"/>
  <c r="H1110" i="3"/>
  <c r="H1111" i="3"/>
  <c r="H1112" i="3"/>
  <c r="H1108" i="3"/>
  <c r="G1109" i="3"/>
  <c r="G1110" i="3"/>
  <c r="G1111" i="3"/>
  <c r="G1112" i="3"/>
  <c r="G1108" i="3"/>
  <c r="I1096" i="3"/>
  <c r="I1097" i="3"/>
  <c r="I1098" i="3"/>
  <c r="I1099" i="3"/>
  <c r="I1100" i="3"/>
  <c r="I1101" i="3"/>
  <c r="I1102" i="3"/>
  <c r="I1103" i="3"/>
  <c r="I1104" i="3"/>
  <c r="I1105" i="3"/>
  <c r="I1106" i="3"/>
  <c r="I1095" i="3"/>
  <c r="H1096" i="3"/>
  <c r="J1096" i="3" s="1"/>
  <c r="H1097" i="3"/>
  <c r="J1097" i="3" s="1"/>
  <c r="H1098" i="3"/>
  <c r="J1098" i="3" s="1"/>
  <c r="H1099" i="3"/>
  <c r="J1099" i="3" s="1"/>
  <c r="H1100" i="3"/>
  <c r="J1100" i="3" s="1"/>
  <c r="H1101" i="3"/>
  <c r="J1101" i="3" s="1"/>
  <c r="H1102" i="3"/>
  <c r="J1102" i="3" s="1"/>
  <c r="H1103" i="3"/>
  <c r="H1104" i="3"/>
  <c r="J1104" i="3" s="1"/>
  <c r="H1105" i="3"/>
  <c r="J1105" i="3" s="1"/>
  <c r="H1106" i="3"/>
  <c r="J1106" i="3" s="1"/>
  <c r="H1095" i="3"/>
  <c r="J1095" i="3" s="1"/>
  <c r="G1096" i="3"/>
  <c r="G1097" i="3"/>
  <c r="G1098" i="3"/>
  <c r="G1099" i="3"/>
  <c r="G1100" i="3"/>
  <c r="G1101" i="3"/>
  <c r="G1102" i="3"/>
  <c r="G1103" i="3"/>
  <c r="G1104" i="3"/>
  <c r="G1105" i="3"/>
  <c r="G1106" i="3"/>
  <c r="G1095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76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61" i="3"/>
  <c r="H1057" i="3"/>
  <c r="J1057" i="3" s="1"/>
  <c r="H1058" i="3"/>
  <c r="J1058" i="3" s="1"/>
  <c r="H1059" i="3"/>
  <c r="J1059" i="3" s="1"/>
  <c r="H1056" i="3"/>
  <c r="J1056" i="3" s="1"/>
  <c r="I1060" i="3"/>
  <c r="C86" i="1" s="1"/>
  <c r="G1057" i="3"/>
  <c r="G1058" i="3"/>
  <c r="G1059" i="3"/>
  <c r="G1056" i="3"/>
  <c r="I1047" i="3"/>
  <c r="I1048" i="3"/>
  <c r="I1049" i="3"/>
  <c r="I1050" i="3"/>
  <c r="I1051" i="3"/>
  <c r="I1046" i="3"/>
  <c r="H1047" i="3"/>
  <c r="H1048" i="3"/>
  <c r="H1049" i="3"/>
  <c r="H1050" i="3"/>
  <c r="H1051" i="3"/>
  <c r="H1046" i="3"/>
  <c r="G1047" i="3"/>
  <c r="G1048" i="3"/>
  <c r="G1049" i="3"/>
  <c r="G1050" i="3"/>
  <c r="G1051" i="3"/>
  <c r="G1046" i="3"/>
  <c r="I1039" i="3"/>
  <c r="I1040" i="3"/>
  <c r="I1041" i="3"/>
  <c r="I1042" i="3"/>
  <c r="I1043" i="3"/>
  <c r="I1044" i="3"/>
  <c r="I1038" i="3"/>
  <c r="H1039" i="3"/>
  <c r="H1040" i="3"/>
  <c r="H1041" i="3"/>
  <c r="H1042" i="3"/>
  <c r="H1043" i="3"/>
  <c r="H1044" i="3"/>
  <c r="H1038" i="3"/>
  <c r="G1039" i="3"/>
  <c r="G1040" i="3"/>
  <c r="G1041" i="3"/>
  <c r="G1042" i="3"/>
  <c r="G1043" i="3"/>
  <c r="G1044" i="3"/>
  <c r="G1038" i="3"/>
  <c r="I1032" i="3"/>
  <c r="I1033" i="3"/>
  <c r="I1034" i="3"/>
  <c r="I1035" i="3"/>
  <c r="I1036" i="3"/>
  <c r="I1031" i="3"/>
  <c r="H1032" i="3"/>
  <c r="H1033" i="3"/>
  <c r="H1034" i="3"/>
  <c r="H1035" i="3"/>
  <c r="H1036" i="3"/>
  <c r="H1031" i="3"/>
  <c r="G1032" i="3"/>
  <c r="G1033" i="3"/>
  <c r="G1034" i="3"/>
  <c r="G1035" i="3"/>
  <c r="G1036" i="3"/>
  <c r="G1031" i="3"/>
  <c r="I1029" i="3"/>
  <c r="I1030" i="3" s="1"/>
  <c r="C81" i="1" s="1"/>
  <c r="H1029" i="3"/>
  <c r="H1030" i="3" s="1"/>
  <c r="B81" i="1" s="1"/>
  <c r="G1029" i="3"/>
  <c r="G1030" i="3" s="1"/>
  <c r="I1024" i="3"/>
  <c r="I1025" i="3"/>
  <c r="I1026" i="3"/>
  <c r="I1027" i="3"/>
  <c r="I1023" i="3"/>
  <c r="H1024" i="3"/>
  <c r="H1025" i="3"/>
  <c r="H1026" i="3"/>
  <c r="H1027" i="3"/>
  <c r="H1023" i="3"/>
  <c r="G1024" i="3"/>
  <c r="G1025" i="3"/>
  <c r="G1026" i="3"/>
  <c r="G1027" i="3"/>
  <c r="G1023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987" i="3"/>
  <c r="I985" i="3"/>
  <c r="I984" i="3"/>
  <c r="H985" i="3"/>
  <c r="H984" i="3"/>
  <c r="G985" i="3"/>
  <c r="G984" i="3"/>
  <c r="I974" i="3"/>
  <c r="I975" i="3"/>
  <c r="I976" i="3"/>
  <c r="I977" i="3"/>
  <c r="I978" i="3"/>
  <c r="I979" i="3"/>
  <c r="I980" i="3"/>
  <c r="I981" i="3"/>
  <c r="I982" i="3"/>
  <c r="I973" i="3"/>
  <c r="H974" i="3"/>
  <c r="H975" i="3"/>
  <c r="H976" i="3"/>
  <c r="H977" i="3"/>
  <c r="H978" i="3"/>
  <c r="H979" i="3"/>
  <c r="H980" i="3"/>
  <c r="H981" i="3"/>
  <c r="H982" i="3"/>
  <c r="H973" i="3"/>
  <c r="J973" i="3" s="1"/>
  <c r="G974" i="3"/>
  <c r="G975" i="3"/>
  <c r="G976" i="3"/>
  <c r="G977" i="3"/>
  <c r="G978" i="3"/>
  <c r="G979" i="3"/>
  <c r="G980" i="3"/>
  <c r="G981" i="3"/>
  <c r="G982" i="3"/>
  <c r="G973" i="3"/>
  <c r="I971" i="3"/>
  <c r="I970" i="3"/>
  <c r="H971" i="3"/>
  <c r="H970" i="3"/>
  <c r="G971" i="3"/>
  <c r="G970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51" i="3"/>
  <c r="J951" i="3" s="1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51" i="3"/>
  <c r="I945" i="3"/>
  <c r="I946" i="3"/>
  <c r="I947" i="3"/>
  <c r="I948" i="3"/>
  <c r="I949" i="3"/>
  <c r="I944" i="3"/>
  <c r="H945" i="3"/>
  <c r="H946" i="3"/>
  <c r="H947" i="3"/>
  <c r="H948" i="3"/>
  <c r="H949" i="3"/>
  <c r="H944" i="3"/>
  <c r="G945" i="3"/>
  <c r="G946" i="3"/>
  <c r="G947" i="3"/>
  <c r="G948" i="3"/>
  <c r="G949" i="3"/>
  <c r="G944" i="3"/>
  <c r="H938" i="3"/>
  <c r="J938" i="3" s="1"/>
  <c r="H939" i="3"/>
  <c r="J939" i="3" s="1"/>
  <c r="H940" i="3"/>
  <c r="J940" i="3" s="1"/>
  <c r="H941" i="3"/>
  <c r="H942" i="3"/>
  <c r="J942" i="3" s="1"/>
  <c r="H937" i="3"/>
  <c r="J937" i="3" s="1"/>
  <c r="I943" i="3"/>
  <c r="C73" i="1" s="1"/>
  <c r="G938" i="3"/>
  <c r="G939" i="3"/>
  <c r="G940" i="3"/>
  <c r="G941" i="3"/>
  <c r="G942" i="3"/>
  <c r="G937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1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899" i="3"/>
  <c r="H900" i="3"/>
  <c r="J900" i="3" s="1"/>
  <c r="H901" i="3"/>
  <c r="H902" i="3"/>
  <c r="J902" i="3" s="1"/>
  <c r="H903" i="3"/>
  <c r="J903" i="3" s="1"/>
  <c r="H904" i="3"/>
  <c r="J904" i="3" s="1"/>
  <c r="H905" i="3"/>
  <c r="H906" i="3"/>
  <c r="J906" i="3" s="1"/>
  <c r="H907" i="3"/>
  <c r="H908" i="3"/>
  <c r="J908" i="3" s="1"/>
  <c r="H909" i="3"/>
  <c r="J909" i="3" s="1"/>
  <c r="H910" i="3"/>
  <c r="J910" i="3" s="1"/>
  <c r="H911" i="3"/>
  <c r="J911" i="3" s="1"/>
  <c r="H912" i="3"/>
  <c r="J912" i="3" s="1"/>
  <c r="H913" i="3"/>
  <c r="J913" i="3" s="1"/>
  <c r="H914" i="3"/>
  <c r="H899" i="3"/>
  <c r="J899" i="3" s="1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899" i="3"/>
  <c r="I896" i="3"/>
  <c r="I897" i="3"/>
  <c r="I895" i="3"/>
  <c r="H896" i="3"/>
  <c r="H897" i="3"/>
  <c r="H895" i="3"/>
  <c r="G895" i="3"/>
  <c r="G896" i="3"/>
  <c r="G897" i="3"/>
  <c r="I889" i="3"/>
  <c r="I890" i="3"/>
  <c r="I891" i="3"/>
  <c r="I892" i="3"/>
  <c r="I893" i="3"/>
  <c r="I888" i="3"/>
  <c r="H889" i="3"/>
  <c r="H890" i="3"/>
  <c r="H891" i="3"/>
  <c r="H892" i="3"/>
  <c r="H893" i="3"/>
  <c r="H888" i="3"/>
  <c r="G889" i="3"/>
  <c r="G890" i="3"/>
  <c r="G891" i="3"/>
  <c r="G892" i="3"/>
  <c r="G893" i="3"/>
  <c r="G888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66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42" i="3"/>
  <c r="H843" i="3"/>
  <c r="H844" i="3"/>
  <c r="H845" i="3"/>
  <c r="J845" i="3" s="1"/>
  <c r="H846" i="3"/>
  <c r="J846" i="3" s="1"/>
  <c r="H847" i="3"/>
  <c r="J847" i="3" s="1"/>
  <c r="H848" i="3"/>
  <c r="J848" i="3" s="1"/>
  <c r="H849" i="3"/>
  <c r="J849" i="3" s="1"/>
  <c r="H850" i="3"/>
  <c r="H851" i="3"/>
  <c r="H852" i="3"/>
  <c r="J852" i="3" s="1"/>
  <c r="H853" i="3"/>
  <c r="J853" i="3" s="1"/>
  <c r="H854" i="3"/>
  <c r="J854" i="3" s="1"/>
  <c r="H855" i="3"/>
  <c r="J855" i="3" s="1"/>
  <c r="H856" i="3"/>
  <c r="J856" i="3" s="1"/>
  <c r="H857" i="3"/>
  <c r="J857" i="3" s="1"/>
  <c r="H858" i="3"/>
  <c r="J858" i="3" s="1"/>
  <c r="H859" i="3"/>
  <c r="H860" i="3"/>
  <c r="J860" i="3" s="1"/>
  <c r="H861" i="3"/>
  <c r="J861" i="3" s="1"/>
  <c r="H842" i="3"/>
  <c r="J842" i="3" s="1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42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28" i="3"/>
  <c r="J828" i="3" s="1"/>
  <c r="G829" i="3"/>
  <c r="G830" i="3"/>
  <c r="G831" i="3"/>
  <c r="G832" i="3"/>
  <c r="G833" i="3"/>
  <c r="G834" i="3"/>
  <c r="G835" i="3"/>
  <c r="G836" i="3"/>
  <c r="G837" i="3"/>
  <c r="G838" i="3"/>
  <c r="G839" i="3"/>
  <c r="G840" i="3"/>
  <c r="G828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06" i="3"/>
  <c r="I799" i="3"/>
  <c r="I800" i="3"/>
  <c r="I801" i="3"/>
  <c r="I802" i="3"/>
  <c r="I803" i="3"/>
  <c r="I804" i="3"/>
  <c r="I798" i="3"/>
  <c r="H799" i="3"/>
  <c r="H800" i="3"/>
  <c r="H801" i="3"/>
  <c r="H802" i="3"/>
  <c r="H803" i="3"/>
  <c r="H804" i="3"/>
  <c r="H798" i="3"/>
  <c r="J798" i="3" s="1"/>
  <c r="G799" i="3"/>
  <c r="G800" i="3"/>
  <c r="G801" i="3"/>
  <c r="G802" i="3"/>
  <c r="G803" i="3"/>
  <c r="G804" i="3"/>
  <c r="G798" i="3"/>
  <c r="I793" i="3"/>
  <c r="I794" i="3"/>
  <c r="I795" i="3"/>
  <c r="I796" i="3"/>
  <c r="I792" i="3"/>
  <c r="H793" i="3"/>
  <c r="H794" i="3"/>
  <c r="H795" i="3"/>
  <c r="H796" i="3"/>
  <c r="H792" i="3"/>
  <c r="G793" i="3"/>
  <c r="G794" i="3"/>
  <c r="G795" i="3"/>
  <c r="G796" i="3"/>
  <c r="G792" i="3"/>
  <c r="H786" i="3"/>
  <c r="J786" i="3" s="1"/>
  <c r="H787" i="3"/>
  <c r="J787" i="3" s="1"/>
  <c r="H785" i="3"/>
  <c r="J785" i="3" s="1"/>
  <c r="I788" i="3"/>
  <c r="C58" i="1" s="1"/>
  <c r="G786" i="3"/>
  <c r="G787" i="3"/>
  <c r="G785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60" i="3"/>
  <c r="H761" i="3"/>
  <c r="J761" i="3" s="1"/>
  <c r="H762" i="3"/>
  <c r="H763" i="3"/>
  <c r="H764" i="3"/>
  <c r="J764" i="3" s="1"/>
  <c r="H765" i="3"/>
  <c r="J765" i="3" s="1"/>
  <c r="H766" i="3"/>
  <c r="J766" i="3" s="1"/>
  <c r="H767" i="3"/>
  <c r="J767" i="3" s="1"/>
  <c r="H768" i="3"/>
  <c r="H769" i="3"/>
  <c r="J769" i="3" s="1"/>
  <c r="H770" i="3"/>
  <c r="H771" i="3"/>
  <c r="J771" i="3" s="1"/>
  <c r="H772" i="3"/>
  <c r="J772" i="3" s="1"/>
  <c r="H773" i="3"/>
  <c r="J773" i="3" s="1"/>
  <c r="H774" i="3"/>
  <c r="J774" i="3" s="1"/>
  <c r="H775" i="3"/>
  <c r="J775" i="3" s="1"/>
  <c r="H776" i="3"/>
  <c r="J776" i="3" s="1"/>
  <c r="H777" i="3"/>
  <c r="J777" i="3" s="1"/>
  <c r="H778" i="3"/>
  <c r="J778" i="3" s="1"/>
  <c r="H779" i="3"/>
  <c r="J779" i="3" s="1"/>
  <c r="H780" i="3"/>
  <c r="H781" i="3"/>
  <c r="H782" i="3"/>
  <c r="J782" i="3" s="1"/>
  <c r="H783" i="3"/>
  <c r="J783" i="3" s="1"/>
  <c r="H760" i="3"/>
  <c r="J760" i="3" s="1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60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45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22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699" i="3"/>
  <c r="I695" i="3"/>
  <c r="I696" i="3"/>
  <c r="I697" i="3"/>
  <c r="I694" i="3"/>
  <c r="H695" i="3"/>
  <c r="J695" i="3" s="1"/>
  <c r="H696" i="3"/>
  <c r="J696" i="3" s="1"/>
  <c r="H697" i="3"/>
  <c r="J697" i="3" s="1"/>
  <c r="H694" i="3"/>
  <c r="J694" i="3" s="1"/>
  <c r="G695" i="3"/>
  <c r="G696" i="3"/>
  <c r="G697" i="3"/>
  <c r="G694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55" i="3"/>
  <c r="J1038" i="3" l="1"/>
  <c r="J1257" i="3"/>
  <c r="J1031" i="3"/>
  <c r="J1076" i="3"/>
  <c r="J1266" i="3"/>
  <c r="J1312" i="3"/>
  <c r="I1267" i="3"/>
  <c r="C108" i="1" s="1"/>
  <c r="H1529" i="3"/>
  <c r="B134" i="1" s="1"/>
  <c r="J792" i="3"/>
  <c r="J806" i="3"/>
  <c r="H986" i="3"/>
  <c r="B78" i="1" s="1"/>
  <c r="J1173" i="3"/>
  <c r="J1549" i="3"/>
  <c r="J1123" i="3"/>
  <c r="H1269" i="3"/>
  <c r="B109" i="1" s="1"/>
  <c r="J2212" i="3"/>
  <c r="J1365" i="3"/>
  <c r="J1400" i="3"/>
  <c r="J1457" i="3"/>
  <c r="J780" i="3"/>
  <c r="J851" i="3"/>
  <c r="G972" i="3"/>
  <c r="J1419" i="3"/>
  <c r="J699" i="3"/>
  <c r="J722" i="3"/>
  <c r="J745" i="3"/>
  <c r="J895" i="3"/>
  <c r="J944" i="3"/>
  <c r="J1061" i="3"/>
  <c r="J1223" i="3"/>
  <c r="J1253" i="3"/>
  <c r="J1454" i="3"/>
  <c r="G1529" i="3"/>
  <c r="J987" i="3"/>
  <c r="J1308" i="3"/>
  <c r="J1433" i="3"/>
  <c r="J888" i="3"/>
  <c r="J1046" i="3"/>
  <c r="G1246" i="3"/>
  <c r="J1324" i="3"/>
  <c r="J1378" i="3"/>
  <c r="J1384" i="3"/>
  <c r="J1521" i="3"/>
  <c r="J1029" i="3"/>
  <c r="J1030" i="3" s="1"/>
  <c r="J1141" i="3"/>
  <c r="G1267" i="3"/>
  <c r="J1276" i="3"/>
  <c r="J655" i="3"/>
  <c r="J866" i="3"/>
  <c r="J971" i="3"/>
  <c r="J985" i="3"/>
  <c r="J1462" i="3"/>
  <c r="J919" i="3"/>
  <c r="I972" i="3"/>
  <c r="C76" i="1" s="1"/>
  <c r="G986" i="3"/>
  <c r="I986" i="3"/>
  <c r="C78" i="1" s="1"/>
  <c r="D78" i="1" s="1"/>
  <c r="J1023" i="3"/>
  <c r="J1108" i="3"/>
  <c r="H1243" i="3"/>
  <c r="B103" i="1" s="1"/>
  <c r="D103" i="1" s="1"/>
  <c r="J1247" i="3"/>
  <c r="J984" i="3"/>
  <c r="H1246" i="3"/>
  <c r="B104" i="1" s="1"/>
  <c r="J1527" i="3"/>
  <c r="J1529" i="3" s="1"/>
  <c r="H972" i="3"/>
  <c r="B76" i="1" s="1"/>
  <c r="D76" i="1" s="1"/>
  <c r="J970" i="3"/>
  <c r="H1267" i="3"/>
  <c r="B108" i="1" s="1"/>
  <c r="J1265" i="3"/>
  <c r="J1267" i="3" s="1"/>
  <c r="J1165" i="3"/>
  <c r="J1172" i="3" s="1"/>
  <c r="J1203" i="3"/>
  <c r="J1860" i="3"/>
  <c r="J905" i="3"/>
  <c r="J2292" i="3"/>
  <c r="J2243" i="3"/>
  <c r="J901" i="3"/>
  <c r="J2206" i="3"/>
  <c r="J1103" i="3"/>
  <c r="J1107" i="3" s="1"/>
  <c r="J1544" i="3"/>
  <c r="J2158" i="3"/>
  <c r="J2194" i="3"/>
  <c r="J1451" i="3"/>
  <c r="J1453" i="3" s="1"/>
  <c r="J2143" i="3"/>
  <c r="J2116" i="3"/>
  <c r="J2131" i="3"/>
  <c r="J907" i="3"/>
  <c r="J2038" i="3"/>
  <c r="J2107" i="3"/>
  <c r="J781" i="3"/>
  <c r="J2087" i="3"/>
  <c r="J2075" i="3"/>
  <c r="J2058" i="3"/>
  <c r="J2053" i="3"/>
  <c r="J2026" i="3"/>
  <c r="J1655" i="3"/>
  <c r="J914" i="3"/>
  <c r="J1999" i="3"/>
  <c r="J1941" i="3"/>
  <c r="J1989" i="3"/>
  <c r="J1917" i="3"/>
  <c r="J1970" i="3"/>
  <c r="J1931" i="3"/>
  <c r="J1907" i="3"/>
  <c r="J1889" i="3"/>
  <c r="J1883" i="3"/>
  <c r="J1877" i="3"/>
  <c r="J1494" i="3"/>
  <c r="J1870" i="3"/>
  <c r="J1853" i="3"/>
  <c r="J1828" i="3"/>
  <c r="J1821" i="3"/>
  <c r="J1839" i="3"/>
  <c r="J1797" i="3"/>
  <c r="J1495" i="3"/>
  <c r="J1763" i="3"/>
  <c r="J1212" i="3"/>
  <c r="J1779" i="3"/>
  <c r="J1790" i="3"/>
  <c r="J1720" i="3"/>
  <c r="J1672" i="3"/>
  <c r="J1697" i="3"/>
  <c r="J850" i="3"/>
  <c r="J1686" i="3"/>
  <c r="J1219" i="3"/>
  <c r="J1218" i="3"/>
  <c r="J1616" i="3"/>
  <c r="J843" i="3"/>
  <c r="J1623" i="3"/>
  <c r="J1646" i="3"/>
  <c r="J768" i="3"/>
  <c r="J1606" i="3"/>
  <c r="J1587" i="3"/>
  <c r="J1581" i="3"/>
  <c r="J1574" i="3"/>
  <c r="J1531" i="3"/>
  <c r="J1424" i="3"/>
  <c r="J1523" i="3"/>
  <c r="J1534" i="3"/>
  <c r="J1310" i="3"/>
  <c r="I1311" i="3"/>
  <c r="C114" i="1" s="1"/>
  <c r="J1319" i="3"/>
  <c r="G1526" i="3"/>
  <c r="J1525" i="3"/>
  <c r="J844" i="3"/>
  <c r="J1522" i="3"/>
  <c r="G1546" i="3"/>
  <c r="I1546" i="3"/>
  <c r="C135" i="1" s="1"/>
  <c r="J1309" i="3"/>
  <c r="J1322" i="3"/>
  <c r="J1318" i="3"/>
  <c r="J1321" i="3"/>
  <c r="J1317" i="3"/>
  <c r="J1320" i="3"/>
  <c r="H1546" i="3"/>
  <c r="B135" i="1" s="1"/>
  <c r="J1524" i="3"/>
  <c r="G1520" i="3"/>
  <c r="J1479" i="3"/>
  <c r="J1475" i="3"/>
  <c r="J1471" i="3"/>
  <c r="J1467" i="3"/>
  <c r="G1480" i="3"/>
  <c r="H1526" i="3"/>
  <c r="B133" i="1" s="1"/>
  <c r="I1526" i="3"/>
  <c r="C133" i="1" s="1"/>
  <c r="I1520" i="3"/>
  <c r="C132" i="1" s="1"/>
  <c r="J1405" i="3"/>
  <c r="J1476" i="3"/>
  <c r="J1472" i="3"/>
  <c r="J1468" i="3"/>
  <c r="J1464" i="3"/>
  <c r="H1520" i="3"/>
  <c r="B132" i="1" s="1"/>
  <c r="D132" i="1" s="1"/>
  <c r="J1486" i="3"/>
  <c r="I1480" i="3"/>
  <c r="C130" i="1" s="1"/>
  <c r="J1478" i="3"/>
  <c r="J1474" i="3"/>
  <c r="J1470" i="3"/>
  <c r="J1466" i="3"/>
  <c r="J1477" i="3"/>
  <c r="J1473" i="3"/>
  <c r="J1469" i="3"/>
  <c r="J1465" i="3"/>
  <c r="J1463" i="3"/>
  <c r="J1436" i="3"/>
  <c r="H1480" i="3"/>
  <c r="B130" i="1" s="1"/>
  <c r="G1461" i="3"/>
  <c r="J1437" i="3"/>
  <c r="J1429" i="3"/>
  <c r="J1425" i="3"/>
  <c r="J1421" i="3"/>
  <c r="J1460" i="3"/>
  <c r="J1411" i="3"/>
  <c r="J1430" i="3"/>
  <c r="J1426" i="3"/>
  <c r="J1422" i="3"/>
  <c r="G1453" i="3"/>
  <c r="H1461" i="3"/>
  <c r="B129" i="1" s="1"/>
  <c r="I1461" i="3"/>
  <c r="C129" i="1" s="1"/>
  <c r="J1438" i="3"/>
  <c r="J1434" i="3"/>
  <c r="J1439" i="3"/>
  <c r="J1435" i="3"/>
  <c r="I1440" i="3"/>
  <c r="C127" i="1" s="1"/>
  <c r="H1453" i="3"/>
  <c r="B128" i="1" s="1"/>
  <c r="D128" i="1" s="1"/>
  <c r="J1431" i="3"/>
  <c r="J1427" i="3"/>
  <c r="J1423" i="3"/>
  <c r="J1428" i="3"/>
  <c r="G1440" i="3"/>
  <c r="I1453" i="3"/>
  <c r="C128" i="1" s="1"/>
  <c r="I1432" i="3"/>
  <c r="C126" i="1" s="1"/>
  <c r="J1416" i="3"/>
  <c r="J1412" i="3"/>
  <c r="J1408" i="3"/>
  <c r="G1432" i="3"/>
  <c r="J1415" i="3"/>
  <c r="H1440" i="3"/>
  <c r="B127" i="1" s="1"/>
  <c r="H1432" i="3"/>
  <c r="B126" i="1" s="1"/>
  <c r="J1420" i="3"/>
  <c r="J1397" i="3"/>
  <c r="J1393" i="3"/>
  <c r="J1389" i="3"/>
  <c r="J1385" i="3"/>
  <c r="J1414" i="3"/>
  <c r="J1410" i="3"/>
  <c r="J859" i="3"/>
  <c r="G1418" i="3"/>
  <c r="J1417" i="3"/>
  <c r="J1413" i="3"/>
  <c r="J1409" i="3"/>
  <c r="J1398" i="3"/>
  <c r="J1394" i="3"/>
  <c r="J1390" i="3"/>
  <c r="J1386" i="3"/>
  <c r="G1406" i="3"/>
  <c r="I1418" i="3"/>
  <c r="C125" i="1" s="1"/>
  <c r="J1404" i="3"/>
  <c r="J1379" i="3"/>
  <c r="J1401" i="3"/>
  <c r="H1418" i="3"/>
  <c r="B125" i="1" s="1"/>
  <c r="J1396" i="3"/>
  <c r="J1392" i="3"/>
  <c r="J1388" i="3"/>
  <c r="J1403" i="3"/>
  <c r="I1406" i="3"/>
  <c r="C124" i="1" s="1"/>
  <c r="J1402" i="3"/>
  <c r="J1357" i="3"/>
  <c r="J1353" i="3"/>
  <c r="J1349" i="3"/>
  <c r="J1345" i="3"/>
  <c r="J1341" i="3"/>
  <c r="J1337" i="3"/>
  <c r="J1333" i="3"/>
  <c r="J1329" i="3"/>
  <c r="J1325" i="3"/>
  <c r="J1371" i="3"/>
  <c r="J1367" i="3"/>
  <c r="J1380" i="3"/>
  <c r="G1399" i="3"/>
  <c r="J1395" i="3"/>
  <c r="J1391" i="3"/>
  <c r="J1387" i="3"/>
  <c r="H1406" i="3"/>
  <c r="B124" i="1" s="1"/>
  <c r="G1383" i="3"/>
  <c r="J1354" i="3"/>
  <c r="J1350" i="3"/>
  <c r="J1346" i="3"/>
  <c r="J1342" i="3"/>
  <c r="J1338" i="3"/>
  <c r="J1334" i="3"/>
  <c r="J1330" i="3"/>
  <c r="J1326" i="3"/>
  <c r="J1372" i="3"/>
  <c r="J1368" i="3"/>
  <c r="J1381" i="3"/>
  <c r="I1383" i="3"/>
  <c r="C122" i="1" s="1"/>
  <c r="D122" i="1" s="1"/>
  <c r="I1399" i="3"/>
  <c r="C123" i="1" s="1"/>
  <c r="H1399" i="3"/>
  <c r="B123" i="1" s="1"/>
  <c r="G1374" i="3"/>
  <c r="J1382" i="3"/>
  <c r="J1370" i="3"/>
  <c r="J1366" i="3"/>
  <c r="J1355" i="3"/>
  <c r="J1351" i="3"/>
  <c r="J1347" i="3"/>
  <c r="J1343" i="3"/>
  <c r="J1339" i="3"/>
  <c r="J1335" i="3"/>
  <c r="J1331" i="3"/>
  <c r="J1327" i="3"/>
  <c r="J1373" i="3"/>
  <c r="J1369" i="3"/>
  <c r="H1383" i="3"/>
  <c r="B122" i="1" s="1"/>
  <c r="G1358" i="3"/>
  <c r="G1323" i="3"/>
  <c r="J1356" i="3"/>
  <c r="J1352" i="3"/>
  <c r="J1348" i="3"/>
  <c r="J1344" i="3"/>
  <c r="J1340" i="3"/>
  <c r="J1336" i="3"/>
  <c r="J1332" i="3"/>
  <c r="I1374" i="3"/>
  <c r="C120" i="1" s="1"/>
  <c r="H1374" i="3"/>
  <c r="B120" i="1" s="1"/>
  <c r="D120" i="1" s="1"/>
  <c r="J1302" i="3"/>
  <c r="J1298" i="3"/>
  <c r="J1294" i="3"/>
  <c r="J1290" i="3"/>
  <c r="J1286" i="3"/>
  <c r="J1282" i="3"/>
  <c r="J1278" i="3"/>
  <c r="J1313" i="3"/>
  <c r="J1301" i="3"/>
  <c r="J1297" i="3"/>
  <c r="J1293" i="3"/>
  <c r="J1289" i="3"/>
  <c r="J1285" i="3"/>
  <c r="J1281" i="3"/>
  <c r="J1277" i="3"/>
  <c r="G1315" i="3"/>
  <c r="H1315" i="3"/>
  <c r="B115" i="1" s="1"/>
  <c r="H1358" i="3"/>
  <c r="B117" i="1" s="1"/>
  <c r="I1358" i="3"/>
  <c r="C117" i="1" s="1"/>
  <c r="J1328" i="3"/>
  <c r="J1314" i="3"/>
  <c r="I1315" i="3"/>
  <c r="C115" i="1" s="1"/>
  <c r="H1323" i="3"/>
  <c r="B116" i="1" s="1"/>
  <c r="J1296" i="3"/>
  <c r="J1288" i="3"/>
  <c r="J1280" i="3"/>
  <c r="H1307" i="3"/>
  <c r="B113" i="1" s="1"/>
  <c r="I1323" i="3"/>
  <c r="C116" i="1" s="1"/>
  <c r="D116" i="1" s="1"/>
  <c r="J1305" i="3"/>
  <c r="G1311" i="3"/>
  <c r="J1300" i="3"/>
  <c r="J1292" i="3"/>
  <c r="J1284" i="3"/>
  <c r="J1306" i="3"/>
  <c r="I1307" i="3"/>
  <c r="C113" i="1" s="1"/>
  <c r="H1311" i="3"/>
  <c r="B114" i="1" s="1"/>
  <c r="D114" i="1" s="1"/>
  <c r="G1307" i="3"/>
  <c r="G1303" i="3"/>
  <c r="J1299" i="3"/>
  <c r="J1295" i="3"/>
  <c r="J1291" i="3"/>
  <c r="J1287" i="3"/>
  <c r="J1283" i="3"/>
  <c r="J1279" i="3"/>
  <c r="J1182" i="3"/>
  <c r="J1178" i="3"/>
  <c r="J1174" i="3"/>
  <c r="J1196" i="3"/>
  <c r="J1192" i="3"/>
  <c r="J1188" i="3"/>
  <c r="J1254" i="3"/>
  <c r="J1259" i="3"/>
  <c r="I1303" i="3"/>
  <c r="C112" i="1" s="1"/>
  <c r="H1303" i="3"/>
  <c r="B112" i="1" s="1"/>
  <c r="G1256" i="3"/>
  <c r="G1264" i="3"/>
  <c r="J1260" i="3"/>
  <c r="J1263" i="3"/>
  <c r="J1262" i="3"/>
  <c r="J1258" i="3"/>
  <c r="J1231" i="3"/>
  <c r="J1255" i="3"/>
  <c r="H1252" i="3"/>
  <c r="B105" i="1" s="1"/>
  <c r="J1248" i="3"/>
  <c r="J1261" i="3"/>
  <c r="J1249" i="3"/>
  <c r="I1264" i="3"/>
  <c r="C107" i="1" s="1"/>
  <c r="H1264" i="3"/>
  <c r="B107" i="1" s="1"/>
  <c r="D107" i="1" s="1"/>
  <c r="J1243" i="3"/>
  <c r="G1252" i="3"/>
  <c r="J1246" i="3"/>
  <c r="J1251" i="3"/>
  <c r="H1256" i="3"/>
  <c r="B106" i="1" s="1"/>
  <c r="I1256" i="3"/>
  <c r="C106" i="1" s="1"/>
  <c r="J1236" i="3"/>
  <c r="J1232" i="3"/>
  <c r="J1228" i="3"/>
  <c r="J1224" i="3"/>
  <c r="J1250" i="3"/>
  <c r="J1199" i="3"/>
  <c r="J1195" i="3"/>
  <c r="J1191" i="3"/>
  <c r="I1252" i="3"/>
  <c r="C105" i="1" s="1"/>
  <c r="J1235" i="3"/>
  <c r="J1227" i="3"/>
  <c r="J1208" i="3"/>
  <c r="G1237" i="3"/>
  <c r="J1234" i="3"/>
  <c r="J1230" i="3"/>
  <c r="J1226" i="3"/>
  <c r="J1233" i="3"/>
  <c r="J1229" i="3"/>
  <c r="J1225" i="3"/>
  <c r="I1237" i="3"/>
  <c r="C101" i="1" s="1"/>
  <c r="G1222" i="3"/>
  <c r="H1237" i="3"/>
  <c r="B101" i="1" s="1"/>
  <c r="D101" i="1" s="1"/>
  <c r="H1222" i="3"/>
  <c r="B100" i="1" s="1"/>
  <c r="I1222" i="3"/>
  <c r="C100" i="1" s="1"/>
  <c r="J1216" i="3"/>
  <c r="G1213" i="3"/>
  <c r="J1183" i="3"/>
  <c r="J1179" i="3"/>
  <c r="J1175" i="3"/>
  <c r="G1200" i="3"/>
  <c r="J1197" i="3"/>
  <c r="J1193" i="3"/>
  <c r="J1189" i="3"/>
  <c r="H1213" i="3"/>
  <c r="B99" i="1" s="1"/>
  <c r="D99" i="1" s="1"/>
  <c r="I1213" i="3"/>
  <c r="C99" i="1" s="1"/>
  <c r="J1109" i="3"/>
  <c r="J1128" i="3"/>
  <c r="J1158" i="3"/>
  <c r="J1154" i="3"/>
  <c r="J1150" i="3"/>
  <c r="J1146" i="3"/>
  <c r="J1142" i="3"/>
  <c r="J1184" i="3"/>
  <c r="J1180" i="3"/>
  <c r="J1176" i="3"/>
  <c r="J1198" i="3"/>
  <c r="J1194" i="3"/>
  <c r="J1190" i="3"/>
  <c r="J1185" i="3"/>
  <c r="J1181" i="3"/>
  <c r="J1177" i="3"/>
  <c r="G1186" i="3"/>
  <c r="H1200" i="3"/>
  <c r="B98" i="1" s="1"/>
  <c r="I1200" i="3"/>
  <c r="C98" i="1" s="1"/>
  <c r="D98" i="1" s="1"/>
  <c r="I1186" i="3"/>
  <c r="C97" i="1" s="1"/>
  <c r="H1186" i="3"/>
  <c r="B97" i="1" s="1"/>
  <c r="J1155" i="3"/>
  <c r="J1151" i="3"/>
  <c r="J1147" i="3"/>
  <c r="J1143" i="3"/>
  <c r="G1172" i="3"/>
  <c r="J1157" i="3"/>
  <c r="J1153" i="3"/>
  <c r="J1149" i="3"/>
  <c r="J1145" i="3"/>
  <c r="J1110" i="3"/>
  <c r="G1159" i="3"/>
  <c r="J1156" i="3"/>
  <c r="J1152" i="3"/>
  <c r="J1148" i="3"/>
  <c r="J1144" i="3"/>
  <c r="I1172" i="3"/>
  <c r="C96" i="1" s="1"/>
  <c r="H1172" i="3"/>
  <c r="B96" i="1" s="1"/>
  <c r="D96" i="1" s="1"/>
  <c r="I1159" i="3"/>
  <c r="C95" i="1" s="1"/>
  <c r="G1134" i="3"/>
  <c r="J1132" i="3"/>
  <c r="J1124" i="3"/>
  <c r="H1159" i="3"/>
  <c r="B95" i="1" s="1"/>
  <c r="D95" i="1" s="1"/>
  <c r="I1134" i="3"/>
  <c r="C92" i="1" s="1"/>
  <c r="G1122" i="3"/>
  <c r="J1130" i="3"/>
  <c r="J1126" i="3"/>
  <c r="J1131" i="3"/>
  <c r="J1127" i="3"/>
  <c r="J1133" i="3"/>
  <c r="J1129" i="3"/>
  <c r="J1125" i="3"/>
  <c r="H1134" i="3"/>
  <c r="B92" i="1" s="1"/>
  <c r="J1086" i="3"/>
  <c r="J1078" i="3"/>
  <c r="J1081" i="3"/>
  <c r="J1077" i="3"/>
  <c r="H1122" i="3"/>
  <c r="B91" i="1" s="1"/>
  <c r="J1117" i="3"/>
  <c r="J1122" i="3" s="1"/>
  <c r="J1090" i="3"/>
  <c r="J1082" i="3"/>
  <c r="G1113" i="3"/>
  <c r="I1122" i="3"/>
  <c r="C91" i="1" s="1"/>
  <c r="J1091" i="3"/>
  <c r="J1087" i="3"/>
  <c r="J1083" i="3"/>
  <c r="J1079" i="3"/>
  <c r="J1111" i="3"/>
  <c r="J1072" i="3"/>
  <c r="J1068" i="3"/>
  <c r="J1064" i="3"/>
  <c r="G1107" i="3"/>
  <c r="J1093" i="3"/>
  <c r="J1089" i="3"/>
  <c r="J1085" i="3"/>
  <c r="I1113" i="3"/>
  <c r="C90" i="1" s="1"/>
  <c r="J1112" i="3"/>
  <c r="H1113" i="3"/>
  <c r="B90" i="1" s="1"/>
  <c r="J1043" i="3"/>
  <c r="J1039" i="3"/>
  <c r="J1049" i="3"/>
  <c r="G1060" i="3"/>
  <c r="J1073" i="3"/>
  <c r="J1069" i="3"/>
  <c r="J1065" i="3"/>
  <c r="G1094" i="3"/>
  <c r="I1107" i="3"/>
  <c r="C89" i="1" s="1"/>
  <c r="D89" i="1" s="1"/>
  <c r="H1107" i="3"/>
  <c r="B89" i="1" s="1"/>
  <c r="J1092" i="3"/>
  <c r="J1088" i="3"/>
  <c r="J1084" i="3"/>
  <c r="J1080" i="3"/>
  <c r="J1071" i="3"/>
  <c r="J1067" i="3"/>
  <c r="J1063" i="3"/>
  <c r="J1050" i="3"/>
  <c r="G1075" i="3"/>
  <c r="J1074" i="3"/>
  <c r="J1070" i="3"/>
  <c r="J1066" i="3"/>
  <c r="J1062" i="3"/>
  <c r="I1094" i="3"/>
  <c r="C88" i="1" s="1"/>
  <c r="H1094" i="3"/>
  <c r="B88" i="1" s="1"/>
  <c r="D88" i="1" s="1"/>
  <c r="J1027" i="3"/>
  <c r="J1051" i="3"/>
  <c r="J1047" i="3"/>
  <c r="I1052" i="3"/>
  <c r="C84" i="1" s="1"/>
  <c r="I1075" i="3"/>
  <c r="C87" i="1" s="1"/>
  <c r="H1075" i="3"/>
  <c r="B87" i="1" s="1"/>
  <c r="G1052" i="3"/>
  <c r="J1048" i="3"/>
  <c r="H1060" i="3"/>
  <c r="B86" i="1" s="1"/>
  <c r="D86" i="1" s="1"/>
  <c r="J1060" i="3"/>
  <c r="J1033" i="3"/>
  <c r="G1045" i="3"/>
  <c r="J1024" i="3"/>
  <c r="J1036" i="3"/>
  <c r="J1032" i="3"/>
  <c r="H1052" i="3"/>
  <c r="B84" i="1" s="1"/>
  <c r="D84" i="1" s="1"/>
  <c r="J1025" i="3"/>
  <c r="J1026" i="3"/>
  <c r="J1035" i="3"/>
  <c r="G1037" i="3"/>
  <c r="J1034" i="3"/>
  <c r="I1045" i="3"/>
  <c r="C83" i="1" s="1"/>
  <c r="J1042" i="3"/>
  <c r="J1041" i="3"/>
  <c r="J1044" i="3"/>
  <c r="J1040" i="3"/>
  <c r="H1045" i="3"/>
  <c r="B83" i="1" s="1"/>
  <c r="D83" i="1" s="1"/>
  <c r="J1018" i="3"/>
  <c r="J1014" i="3"/>
  <c r="J1010" i="3"/>
  <c r="J1006" i="3"/>
  <c r="J1002" i="3"/>
  <c r="J998" i="3"/>
  <c r="J994" i="3"/>
  <c r="J990" i="3"/>
  <c r="I1037" i="3"/>
  <c r="C82" i="1" s="1"/>
  <c r="D82" i="1" s="1"/>
  <c r="J1021" i="3"/>
  <c r="J1013" i="3"/>
  <c r="J1005" i="3"/>
  <c r="J997" i="3"/>
  <c r="J989" i="3"/>
  <c r="H1037" i="3"/>
  <c r="B82" i="1" s="1"/>
  <c r="J1017" i="3"/>
  <c r="J1009" i="3"/>
  <c r="J1001" i="3"/>
  <c r="J993" i="3"/>
  <c r="J1020" i="3"/>
  <c r="J1016" i="3"/>
  <c r="J1012" i="3"/>
  <c r="J1008" i="3"/>
  <c r="J1004" i="3"/>
  <c r="J1000" i="3"/>
  <c r="J996" i="3"/>
  <c r="J992" i="3"/>
  <c r="J988" i="3"/>
  <c r="G1028" i="3"/>
  <c r="J1019" i="3"/>
  <c r="J1011" i="3"/>
  <c r="J1003" i="3"/>
  <c r="J995" i="3"/>
  <c r="J981" i="3"/>
  <c r="J977" i="3"/>
  <c r="G1022" i="3"/>
  <c r="J1015" i="3"/>
  <c r="J1007" i="3"/>
  <c r="J999" i="3"/>
  <c r="J991" i="3"/>
  <c r="H1028" i="3"/>
  <c r="B80" i="1" s="1"/>
  <c r="I1028" i="3"/>
  <c r="C80" i="1" s="1"/>
  <c r="I1022" i="3"/>
  <c r="C79" i="1" s="1"/>
  <c r="J982" i="3"/>
  <c r="J978" i="3"/>
  <c r="J974" i="3"/>
  <c r="J980" i="3"/>
  <c r="H1022" i="3"/>
  <c r="B79" i="1" s="1"/>
  <c r="J965" i="3"/>
  <c r="J961" i="3"/>
  <c r="J957" i="3"/>
  <c r="J953" i="3"/>
  <c r="G983" i="3"/>
  <c r="J976" i="3"/>
  <c r="J933" i="3"/>
  <c r="J929" i="3"/>
  <c r="J925" i="3"/>
  <c r="J921" i="3"/>
  <c r="J946" i="3"/>
  <c r="J968" i="3"/>
  <c r="J964" i="3"/>
  <c r="J960" i="3"/>
  <c r="J956" i="3"/>
  <c r="J952" i="3"/>
  <c r="J979" i="3"/>
  <c r="J975" i="3"/>
  <c r="I983" i="3"/>
  <c r="C77" i="1" s="1"/>
  <c r="H983" i="3"/>
  <c r="B77" i="1" s="1"/>
  <c r="D77" i="1" s="1"/>
  <c r="J763" i="3"/>
  <c r="I950" i="3"/>
  <c r="C74" i="1" s="1"/>
  <c r="J949" i="3"/>
  <c r="J945" i="3"/>
  <c r="J967" i="3"/>
  <c r="J963" i="3"/>
  <c r="J959" i="3"/>
  <c r="J955" i="3"/>
  <c r="J935" i="3"/>
  <c r="J931" i="3"/>
  <c r="J927" i="3"/>
  <c r="J923" i="3"/>
  <c r="G969" i="3"/>
  <c r="J966" i="3"/>
  <c r="J962" i="3"/>
  <c r="J958" i="3"/>
  <c r="J954" i="3"/>
  <c r="G950" i="3"/>
  <c r="J948" i="3"/>
  <c r="I969" i="3"/>
  <c r="C75" i="1" s="1"/>
  <c r="J947" i="3"/>
  <c r="H969" i="3"/>
  <c r="B75" i="1" s="1"/>
  <c r="J883" i="3"/>
  <c r="J879" i="3"/>
  <c r="J875" i="3"/>
  <c r="J871" i="3"/>
  <c r="J867" i="3"/>
  <c r="J892" i="3"/>
  <c r="G943" i="3"/>
  <c r="H943" i="3"/>
  <c r="B73" i="1" s="1"/>
  <c r="J934" i="3"/>
  <c r="J930" i="3"/>
  <c r="J926" i="3"/>
  <c r="J922" i="3"/>
  <c r="H950" i="3"/>
  <c r="B74" i="1" s="1"/>
  <c r="J941" i="3"/>
  <c r="J943" i="3" s="1"/>
  <c r="I915" i="3"/>
  <c r="C70" i="1" s="1"/>
  <c r="D70" i="1" s="1"/>
  <c r="G936" i="3"/>
  <c r="J932" i="3"/>
  <c r="J928" i="3"/>
  <c r="J924" i="3"/>
  <c r="H936" i="3"/>
  <c r="B72" i="1" s="1"/>
  <c r="G898" i="3"/>
  <c r="I936" i="3"/>
  <c r="C72" i="1" s="1"/>
  <c r="J920" i="3"/>
  <c r="J882" i="3"/>
  <c r="J878" i="3"/>
  <c r="J874" i="3"/>
  <c r="J891" i="3"/>
  <c r="J896" i="3"/>
  <c r="G915" i="3"/>
  <c r="J840" i="3"/>
  <c r="J836" i="3"/>
  <c r="J832" i="3"/>
  <c r="H915" i="3"/>
  <c r="B70" i="1" s="1"/>
  <c r="J893" i="3"/>
  <c r="J897" i="3"/>
  <c r="G894" i="3"/>
  <c r="J890" i="3"/>
  <c r="H898" i="3"/>
  <c r="B69" i="1" s="1"/>
  <c r="I898" i="3"/>
  <c r="C69" i="1" s="1"/>
  <c r="D69" i="1" s="1"/>
  <c r="J889" i="3"/>
  <c r="H894" i="3"/>
  <c r="B68" i="1" s="1"/>
  <c r="G884" i="3"/>
  <c r="J881" i="3"/>
  <c r="J877" i="3"/>
  <c r="J873" i="3"/>
  <c r="J869" i="3"/>
  <c r="J880" i="3"/>
  <c r="J876" i="3"/>
  <c r="J872" i="3"/>
  <c r="J868" i="3"/>
  <c r="I894" i="3"/>
  <c r="C68" i="1" s="1"/>
  <c r="D68" i="1" s="1"/>
  <c r="J804" i="3"/>
  <c r="J800" i="3"/>
  <c r="H884" i="3"/>
  <c r="B66" i="1" s="1"/>
  <c r="I884" i="3"/>
  <c r="C66" i="1" s="1"/>
  <c r="D66" i="1" s="1"/>
  <c r="J870" i="3"/>
  <c r="J825" i="3"/>
  <c r="J821" i="3"/>
  <c r="J817" i="3"/>
  <c r="J813" i="3"/>
  <c r="J809" i="3"/>
  <c r="G862" i="3"/>
  <c r="I862" i="3"/>
  <c r="C64" i="1" s="1"/>
  <c r="G841" i="3"/>
  <c r="J838" i="3"/>
  <c r="J834" i="3"/>
  <c r="J830" i="3"/>
  <c r="J839" i="3"/>
  <c r="J835" i="3"/>
  <c r="J831" i="3"/>
  <c r="H862" i="3"/>
  <c r="B64" i="1" s="1"/>
  <c r="D64" i="1" s="1"/>
  <c r="J795" i="3"/>
  <c r="J823" i="3"/>
  <c r="J819" i="3"/>
  <c r="J815" i="3"/>
  <c r="J811" i="3"/>
  <c r="J807" i="3"/>
  <c r="J837" i="3"/>
  <c r="J833" i="3"/>
  <c r="J829" i="3"/>
  <c r="G827" i="3"/>
  <c r="J801" i="3"/>
  <c r="J824" i="3"/>
  <c r="J820" i="3"/>
  <c r="J816" i="3"/>
  <c r="J812" i="3"/>
  <c r="J808" i="3"/>
  <c r="I805" i="3"/>
  <c r="C61" i="1" s="1"/>
  <c r="J826" i="3"/>
  <c r="J822" i="3"/>
  <c r="J818" i="3"/>
  <c r="J814" i="3"/>
  <c r="J810" i="3"/>
  <c r="H841" i="3"/>
  <c r="B63" i="1" s="1"/>
  <c r="I841" i="3"/>
  <c r="C63" i="1" s="1"/>
  <c r="D63" i="1" s="1"/>
  <c r="J793" i="3"/>
  <c r="G805" i="3"/>
  <c r="J803" i="3"/>
  <c r="H805" i="3"/>
  <c r="B61" i="1" s="1"/>
  <c r="J770" i="3"/>
  <c r="J802" i="3"/>
  <c r="H827" i="3"/>
  <c r="B62" i="1" s="1"/>
  <c r="I827" i="3"/>
  <c r="C62" i="1" s="1"/>
  <c r="D62" i="1" s="1"/>
  <c r="J794" i="3"/>
  <c r="I797" i="3"/>
  <c r="C60" i="1" s="1"/>
  <c r="J799" i="3"/>
  <c r="J739" i="3"/>
  <c r="J731" i="3"/>
  <c r="J723" i="3"/>
  <c r="J756" i="3"/>
  <c r="J752" i="3"/>
  <c r="J748" i="3"/>
  <c r="G788" i="3"/>
  <c r="J788" i="3"/>
  <c r="G797" i="3"/>
  <c r="J796" i="3"/>
  <c r="J797" i="3" s="1"/>
  <c r="J740" i="3"/>
  <c r="J724" i="3"/>
  <c r="J757" i="3"/>
  <c r="J753" i="3"/>
  <c r="J749" i="3"/>
  <c r="H797" i="3"/>
  <c r="B60" i="1" s="1"/>
  <c r="D60" i="1" s="1"/>
  <c r="G784" i="3"/>
  <c r="H788" i="3"/>
  <c r="B58" i="1" s="1"/>
  <c r="J718" i="3"/>
  <c r="J714" i="3"/>
  <c r="J710" i="3"/>
  <c r="J706" i="3"/>
  <c r="J702" i="3"/>
  <c r="I784" i="3"/>
  <c r="C57" i="1" s="1"/>
  <c r="D57" i="1" s="1"/>
  <c r="J736" i="3"/>
  <c r="J732" i="3"/>
  <c r="J728" i="3"/>
  <c r="J755" i="3"/>
  <c r="J751" i="3"/>
  <c r="J747" i="3"/>
  <c r="H784" i="3"/>
  <c r="B57" i="1" s="1"/>
  <c r="J762" i="3"/>
  <c r="G759" i="3"/>
  <c r="J758" i="3"/>
  <c r="J754" i="3"/>
  <c r="J750" i="3"/>
  <c r="J746" i="3"/>
  <c r="J743" i="3"/>
  <c r="J735" i="3"/>
  <c r="J727" i="3"/>
  <c r="J719" i="3"/>
  <c r="J715" i="3"/>
  <c r="J711" i="3"/>
  <c r="J707" i="3"/>
  <c r="G744" i="3"/>
  <c r="I759" i="3"/>
  <c r="C56" i="1" s="1"/>
  <c r="H759" i="3"/>
  <c r="B56" i="1" s="1"/>
  <c r="I744" i="3"/>
  <c r="C55" i="1" s="1"/>
  <c r="D55" i="1" s="1"/>
  <c r="G721" i="3"/>
  <c r="J717" i="3"/>
  <c r="J713" i="3"/>
  <c r="J709" i="3"/>
  <c r="J705" i="3"/>
  <c r="J701" i="3"/>
  <c r="H744" i="3"/>
  <c r="B55" i="1" s="1"/>
  <c r="J692" i="3"/>
  <c r="J688" i="3"/>
  <c r="J684" i="3"/>
  <c r="J680" i="3"/>
  <c r="J676" i="3"/>
  <c r="J672" i="3"/>
  <c r="J668" i="3"/>
  <c r="J664" i="3"/>
  <c r="J660" i="3"/>
  <c r="J656" i="3"/>
  <c r="J720" i="3"/>
  <c r="J716" i="3"/>
  <c r="J712" i="3"/>
  <c r="J708" i="3"/>
  <c r="J704" i="3"/>
  <c r="J700" i="3"/>
  <c r="J742" i="3"/>
  <c r="J738" i="3"/>
  <c r="J734" i="3"/>
  <c r="J730" i="3"/>
  <c r="J726" i="3"/>
  <c r="J741" i="3"/>
  <c r="J737" i="3"/>
  <c r="J733" i="3"/>
  <c r="J729" i="3"/>
  <c r="J725" i="3"/>
  <c r="H721" i="3"/>
  <c r="B54" i="1" s="1"/>
  <c r="I721" i="3"/>
  <c r="C54" i="1" s="1"/>
  <c r="J703" i="3"/>
  <c r="J689" i="3"/>
  <c r="J685" i="3"/>
  <c r="J681" i="3"/>
  <c r="J677" i="3"/>
  <c r="J673" i="3"/>
  <c r="J669" i="3"/>
  <c r="J665" i="3"/>
  <c r="J661" i="3"/>
  <c r="J657" i="3"/>
  <c r="G698" i="3"/>
  <c r="J691" i="3"/>
  <c r="J683" i="3"/>
  <c r="J671" i="3"/>
  <c r="J659" i="3"/>
  <c r="H698" i="3"/>
  <c r="B53" i="1" s="1"/>
  <c r="I698" i="3"/>
  <c r="C53" i="1" s="1"/>
  <c r="D53" i="1" s="1"/>
  <c r="J698" i="3"/>
  <c r="J687" i="3"/>
  <c r="J679" i="3"/>
  <c r="J675" i="3"/>
  <c r="J667" i="3"/>
  <c r="J663" i="3"/>
  <c r="G693" i="3"/>
  <c r="J690" i="3"/>
  <c r="J686" i="3"/>
  <c r="J682" i="3"/>
  <c r="J678" i="3"/>
  <c r="J674" i="3"/>
  <c r="J670" i="3"/>
  <c r="J666" i="3"/>
  <c r="J662" i="3"/>
  <c r="J658" i="3"/>
  <c r="I693" i="3"/>
  <c r="C52" i="1" s="1"/>
  <c r="H693" i="3"/>
  <c r="B52" i="1" s="1"/>
  <c r="I647" i="3"/>
  <c r="I648" i="3"/>
  <c r="I649" i="3"/>
  <c r="I650" i="3"/>
  <c r="I651" i="3"/>
  <c r="I652" i="3"/>
  <c r="I653" i="3"/>
  <c r="I646" i="3"/>
  <c r="H647" i="3"/>
  <c r="H648" i="3"/>
  <c r="J648" i="3" s="1"/>
  <c r="H649" i="3"/>
  <c r="J649" i="3" s="1"/>
  <c r="H650" i="3"/>
  <c r="H651" i="3"/>
  <c r="H652" i="3"/>
  <c r="J652" i="3" s="1"/>
  <c r="H653" i="3"/>
  <c r="H646" i="3"/>
  <c r="J646" i="3" s="1"/>
  <c r="G647" i="3"/>
  <c r="G648" i="3"/>
  <c r="G649" i="3"/>
  <c r="G650" i="3"/>
  <c r="G651" i="3"/>
  <c r="G652" i="3"/>
  <c r="G653" i="3"/>
  <c r="G646" i="3"/>
  <c r="I636" i="3"/>
  <c r="I637" i="3"/>
  <c r="I638" i="3"/>
  <c r="I639" i="3"/>
  <c r="I640" i="3"/>
  <c r="I641" i="3"/>
  <c r="I642" i="3"/>
  <c r="I643" i="3"/>
  <c r="I644" i="3"/>
  <c r="I635" i="3"/>
  <c r="H636" i="3"/>
  <c r="H637" i="3"/>
  <c r="H638" i="3"/>
  <c r="H639" i="3"/>
  <c r="H640" i="3"/>
  <c r="H641" i="3"/>
  <c r="H642" i="3"/>
  <c r="H643" i="3"/>
  <c r="H644" i="3"/>
  <c r="H635" i="3"/>
  <c r="G636" i="3"/>
  <c r="G637" i="3"/>
  <c r="G638" i="3"/>
  <c r="G639" i="3"/>
  <c r="G640" i="3"/>
  <c r="G641" i="3"/>
  <c r="G642" i="3"/>
  <c r="G643" i="3"/>
  <c r="G644" i="3"/>
  <c r="G635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1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596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71" i="3"/>
  <c r="H572" i="3"/>
  <c r="J572" i="3" s="1"/>
  <c r="H573" i="3"/>
  <c r="J573" i="3" s="1"/>
  <c r="H574" i="3"/>
  <c r="J574" i="3" s="1"/>
  <c r="H575" i="3"/>
  <c r="J575" i="3" s="1"/>
  <c r="H576" i="3"/>
  <c r="J576" i="3" s="1"/>
  <c r="H577" i="3"/>
  <c r="H578" i="3"/>
  <c r="J578" i="3" s="1"/>
  <c r="H579" i="3"/>
  <c r="H580" i="3"/>
  <c r="J580" i="3" s="1"/>
  <c r="H581" i="3"/>
  <c r="J581" i="3" s="1"/>
  <c r="H582" i="3"/>
  <c r="H583" i="3"/>
  <c r="J583" i="3" s="1"/>
  <c r="H584" i="3"/>
  <c r="H585" i="3"/>
  <c r="H586" i="3"/>
  <c r="J586" i="3" s="1"/>
  <c r="H587" i="3"/>
  <c r="J587" i="3" s="1"/>
  <c r="H588" i="3"/>
  <c r="J588" i="3" s="1"/>
  <c r="H589" i="3"/>
  <c r="H590" i="3"/>
  <c r="H591" i="3"/>
  <c r="J591" i="3" s="1"/>
  <c r="H592" i="3"/>
  <c r="J592" i="3" s="1"/>
  <c r="H593" i="3"/>
  <c r="J593" i="3" s="1"/>
  <c r="H594" i="3"/>
  <c r="H571" i="3"/>
  <c r="J571" i="3" s="1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71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50" i="3"/>
  <c r="H551" i="3"/>
  <c r="J551" i="3" s="1"/>
  <c r="H552" i="3"/>
  <c r="H553" i="3"/>
  <c r="J553" i="3" s="1"/>
  <c r="H554" i="3"/>
  <c r="J554" i="3" s="1"/>
  <c r="H555" i="3"/>
  <c r="J555" i="3" s="1"/>
  <c r="H556" i="3"/>
  <c r="J556" i="3" s="1"/>
  <c r="H557" i="3"/>
  <c r="J557" i="3" s="1"/>
  <c r="H558" i="3"/>
  <c r="J558" i="3" s="1"/>
  <c r="H559" i="3"/>
  <c r="J559" i="3" s="1"/>
  <c r="H560" i="3"/>
  <c r="J560" i="3" s="1"/>
  <c r="H561" i="3"/>
  <c r="J561" i="3" s="1"/>
  <c r="H562" i="3"/>
  <c r="J562" i="3" s="1"/>
  <c r="H563" i="3"/>
  <c r="J563" i="3" s="1"/>
  <c r="H564" i="3"/>
  <c r="J564" i="3" s="1"/>
  <c r="H565" i="3"/>
  <c r="J565" i="3" s="1"/>
  <c r="H566" i="3"/>
  <c r="J566" i="3" s="1"/>
  <c r="H567" i="3"/>
  <c r="J567" i="3" s="1"/>
  <c r="H568" i="3"/>
  <c r="J568" i="3" s="1"/>
  <c r="H569" i="3"/>
  <c r="J569" i="3" s="1"/>
  <c r="H550" i="3"/>
  <c r="J550" i="3" s="1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50" i="3"/>
  <c r="I544" i="3"/>
  <c r="I545" i="3"/>
  <c r="I546" i="3"/>
  <c r="I547" i="3"/>
  <c r="I548" i="3"/>
  <c r="I543" i="3"/>
  <c r="H544" i="3"/>
  <c r="H545" i="3"/>
  <c r="H546" i="3"/>
  <c r="H547" i="3"/>
  <c r="H548" i="3"/>
  <c r="H543" i="3"/>
  <c r="G544" i="3"/>
  <c r="G545" i="3"/>
  <c r="G546" i="3"/>
  <c r="G547" i="3"/>
  <c r="G548" i="3"/>
  <c r="G543" i="3"/>
  <c r="H539" i="3"/>
  <c r="J539" i="3" s="1"/>
  <c r="H540" i="3"/>
  <c r="H541" i="3"/>
  <c r="J541" i="3" s="1"/>
  <c r="H538" i="3"/>
  <c r="J538" i="3" s="1"/>
  <c r="I542" i="3"/>
  <c r="C44" i="1" s="1"/>
  <c r="G539" i="3"/>
  <c r="G540" i="3"/>
  <c r="G541" i="3"/>
  <c r="G538" i="3"/>
  <c r="H536" i="3"/>
  <c r="H537" i="3" s="1"/>
  <c r="B43" i="1" s="1"/>
  <c r="I537" i="3"/>
  <c r="C43" i="1" s="1"/>
  <c r="D43" i="1" s="1"/>
  <c r="G536" i="3"/>
  <c r="G537" i="3" s="1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20" i="3"/>
  <c r="I509" i="3"/>
  <c r="I510" i="3"/>
  <c r="I511" i="3"/>
  <c r="I512" i="3"/>
  <c r="I513" i="3"/>
  <c r="I514" i="3"/>
  <c r="I515" i="3"/>
  <c r="I516" i="3"/>
  <c r="I517" i="3"/>
  <c r="I518" i="3"/>
  <c r="I508" i="3"/>
  <c r="H509" i="3"/>
  <c r="H510" i="3"/>
  <c r="H511" i="3"/>
  <c r="H512" i="3"/>
  <c r="H513" i="3"/>
  <c r="H514" i="3"/>
  <c r="H515" i="3"/>
  <c r="H516" i="3"/>
  <c r="H517" i="3"/>
  <c r="H518" i="3"/>
  <c r="H508" i="3"/>
  <c r="G509" i="3"/>
  <c r="G510" i="3"/>
  <c r="G511" i="3"/>
  <c r="G512" i="3"/>
  <c r="G513" i="3"/>
  <c r="G514" i="3"/>
  <c r="G515" i="3"/>
  <c r="G516" i="3"/>
  <c r="G517" i="3"/>
  <c r="G518" i="3"/>
  <c r="G508" i="3"/>
  <c r="H506" i="3"/>
  <c r="J506" i="3" s="1"/>
  <c r="H505" i="3"/>
  <c r="J505" i="3" s="1"/>
  <c r="I507" i="3"/>
  <c r="C40" i="1" s="1"/>
  <c r="G506" i="3"/>
  <c r="G505" i="3"/>
  <c r="G507" i="3" s="1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48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57" i="3"/>
  <c r="I451" i="3"/>
  <c r="I452" i="3"/>
  <c r="I453" i="3"/>
  <c r="I454" i="3"/>
  <c r="I455" i="3"/>
  <c r="I450" i="3"/>
  <c r="H451" i="3"/>
  <c r="H452" i="3"/>
  <c r="H453" i="3"/>
  <c r="H454" i="3"/>
  <c r="H455" i="3"/>
  <c r="H450" i="3"/>
  <c r="G451" i="3"/>
  <c r="G452" i="3"/>
  <c r="G453" i="3"/>
  <c r="G454" i="3"/>
  <c r="G455" i="3"/>
  <c r="G450" i="3"/>
  <c r="J2327" i="3"/>
  <c r="H2327" i="3"/>
  <c r="B208" i="1" s="1"/>
  <c r="I2327" i="3"/>
  <c r="C208" i="1" s="1"/>
  <c r="G2327" i="3"/>
  <c r="I441" i="3"/>
  <c r="I442" i="3"/>
  <c r="I443" i="3"/>
  <c r="I444" i="3"/>
  <c r="I445" i="3"/>
  <c r="I446" i="3"/>
  <c r="I447" i="3"/>
  <c r="I448" i="3"/>
  <c r="I440" i="3"/>
  <c r="H441" i="3"/>
  <c r="H442" i="3"/>
  <c r="H443" i="3"/>
  <c r="H444" i="3"/>
  <c r="H445" i="3"/>
  <c r="H446" i="3"/>
  <c r="H447" i="3"/>
  <c r="H448" i="3"/>
  <c r="H440" i="3"/>
  <c r="G441" i="3"/>
  <c r="G442" i="3"/>
  <c r="G443" i="3"/>
  <c r="G444" i="3"/>
  <c r="G445" i="3"/>
  <c r="G446" i="3"/>
  <c r="G447" i="3"/>
  <c r="G448" i="3"/>
  <c r="G440" i="3"/>
  <c r="I433" i="3"/>
  <c r="I434" i="3"/>
  <c r="I435" i="3"/>
  <c r="I436" i="3"/>
  <c r="I437" i="3"/>
  <c r="I438" i="3"/>
  <c r="I432" i="3"/>
  <c r="H433" i="3"/>
  <c r="H434" i="3"/>
  <c r="H435" i="3"/>
  <c r="H436" i="3"/>
  <c r="H437" i="3"/>
  <c r="H438" i="3"/>
  <c r="H432" i="3"/>
  <c r="G433" i="3"/>
  <c r="G434" i="3"/>
  <c r="G435" i="3"/>
  <c r="G436" i="3"/>
  <c r="G437" i="3"/>
  <c r="G438" i="3"/>
  <c r="G432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09" i="3"/>
  <c r="I396" i="3"/>
  <c r="I397" i="3"/>
  <c r="I398" i="3"/>
  <c r="I399" i="3"/>
  <c r="I400" i="3"/>
  <c r="I401" i="3"/>
  <c r="I402" i="3"/>
  <c r="I403" i="3"/>
  <c r="I404" i="3"/>
  <c r="I405" i="3"/>
  <c r="I395" i="3"/>
  <c r="H396" i="3"/>
  <c r="H397" i="3"/>
  <c r="H398" i="3"/>
  <c r="H399" i="3"/>
  <c r="H400" i="3"/>
  <c r="H401" i="3"/>
  <c r="H402" i="3"/>
  <c r="H403" i="3"/>
  <c r="H404" i="3"/>
  <c r="H405" i="3"/>
  <c r="H395" i="3"/>
  <c r="G396" i="3"/>
  <c r="G397" i="3"/>
  <c r="G398" i="3"/>
  <c r="G399" i="3"/>
  <c r="G400" i="3"/>
  <c r="G401" i="3"/>
  <c r="G402" i="3"/>
  <c r="G403" i="3"/>
  <c r="G404" i="3"/>
  <c r="G405" i="3"/>
  <c r="G395" i="3"/>
  <c r="E2328" i="3"/>
  <c r="F2328" i="3"/>
  <c r="I390" i="3"/>
  <c r="I391" i="3"/>
  <c r="I392" i="3"/>
  <c r="I393" i="3"/>
  <c r="I389" i="3"/>
  <c r="H390" i="3"/>
  <c r="H391" i="3"/>
  <c r="J391" i="3" s="1"/>
  <c r="H392" i="3"/>
  <c r="H393" i="3"/>
  <c r="H389" i="3"/>
  <c r="G390" i="3"/>
  <c r="G391" i="3"/>
  <c r="G392" i="3"/>
  <c r="G393" i="3"/>
  <c r="G389" i="3"/>
  <c r="I378" i="3"/>
  <c r="I379" i="3"/>
  <c r="I380" i="3"/>
  <c r="I381" i="3"/>
  <c r="I382" i="3"/>
  <c r="I383" i="3"/>
  <c r="I384" i="3"/>
  <c r="I385" i="3"/>
  <c r="I386" i="3"/>
  <c r="I387" i="3"/>
  <c r="I377" i="3"/>
  <c r="H378" i="3"/>
  <c r="H379" i="3"/>
  <c r="H380" i="3"/>
  <c r="H381" i="3"/>
  <c r="H382" i="3"/>
  <c r="H383" i="3"/>
  <c r="H384" i="3"/>
  <c r="H385" i="3"/>
  <c r="H386" i="3"/>
  <c r="H387" i="3"/>
  <c r="H377" i="3"/>
  <c r="G378" i="3"/>
  <c r="G379" i="3"/>
  <c r="G380" i="3"/>
  <c r="G381" i="3"/>
  <c r="G382" i="3"/>
  <c r="G383" i="3"/>
  <c r="G384" i="3"/>
  <c r="G385" i="3"/>
  <c r="G386" i="3"/>
  <c r="G387" i="3"/>
  <c r="G377" i="3"/>
  <c r="H373" i="3"/>
  <c r="J373" i="3" s="1"/>
  <c r="H374" i="3"/>
  <c r="J374" i="3" s="1"/>
  <c r="H375" i="3"/>
  <c r="J375" i="3" s="1"/>
  <c r="H372" i="3"/>
  <c r="G373" i="3"/>
  <c r="G374" i="3"/>
  <c r="G375" i="3"/>
  <c r="G372" i="3"/>
  <c r="H366" i="3"/>
  <c r="I362" i="3"/>
  <c r="I363" i="3"/>
  <c r="I364" i="3"/>
  <c r="I365" i="3"/>
  <c r="I366" i="3"/>
  <c r="I367" i="3"/>
  <c r="J367" i="3" s="1"/>
  <c r="I368" i="3"/>
  <c r="I361" i="3"/>
  <c r="H362" i="3"/>
  <c r="H363" i="3"/>
  <c r="H364" i="3"/>
  <c r="H365" i="3"/>
  <c r="H367" i="3"/>
  <c r="H368" i="3"/>
  <c r="H361" i="3"/>
  <c r="G362" i="3"/>
  <c r="G363" i="3"/>
  <c r="G364" i="3"/>
  <c r="G365" i="3"/>
  <c r="G366" i="3"/>
  <c r="G367" i="3"/>
  <c r="G368" i="3"/>
  <c r="G361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45" i="3"/>
  <c r="J342" i="3"/>
  <c r="G340" i="3"/>
  <c r="G341" i="3"/>
  <c r="G342" i="3"/>
  <c r="G343" i="3"/>
  <c r="G339" i="3"/>
  <c r="I337" i="3"/>
  <c r="I336" i="3"/>
  <c r="H337" i="3"/>
  <c r="H336" i="3"/>
  <c r="G337" i="3"/>
  <c r="G336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19" i="3"/>
  <c r="H320" i="3"/>
  <c r="J320" i="3" s="1"/>
  <c r="H321" i="3"/>
  <c r="J321" i="3" s="1"/>
  <c r="H322" i="3"/>
  <c r="J322" i="3" s="1"/>
  <c r="H323" i="3"/>
  <c r="J323" i="3" s="1"/>
  <c r="H324" i="3"/>
  <c r="H325" i="3"/>
  <c r="H326" i="3"/>
  <c r="J326" i="3" s="1"/>
  <c r="H327" i="3"/>
  <c r="H328" i="3"/>
  <c r="J328" i="3" s="1"/>
  <c r="H329" i="3"/>
  <c r="J329" i="3" s="1"/>
  <c r="H330" i="3"/>
  <c r="J330" i="3" s="1"/>
  <c r="H331" i="3"/>
  <c r="J331" i="3" s="1"/>
  <c r="H332" i="3"/>
  <c r="H333" i="3"/>
  <c r="H334" i="3"/>
  <c r="J334" i="3" s="1"/>
  <c r="H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19" i="3"/>
  <c r="I314" i="3"/>
  <c r="I315" i="3"/>
  <c r="I316" i="3"/>
  <c r="I317" i="3"/>
  <c r="I313" i="3"/>
  <c r="H314" i="3"/>
  <c r="H315" i="3"/>
  <c r="H316" i="3"/>
  <c r="H317" i="3"/>
  <c r="H313" i="3"/>
  <c r="G314" i="3"/>
  <c r="G315" i="3"/>
  <c r="G316" i="3"/>
  <c r="G317" i="3"/>
  <c r="G313" i="3"/>
  <c r="I309" i="3"/>
  <c r="I310" i="3"/>
  <c r="I311" i="3"/>
  <c r="I308" i="3"/>
  <c r="H309" i="3"/>
  <c r="J309" i="3" s="1"/>
  <c r="H310" i="3"/>
  <c r="J310" i="3" s="1"/>
  <c r="H311" i="3"/>
  <c r="J311" i="3" s="1"/>
  <c r="H308" i="3"/>
  <c r="G309" i="3"/>
  <c r="G310" i="3"/>
  <c r="G311" i="3"/>
  <c r="G308" i="3"/>
  <c r="I297" i="3"/>
  <c r="I298" i="3"/>
  <c r="I299" i="3"/>
  <c r="I300" i="3"/>
  <c r="I301" i="3"/>
  <c r="I302" i="3"/>
  <c r="I303" i="3"/>
  <c r="I304" i="3"/>
  <c r="I305" i="3"/>
  <c r="I306" i="3"/>
  <c r="I296" i="3"/>
  <c r="H297" i="3"/>
  <c r="H298" i="3"/>
  <c r="H299" i="3"/>
  <c r="H300" i="3"/>
  <c r="H301" i="3"/>
  <c r="H302" i="3"/>
  <c r="H303" i="3"/>
  <c r="H304" i="3"/>
  <c r="H305" i="3"/>
  <c r="H306" i="3"/>
  <c r="H296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72" i="3"/>
  <c r="G297" i="3"/>
  <c r="G298" i="3"/>
  <c r="G299" i="3"/>
  <c r="G300" i="3"/>
  <c r="G301" i="3"/>
  <c r="G302" i="3"/>
  <c r="G303" i="3"/>
  <c r="G304" i="3"/>
  <c r="G305" i="3"/>
  <c r="G306" i="3"/>
  <c r="G296" i="3"/>
  <c r="G287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8" i="3"/>
  <c r="G289" i="3"/>
  <c r="G290" i="3"/>
  <c r="G291" i="3"/>
  <c r="G292" i="3"/>
  <c r="G293" i="3"/>
  <c r="G294" i="3"/>
  <c r="G272" i="3"/>
  <c r="H268" i="3"/>
  <c r="J268" i="3" s="1"/>
  <c r="H269" i="3"/>
  <c r="J269" i="3" s="1"/>
  <c r="H270" i="3"/>
  <c r="J270" i="3" s="1"/>
  <c r="H267" i="3"/>
  <c r="G268" i="3"/>
  <c r="G269" i="3"/>
  <c r="G270" i="3"/>
  <c r="G267" i="3"/>
  <c r="I256" i="3"/>
  <c r="I257" i="3"/>
  <c r="I258" i="3"/>
  <c r="I259" i="3"/>
  <c r="I260" i="3"/>
  <c r="I261" i="3"/>
  <c r="I262" i="3"/>
  <c r="I263" i="3"/>
  <c r="I264" i="3"/>
  <c r="I265" i="3"/>
  <c r="I255" i="3"/>
  <c r="H256" i="3"/>
  <c r="H257" i="3"/>
  <c r="H258" i="3"/>
  <c r="H259" i="3"/>
  <c r="H260" i="3"/>
  <c r="H261" i="3"/>
  <c r="H262" i="3"/>
  <c r="H263" i="3"/>
  <c r="H264" i="3"/>
  <c r="H265" i="3"/>
  <c r="H255" i="3"/>
  <c r="G256" i="3"/>
  <c r="G257" i="3"/>
  <c r="G258" i="3"/>
  <c r="G259" i="3"/>
  <c r="G260" i="3"/>
  <c r="G261" i="3"/>
  <c r="G262" i="3"/>
  <c r="G263" i="3"/>
  <c r="G264" i="3"/>
  <c r="G265" i="3"/>
  <c r="G255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40" i="3"/>
  <c r="I232" i="3"/>
  <c r="I233" i="3"/>
  <c r="I234" i="3"/>
  <c r="I235" i="3"/>
  <c r="I236" i="3"/>
  <c r="I237" i="3"/>
  <c r="I238" i="3"/>
  <c r="I231" i="3"/>
  <c r="H232" i="3"/>
  <c r="H233" i="3"/>
  <c r="J233" i="3" s="1"/>
  <c r="H234" i="3"/>
  <c r="J234" i="3" s="1"/>
  <c r="H235" i="3"/>
  <c r="J235" i="3" s="1"/>
  <c r="H236" i="3"/>
  <c r="J236" i="3" s="1"/>
  <c r="H237" i="3"/>
  <c r="J237" i="3" s="1"/>
  <c r="H238" i="3"/>
  <c r="J238" i="3" s="1"/>
  <c r="H231" i="3"/>
  <c r="G232" i="3"/>
  <c r="G233" i="3"/>
  <c r="G234" i="3"/>
  <c r="G235" i="3"/>
  <c r="G236" i="3"/>
  <c r="G237" i="3"/>
  <c r="G238" i="3"/>
  <c r="G231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09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182" i="3"/>
  <c r="H178" i="3"/>
  <c r="J178" i="3" s="1"/>
  <c r="H179" i="3"/>
  <c r="J179" i="3" s="1"/>
  <c r="H180" i="3"/>
  <c r="J180" i="3" s="1"/>
  <c r="H177" i="3"/>
  <c r="G178" i="3"/>
  <c r="G179" i="3"/>
  <c r="G180" i="3"/>
  <c r="G177" i="3"/>
  <c r="I166" i="3"/>
  <c r="I167" i="3"/>
  <c r="I168" i="3"/>
  <c r="I169" i="3"/>
  <c r="I170" i="3"/>
  <c r="I171" i="3"/>
  <c r="I172" i="3"/>
  <c r="I173" i="3"/>
  <c r="I174" i="3"/>
  <c r="I175" i="3"/>
  <c r="I165" i="3"/>
  <c r="H166" i="3"/>
  <c r="H167" i="3"/>
  <c r="H168" i="3"/>
  <c r="H169" i="3"/>
  <c r="H170" i="3"/>
  <c r="H171" i="3"/>
  <c r="H172" i="3"/>
  <c r="H173" i="3"/>
  <c r="H174" i="3"/>
  <c r="H175" i="3"/>
  <c r="H165" i="3"/>
  <c r="G166" i="3"/>
  <c r="G167" i="3"/>
  <c r="G168" i="3"/>
  <c r="G169" i="3"/>
  <c r="G170" i="3"/>
  <c r="G171" i="3"/>
  <c r="G172" i="3"/>
  <c r="G173" i="3"/>
  <c r="G174" i="3"/>
  <c r="G175" i="3"/>
  <c r="G165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48" i="3"/>
  <c r="H149" i="3"/>
  <c r="J149" i="3" s="1"/>
  <c r="H150" i="3"/>
  <c r="J150" i="3" s="1"/>
  <c r="H151" i="3"/>
  <c r="J151" i="3" s="1"/>
  <c r="H152" i="3"/>
  <c r="J152" i="3" s="1"/>
  <c r="H153" i="3"/>
  <c r="J153" i="3" s="1"/>
  <c r="H154" i="3"/>
  <c r="J154" i="3" s="1"/>
  <c r="H155" i="3"/>
  <c r="J155" i="3" s="1"/>
  <c r="H156" i="3"/>
  <c r="J156" i="3" s="1"/>
  <c r="H157" i="3"/>
  <c r="J157" i="3" s="1"/>
  <c r="H158" i="3"/>
  <c r="J158" i="3" s="1"/>
  <c r="H159" i="3"/>
  <c r="J159" i="3" s="1"/>
  <c r="H160" i="3"/>
  <c r="J160" i="3" s="1"/>
  <c r="H161" i="3"/>
  <c r="J161" i="3" s="1"/>
  <c r="H162" i="3"/>
  <c r="J162" i="3" s="1"/>
  <c r="H163" i="3"/>
  <c r="J163" i="3" s="1"/>
  <c r="H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48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10" i="3"/>
  <c r="I104" i="3"/>
  <c r="I105" i="3"/>
  <c r="I106" i="3"/>
  <c r="I107" i="3"/>
  <c r="I108" i="3"/>
  <c r="I103" i="3"/>
  <c r="H104" i="3"/>
  <c r="H105" i="3"/>
  <c r="H106" i="3"/>
  <c r="H107" i="3"/>
  <c r="H108" i="3"/>
  <c r="H103" i="3"/>
  <c r="G104" i="3"/>
  <c r="G105" i="3"/>
  <c r="G106" i="3"/>
  <c r="G107" i="3"/>
  <c r="G108" i="3"/>
  <c r="G103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82" i="3"/>
  <c r="H83" i="3"/>
  <c r="J83" i="3" s="1"/>
  <c r="H84" i="3"/>
  <c r="H85" i="3"/>
  <c r="J85" i="3" s="1"/>
  <c r="H86" i="3"/>
  <c r="J86" i="3" s="1"/>
  <c r="H87" i="3"/>
  <c r="J87" i="3" s="1"/>
  <c r="H88" i="3"/>
  <c r="J88" i="3" s="1"/>
  <c r="H89" i="3"/>
  <c r="J89" i="3" s="1"/>
  <c r="H90" i="3"/>
  <c r="J90" i="3" s="1"/>
  <c r="H91" i="3"/>
  <c r="J91" i="3" s="1"/>
  <c r="H92" i="3"/>
  <c r="J92" i="3" s="1"/>
  <c r="H93" i="3"/>
  <c r="J93" i="3" s="1"/>
  <c r="H94" i="3"/>
  <c r="J94" i="3" s="1"/>
  <c r="H95" i="3"/>
  <c r="J95" i="3" s="1"/>
  <c r="H96" i="3"/>
  <c r="J96" i="3" s="1"/>
  <c r="H97" i="3"/>
  <c r="J97" i="3" s="1"/>
  <c r="H98" i="3"/>
  <c r="H99" i="3"/>
  <c r="J99" i="3" s="1"/>
  <c r="H100" i="3"/>
  <c r="J100" i="3" s="1"/>
  <c r="H101" i="3"/>
  <c r="J101" i="3" s="1"/>
  <c r="H82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83" i="3"/>
  <c r="G82" i="3"/>
  <c r="G80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42" i="3"/>
  <c r="I43" i="3"/>
  <c r="I44" i="3"/>
  <c r="I41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42" i="3"/>
  <c r="H43" i="3"/>
  <c r="H44" i="3"/>
  <c r="H45" i="3"/>
  <c r="H41" i="3"/>
  <c r="H39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42" i="3"/>
  <c r="G43" i="3"/>
  <c r="G44" i="3"/>
  <c r="G45" i="3"/>
  <c r="G46" i="3"/>
  <c r="G47" i="3"/>
  <c r="G48" i="3"/>
  <c r="G41" i="3"/>
  <c r="G39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H5" i="3"/>
  <c r="J5" i="3" s="1"/>
  <c r="H6" i="3"/>
  <c r="J6" i="3" s="1"/>
  <c r="H7" i="3"/>
  <c r="J7" i="3" s="1"/>
  <c r="H8" i="3"/>
  <c r="J8" i="3" s="1"/>
  <c r="H9" i="3"/>
  <c r="J9" i="3" s="1"/>
  <c r="H10" i="3"/>
  <c r="J10" i="3" s="1"/>
  <c r="H11" i="3"/>
  <c r="J11" i="3" s="1"/>
  <c r="H12" i="3"/>
  <c r="J12" i="3" s="1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 s="1"/>
  <c r="H27" i="3"/>
  <c r="J27" i="3" s="1"/>
  <c r="H28" i="3"/>
  <c r="J28" i="3" s="1"/>
  <c r="H29" i="3"/>
  <c r="J29" i="3" s="1"/>
  <c r="H30" i="3"/>
  <c r="J30" i="3" s="1"/>
  <c r="H31" i="3"/>
  <c r="J31" i="3" s="1"/>
  <c r="H32" i="3"/>
  <c r="J32" i="3" s="1"/>
  <c r="H33" i="3"/>
  <c r="J33" i="3" s="1"/>
  <c r="H34" i="3"/>
  <c r="H35" i="3"/>
  <c r="J35" i="3" s="1"/>
  <c r="H36" i="3"/>
  <c r="J36" i="3" s="1"/>
  <c r="H37" i="3"/>
  <c r="J37" i="3" s="1"/>
  <c r="H38" i="3"/>
  <c r="J38" i="3" s="1"/>
  <c r="H4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5" i="3"/>
  <c r="G6" i="3"/>
  <c r="G7" i="3"/>
  <c r="G4" i="3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4" i="1"/>
  <c r="D131" i="1"/>
  <c r="D130" i="1"/>
  <c r="D126" i="1"/>
  <c r="D125" i="1"/>
  <c r="D121" i="1"/>
  <c r="D119" i="1"/>
  <c r="D118" i="1"/>
  <c r="D117" i="1"/>
  <c r="D111" i="1"/>
  <c r="D110" i="1"/>
  <c r="D109" i="1"/>
  <c r="D104" i="1"/>
  <c r="D102" i="1"/>
  <c r="D94" i="1"/>
  <c r="D93" i="1"/>
  <c r="D87" i="1"/>
  <c r="D85" i="1"/>
  <c r="D81" i="1"/>
  <c r="D79" i="1"/>
  <c r="D73" i="1"/>
  <c r="D71" i="1"/>
  <c r="D67" i="1"/>
  <c r="D65" i="1"/>
  <c r="D59" i="1"/>
  <c r="D58" i="1"/>
  <c r="D54" i="1"/>
  <c r="D33" i="1"/>
  <c r="D28" i="1"/>
  <c r="D26" i="1"/>
  <c r="D108" i="1" l="1"/>
  <c r="D91" i="1"/>
  <c r="D105" i="1"/>
  <c r="D113" i="1"/>
  <c r="J440" i="3"/>
  <c r="J315" i="3"/>
  <c r="D56" i="1"/>
  <c r="D72" i="1"/>
  <c r="D75" i="1"/>
  <c r="D74" i="1"/>
  <c r="D90" i="1"/>
  <c r="D92" i="1"/>
  <c r="D97" i="1"/>
  <c r="D100" i="1"/>
  <c r="D106" i="1"/>
  <c r="D112" i="1"/>
  <c r="D115" i="1"/>
  <c r="D123" i="1"/>
  <c r="D124" i="1"/>
  <c r="D127" i="1"/>
  <c r="D129" i="1"/>
  <c r="J457" i="3"/>
  <c r="H507" i="3"/>
  <c r="B40" i="1" s="1"/>
  <c r="D40" i="1" s="1"/>
  <c r="D52" i="1"/>
  <c r="D61" i="1"/>
  <c r="D80" i="1"/>
  <c r="D133" i="1"/>
  <c r="D135" i="1"/>
  <c r="J327" i="3"/>
  <c r="J84" i="3"/>
  <c r="J508" i="3"/>
  <c r="J596" i="3"/>
  <c r="J616" i="3"/>
  <c r="J1461" i="3"/>
  <c r="J986" i="3"/>
  <c r="J450" i="3"/>
  <c r="J972" i="3"/>
  <c r="J395" i="3"/>
  <c r="J409" i="3"/>
  <c r="J536" i="3"/>
  <c r="J537" i="3" s="1"/>
  <c r="J543" i="3"/>
  <c r="G181" i="3"/>
  <c r="G271" i="3"/>
  <c r="J317" i="3"/>
  <c r="I318" i="3"/>
  <c r="C21" i="1" s="1"/>
  <c r="J337" i="3"/>
  <c r="J340" i="3"/>
  <c r="J393" i="3"/>
  <c r="I394" i="3"/>
  <c r="C31" i="1" s="1"/>
  <c r="J635" i="3"/>
  <c r="J487" i="3"/>
  <c r="J520" i="3"/>
  <c r="J177" i="3"/>
  <c r="J181" i="3" s="1"/>
  <c r="H181" i="3"/>
  <c r="B11" i="1" s="1"/>
  <c r="D11" i="1" s="1"/>
  <c r="J267" i="3"/>
  <c r="J271" i="3" s="1"/>
  <c r="H271" i="3"/>
  <c r="B17" i="1" s="1"/>
  <c r="D17" i="1" s="1"/>
  <c r="J339" i="3"/>
  <c r="H344" i="3"/>
  <c r="J365" i="3"/>
  <c r="J552" i="3"/>
  <c r="J570" i="3" s="1"/>
  <c r="J316" i="3"/>
  <c r="G338" i="3"/>
  <c r="I338" i="3"/>
  <c r="C23" i="1" s="1"/>
  <c r="J343" i="3"/>
  <c r="I344" i="3"/>
  <c r="J356" i="3"/>
  <c r="J352" i="3"/>
  <c r="J348" i="3"/>
  <c r="H369" i="3"/>
  <c r="B27" i="1" s="1"/>
  <c r="J368" i="3"/>
  <c r="J364" i="3"/>
  <c r="G376" i="3"/>
  <c r="J372" i="3"/>
  <c r="J376" i="3" s="1"/>
  <c r="H376" i="3"/>
  <c r="B29" i="1" s="1"/>
  <c r="D29" i="1" s="1"/>
  <c r="J392" i="3"/>
  <c r="G312" i="3"/>
  <c r="J308" i="3"/>
  <c r="J312" i="3" s="1"/>
  <c r="H312" i="3"/>
  <c r="B20" i="1" s="1"/>
  <c r="I312" i="3"/>
  <c r="C20" i="1" s="1"/>
  <c r="G318" i="3"/>
  <c r="J363" i="3"/>
  <c r="G394" i="3"/>
  <c r="J432" i="3"/>
  <c r="H318" i="3"/>
  <c r="B21" i="1" s="1"/>
  <c r="J313" i="3"/>
  <c r="J314" i="3"/>
  <c r="H338" i="3"/>
  <c r="B23" i="1" s="1"/>
  <c r="D23" i="1" s="1"/>
  <c r="J336" i="3"/>
  <c r="G344" i="3"/>
  <c r="J341" i="3"/>
  <c r="J366" i="3"/>
  <c r="J362" i="3"/>
  <c r="J389" i="3"/>
  <c r="H394" i="3"/>
  <c r="B31" i="1" s="1"/>
  <c r="J390" i="3"/>
  <c r="J144" i="3"/>
  <c r="J140" i="3"/>
  <c r="J136" i="3"/>
  <c r="J132" i="3"/>
  <c r="J128" i="3"/>
  <c r="J124" i="3"/>
  <c r="J120" i="3"/>
  <c r="J116" i="3"/>
  <c r="J112" i="3"/>
  <c r="J229" i="3"/>
  <c r="J225" i="3"/>
  <c r="J221" i="3"/>
  <c r="J217" i="3"/>
  <c r="J213" i="3"/>
  <c r="J357" i="3"/>
  <c r="J353" i="3"/>
  <c r="J349" i="3"/>
  <c r="J589" i="3"/>
  <c r="J98" i="3"/>
  <c r="J39" i="3"/>
  <c r="J106" i="3"/>
  <c r="J145" i="3"/>
  <c r="J141" i="3"/>
  <c r="J137" i="3"/>
  <c r="J133" i="3"/>
  <c r="J129" i="3"/>
  <c r="J125" i="3"/>
  <c r="J121" i="3"/>
  <c r="J117" i="3"/>
  <c r="J113" i="3"/>
  <c r="J207" i="3"/>
  <c r="J203" i="3"/>
  <c r="J199" i="3"/>
  <c r="J195" i="3"/>
  <c r="J191" i="3"/>
  <c r="J187" i="3"/>
  <c r="J183" i="3"/>
  <c r="J226" i="3"/>
  <c r="J222" i="3"/>
  <c r="J218" i="3"/>
  <c r="J214" i="3"/>
  <c r="J210" i="3"/>
  <c r="J250" i="3"/>
  <c r="J246" i="3"/>
  <c r="J242" i="3"/>
  <c r="J304" i="3"/>
  <c r="J300" i="3"/>
  <c r="I307" i="3"/>
  <c r="C19" i="1" s="1"/>
  <c r="J354" i="3"/>
  <c r="J350" i="3"/>
  <c r="J346" i="3"/>
  <c r="J385" i="3"/>
  <c r="J381" i="3"/>
  <c r="I388" i="3"/>
  <c r="C30" i="1" s="1"/>
  <c r="H388" i="3"/>
  <c r="B30" i="1" s="1"/>
  <c r="G388" i="3"/>
  <c r="J387" i="3"/>
  <c r="J383" i="3"/>
  <c r="J379" i="3"/>
  <c r="J386" i="3"/>
  <c r="J382" i="3"/>
  <c r="J378" i="3"/>
  <c r="J325" i="3"/>
  <c r="J377" i="3"/>
  <c r="J384" i="3"/>
  <c r="J380" i="3"/>
  <c r="J361" i="3"/>
  <c r="I369" i="3"/>
  <c r="C27" i="1" s="1"/>
  <c r="G369" i="3"/>
  <c r="I358" i="3"/>
  <c r="C25" i="1" s="1"/>
  <c r="J345" i="3"/>
  <c r="H358" i="3"/>
  <c r="B25" i="1" s="1"/>
  <c r="G358" i="3"/>
  <c r="J324" i="3"/>
  <c r="J355" i="3"/>
  <c r="J351" i="3"/>
  <c r="J347" i="3"/>
  <c r="J333" i="3"/>
  <c r="G335" i="3"/>
  <c r="J319" i="3"/>
  <c r="H335" i="3"/>
  <c r="B22" i="1" s="1"/>
  <c r="I335" i="3"/>
  <c r="C22" i="1" s="1"/>
  <c r="J332" i="3"/>
  <c r="J34" i="3"/>
  <c r="J296" i="3"/>
  <c r="H307" i="3"/>
  <c r="B19" i="1" s="1"/>
  <c r="J303" i="3"/>
  <c r="J299" i="3"/>
  <c r="J306" i="3"/>
  <c r="J302" i="3"/>
  <c r="J298" i="3"/>
  <c r="J291" i="3"/>
  <c r="J287" i="3"/>
  <c r="J283" i="3"/>
  <c r="J279" i="3"/>
  <c r="J275" i="3"/>
  <c r="G307" i="3"/>
  <c r="J305" i="3"/>
  <c r="J301" i="3"/>
  <c r="J297" i="3"/>
  <c r="J43" i="3"/>
  <c r="J74" i="3"/>
  <c r="J66" i="3"/>
  <c r="J58" i="3"/>
  <c r="J46" i="3"/>
  <c r="J171" i="3"/>
  <c r="G266" i="3"/>
  <c r="G295" i="3"/>
  <c r="J293" i="3"/>
  <c r="J289" i="3"/>
  <c r="J285" i="3"/>
  <c r="J281" i="3"/>
  <c r="J277" i="3"/>
  <c r="J273" i="3"/>
  <c r="H295" i="3"/>
  <c r="B18" i="1" s="1"/>
  <c r="J272" i="3"/>
  <c r="I40" i="3"/>
  <c r="J78" i="3"/>
  <c r="J70" i="3"/>
  <c r="J62" i="3"/>
  <c r="J54" i="3"/>
  <c r="J50" i="3"/>
  <c r="G164" i="3"/>
  <c r="I164" i="3"/>
  <c r="C9" i="1" s="1"/>
  <c r="J175" i="3"/>
  <c r="J167" i="3"/>
  <c r="J265" i="3"/>
  <c r="J261" i="3"/>
  <c r="J257" i="3"/>
  <c r="J294" i="3"/>
  <c r="J290" i="3"/>
  <c r="J286" i="3"/>
  <c r="J282" i="3"/>
  <c r="J278" i="3"/>
  <c r="J274" i="3"/>
  <c r="J292" i="3"/>
  <c r="J288" i="3"/>
  <c r="J284" i="3"/>
  <c r="J280" i="3"/>
  <c r="J276" i="3"/>
  <c r="I295" i="3"/>
  <c r="C18" i="1" s="1"/>
  <c r="J232" i="3"/>
  <c r="J263" i="3"/>
  <c r="I266" i="3"/>
  <c r="C16" i="1" s="1"/>
  <c r="J264" i="3"/>
  <c r="J260" i="3"/>
  <c r="J256" i="3"/>
  <c r="J259" i="3"/>
  <c r="J251" i="3"/>
  <c r="J247" i="3"/>
  <c r="J243" i="3"/>
  <c r="J255" i="3"/>
  <c r="H266" i="3"/>
  <c r="B16" i="1" s="1"/>
  <c r="J262" i="3"/>
  <c r="J258" i="3"/>
  <c r="J240" i="3"/>
  <c r="H254" i="3"/>
  <c r="B15" i="1" s="1"/>
  <c r="J105" i="3"/>
  <c r="J206" i="3"/>
  <c r="J202" i="3"/>
  <c r="J198" i="3"/>
  <c r="J194" i="3"/>
  <c r="J190" i="3"/>
  <c r="J186" i="3"/>
  <c r="J253" i="3"/>
  <c r="J249" i="3"/>
  <c r="J245" i="3"/>
  <c r="J241" i="3"/>
  <c r="J143" i="3"/>
  <c r="J139" i="3"/>
  <c r="J135" i="3"/>
  <c r="J131" i="3"/>
  <c r="J127" i="3"/>
  <c r="J123" i="3"/>
  <c r="J119" i="3"/>
  <c r="J115" i="3"/>
  <c r="J111" i="3"/>
  <c r="J228" i="3"/>
  <c r="J224" i="3"/>
  <c r="J220" i="3"/>
  <c r="J216" i="3"/>
  <c r="J212" i="3"/>
  <c r="G254" i="3"/>
  <c r="J252" i="3"/>
  <c r="J248" i="3"/>
  <c r="J244" i="3"/>
  <c r="I254" i="3"/>
  <c r="C15" i="1" s="1"/>
  <c r="G239" i="3"/>
  <c r="H239" i="3"/>
  <c r="B14" i="1" s="1"/>
  <c r="J231" i="3"/>
  <c r="J239" i="3" s="1"/>
  <c r="I239" i="3"/>
  <c r="C14" i="1" s="1"/>
  <c r="J209" i="3"/>
  <c r="H230" i="3"/>
  <c r="B13" i="1" s="1"/>
  <c r="I230" i="3"/>
  <c r="C13" i="1" s="1"/>
  <c r="G230" i="3"/>
  <c r="J227" i="3"/>
  <c r="J223" i="3"/>
  <c r="J219" i="3"/>
  <c r="J215" i="3"/>
  <c r="J211" i="3"/>
  <c r="G208" i="3"/>
  <c r="I208" i="3"/>
  <c r="C12" i="1" s="1"/>
  <c r="J205" i="3"/>
  <c r="J201" i="3"/>
  <c r="J197" i="3"/>
  <c r="J193" i="3"/>
  <c r="J189" i="3"/>
  <c r="J185" i="3"/>
  <c r="J182" i="3"/>
  <c r="H208" i="3"/>
  <c r="B12" i="1" s="1"/>
  <c r="J204" i="3"/>
  <c r="J200" i="3"/>
  <c r="J196" i="3"/>
  <c r="J192" i="3"/>
  <c r="J188" i="3"/>
  <c r="J184" i="3"/>
  <c r="G176" i="3"/>
  <c r="J172" i="3"/>
  <c r="J168" i="3"/>
  <c r="J173" i="3"/>
  <c r="J169" i="3"/>
  <c r="I176" i="3"/>
  <c r="C10" i="1" s="1"/>
  <c r="J174" i="3"/>
  <c r="J170" i="3"/>
  <c r="J166" i="3"/>
  <c r="H176" i="3"/>
  <c r="B10" i="1" s="1"/>
  <c r="D10" i="1" s="1"/>
  <c r="J165" i="3"/>
  <c r="H164" i="3"/>
  <c r="B9" i="1" s="1"/>
  <c r="D9" i="1" s="1"/>
  <c r="J148" i="3"/>
  <c r="J164" i="3" s="1"/>
  <c r="G147" i="3"/>
  <c r="J110" i="3"/>
  <c r="H147" i="3"/>
  <c r="B8" i="1" s="1"/>
  <c r="J146" i="3"/>
  <c r="J142" i="3"/>
  <c r="J138" i="3"/>
  <c r="J134" i="3"/>
  <c r="J130" i="3"/>
  <c r="J126" i="3"/>
  <c r="J122" i="3"/>
  <c r="J118" i="3"/>
  <c r="J114" i="3"/>
  <c r="I147" i="3"/>
  <c r="J108" i="3"/>
  <c r="J104" i="3"/>
  <c r="J103" i="3"/>
  <c r="H109" i="3"/>
  <c r="B7" i="1" s="1"/>
  <c r="G109" i="3"/>
  <c r="J107" i="3"/>
  <c r="I109" i="3"/>
  <c r="C7" i="1" s="1"/>
  <c r="G102" i="3"/>
  <c r="J82" i="3"/>
  <c r="J102" i="3" s="1"/>
  <c r="H102" i="3"/>
  <c r="B6" i="1" s="1"/>
  <c r="I102" i="3"/>
  <c r="C6" i="1" s="1"/>
  <c r="J44" i="3"/>
  <c r="J79" i="3"/>
  <c r="J75" i="3"/>
  <c r="J71" i="3"/>
  <c r="J67" i="3"/>
  <c r="J63" i="3"/>
  <c r="J59" i="3"/>
  <c r="J55" i="3"/>
  <c r="J51" i="3"/>
  <c r="J47" i="3"/>
  <c r="G81" i="3"/>
  <c r="H81" i="3"/>
  <c r="B5" i="1" s="1"/>
  <c r="J41" i="3"/>
  <c r="J42" i="3"/>
  <c r="J77" i="3"/>
  <c r="J69" i="3"/>
  <c r="J65" i="3"/>
  <c r="J61" i="3"/>
  <c r="J57" i="3"/>
  <c r="J53" i="3"/>
  <c r="J49" i="3"/>
  <c r="I81" i="3"/>
  <c r="C5" i="1" s="1"/>
  <c r="J45" i="3"/>
  <c r="J80" i="3"/>
  <c r="J76" i="3"/>
  <c r="J72" i="3"/>
  <c r="J68" i="3"/>
  <c r="J64" i="3"/>
  <c r="J60" i="3"/>
  <c r="J56" i="3"/>
  <c r="J52" i="3"/>
  <c r="J48" i="3"/>
  <c r="J73" i="3"/>
  <c r="G40" i="3"/>
  <c r="H40" i="3"/>
  <c r="B4" i="1" s="1"/>
  <c r="J4" i="3"/>
  <c r="J898" i="3"/>
  <c r="J915" i="3"/>
  <c r="J590" i="3"/>
  <c r="J651" i="3"/>
  <c r="J1520" i="3"/>
  <c r="J1213" i="3"/>
  <c r="J1222" i="3"/>
  <c r="J1311" i="3"/>
  <c r="J1546" i="3"/>
  <c r="J582" i="3"/>
  <c r="J1526" i="3"/>
  <c r="J862" i="3"/>
  <c r="J1323" i="3"/>
  <c r="J1480" i="3"/>
  <c r="J1432" i="3"/>
  <c r="J1440" i="3"/>
  <c r="J1383" i="3"/>
  <c r="J1418" i="3"/>
  <c r="J579" i="3"/>
  <c r="J1406" i="3"/>
  <c r="J1399" i="3"/>
  <c r="J1374" i="3"/>
  <c r="J1358" i="3"/>
  <c r="J1315" i="3"/>
  <c r="J1307" i="3"/>
  <c r="J1264" i="3"/>
  <c r="J1303" i="3"/>
  <c r="J1256" i="3"/>
  <c r="J1252" i="3"/>
  <c r="J1237" i="3"/>
  <c r="J594" i="3"/>
  <c r="J1200" i="3"/>
  <c r="J1186" i="3"/>
  <c r="J1159" i="3"/>
  <c r="J1134" i="3"/>
  <c r="J1113" i="3"/>
  <c r="J1094" i="3"/>
  <c r="J1075" i="3"/>
  <c r="J577" i="3"/>
  <c r="J1052" i="3"/>
  <c r="J1037" i="3"/>
  <c r="J1028" i="3"/>
  <c r="J585" i="3"/>
  <c r="J1045" i="3"/>
  <c r="J1022" i="3"/>
  <c r="J983" i="3"/>
  <c r="J969" i="3"/>
  <c r="J950" i="3"/>
  <c r="J647" i="3"/>
  <c r="J936" i="3"/>
  <c r="J650" i="3"/>
  <c r="J653" i="3"/>
  <c r="J894" i="3"/>
  <c r="J805" i="3"/>
  <c r="J884" i="3"/>
  <c r="J841" i="3"/>
  <c r="J827" i="3"/>
  <c r="J784" i="3"/>
  <c r="J759" i="3"/>
  <c r="J584" i="3"/>
  <c r="J744" i="3"/>
  <c r="J639" i="3"/>
  <c r="J402" i="3"/>
  <c r="J721" i="3"/>
  <c r="J693" i="3"/>
  <c r="J403" i="3"/>
  <c r="J399" i="3"/>
  <c r="J398" i="3"/>
  <c r="J644" i="3"/>
  <c r="J640" i="3"/>
  <c r="J636" i="3"/>
  <c r="G654" i="3"/>
  <c r="G406" i="3"/>
  <c r="J405" i="3"/>
  <c r="J401" i="3"/>
  <c r="J397" i="3"/>
  <c r="I406" i="3"/>
  <c r="C32" i="1" s="1"/>
  <c r="J404" i="3"/>
  <c r="J400" i="3"/>
  <c r="J396" i="3"/>
  <c r="J643" i="3"/>
  <c r="H406" i="3"/>
  <c r="B32" i="1" s="1"/>
  <c r="J601" i="3"/>
  <c r="J608" i="3"/>
  <c r="J642" i="3"/>
  <c r="J638" i="3"/>
  <c r="H654" i="3"/>
  <c r="B51" i="1" s="1"/>
  <c r="J613" i="3"/>
  <c r="J609" i="3"/>
  <c r="J605" i="3"/>
  <c r="J597" i="3"/>
  <c r="J612" i="3"/>
  <c r="J604" i="3"/>
  <c r="J632" i="3"/>
  <c r="J628" i="3"/>
  <c r="J624" i="3"/>
  <c r="J620" i="3"/>
  <c r="G645" i="3"/>
  <c r="J631" i="3"/>
  <c r="J627" i="3"/>
  <c r="J623" i="3"/>
  <c r="J619" i="3"/>
  <c r="J641" i="3"/>
  <c r="J637" i="3"/>
  <c r="I654" i="3"/>
  <c r="C51" i="1" s="1"/>
  <c r="G634" i="3"/>
  <c r="I645" i="3"/>
  <c r="C50" i="1" s="1"/>
  <c r="J630" i="3"/>
  <c r="J626" i="3"/>
  <c r="J622" i="3"/>
  <c r="J618" i="3"/>
  <c r="J600" i="3"/>
  <c r="J633" i="3"/>
  <c r="J629" i="3"/>
  <c r="J625" i="3"/>
  <c r="J621" i="3"/>
  <c r="J617" i="3"/>
  <c r="H645" i="3"/>
  <c r="B50" i="1" s="1"/>
  <c r="G615" i="3"/>
  <c r="J611" i="3"/>
  <c r="J607" i="3"/>
  <c r="J603" i="3"/>
  <c r="J599" i="3"/>
  <c r="I634" i="3"/>
  <c r="C49" i="1" s="1"/>
  <c r="J545" i="3"/>
  <c r="J547" i="3"/>
  <c r="J614" i="3"/>
  <c r="J610" i="3"/>
  <c r="J606" i="3"/>
  <c r="J602" i="3"/>
  <c r="J598" i="3"/>
  <c r="H634" i="3"/>
  <c r="B49" i="1" s="1"/>
  <c r="D49" i="1" s="1"/>
  <c r="G595" i="3"/>
  <c r="H615" i="3"/>
  <c r="B48" i="1" s="1"/>
  <c r="H595" i="3"/>
  <c r="B47" i="1" s="1"/>
  <c r="J546" i="3"/>
  <c r="G570" i="3"/>
  <c r="I615" i="3"/>
  <c r="C48" i="1" s="1"/>
  <c r="I595" i="3"/>
  <c r="C47" i="1" s="1"/>
  <c r="J548" i="3"/>
  <c r="J544" i="3"/>
  <c r="I570" i="3"/>
  <c r="C46" i="1" s="1"/>
  <c r="G549" i="3"/>
  <c r="I549" i="3"/>
  <c r="C45" i="1" s="1"/>
  <c r="H570" i="3"/>
  <c r="B46" i="1" s="1"/>
  <c r="J518" i="3"/>
  <c r="J514" i="3"/>
  <c r="J510" i="3"/>
  <c r="J532" i="3"/>
  <c r="J528" i="3"/>
  <c r="J524" i="3"/>
  <c r="G542" i="3"/>
  <c r="H542" i="3"/>
  <c r="B44" i="1" s="1"/>
  <c r="D44" i="1" s="1"/>
  <c r="H549" i="3"/>
  <c r="B45" i="1" s="1"/>
  <c r="J540" i="3"/>
  <c r="J542" i="3" s="1"/>
  <c r="J477" i="3"/>
  <c r="J461" i="3"/>
  <c r="J503" i="3"/>
  <c r="J499" i="3"/>
  <c r="J495" i="3"/>
  <c r="J491" i="3"/>
  <c r="J517" i="3"/>
  <c r="J509" i="3"/>
  <c r="J531" i="3"/>
  <c r="J527" i="3"/>
  <c r="J523" i="3"/>
  <c r="J516" i="3"/>
  <c r="J512" i="3"/>
  <c r="J534" i="3"/>
  <c r="J530" i="3"/>
  <c r="J526" i="3"/>
  <c r="J522" i="3"/>
  <c r="J515" i="3"/>
  <c r="J511" i="3"/>
  <c r="J533" i="3"/>
  <c r="J529" i="3"/>
  <c r="J525" i="3"/>
  <c r="J521" i="3"/>
  <c r="J507" i="3"/>
  <c r="J513" i="3"/>
  <c r="G535" i="3"/>
  <c r="I535" i="3"/>
  <c r="C42" i="1" s="1"/>
  <c r="G519" i="3"/>
  <c r="H535" i="3"/>
  <c r="B42" i="1" s="1"/>
  <c r="J435" i="3"/>
  <c r="I519" i="3"/>
  <c r="C41" i="1" s="1"/>
  <c r="J443" i="3"/>
  <c r="J482" i="3"/>
  <c r="J478" i="3"/>
  <c r="J474" i="3"/>
  <c r="J470" i="3"/>
  <c r="J466" i="3"/>
  <c r="J462" i="3"/>
  <c r="J458" i="3"/>
  <c r="J500" i="3"/>
  <c r="J496" i="3"/>
  <c r="J492" i="3"/>
  <c r="J488" i="3"/>
  <c r="H519" i="3"/>
  <c r="B41" i="1" s="1"/>
  <c r="J485" i="3"/>
  <c r="J481" i="3"/>
  <c r="J473" i="3"/>
  <c r="J469" i="3"/>
  <c r="J465" i="3"/>
  <c r="J455" i="3"/>
  <c r="J451" i="3"/>
  <c r="J453" i="3"/>
  <c r="J483" i="3"/>
  <c r="J479" i="3"/>
  <c r="J475" i="3"/>
  <c r="J471" i="3"/>
  <c r="J467" i="3"/>
  <c r="J463" i="3"/>
  <c r="J459" i="3"/>
  <c r="J501" i="3"/>
  <c r="J497" i="3"/>
  <c r="J493" i="3"/>
  <c r="J489" i="3"/>
  <c r="J502" i="3"/>
  <c r="J498" i="3"/>
  <c r="J494" i="3"/>
  <c r="J490" i="3"/>
  <c r="G486" i="3"/>
  <c r="J438" i="3"/>
  <c r="J434" i="3"/>
  <c r="J484" i="3"/>
  <c r="J480" i="3"/>
  <c r="J476" i="3"/>
  <c r="J472" i="3"/>
  <c r="J468" i="3"/>
  <c r="J464" i="3"/>
  <c r="J460" i="3"/>
  <c r="J429" i="3"/>
  <c r="J425" i="3"/>
  <c r="J421" i="3"/>
  <c r="J413" i="3"/>
  <c r="J454" i="3"/>
  <c r="J452" i="3"/>
  <c r="G504" i="3"/>
  <c r="H504" i="3"/>
  <c r="B39" i="1" s="1"/>
  <c r="J428" i="3"/>
  <c r="J424" i="3"/>
  <c r="J420" i="3"/>
  <c r="J416" i="3"/>
  <c r="J412" i="3"/>
  <c r="J446" i="3"/>
  <c r="J442" i="3"/>
  <c r="I504" i="3"/>
  <c r="C39" i="1" s="1"/>
  <c r="J437" i="3"/>
  <c r="J433" i="3"/>
  <c r="J448" i="3"/>
  <c r="G456" i="3"/>
  <c r="J427" i="3"/>
  <c r="J423" i="3"/>
  <c r="J419" i="3"/>
  <c r="J415" i="3"/>
  <c r="J411" i="3"/>
  <c r="J417" i="3"/>
  <c r="I456" i="3"/>
  <c r="C37" i="1" s="1"/>
  <c r="J445" i="3"/>
  <c r="J441" i="3"/>
  <c r="H456" i="3"/>
  <c r="B37" i="1" s="1"/>
  <c r="I486" i="3"/>
  <c r="C38" i="1" s="1"/>
  <c r="H486" i="3"/>
  <c r="B38" i="1" s="1"/>
  <c r="G439" i="3"/>
  <c r="H439" i="3"/>
  <c r="B35" i="1" s="1"/>
  <c r="J447" i="3"/>
  <c r="G431" i="3"/>
  <c r="J430" i="3"/>
  <c r="J426" i="3"/>
  <c r="J422" i="3"/>
  <c r="J418" i="3"/>
  <c r="J414" i="3"/>
  <c r="H431" i="3"/>
  <c r="B34" i="1" s="1"/>
  <c r="I431" i="3"/>
  <c r="C34" i="1" s="1"/>
  <c r="G449" i="3"/>
  <c r="J410" i="3"/>
  <c r="J436" i="3"/>
  <c r="I449" i="3"/>
  <c r="C36" i="1" s="1"/>
  <c r="J444" i="3"/>
  <c r="I439" i="3"/>
  <c r="C35" i="1" s="1"/>
  <c r="H449" i="3"/>
  <c r="B36" i="1" s="1"/>
  <c r="D7" i="1" l="1"/>
  <c r="D19" i="1"/>
  <c r="D27" i="1"/>
  <c r="D38" i="1"/>
  <c r="D16" i="1"/>
  <c r="D36" i="1"/>
  <c r="D34" i="1"/>
  <c r="D35" i="1"/>
  <c r="D37" i="1"/>
  <c r="D45" i="1"/>
  <c r="D50" i="1"/>
  <c r="D32" i="1"/>
  <c r="D18" i="1"/>
  <c r="D30" i="1"/>
  <c r="D31" i="1"/>
  <c r="D20" i="1"/>
  <c r="D48" i="1"/>
  <c r="D46" i="1"/>
  <c r="D39" i="1"/>
  <c r="D42" i="1"/>
  <c r="D5" i="1"/>
  <c r="D13" i="1"/>
  <c r="D14" i="1"/>
  <c r="D15" i="1"/>
  <c r="D22" i="1"/>
  <c r="D21" i="1"/>
  <c r="G2328" i="3"/>
  <c r="H2328" i="3"/>
  <c r="B24" i="1"/>
  <c r="D12" i="1"/>
  <c r="I2328" i="3"/>
  <c r="C24" i="1"/>
  <c r="C209" i="1" s="1"/>
  <c r="D41" i="1"/>
  <c r="D47" i="1"/>
  <c r="D51" i="1"/>
  <c r="B209" i="1"/>
  <c r="D4" i="1"/>
  <c r="D6" i="1"/>
  <c r="D8" i="1"/>
  <c r="D25" i="1"/>
  <c r="J338" i="3"/>
  <c r="J369" i="3"/>
  <c r="J394" i="3"/>
  <c r="J318" i="3"/>
  <c r="J344" i="3"/>
  <c r="J40" i="3"/>
  <c r="J388" i="3"/>
  <c r="J335" i="3"/>
  <c r="J358" i="3"/>
  <c r="J295" i="3"/>
  <c r="J307" i="3"/>
  <c r="J254" i="3"/>
  <c r="J266" i="3"/>
  <c r="J208" i="3"/>
  <c r="J230" i="3"/>
  <c r="J176" i="3"/>
  <c r="J109" i="3"/>
  <c r="J147" i="3"/>
  <c r="J81" i="3"/>
  <c r="J595" i="3"/>
  <c r="J654" i="3"/>
  <c r="J406" i="3"/>
  <c r="J645" i="3"/>
  <c r="J634" i="3"/>
  <c r="J615" i="3"/>
  <c r="J549" i="3"/>
  <c r="J535" i="3"/>
  <c r="J519" i="3"/>
  <c r="J504" i="3"/>
  <c r="J486" i="3"/>
  <c r="J439" i="3"/>
  <c r="J449" i="3"/>
  <c r="J456" i="3"/>
  <c r="J431" i="3"/>
  <c r="J2328" i="3" l="1"/>
  <c r="D24" i="1"/>
  <c r="D209" i="1" s="1"/>
</calcChain>
</file>

<file path=xl/sharedStrings.xml><?xml version="1.0" encoding="utf-8"?>
<sst xmlns="http://schemas.openxmlformats.org/spreadsheetml/2006/main" count="6862" uniqueCount="496">
  <si>
    <t>ABENGOUROU</t>
  </si>
  <si>
    <t>ABOBO</t>
  </si>
  <si>
    <t>ABOISSO</t>
  </si>
  <si>
    <t>ADIAKE</t>
  </si>
  <si>
    <t>ADJAME</t>
  </si>
  <si>
    <t>ADZOPE</t>
  </si>
  <si>
    <t>AFFERY</t>
  </si>
  <si>
    <t>AGBAOU</t>
  </si>
  <si>
    <t>AGBOVILLE</t>
  </si>
  <si>
    <t>AGNIBILEKROU</t>
  </si>
  <si>
    <t>AGOU</t>
  </si>
  <si>
    <t>AKOUPE</t>
  </si>
  <si>
    <t>ALEPE</t>
  </si>
  <si>
    <t>ANOUMAMBA</t>
  </si>
  <si>
    <t>ANYAMA</t>
  </si>
  <si>
    <t>ARRAH</t>
  </si>
  <si>
    <t>ASSINIE-MAFIA</t>
  </si>
  <si>
    <t>ASSUEFRY</t>
  </si>
  <si>
    <t>ATECOUBE</t>
  </si>
  <si>
    <t>ATTIEGOUAKRO</t>
  </si>
  <si>
    <t>AYAME</t>
  </si>
  <si>
    <t>AZAGUIE</t>
  </si>
  <si>
    <t>BAKO</t>
  </si>
  <si>
    <t>BANGOLO</t>
  </si>
  <si>
    <t>BASSAWA</t>
  </si>
  <si>
    <t>BEDIALA</t>
  </si>
  <si>
    <t>BEOUMI</t>
  </si>
  <si>
    <t>BETTIE</t>
  </si>
  <si>
    <t>BIN-HOUEN</t>
  </si>
  <si>
    <t>BINGERVILLE</t>
  </si>
  <si>
    <t>BLOLEQUIN</t>
  </si>
  <si>
    <t>BOCANDA</t>
  </si>
  <si>
    <t>BODOKRO</t>
  </si>
  <si>
    <t>BONDOUKOU</t>
  </si>
  <si>
    <t>BONGOUANOU</t>
  </si>
  <si>
    <t>BONIEREDOUGOU</t>
  </si>
  <si>
    <t>BONON</t>
  </si>
  <si>
    <t>BONOUA</t>
  </si>
  <si>
    <t>BOOKO</t>
  </si>
  <si>
    <t>BOROTOU KORO</t>
  </si>
  <si>
    <t>BOTRO</t>
  </si>
  <si>
    <t>BOUAFLé</t>
  </si>
  <si>
    <t>BOUAKE</t>
  </si>
  <si>
    <t>BOUNA</t>
  </si>
  <si>
    <t>BOUNDIALI</t>
  </si>
  <si>
    <t>BROBO</t>
  </si>
  <si>
    <t>BUYO</t>
  </si>
  <si>
    <t>COCODY</t>
  </si>
  <si>
    <t>DABAKALA</t>
  </si>
  <si>
    <t>DABOU</t>
  </si>
  <si>
    <t>DALOA</t>
  </si>
  <si>
    <t>DANANE</t>
  </si>
  <si>
    <t>DAOUKRO</t>
  </si>
  <si>
    <t>DIABO</t>
  </si>
  <si>
    <t>DIANRA</t>
  </si>
  <si>
    <t>DIAWALA</t>
  </si>
  <si>
    <t>DIDIEVI</t>
  </si>
  <si>
    <t>DIEGONEFLA</t>
  </si>
  <si>
    <t>DIKODOUGOU</t>
  </si>
  <si>
    <t>DIMBOKRO</t>
  </si>
  <si>
    <t>DIOULATIEDOUGOU</t>
  </si>
  <si>
    <t>DIVO</t>
  </si>
  <si>
    <t>DJEBONOUA</t>
  </si>
  <si>
    <t>DJEKANOU</t>
  </si>
  <si>
    <t>DJIBROSSO</t>
  </si>
  <si>
    <t>DOROPO</t>
  </si>
  <si>
    <t>DUALLA</t>
  </si>
  <si>
    <t>DUEKOUE</t>
  </si>
  <si>
    <t>ETTROKRO</t>
  </si>
  <si>
    <t>FACOBLY</t>
  </si>
  <si>
    <t>FERKESSEDOUGOU</t>
  </si>
  <si>
    <t>FOUMBOLO</t>
  </si>
  <si>
    <t>FRESCO</t>
  </si>
  <si>
    <t>FRONAN</t>
  </si>
  <si>
    <t>GAGNOA</t>
  </si>
  <si>
    <t>GBELEBAN</t>
  </si>
  <si>
    <t>GBOGUHE</t>
  </si>
  <si>
    <t>GBON</t>
  </si>
  <si>
    <t>GBONNE</t>
  </si>
  <si>
    <t>GOHITAFLA</t>
  </si>
  <si>
    <t>GOULIA</t>
  </si>
  <si>
    <t>GRABO</t>
  </si>
  <si>
    <t>GRAND LAHOU</t>
  </si>
  <si>
    <t>GRAND-BASSAM</t>
  </si>
  <si>
    <t>GRAND-BEREBY</t>
  </si>
  <si>
    <t>GRANDZATTRY</t>
  </si>
  <si>
    <t>GUEYO</t>
  </si>
  <si>
    <t>GUIBEROUA</t>
  </si>
  <si>
    <t>GUIEMBE</t>
  </si>
  <si>
    <t>GUIENTEGUELA</t>
  </si>
  <si>
    <t>GUIGLO</t>
  </si>
  <si>
    <t>GUITRY</t>
  </si>
  <si>
    <t>HIRE</t>
  </si>
  <si>
    <t>ISSIA</t>
  </si>
  <si>
    <t>JACQUEVILLE</t>
  </si>
  <si>
    <t>KANAKONO</t>
  </si>
  <si>
    <t xml:space="preserve">KANI </t>
  </si>
  <si>
    <t>KANIASSO</t>
  </si>
  <si>
    <t>KARAKORO</t>
  </si>
  <si>
    <t>KASSERE</t>
  </si>
  <si>
    <t>KATIOLA</t>
  </si>
  <si>
    <t>KOKUMBO</t>
  </si>
  <si>
    <t>KOLIA</t>
  </si>
  <si>
    <t>KOMBORODOUGOU</t>
  </si>
  <si>
    <t>KONG</t>
  </si>
  <si>
    <t>KONGASSO</t>
  </si>
  <si>
    <t>KOONAN</t>
  </si>
  <si>
    <t>KORHOGO</t>
  </si>
  <si>
    <t>KORO</t>
  </si>
  <si>
    <t>KOUASSI KOUASSIKRO</t>
  </si>
  <si>
    <t>KOUASSI-DATTEKRO</t>
  </si>
  <si>
    <t>KOUIBLY</t>
  </si>
  <si>
    <t>KOUMASSI</t>
  </si>
  <si>
    <t>KOUMBALA</t>
  </si>
  <si>
    <t>KOUMBORODOUGOU</t>
  </si>
  <si>
    <t>KOUN-FAO</t>
  </si>
  <si>
    <t>KOUNAHIRI</t>
  </si>
  <si>
    <t>KOUTO</t>
  </si>
  <si>
    <t>LAKOTA</t>
  </si>
  <si>
    <t>LOGOUALE</t>
  </si>
  <si>
    <t>M'BAHIAKRO</t>
  </si>
  <si>
    <t>M'BATTO</t>
  </si>
  <si>
    <t>M'BENGUE</t>
  </si>
  <si>
    <t>MADINANI</t>
  </si>
  <si>
    <t>MAFERE</t>
  </si>
  <si>
    <t>MAN</t>
  </si>
  <si>
    <t>MANKONO</t>
  </si>
  <si>
    <t>MARCORY</t>
  </si>
  <si>
    <t>MASSALA</t>
  </si>
  <si>
    <t>MAYO</t>
  </si>
  <si>
    <t>MEAGUI</t>
  </si>
  <si>
    <t>MINIGNAN</t>
  </si>
  <si>
    <t>MORONDO</t>
  </si>
  <si>
    <t>N'DOUCI</t>
  </si>
  <si>
    <t>NAPIE</t>
  </si>
  <si>
    <t>NASSIAN</t>
  </si>
  <si>
    <t>NIABLE</t>
  </si>
  <si>
    <t>NIAKARA</t>
  </si>
  <si>
    <t>NIELLE</t>
  </si>
  <si>
    <t>NIOFOUIN</t>
  </si>
  <si>
    <t>ODIENNE</t>
  </si>
  <si>
    <t>OUANGOLODOUGOU</t>
  </si>
  <si>
    <t>OUANINOU</t>
  </si>
  <si>
    <t>OUELLE</t>
  </si>
  <si>
    <t>OUME</t>
  </si>
  <si>
    <t>OURAGAHIO</t>
  </si>
  <si>
    <t>PLATEAU</t>
  </si>
  <si>
    <t>PORT-BOUET</t>
  </si>
  <si>
    <t>PRIKRO</t>
  </si>
  <si>
    <t>RUBINO</t>
  </si>
  <si>
    <t>SAIOUA</t>
  </si>
  <si>
    <t>SAKASSOU</t>
  </si>
  <si>
    <t>SAMATIGUILA</t>
  </si>
  <si>
    <t>SAN PEDRO</t>
  </si>
  <si>
    <t>SANDEGUE</t>
  </si>
  <si>
    <t>SANGOUINE</t>
  </si>
  <si>
    <t>SARHALA</t>
  </si>
  <si>
    <t>SASSANDRA</t>
  </si>
  <si>
    <t>SATAMASOKORA</t>
  </si>
  <si>
    <t>SATAMASOKORO</t>
  </si>
  <si>
    <t>SEGUELA</t>
  </si>
  <si>
    <t>SEGUELON</t>
  </si>
  <si>
    <t>SEYDOUGOU</t>
  </si>
  <si>
    <t>SIEMPURGO</t>
  </si>
  <si>
    <t>SIFIE</t>
  </si>
  <si>
    <t>SIKENSI</t>
  </si>
  <si>
    <t>SINEMATIALI</t>
  </si>
  <si>
    <t>SINFRA</t>
  </si>
  <si>
    <t>SIPILOU</t>
  </si>
  <si>
    <t>SIRASSO</t>
  </si>
  <si>
    <t>SONGON</t>
  </si>
  <si>
    <t>SOUBRE</t>
  </si>
  <si>
    <t>TAABO</t>
  </si>
  <si>
    <t>TABOU</t>
  </si>
  <si>
    <t>TAFIRE</t>
  </si>
  <si>
    <t>TAI</t>
  </si>
  <si>
    <t>TANDA</t>
  </si>
  <si>
    <t>TEHINI</t>
  </si>
  <si>
    <t>TIAPOUM</t>
  </si>
  <si>
    <t>TIASSALE</t>
  </si>
  <si>
    <t>TIE-NDIEKRO</t>
  </si>
  <si>
    <t>TIEBISSOU</t>
  </si>
  <si>
    <t>TIENINGBOUE</t>
  </si>
  <si>
    <t>TIENKO</t>
  </si>
  <si>
    <t>TIEME</t>
  </si>
  <si>
    <t>TIEMELEKRO</t>
  </si>
  <si>
    <t>TINGRELA</t>
  </si>
  <si>
    <t>TIORONIARADOUGOU</t>
  </si>
  <si>
    <t>TORTIYA</t>
  </si>
  <si>
    <t>TOUBA</t>
  </si>
  <si>
    <t>TOULEPLEU</t>
  </si>
  <si>
    <t>TOUMODI</t>
  </si>
  <si>
    <t>TRANSUA</t>
  </si>
  <si>
    <t>TREICHVILLE</t>
  </si>
  <si>
    <t>VAVOUA</t>
  </si>
  <si>
    <t>WOROFLA</t>
  </si>
  <si>
    <t>YAKASSE-ATTOBROU</t>
  </si>
  <si>
    <t>YAMOUSSOUKRO</t>
  </si>
  <si>
    <t>YOPOUGON</t>
  </si>
  <si>
    <t>ZAGNE</t>
  </si>
  <si>
    <t>ZIKISSO</t>
  </si>
  <si>
    <t>ZOUAN-HOUNIEN</t>
  </si>
  <si>
    <t>ZOUKOUGBEU</t>
  </si>
  <si>
    <t>ZUENOULA</t>
  </si>
  <si>
    <t>Total</t>
  </si>
  <si>
    <t>Montant TSP</t>
  </si>
  <si>
    <t>Montant ODP</t>
  </si>
  <si>
    <t xml:space="preserve"> Enseigne Lumineuse P C</t>
  </si>
  <si>
    <t>96 cm * 200 cm</t>
  </si>
  <si>
    <t>Autocollant  (Pack Free) Petit</t>
  </si>
  <si>
    <t>40cm * 40cm</t>
  </si>
  <si>
    <t>Autocollant (pack free) Grand</t>
  </si>
  <si>
    <t>40cm * 60 cm</t>
  </si>
  <si>
    <t>Autocollant MoMo Grand</t>
  </si>
  <si>
    <t>Autocollant MoMo Petit</t>
  </si>
  <si>
    <t>Autocollant MTN Grand</t>
  </si>
  <si>
    <t>Autocollant MTN Petit</t>
  </si>
  <si>
    <t>Box Cabine MoMo</t>
  </si>
  <si>
    <t>86cm * 63.5 cm</t>
  </si>
  <si>
    <t>Box MTN</t>
  </si>
  <si>
    <t>70 cm * 80 cm</t>
  </si>
  <si>
    <t>Container</t>
  </si>
  <si>
    <t>12 m2</t>
  </si>
  <si>
    <t>Grille Tarifaire momo</t>
  </si>
  <si>
    <t>0.0</t>
  </si>
  <si>
    <t>Logo sur Bâche MTN</t>
  </si>
  <si>
    <t>Logo sur boutique peinte MoMo</t>
  </si>
  <si>
    <t>Logo sur boutique peinte MTN</t>
  </si>
  <si>
    <t>Logo sur Panneau peint MoMo</t>
  </si>
  <si>
    <t>40 Cm * 40Cm * 2</t>
  </si>
  <si>
    <t>Logo sur Panneau peint MTN</t>
  </si>
  <si>
    <t>Magasin Peint Grand</t>
  </si>
  <si>
    <t>35 m2</t>
  </si>
  <si>
    <t>Magasin Peint Petit</t>
  </si>
  <si>
    <t>16 m2</t>
  </si>
  <si>
    <t>Panneau double face MoMo grand</t>
  </si>
  <si>
    <t>75cm * 75 cm * 2</t>
  </si>
  <si>
    <t>Panneau double face MoMo petit</t>
  </si>
  <si>
    <t>65cm * 65 cm * 2</t>
  </si>
  <si>
    <t>Panneau double face MTN grand</t>
  </si>
  <si>
    <t xml:space="preserve">Panneau double face MTN Petit </t>
  </si>
  <si>
    <t>Panneau Indicateur MoMo Grand</t>
  </si>
  <si>
    <t>Panneau indicateur MoMo petit</t>
  </si>
  <si>
    <t>Panneau simple face  MoMo grand</t>
  </si>
  <si>
    <t>75cm * 75 cm</t>
  </si>
  <si>
    <t>Panneau simple face  MoMo petit</t>
  </si>
  <si>
    <t>65cm * 65 cm</t>
  </si>
  <si>
    <t>Panneau simple face  MTN grand</t>
  </si>
  <si>
    <t>Panneau simple face  MTN petit</t>
  </si>
  <si>
    <t>Parasol</t>
  </si>
  <si>
    <t>2.5 m2</t>
  </si>
  <si>
    <t>PLV boutique Autucollant MoMo Grand</t>
  </si>
  <si>
    <t>PVC  MoMo  Grand</t>
  </si>
  <si>
    <t>PVC  MoMo petit</t>
  </si>
  <si>
    <t>PVC (pack Free)  Grand</t>
  </si>
  <si>
    <t>PVC (Pack Free) Petit</t>
  </si>
  <si>
    <t>PVC MTN  Grand</t>
  </si>
  <si>
    <t>PVC MTN  Petit</t>
  </si>
  <si>
    <t>Bâche</t>
  </si>
  <si>
    <t>6 m2</t>
  </si>
  <si>
    <t>Enseigne Lumineuse</t>
  </si>
  <si>
    <t>Logo sur  banderole MoMo</t>
  </si>
  <si>
    <t>Magasin Peint Moyen</t>
  </si>
  <si>
    <t>25 m2</t>
  </si>
  <si>
    <t>Panneau indicateur MTN Petit</t>
  </si>
  <si>
    <t>Panneau lunmineux</t>
  </si>
  <si>
    <t>Logo sur Bâche MoMo</t>
  </si>
  <si>
    <t>PLV boutique PVC MoMo Petit</t>
  </si>
  <si>
    <t>Logo sur  banderole MTN</t>
  </si>
  <si>
    <t>Panneau ville (km)</t>
  </si>
  <si>
    <t>PLV boutique Autocollant MTN grand</t>
  </si>
  <si>
    <t>Totems</t>
  </si>
  <si>
    <t>2m * 0.90 m * 2</t>
  </si>
  <si>
    <t>S/T BINGERVILLE</t>
  </si>
  <si>
    <t>S/T BLOLEQUIN</t>
  </si>
  <si>
    <t>S/T BOCANDA</t>
  </si>
  <si>
    <t>S/T ZUENOULA</t>
  </si>
  <si>
    <t>S/T BODOKRO</t>
  </si>
  <si>
    <t>S/T BONDOUKOU</t>
  </si>
  <si>
    <t>S/T BONGOUANOU</t>
  </si>
  <si>
    <t>S/T BONIEREDOUGOU</t>
  </si>
  <si>
    <t>S/T BONOUA</t>
  </si>
  <si>
    <t>S/T BOOKO</t>
  </si>
  <si>
    <t>S/T BOROTOU KORO</t>
  </si>
  <si>
    <t>S/T BOTRO</t>
  </si>
  <si>
    <t>S/T BOUAFLé</t>
  </si>
  <si>
    <t>S/T BOUAKE</t>
  </si>
  <si>
    <t>S/T BOUNA</t>
  </si>
  <si>
    <t>S/T BOUNDIALI</t>
  </si>
  <si>
    <t>S/T BROBO</t>
  </si>
  <si>
    <t>S/T BUYO</t>
  </si>
  <si>
    <t>S/T COCODY</t>
  </si>
  <si>
    <t>S/T DABAKALA</t>
  </si>
  <si>
    <t>S/T DABOU</t>
  </si>
  <si>
    <t>S/T DALOA</t>
  </si>
  <si>
    <t>S/T DANANE</t>
  </si>
  <si>
    <t>S/T DAOUKRO</t>
  </si>
  <si>
    <t>S/T DIABO</t>
  </si>
  <si>
    <t>S/T DIAWALA</t>
  </si>
  <si>
    <t>S/T DIDIEVI</t>
  </si>
  <si>
    <t>S/T DIEGONEFLA</t>
  </si>
  <si>
    <t>S/T DIKODOUGOU</t>
  </si>
  <si>
    <t>S/T DIMBOKRO</t>
  </si>
  <si>
    <t>S/T DIVO</t>
  </si>
  <si>
    <t>S/T DJEKANOU</t>
  </si>
  <si>
    <t>S/T DJIBROSSO</t>
  </si>
  <si>
    <t>S/T DOROPO</t>
  </si>
  <si>
    <t>S/T DUEKOUE</t>
  </si>
  <si>
    <t>S/T ETTROKRO</t>
  </si>
  <si>
    <t>S/T FACOBLY</t>
  </si>
  <si>
    <t>S/T FERKESSEDOUGOU</t>
  </si>
  <si>
    <t>S/T FOUMBOLO</t>
  </si>
  <si>
    <t>S/T FRESCO</t>
  </si>
  <si>
    <t>S/T FRONAN</t>
  </si>
  <si>
    <t>S/T GAGNOA</t>
  </si>
  <si>
    <t>S/T GBELEBAN</t>
  </si>
  <si>
    <t>S/T GBOGUHE</t>
  </si>
  <si>
    <t>S/T GBON</t>
  </si>
  <si>
    <t>S/T GBONNE</t>
  </si>
  <si>
    <t>S/T GOHITAFLA</t>
  </si>
  <si>
    <t>S/T GRABO</t>
  </si>
  <si>
    <t>S/T GRAND LAHOU</t>
  </si>
  <si>
    <t>S/T GRAND-BASSAM</t>
  </si>
  <si>
    <t>S/T GRAND-BEREBY</t>
  </si>
  <si>
    <t>S/T GRANDZATTRY</t>
  </si>
  <si>
    <t>S/T GUEYO</t>
  </si>
  <si>
    <t>S/T GUIBEROUA</t>
  </si>
  <si>
    <t>S/T GUIGLO</t>
  </si>
  <si>
    <t>S/T GUITRY</t>
  </si>
  <si>
    <t>S/T HIRE</t>
  </si>
  <si>
    <t>S/T ISSIA</t>
  </si>
  <si>
    <t>S/T JACQUEVILLE</t>
  </si>
  <si>
    <t>S/T KANAKONO</t>
  </si>
  <si>
    <t xml:space="preserve">S/T KANI </t>
  </si>
  <si>
    <t>S/T KARAKORO</t>
  </si>
  <si>
    <t>S/T KASSERE</t>
  </si>
  <si>
    <t>S/T KATIOLA</t>
  </si>
  <si>
    <t>S/T KOKUMBO</t>
  </si>
  <si>
    <t>S/T KOLIA</t>
  </si>
  <si>
    <t>S/T KOMBORODOUGOU</t>
  </si>
  <si>
    <t>S/T KONG</t>
  </si>
  <si>
    <t>S/T KORHOGO</t>
  </si>
  <si>
    <t>S/T KORO</t>
  </si>
  <si>
    <t>S/T KOUASSI KOUASSIKRO</t>
  </si>
  <si>
    <t>S/T KOUASSI-DATTEKRO</t>
  </si>
  <si>
    <t>S/T KOUIBLY</t>
  </si>
  <si>
    <t>S/T KOUMASSI</t>
  </si>
  <si>
    <t>S/T KOUN-FAO</t>
  </si>
  <si>
    <t>S/T KOUTO</t>
  </si>
  <si>
    <t>S/T LAKOTA</t>
  </si>
  <si>
    <t>S/T LOGOUALE</t>
  </si>
  <si>
    <t>S/T M'BAHIAKRO</t>
  </si>
  <si>
    <t>S/T M'BATTO</t>
  </si>
  <si>
    <t>S/T M'BENGUE</t>
  </si>
  <si>
    <t>S/T MADINANI</t>
  </si>
  <si>
    <t>S/T MAFERE</t>
  </si>
  <si>
    <t>S/T MAN</t>
  </si>
  <si>
    <t>S/T MARCORY</t>
  </si>
  <si>
    <t>S/T MASSALA</t>
  </si>
  <si>
    <t>S/T MAYO</t>
  </si>
  <si>
    <t>S/T MEAGUI</t>
  </si>
  <si>
    <t>S/T MINIGNAN</t>
  </si>
  <si>
    <t>S/T MORONDO</t>
  </si>
  <si>
    <t>S/T N'DOUCI</t>
  </si>
  <si>
    <t>S/T NAPIE</t>
  </si>
  <si>
    <t>S/T NASSIAN</t>
  </si>
  <si>
    <t>S/T NIABLE</t>
  </si>
  <si>
    <t>S/T NIAKARA</t>
  </si>
  <si>
    <t>S/T NIELLE</t>
  </si>
  <si>
    <t>S/T NIOFOUIN</t>
  </si>
  <si>
    <t>S/T ODIENNE</t>
  </si>
  <si>
    <t>S/T OUANGOLODOUGOU</t>
  </si>
  <si>
    <t>S/T OUANINOU</t>
  </si>
  <si>
    <t>S/T OUELLE</t>
  </si>
  <si>
    <t>S/T OUME</t>
  </si>
  <si>
    <t>S/T OURAGAHIO</t>
  </si>
  <si>
    <t>S/T PLATEAU</t>
  </si>
  <si>
    <t>S/T PORT-BOUET</t>
  </si>
  <si>
    <t>S/T PRIKRO</t>
  </si>
  <si>
    <t>S/T RUBINO</t>
  </si>
  <si>
    <t>S/T SAKASSOU</t>
  </si>
  <si>
    <t>S/T SAMATIGUILA</t>
  </si>
  <si>
    <t>S/T SAN PEDRO</t>
  </si>
  <si>
    <t>S/T SANDEGUE</t>
  </si>
  <si>
    <t>S/T SANGOUINE</t>
  </si>
  <si>
    <t>S/T SASSANDRA</t>
  </si>
  <si>
    <t>S/T SATAMASOKORO</t>
  </si>
  <si>
    <t>S/T SEGUELA</t>
  </si>
  <si>
    <t>S/T SEGUELON</t>
  </si>
  <si>
    <t>S/T SEYDOUGOU</t>
  </si>
  <si>
    <t>S/T SIEMPURGO</t>
  </si>
  <si>
    <t>S/T SIFIE</t>
  </si>
  <si>
    <t>S/T SIKENSI</t>
  </si>
  <si>
    <t>S/T SINEMATIALI</t>
  </si>
  <si>
    <t>S/T SINFRA</t>
  </si>
  <si>
    <t>S/T SIPILOU</t>
  </si>
  <si>
    <t>S/T SIRASSO</t>
  </si>
  <si>
    <t>S/T SONGON</t>
  </si>
  <si>
    <t>S/T SOUBRE</t>
  </si>
  <si>
    <t>S/T TAABO</t>
  </si>
  <si>
    <t>S/T TABOU</t>
  </si>
  <si>
    <t>S/T TAFIRE</t>
  </si>
  <si>
    <t>S/T TAI</t>
  </si>
  <si>
    <t>S/T TANDA</t>
  </si>
  <si>
    <t>S/T TEHINI</t>
  </si>
  <si>
    <t>S/T TIAPOUM</t>
  </si>
  <si>
    <t>S/T TIASSALE</t>
  </si>
  <si>
    <t>S/T TIE-NDIEKRO</t>
  </si>
  <si>
    <t>S/T TIEBISSOU</t>
  </si>
  <si>
    <t>S/T TIEME</t>
  </si>
  <si>
    <t>S/T TIEMELEKRO</t>
  </si>
  <si>
    <t>S/T TINGRELA</t>
  </si>
  <si>
    <t>S/T TORTIYA</t>
  </si>
  <si>
    <t>S/T TOUBA</t>
  </si>
  <si>
    <t>S/T TOULEPLEU</t>
  </si>
  <si>
    <t>S/T TOUMODI</t>
  </si>
  <si>
    <t>S/T TRANSUA</t>
  </si>
  <si>
    <t>S/T TREICHVILLE</t>
  </si>
  <si>
    <t>S/T VAVOUA</t>
  </si>
  <si>
    <t>S/T WOROFLA</t>
  </si>
  <si>
    <t>S/T YAKASSE-ATTOBROU</t>
  </si>
  <si>
    <t>S/T YAMOUSSOUKRO</t>
  </si>
  <si>
    <t>S/T YOPOUGON</t>
  </si>
  <si>
    <t>S/T ZAGNE</t>
  </si>
  <si>
    <t>S/T ZIKISSO</t>
  </si>
  <si>
    <t>S/T ZOUAN-HOUNIEN</t>
  </si>
  <si>
    <t>S/T ZOUKOUGBEU</t>
  </si>
  <si>
    <t>S/T ABENGOUROU</t>
  </si>
  <si>
    <t>S/T ABOBO</t>
  </si>
  <si>
    <t>S/T ABOISSO</t>
  </si>
  <si>
    <t>S/T ADIAKE</t>
  </si>
  <si>
    <t>S/T ADJAME</t>
  </si>
  <si>
    <t>S/T ADZOPE</t>
  </si>
  <si>
    <t>S/T AFFERY</t>
  </si>
  <si>
    <t>S/T AGBAOU</t>
  </si>
  <si>
    <t>S/T AGBOVILLE</t>
  </si>
  <si>
    <t>S/T AGNIBILEKROU</t>
  </si>
  <si>
    <t>S/T AGOU</t>
  </si>
  <si>
    <t>S/T AKOUPE</t>
  </si>
  <si>
    <t>S/T ALEPE</t>
  </si>
  <si>
    <t>S/T ANOUMAMBA</t>
  </si>
  <si>
    <t>S/T ANYAMA</t>
  </si>
  <si>
    <t>S/T ARRAH</t>
  </si>
  <si>
    <t>S/T ASSINIE-MAFIA</t>
  </si>
  <si>
    <t>S/T ASSUEFRY</t>
  </si>
  <si>
    <t>S/T ATECOUBE</t>
  </si>
  <si>
    <t>S/T ATTIEGOUAKRO</t>
  </si>
  <si>
    <t>S/T AYAME</t>
  </si>
  <si>
    <t>S/T AZAGUIE</t>
  </si>
  <si>
    <t>S/T BANGOLO</t>
  </si>
  <si>
    <t>S/T BEDIALA</t>
  </si>
  <si>
    <t>S/T BEOUMI</t>
  </si>
  <si>
    <t>S/T BETTIE</t>
  </si>
  <si>
    <t>S/T TIENINGBOUE</t>
  </si>
  <si>
    <t>S/T TIENKO</t>
  </si>
  <si>
    <t>S/T SATAMASOKORA</t>
  </si>
  <si>
    <t>S/T SARHALA</t>
  </si>
  <si>
    <t>S/T SAIOUA</t>
  </si>
  <si>
    <t>S/T MANKONO</t>
  </si>
  <si>
    <t>S/T KOUNAHIRI</t>
  </si>
  <si>
    <t>S/T KOUMBALA</t>
  </si>
  <si>
    <t>S/T KOUMBORODOUGOU</t>
  </si>
  <si>
    <t>S/T KONGASSO</t>
  </si>
  <si>
    <t>S/T KOONAN</t>
  </si>
  <si>
    <t>S/T KANIASSO</t>
  </si>
  <si>
    <t>S/T GUIEMBE</t>
  </si>
  <si>
    <t>S/T GUIENTEGUELA</t>
  </si>
  <si>
    <t>S/T GOULIA</t>
  </si>
  <si>
    <t>S/T DUALLA</t>
  </si>
  <si>
    <t>S/T DJEBONOUA</t>
  </si>
  <si>
    <t>S/T DIOULATIEDOUGOU</t>
  </si>
  <si>
    <t>S/T DIANRA</t>
  </si>
  <si>
    <t>BIANKOUMAN</t>
  </si>
  <si>
    <t>S/T BIN-HOUEN</t>
  </si>
  <si>
    <t>S/T BASSAWA</t>
  </si>
  <si>
    <t>S/T BAKO</t>
  </si>
  <si>
    <t>S/T TIORONIARADOUGOU</t>
  </si>
  <si>
    <t>S/T BONON</t>
  </si>
  <si>
    <t>S/T BIANKOUMAN</t>
  </si>
  <si>
    <t>TOTAL</t>
  </si>
  <si>
    <t>TOTAL TSP</t>
  </si>
  <si>
    <t>TOTAL ODP</t>
  </si>
  <si>
    <t>NBRE SUPPORTS</t>
  </si>
  <si>
    <t>TOTAL GENERAL</t>
  </si>
  <si>
    <t>COMMUNES</t>
  </si>
  <si>
    <t>SUPPORTS</t>
  </si>
  <si>
    <t>DIMENSIONS</t>
  </si>
  <si>
    <t>COUT TOTAL TSP</t>
  </si>
  <si>
    <t>COUT TOTAL ODP</t>
  </si>
  <si>
    <t>COUT TOTAL</t>
  </si>
  <si>
    <t>NOMBRE DE SUPPORTS</t>
  </si>
  <si>
    <t>RAPPORT MOMO</t>
  </si>
  <si>
    <t>COUT PAR TYPE DE SUPPORT</t>
  </si>
  <si>
    <t>RAPPORT MTN</t>
  </si>
  <si>
    <t>RAPPORT TSP ET ODP PAR COMMUNE</t>
  </si>
  <si>
    <t>RAPPORT DETAILLE PAR COMMUNE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</si>
</sst>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\ _€_-;_-@_-"/>
  </numFmts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0" xfId="0" applyFont="1" applyFill="1"/>
    <xf numFmtId="0" fontId="0" fillId="0" borderId="3" xfId="0" applyFont="1" applyFill="1" applyBorder="1"/>
    <xf numFmtId="0" fontId="0" fillId="0" borderId="3" xfId="0" applyFill="1" applyBorder="1"/>
    <xf numFmtId="165" fontId="0" fillId="0" borderId="3" xfId="2" applyFont="1" applyFill="1" applyBorder="1" applyAlignment="1">
      <alignment horizontal="center"/>
    </xf>
    <xf numFmtId="164" fontId="0" fillId="0" borderId="5" xfId="1" applyNumberFormat="1" applyFont="1" applyFill="1" applyBorder="1"/>
    <xf numFmtId="164" fontId="0" fillId="0" borderId="7" xfId="1" applyNumberFormat="1" applyFont="1" applyFill="1" applyBorder="1"/>
    <xf numFmtId="164" fontId="0" fillId="0" borderId="0" xfId="0" applyNumberFormat="1" applyFill="1"/>
    <xf numFmtId="0" fontId="0" fillId="0" borderId="0" xfId="0" applyFill="1"/>
    <xf numFmtId="0" fontId="0" fillId="0" borderId="3" xfId="0" applyFill="1" applyBorder="1" applyAlignment="1">
      <alignment horizontal="center"/>
    </xf>
    <xf numFmtId="164" fontId="0" fillId="0" borderId="2" xfId="1" applyNumberFormat="1" applyFont="1" applyFill="1" applyBorder="1" applyAlignment="1"/>
    <xf numFmtId="164" fontId="0" fillId="0" borderId="3" xfId="1" applyNumberFormat="1" applyFont="1" applyFill="1" applyBorder="1"/>
    <xf numFmtId="164" fontId="0" fillId="0" borderId="8" xfId="1" applyNumberFormat="1" applyFont="1" applyFill="1" applyBorder="1"/>
    <xf numFmtId="0" fontId="0" fillId="0" borderId="4" xfId="0" applyFont="1" applyFill="1" applyBorder="1"/>
    <xf numFmtId="0" fontId="0" fillId="0" borderId="4" xfId="0" applyFill="1" applyBorder="1"/>
    <xf numFmtId="165" fontId="0" fillId="0" borderId="4" xfId="2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0" fillId="0" borderId="4" xfId="1" applyNumberFormat="1" applyFont="1" applyFill="1" applyBorder="1"/>
    <xf numFmtId="0" fontId="3" fillId="0" borderId="4" xfId="0" applyFont="1" applyFill="1" applyBorder="1"/>
    <xf numFmtId="0" fontId="3" fillId="0" borderId="3" xfId="0" applyFont="1" applyFill="1" applyBorder="1"/>
    <xf numFmtId="165" fontId="3" fillId="0" borderId="3" xfId="2" applyFont="1" applyFill="1" applyBorder="1" applyAlignment="1">
      <alignment horizontal="center"/>
    </xf>
    <xf numFmtId="0" fontId="0" fillId="0" borderId="5" xfId="0" applyFont="1" applyFill="1" applyBorder="1"/>
    <xf numFmtId="0" fontId="0" fillId="0" borderId="5" xfId="0" applyFill="1" applyBorder="1"/>
    <xf numFmtId="165" fontId="0" fillId="0" borderId="5" xfId="2" applyFont="1" applyFill="1" applyBorder="1" applyAlignment="1">
      <alignment horizontal="center"/>
    </xf>
    <xf numFmtId="164" fontId="0" fillId="0" borderId="5" xfId="1" applyNumberFormat="1" applyFont="1" applyFill="1" applyBorder="1" applyAlignment="1"/>
    <xf numFmtId="164" fontId="0" fillId="0" borderId="3" xfId="1" applyNumberFormat="1" applyFont="1" applyFill="1" applyBorder="1" applyAlignment="1"/>
    <xf numFmtId="164" fontId="0" fillId="0" borderId="0" xfId="1" applyNumberFormat="1" applyFont="1" applyFill="1" applyBorder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0" xfId="1" applyNumberFormat="1" applyFont="1" applyFill="1" applyAlignment="1"/>
    <xf numFmtId="164" fontId="0" fillId="0" borderId="0" xfId="1" applyNumberFormat="1" applyFont="1" applyFill="1"/>
    <xf numFmtId="164" fontId="0" fillId="0" borderId="9" xfId="1" applyNumberFormat="1" applyFont="1" applyFill="1" applyBorder="1"/>
    <xf numFmtId="0" fontId="0" fillId="0" borderId="1" xfId="0" applyFill="1" applyBorder="1"/>
    <xf numFmtId="165" fontId="0" fillId="0" borderId="1" xfId="2" applyFont="1" applyFill="1" applyBorder="1" applyAlignment="1">
      <alignment horizontal="center"/>
    </xf>
    <xf numFmtId="0" fontId="0" fillId="0" borderId="1" xfId="0" applyFont="1" applyFill="1" applyBorder="1"/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5" fontId="3" fillId="0" borderId="1" xfId="2" applyFont="1" applyFill="1" applyBorder="1" applyAlignment="1">
      <alignment horizontal="center"/>
    </xf>
    <xf numFmtId="165" fontId="3" fillId="0" borderId="4" xfId="2" applyFont="1" applyFill="1" applyBorder="1" applyAlignment="1">
      <alignment horizontal="center"/>
    </xf>
    <xf numFmtId="165" fontId="3" fillId="0" borderId="5" xfId="2" applyFont="1" applyFill="1" applyBorder="1" applyAlignment="1">
      <alignment horizontal="center"/>
    </xf>
    <xf numFmtId="0" fontId="0" fillId="0" borderId="0" xfId="0" applyFont="1" applyFill="1"/>
    <xf numFmtId="165" fontId="3" fillId="0" borderId="4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3" fillId="0" borderId="1" xfId="1" applyNumberFormat="1" applyFont="1" applyFill="1" applyBorder="1" applyAlignment="1"/>
    <xf numFmtId="164" fontId="3" fillId="0" borderId="3" xfId="1" applyNumberFormat="1" applyFont="1" applyFill="1" applyBorder="1" applyAlignment="1"/>
    <xf numFmtId="164" fontId="3" fillId="0" borderId="5" xfId="1" applyNumberFormat="1" applyFont="1" applyFill="1" applyBorder="1" applyAlignment="1"/>
    <xf numFmtId="164" fontId="0" fillId="0" borderId="5" xfId="0" applyNumberFormat="1" applyFill="1" applyBorder="1"/>
    <xf numFmtId="164" fontId="0" fillId="0" borderId="3" xfId="0" applyNumberFormat="1" applyFill="1" applyBorder="1"/>
    <xf numFmtId="164" fontId="3" fillId="0" borderId="1" xfId="0" applyNumberFormat="1" applyFont="1" applyFill="1" applyBorder="1"/>
    <xf numFmtId="164" fontId="0" fillId="0" borderId="4" xfId="0" applyNumberFormat="1" applyFill="1" applyBorder="1"/>
    <xf numFmtId="164" fontId="0" fillId="0" borderId="4" xfId="1" applyNumberFormat="1" applyFont="1" applyFill="1" applyBorder="1" applyAlignment="1"/>
    <xf numFmtId="164" fontId="0" fillId="0" borderId="6" xfId="1" applyNumberFormat="1" applyFont="1" applyFill="1" applyBorder="1"/>
    <xf numFmtId="164" fontId="0" fillId="0" borderId="2" xfId="1" applyNumberFormat="1" applyFont="1" applyFill="1" applyBorder="1"/>
    <xf numFmtId="164" fontId="0" fillId="0" borderId="3" xfId="1" applyNumberFormat="1" applyFont="1" applyFill="1" applyBorder="1" applyAlignment="1" applyProtection="1">
      <protection hidden="1"/>
    </xf>
    <xf numFmtId="164" fontId="3" fillId="0" borderId="4" xfId="1" applyNumberFormat="1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4" fontId="0" fillId="0" borderId="1" xfId="0" applyNumberFormat="1" applyFill="1" applyBorder="1"/>
    <xf numFmtId="164" fontId="0" fillId="0" borderId="1" xfId="1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164" fontId="3" fillId="0" borderId="10" xfId="1" applyNumberFormat="1" applyFont="1" applyFill="1" applyBorder="1" applyAlignment="1">
      <alignment horizontal="center" vertical="center" wrapText="1"/>
    </xf>
    <xf numFmtId="164" fontId="0" fillId="0" borderId="0" xfId="1" applyNumberFormat="1" applyFont="1" applyFill="1" applyBorder="1" applyAlignment="1"/>
    <xf numFmtId="164" fontId="0" fillId="0" borderId="9" xfId="1" applyNumberFormat="1" applyFont="1" applyFill="1" applyBorder="1" applyAlignment="1"/>
    <xf numFmtId="0" fontId="3" fillId="0" borderId="11" xfId="0" applyFont="1" applyFill="1" applyBorder="1"/>
    <xf numFmtId="164" fontId="3" fillId="0" borderId="11" xfId="1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</cellXfs>
  <cellStyles count="4">
    <cellStyle name="Milliers" xfId="1" builtinId="3"/>
    <cellStyle name="Milliers [0]" xfId="2" builtinId="6"/>
    <cellStyle name="Normal" xfId="0" builtinId="0"/>
    <cellStyle name="Normal 2" xfId="3" xr:uid="{068EC353-F2CD-45E0-9AE5-88B183566B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A92F-7063-4BCE-A96F-B1B2A2DB1668}">
  <dimension ref="A1:J2328"/>
  <sheetViews>
    <sheetView topLeftCell="A237" zoomScale="112" zoomScaleNormal="112" workbookViewId="0">
      <selection activeCell="I254" sqref="I254"/>
    </sheetView>
  </sheetViews>
  <sheetFormatPr baseColWidth="10" defaultColWidth="9.140625" defaultRowHeight="15" x14ac:dyDescent="0.25"/>
  <cols>
    <col min="1" max="1" width="16.7109375" style="44" customWidth="1"/>
    <col min="2" max="2" width="31.28515625" style="10" customWidth="1"/>
    <col min="3" max="3" width="15.85546875" style="10" customWidth="1"/>
    <col min="4" max="4" width="5.85546875" style="10" hidden="1" customWidth="1"/>
    <col min="5" max="5" width="14.5703125" style="46" hidden="1" customWidth="1"/>
    <col min="6" max="6" width="15" style="46" hidden="1" customWidth="1"/>
    <col min="7" max="7" width="10.42578125" style="31" customWidth="1"/>
    <col min="8" max="8" width="14.140625" style="32" customWidth="1"/>
    <col min="9" max="9" width="13.85546875" style="32" customWidth="1"/>
    <col min="10" max="10" width="15.140625" style="10" bestFit="1" customWidth="1"/>
    <col min="11" max="16384" width="9.140625" style="10"/>
  </cols>
  <sheetData>
    <row r="1" spans="1:10" x14ac:dyDescent="0.25">
      <c r="A1" s="71" t="s">
        <v>495</v>
      </c>
      <c r="B1" s="71"/>
      <c r="C1" s="71"/>
      <c r="D1" s="71"/>
      <c r="E1" s="71"/>
      <c r="F1" s="71"/>
      <c r="G1" s="71"/>
      <c r="H1" s="71"/>
      <c r="I1" s="71"/>
      <c r="J1" s="71"/>
    </row>
    <row r="3" spans="1:10" s="62" customFormat="1" ht="30" x14ac:dyDescent="0.25">
      <c r="A3" s="59" t="s">
        <v>484</v>
      </c>
      <c r="B3" s="59" t="s">
        <v>485</v>
      </c>
      <c r="C3" s="59" t="s">
        <v>486</v>
      </c>
      <c r="D3" s="59" t="s">
        <v>204</v>
      </c>
      <c r="E3" s="59" t="s">
        <v>205</v>
      </c>
      <c r="F3" s="59" t="s">
        <v>206</v>
      </c>
      <c r="G3" s="60" t="s">
        <v>482</v>
      </c>
      <c r="H3" s="61" t="s">
        <v>480</v>
      </c>
      <c r="I3" s="61" t="s">
        <v>481</v>
      </c>
      <c r="J3" s="59" t="s">
        <v>483</v>
      </c>
    </row>
    <row r="4" spans="1:10" x14ac:dyDescent="0.25">
      <c r="A4" s="4" t="s">
        <v>0</v>
      </c>
      <c r="B4" s="5" t="s">
        <v>207</v>
      </c>
      <c r="C4" s="5" t="s">
        <v>208</v>
      </c>
      <c r="D4" s="5">
        <v>2</v>
      </c>
      <c r="E4" s="6">
        <v>23296</v>
      </c>
      <c r="F4" s="6">
        <v>93184</v>
      </c>
      <c r="G4" s="26">
        <f>1652*D4/345</f>
        <v>9.5768115942028977</v>
      </c>
      <c r="H4" s="7">
        <f t="shared" ref="H4:H39" si="0">+E4*2573518/2013048</f>
        <v>29782.039637405567</v>
      </c>
      <c r="I4" s="7">
        <f t="shared" ref="I4:I39" si="1">+F4*5426482/4244684</f>
        <v>119128.13738030911</v>
      </c>
      <c r="J4" s="51">
        <f>SUM(H4:I4)</f>
        <v>148910.17701771468</v>
      </c>
    </row>
    <row r="5" spans="1:10" x14ac:dyDescent="0.25">
      <c r="A5" s="4" t="s">
        <v>0</v>
      </c>
      <c r="B5" s="5" t="s">
        <v>209</v>
      </c>
      <c r="C5" s="5" t="s">
        <v>210</v>
      </c>
      <c r="D5" s="5">
        <v>3</v>
      </c>
      <c r="E5" s="6">
        <v>2910</v>
      </c>
      <c r="F5" s="11">
        <v>0</v>
      </c>
      <c r="G5" s="27">
        <f t="shared" ref="G5:G38" si="2">1652*D5/345</f>
        <v>14.365217391304348</v>
      </c>
      <c r="H5" s="13">
        <f t="shared" si="0"/>
        <v>3720.1981174815505</v>
      </c>
      <c r="I5" s="13">
        <f t="shared" si="1"/>
        <v>0</v>
      </c>
      <c r="J5" s="51">
        <f t="shared" ref="J5:J68" si="3">SUM(H5:I5)</f>
        <v>3720.1981174815505</v>
      </c>
    </row>
    <row r="6" spans="1:10" x14ac:dyDescent="0.25">
      <c r="A6" s="4" t="s">
        <v>0</v>
      </c>
      <c r="B6" s="5" t="s">
        <v>211</v>
      </c>
      <c r="C6" s="5" t="s">
        <v>212</v>
      </c>
      <c r="D6" s="5">
        <v>2</v>
      </c>
      <c r="E6" s="6">
        <v>2912</v>
      </c>
      <c r="F6" s="11">
        <v>0</v>
      </c>
      <c r="G6" s="27">
        <f t="shared" si="2"/>
        <v>9.5768115942028977</v>
      </c>
      <c r="H6" s="13">
        <f t="shared" si="0"/>
        <v>3722.7549546756959</v>
      </c>
      <c r="I6" s="13">
        <f t="shared" si="1"/>
        <v>0</v>
      </c>
      <c r="J6" s="51">
        <f t="shared" si="3"/>
        <v>3722.7549546756959</v>
      </c>
    </row>
    <row r="7" spans="1:10" x14ac:dyDescent="0.25">
      <c r="A7" s="4" t="s">
        <v>0</v>
      </c>
      <c r="B7" s="5" t="s">
        <v>213</v>
      </c>
      <c r="C7" s="5" t="s">
        <v>212</v>
      </c>
      <c r="D7" s="5">
        <v>9</v>
      </c>
      <c r="E7" s="6">
        <v>13104</v>
      </c>
      <c r="F7" s="11">
        <v>0</v>
      </c>
      <c r="G7" s="27">
        <f t="shared" si="2"/>
        <v>43.095652173913045</v>
      </c>
      <c r="H7" s="13">
        <f t="shared" si="0"/>
        <v>16752.397296040632</v>
      </c>
      <c r="I7" s="13">
        <f t="shared" si="1"/>
        <v>0</v>
      </c>
      <c r="J7" s="51">
        <f t="shared" si="3"/>
        <v>16752.397296040632</v>
      </c>
    </row>
    <row r="8" spans="1:10" x14ac:dyDescent="0.25">
      <c r="A8" s="4" t="s">
        <v>0</v>
      </c>
      <c r="B8" s="5" t="s">
        <v>214</v>
      </c>
      <c r="C8" s="5" t="s">
        <v>210</v>
      </c>
      <c r="D8" s="5">
        <v>29</v>
      </c>
      <c r="E8" s="6">
        <v>28130</v>
      </c>
      <c r="F8" s="11">
        <v>0</v>
      </c>
      <c r="G8" s="27">
        <f t="shared" si="2"/>
        <v>138.86376811594204</v>
      </c>
      <c r="H8" s="13">
        <f t="shared" si="0"/>
        <v>35961.915135654985</v>
      </c>
      <c r="I8" s="13">
        <f t="shared" si="1"/>
        <v>0</v>
      </c>
      <c r="J8" s="51">
        <f t="shared" si="3"/>
        <v>35961.915135654985</v>
      </c>
    </row>
    <row r="9" spans="1:10" x14ac:dyDescent="0.25">
      <c r="A9" s="4" t="s">
        <v>0</v>
      </c>
      <c r="B9" s="5" t="s">
        <v>215</v>
      </c>
      <c r="C9" s="5" t="s">
        <v>212</v>
      </c>
      <c r="D9" s="5">
        <v>2</v>
      </c>
      <c r="E9" s="6">
        <v>2912</v>
      </c>
      <c r="F9" s="11">
        <v>0</v>
      </c>
      <c r="G9" s="27">
        <f t="shared" si="2"/>
        <v>9.5768115942028977</v>
      </c>
      <c r="H9" s="13">
        <f t="shared" si="0"/>
        <v>3722.7549546756959</v>
      </c>
      <c r="I9" s="13">
        <f t="shared" si="1"/>
        <v>0</v>
      </c>
      <c r="J9" s="51">
        <f t="shared" si="3"/>
        <v>3722.7549546756959</v>
      </c>
    </row>
    <row r="10" spans="1:10" x14ac:dyDescent="0.25">
      <c r="A10" s="4" t="s">
        <v>0</v>
      </c>
      <c r="B10" s="5" t="s">
        <v>216</v>
      </c>
      <c r="C10" s="5" t="s">
        <v>210</v>
      </c>
      <c r="D10" s="5">
        <v>2</v>
      </c>
      <c r="E10" s="6">
        <v>1940</v>
      </c>
      <c r="F10" s="11">
        <v>0</v>
      </c>
      <c r="G10" s="27">
        <f t="shared" si="2"/>
        <v>9.5768115942028977</v>
      </c>
      <c r="H10" s="13">
        <f t="shared" si="0"/>
        <v>2480.1320783210335</v>
      </c>
      <c r="I10" s="13">
        <f t="shared" si="1"/>
        <v>0</v>
      </c>
      <c r="J10" s="51">
        <f t="shared" si="3"/>
        <v>2480.1320783210335</v>
      </c>
    </row>
    <row r="11" spans="1:10" x14ac:dyDescent="0.25">
      <c r="A11" s="4" t="s">
        <v>0</v>
      </c>
      <c r="B11" s="5" t="s">
        <v>217</v>
      </c>
      <c r="C11" s="5" t="s">
        <v>218</v>
      </c>
      <c r="D11" s="5">
        <v>27</v>
      </c>
      <c r="E11" s="6">
        <v>89451</v>
      </c>
      <c r="F11" s="6">
        <v>357804</v>
      </c>
      <c r="G11" s="27">
        <f t="shared" si="2"/>
        <v>129.28695652173914</v>
      </c>
      <c r="H11" s="13">
        <f t="shared" si="0"/>
        <v>114355.82192674988</v>
      </c>
      <c r="I11" s="13">
        <f t="shared" si="1"/>
        <v>457423.20642196212</v>
      </c>
      <c r="J11" s="51">
        <f t="shared" si="3"/>
        <v>571779.02834871202</v>
      </c>
    </row>
    <row r="12" spans="1:10" x14ac:dyDescent="0.25">
      <c r="A12" s="4" t="s">
        <v>0</v>
      </c>
      <c r="B12" s="5" t="s">
        <v>219</v>
      </c>
      <c r="C12" s="5" t="s">
        <v>220</v>
      </c>
      <c r="D12" s="5">
        <v>10</v>
      </c>
      <c r="E12" s="6">
        <v>33970</v>
      </c>
      <c r="F12" s="6">
        <v>135890</v>
      </c>
      <c r="G12" s="27">
        <f t="shared" si="2"/>
        <v>47.884057971014492</v>
      </c>
      <c r="H12" s="13">
        <f t="shared" si="0"/>
        <v>43427.87974255954</v>
      </c>
      <c r="I12" s="13">
        <f t="shared" si="1"/>
        <v>173724.27228505115</v>
      </c>
      <c r="J12" s="51">
        <f t="shared" si="3"/>
        <v>217152.15202761069</v>
      </c>
    </row>
    <row r="13" spans="1:10" x14ac:dyDescent="0.25">
      <c r="A13" s="4" t="s">
        <v>0</v>
      </c>
      <c r="B13" s="5" t="s">
        <v>221</v>
      </c>
      <c r="C13" s="5" t="s">
        <v>222</v>
      </c>
      <c r="D13" s="5">
        <v>1</v>
      </c>
      <c r="E13" s="6">
        <v>72800</v>
      </c>
      <c r="F13" s="6">
        <v>291200</v>
      </c>
      <c r="G13" s="27">
        <f t="shared" si="2"/>
        <v>4.7884057971014489</v>
      </c>
      <c r="H13" s="13">
        <f t="shared" si="0"/>
        <v>93068.873866892391</v>
      </c>
      <c r="I13" s="13">
        <f t="shared" si="1"/>
        <v>372275.42931346595</v>
      </c>
      <c r="J13" s="51">
        <f t="shared" si="3"/>
        <v>465344.30318035837</v>
      </c>
    </row>
    <row r="14" spans="1:10" x14ac:dyDescent="0.25">
      <c r="A14" s="4" t="s">
        <v>0</v>
      </c>
      <c r="B14" s="5" t="s">
        <v>223</v>
      </c>
      <c r="C14" s="5" t="s">
        <v>224</v>
      </c>
      <c r="D14" s="5">
        <v>25</v>
      </c>
      <c r="E14" s="6">
        <v>2910</v>
      </c>
      <c r="F14" s="11">
        <v>0</v>
      </c>
      <c r="G14" s="27">
        <f t="shared" si="2"/>
        <v>119.71014492753623</v>
      </c>
      <c r="H14" s="13">
        <f t="shared" si="0"/>
        <v>3720.1981174815505</v>
      </c>
      <c r="I14" s="13">
        <f t="shared" si="1"/>
        <v>0</v>
      </c>
      <c r="J14" s="51">
        <f t="shared" si="3"/>
        <v>3720.1981174815505</v>
      </c>
    </row>
    <row r="15" spans="1:10" x14ac:dyDescent="0.25">
      <c r="A15" s="4" t="s">
        <v>0</v>
      </c>
      <c r="B15" s="5" t="s">
        <v>225</v>
      </c>
      <c r="C15" s="5" t="s">
        <v>210</v>
      </c>
      <c r="D15" s="5">
        <v>1</v>
      </c>
      <c r="E15" s="6">
        <v>970</v>
      </c>
      <c r="F15" s="11">
        <v>0</v>
      </c>
      <c r="G15" s="27">
        <f t="shared" si="2"/>
        <v>4.7884057971014489</v>
      </c>
      <c r="H15" s="13">
        <f t="shared" si="0"/>
        <v>1240.0660391605168</v>
      </c>
      <c r="I15" s="13">
        <f t="shared" si="1"/>
        <v>0</v>
      </c>
      <c r="J15" s="51">
        <f t="shared" si="3"/>
        <v>1240.0660391605168</v>
      </c>
    </row>
    <row r="16" spans="1:10" x14ac:dyDescent="0.25">
      <c r="A16" s="4" t="s">
        <v>0</v>
      </c>
      <c r="B16" s="5" t="s">
        <v>226</v>
      </c>
      <c r="C16" s="5" t="s">
        <v>210</v>
      </c>
      <c r="D16" s="5">
        <v>25</v>
      </c>
      <c r="E16" s="6">
        <v>24250</v>
      </c>
      <c r="F16" s="11">
        <v>0</v>
      </c>
      <c r="G16" s="27">
        <f t="shared" si="2"/>
        <v>119.71014492753623</v>
      </c>
      <c r="H16" s="13">
        <f t="shared" si="0"/>
        <v>31001.65097901292</v>
      </c>
      <c r="I16" s="13">
        <f t="shared" si="1"/>
        <v>0</v>
      </c>
      <c r="J16" s="51">
        <f t="shared" si="3"/>
        <v>31001.65097901292</v>
      </c>
    </row>
    <row r="17" spans="1:10" x14ac:dyDescent="0.25">
      <c r="A17" s="4" t="s">
        <v>0</v>
      </c>
      <c r="B17" s="5" t="s">
        <v>227</v>
      </c>
      <c r="C17" s="5" t="s">
        <v>210</v>
      </c>
      <c r="D17" s="5">
        <v>3</v>
      </c>
      <c r="E17" s="6">
        <v>2910</v>
      </c>
      <c r="F17" s="11">
        <v>0</v>
      </c>
      <c r="G17" s="27">
        <f t="shared" si="2"/>
        <v>14.365217391304348</v>
      </c>
      <c r="H17" s="13">
        <f t="shared" si="0"/>
        <v>3720.1981174815505</v>
      </c>
      <c r="I17" s="13">
        <f t="shared" si="1"/>
        <v>0</v>
      </c>
      <c r="J17" s="51">
        <f t="shared" si="3"/>
        <v>3720.1981174815505</v>
      </c>
    </row>
    <row r="18" spans="1:10" x14ac:dyDescent="0.25">
      <c r="A18" s="4" t="s">
        <v>0</v>
      </c>
      <c r="B18" s="5" t="s">
        <v>228</v>
      </c>
      <c r="C18" s="5" t="s">
        <v>229</v>
      </c>
      <c r="D18" s="5">
        <v>55</v>
      </c>
      <c r="E18" s="6">
        <v>106755</v>
      </c>
      <c r="F18" s="11">
        <v>0</v>
      </c>
      <c r="G18" s="27">
        <f t="shared" si="2"/>
        <v>263.36231884057969</v>
      </c>
      <c r="H18" s="13">
        <f t="shared" si="0"/>
        <v>136477.57733049584</v>
      </c>
      <c r="I18" s="13">
        <f t="shared" si="1"/>
        <v>0</v>
      </c>
      <c r="J18" s="51">
        <f t="shared" si="3"/>
        <v>136477.57733049584</v>
      </c>
    </row>
    <row r="19" spans="1:10" x14ac:dyDescent="0.25">
      <c r="A19" s="4" t="s">
        <v>0</v>
      </c>
      <c r="B19" s="5" t="s">
        <v>230</v>
      </c>
      <c r="C19" s="5" t="s">
        <v>229</v>
      </c>
      <c r="D19" s="5">
        <v>3</v>
      </c>
      <c r="E19" s="6">
        <v>5823</v>
      </c>
      <c r="F19" s="11">
        <v>0</v>
      </c>
      <c r="G19" s="27">
        <f t="shared" si="2"/>
        <v>14.365217391304348</v>
      </c>
      <c r="H19" s="13">
        <f t="shared" si="0"/>
        <v>7444.2314907543187</v>
      </c>
      <c r="I19" s="13">
        <f t="shared" si="1"/>
        <v>0</v>
      </c>
      <c r="J19" s="51">
        <f t="shared" si="3"/>
        <v>7444.2314907543187</v>
      </c>
    </row>
    <row r="20" spans="1:10" x14ac:dyDescent="0.25">
      <c r="A20" s="4" t="s">
        <v>0</v>
      </c>
      <c r="B20" s="5" t="s">
        <v>231</v>
      </c>
      <c r="C20" s="5" t="s">
        <v>232</v>
      </c>
      <c r="D20" s="5">
        <v>1</v>
      </c>
      <c r="E20" s="6">
        <v>212333</v>
      </c>
      <c r="F20" s="11">
        <v>0</v>
      </c>
      <c r="G20" s="27">
        <f t="shared" si="2"/>
        <v>4.7884057971014489</v>
      </c>
      <c r="H20" s="13">
        <f t="shared" si="0"/>
        <v>271450.45597223711</v>
      </c>
      <c r="I20" s="13">
        <f t="shared" si="1"/>
        <v>0</v>
      </c>
      <c r="J20" s="51">
        <f t="shared" si="3"/>
        <v>271450.45597223711</v>
      </c>
    </row>
    <row r="21" spans="1:10" x14ac:dyDescent="0.25">
      <c r="A21" s="4" t="s">
        <v>0</v>
      </c>
      <c r="B21" s="5" t="s">
        <v>233</v>
      </c>
      <c r="C21" s="5" t="s">
        <v>234</v>
      </c>
      <c r="D21" s="5">
        <v>5</v>
      </c>
      <c r="E21" s="6">
        <v>485330</v>
      </c>
      <c r="F21" s="11">
        <v>0</v>
      </c>
      <c r="G21" s="27">
        <f t="shared" si="2"/>
        <v>23.942028985507246</v>
      </c>
      <c r="H21" s="13">
        <f t="shared" si="0"/>
        <v>620454.89771729242</v>
      </c>
      <c r="I21" s="13">
        <f t="shared" si="1"/>
        <v>0</v>
      </c>
      <c r="J21" s="51">
        <f t="shared" si="3"/>
        <v>620454.89771729242</v>
      </c>
    </row>
    <row r="22" spans="1:10" x14ac:dyDescent="0.25">
      <c r="A22" s="4" t="s">
        <v>0</v>
      </c>
      <c r="B22" s="5" t="s">
        <v>235</v>
      </c>
      <c r="C22" s="5" t="s">
        <v>236</v>
      </c>
      <c r="D22" s="5">
        <v>10</v>
      </c>
      <c r="E22" s="6">
        <v>68250</v>
      </c>
      <c r="F22" s="6">
        <v>273000</v>
      </c>
      <c r="G22" s="27">
        <f t="shared" si="2"/>
        <v>47.884057971014492</v>
      </c>
      <c r="H22" s="13">
        <f t="shared" si="0"/>
        <v>87252.069250211614</v>
      </c>
      <c r="I22" s="13">
        <f t="shared" si="1"/>
        <v>349008.21498137433</v>
      </c>
      <c r="J22" s="51">
        <f t="shared" si="3"/>
        <v>436260.28423158592</v>
      </c>
    </row>
    <row r="23" spans="1:10" x14ac:dyDescent="0.25">
      <c r="A23" s="4" t="s">
        <v>0</v>
      </c>
      <c r="B23" s="5" t="s">
        <v>237</v>
      </c>
      <c r="C23" s="5" t="s">
        <v>238</v>
      </c>
      <c r="D23" s="5">
        <v>6</v>
      </c>
      <c r="E23" s="6">
        <v>30756</v>
      </c>
      <c r="F23" s="6">
        <v>123030</v>
      </c>
      <c r="G23" s="27">
        <f t="shared" si="2"/>
        <v>28.730434782608697</v>
      </c>
      <c r="H23" s="13">
        <f t="shared" si="0"/>
        <v>39319.042371567892</v>
      </c>
      <c r="I23" s="13">
        <f t="shared" si="1"/>
        <v>157283.81204819959</v>
      </c>
      <c r="J23" s="51">
        <f t="shared" si="3"/>
        <v>196602.85441976748</v>
      </c>
    </row>
    <row r="24" spans="1:10" x14ac:dyDescent="0.25">
      <c r="A24" s="4" t="s">
        <v>0</v>
      </c>
      <c r="B24" s="5" t="s">
        <v>239</v>
      </c>
      <c r="C24" s="5" t="s">
        <v>236</v>
      </c>
      <c r="D24" s="5">
        <v>1</v>
      </c>
      <c r="E24" s="6">
        <v>6825</v>
      </c>
      <c r="F24" s="6">
        <v>27300</v>
      </c>
      <c r="G24" s="27">
        <f t="shared" si="2"/>
        <v>4.7884057971014489</v>
      </c>
      <c r="H24" s="13">
        <f t="shared" si="0"/>
        <v>8725.2069250211625</v>
      </c>
      <c r="I24" s="13">
        <f t="shared" si="1"/>
        <v>34900.821498137433</v>
      </c>
      <c r="J24" s="51">
        <f t="shared" si="3"/>
        <v>43626.028423158597</v>
      </c>
    </row>
    <row r="25" spans="1:10" x14ac:dyDescent="0.25">
      <c r="A25" s="4" t="s">
        <v>0</v>
      </c>
      <c r="B25" s="5" t="s">
        <v>240</v>
      </c>
      <c r="C25" s="5" t="s">
        <v>238</v>
      </c>
      <c r="D25" s="5">
        <v>3</v>
      </c>
      <c r="E25" s="6">
        <v>15378</v>
      </c>
      <c r="F25" s="6">
        <v>61515</v>
      </c>
      <c r="G25" s="27">
        <f t="shared" si="2"/>
        <v>14.365217391304348</v>
      </c>
      <c r="H25" s="13">
        <f t="shared" si="0"/>
        <v>19659.521185783946</v>
      </c>
      <c r="I25" s="13">
        <f t="shared" si="1"/>
        <v>78641.906024099793</v>
      </c>
      <c r="J25" s="51">
        <f t="shared" si="3"/>
        <v>98301.427209883739</v>
      </c>
    </row>
    <row r="26" spans="1:10" x14ac:dyDescent="0.25">
      <c r="A26" s="4" t="s">
        <v>0</v>
      </c>
      <c r="B26" s="5" t="s">
        <v>241</v>
      </c>
      <c r="C26" s="5" t="s">
        <v>236</v>
      </c>
      <c r="D26" s="5">
        <v>19</v>
      </c>
      <c r="E26" s="6">
        <v>129675</v>
      </c>
      <c r="F26" s="6">
        <v>518700</v>
      </c>
      <c r="G26" s="27">
        <f t="shared" si="2"/>
        <v>90.979710144927537</v>
      </c>
      <c r="H26" s="13">
        <f t="shared" si="0"/>
        <v>165778.93157540206</v>
      </c>
      <c r="I26" s="13">
        <f t="shared" si="1"/>
        <v>663115.60846461123</v>
      </c>
      <c r="J26" s="51">
        <f t="shared" si="3"/>
        <v>828894.54004001326</v>
      </c>
    </row>
    <row r="27" spans="1:10" x14ac:dyDescent="0.25">
      <c r="A27" s="4" t="s">
        <v>0</v>
      </c>
      <c r="B27" s="5" t="s">
        <v>242</v>
      </c>
      <c r="C27" s="5" t="s">
        <v>238</v>
      </c>
      <c r="D27" s="5">
        <v>1</v>
      </c>
      <c r="E27" s="6">
        <v>5126</v>
      </c>
      <c r="F27" s="6">
        <v>20505</v>
      </c>
      <c r="G27" s="27">
        <f t="shared" si="2"/>
        <v>4.7884057971014489</v>
      </c>
      <c r="H27" s="13">
        <f t="shared" si="0"/>
        <v>6553.1737285946483</v>
      </c>
      <c r="I27" s="13">
        <f t="shared" si="1"/>
        <v>26213.968674699932</v>
      </c>
      <c r="J27" s="51">
        <f t="shared" si="3"/>
        <v>32767.14240329458</v>
      </c>
    </row>
    <row r="28" spans="1:10" x14ac:dyDescent="0.25">
      <c r="A28" s="4" t="s">
        <v>0</v>
      </c>
      <c r="B28" s="5" t="s">
        <v>243</v>
      </c>
      <c r="C28" s="5" t="s">
        <v>244</v>
      </c>
      <c r="D28" s="5">
        <v>10</v>
      </c>
      <c r="E28" s="6">
        <v>34120</v>
      </c>
      <c r="F28" s="6">
        <v>136500</v>
      </c>
      <c r="G28" s="27">
        <f t="shared" si="2"/>
        <v>47.884057971014492</v>
      </c>
      <c r="H28" s="13">
        <f t="shared" si="0"/>
        <v>43619.642532120444</v>
      </c>
      <c r="I28" s="13">
        <f t="shared" si="1"/>
        <v>174504.10749068717</v>
      </c>
      <c r="J28" s="51">
        <f t="shared" si="3"/>
        <v>218123.75002280762</v>
      </c>
    </row>
    <row r="29" spans="1:10" x14ac:dyDescent="0.25">
      <c r="A29" s="4" t="s">
        <v>0</v>
      </c>
      <c r="B29" s="5" t="s">
        <v>245</v>
      </c>
      <c r="C29" s="5" t="s">
        <v>246</v>
      </c>
      <c r="D29" s="5">
        <v>1</v>
      </c>
      <c r="E29" s="6">
        <v>2563</v>
      </c>
      <c r="F29" s="6">
        <v>10252</v>
      </c>
      <c r="G29" s="27">
        <f t="shared" si="2"/>
        <v>4.7884057971014489</v>
      </c>
      <c r="H29" s="13">
        <f t="shared" si="0"/>
        <v>3276.5868642973242</v>
      </c>
      <c r="I29" s="13">
        <f t="shared" si="1"/>
        <v>13106.345128165018</v>
      </c>
      <c r="J29" s="51">
        <f t="shared" si="3"/>
        <v>16382.931992462341</v>
      </c>
    </row>
    <row r="30" spans="1:10" x14ac:dyDescent="0.25">
      <c r="A30" s="4" t="s">
        <v>0</v>
      </c>
      <c r="B30" s="5" t="s">
        <v>247</v>
      </c>
      <c r="C30" s="5" t="s">
        <v>244</v>
      </c>
      <c r="D30" s="5">
        <v>6</v>
      </c>
      <c r="E30" s="6">
        <v>20472</v>
      </c>
      <c r="F30" s="6">
        <v>81900</v>
      </c>
      <c r="G30" s="27">
        <f t="shared" si="2"/>
        <v>28.730434782608697</v>
      </c>
      <c r="H30" s="13">
        <f t="shared" si="0"/>
        <v>26171.785519272267</v>
      </c>
      <c r="I30" s="13">
        <f t="shared" si="1"/>
        <v>104702.4644944123</v>
      </c>
      <c r="J30" s="51">
        <f t="shared" si="3"/>
        <v>130874.25001368456</v>
      </c>
    </row>
    <row r="31" spans="1:10" x14ac:dyDescent="0.25">
      <c r="A31" s="4" t="s">
        <v>0</v>
      </c>
      <c r="B31" s="5" t="s">
        <v>248</v>
      </c>
      <c r="C31" s="5" t="s">
        <v>246</v>
      </c>
      <c r="D31" s="5">
        <v>5</v>
      </c>
      <c r="E31" s="6">
        <v>12815</v>
      </c>
      <c r="F31" s="6">
        <v>51260</v>
      </c>
      <c r="G31" s="27">
        <f t="shared" si="2"/>
        <v>23.942028985507246</v>
      </c>
      <c r="H31" s="13">
        <f t="shared" si="0"/>
        <v>16382.934321486622</v>
      </c>
      <c r="I31" s="13">
        <f t="shared" si="1"/>
        <v>65531.725640825091</v>
      </c>
      <c r="J31" s="51">
        <f t="shared" si="3"/>
        <v>81914.659962311707</v>
      </c>
    </row>
    <row r="32" spans="1:10" x14ac:dyDescent="0.25">
      <c r="A32" s="4" t="s">
        <v>0</v>
      </c>
      <c r="B32" s="5" t="s">
        <v>249</v>
      </c>
      <c r="C32" s="5" t="s">
        <v>250</v>
      </c>
      <c r="D32" s="5">
        <v>34</v>
      </c>
      <c r="E32" s="6">
        <v>515644</v>
      </c>
      <c r="F32" s="6">
        <v>2062644</v>
      </c>
      <c r="G32" s="27">
        <f t="shared" si="2"/>
        <v>162.80579710144929</v>
      </c>
      <c r="H32" s="13">
        <f t="shared" si="0"/>
        <v>659208.87906895415</v>
      </c>
      <c r="I32" s="13">
        <f t="shared" si="1"/>
        <v>2636921.9801539998</v>
      </c>
      <c r="J32" s="51">
        <f t="shared" si="3"/>
        <v>3296130.8592229541</v>
      </c>
    </row>
    <row r="33" spans="1:10" x14ac:dyDescent="0.25">
      <c r="A33" s="4" t="s">
        <v>0</v>
      </c>
      <c r="B33" s="5" t="s">
        <v>251</v>
      </c>
      <c r="C33" s="5" t="s">
        <v>212</v>
      </c>
      <c r="D33" s="5">
        <v>2</v>
      </c>
      <c r="E33" s="6">
        <v>2912</v>
      </c>
      <c r="F33" s="11">
        <v>0</v>
      </c>
      <c r="G33" s="27">
        <f t="shared" si="2"/>
        <v>9.5768115942028977</v>
      </c>
      <c r="H33" s="13">
        <f t="shared" si="0"/>
        <v>3722.7549546756959</v>
      </c>
      <c r="I33" s="13">
        <f t="shared" si="1"/>
        <v>0</v>
      </c>
      <c r="J33" s="51">
        <f t="shared" si="3"/>
        <v>3722.7549546756959</v>
      </c>
    </row>
    <row r="34" spans="1:10" x14ac:dyDescent="0.25">
      <c r="A34" s="4" t="s">
        <v>0</v>
      </c>
      <c r="B34" s="5" t="s">
        <v>252</v>
      </c>
      <c r="C34" s="5" t="s">
        <v>212</v>
      </c>
      <c r="D34" s="5">
        <v>14</v>
      </c>
      <c r="E34" s="6">
        <v>20384</v>
      </c>
      <c r="F34" s="11">
        <v>0</v>
      </c>
      <c r="G34" s="27">
        <f t="shared" si="2"/>
        <v>67.037681159420288</v>
      </c>
      <c r="H34" s="13">
        <f t="shared" si="0"/>
        <v>26059.284682729871</v>
      </c>
      <c r="I34" s="13">
        <f t="shared" si="1"/>
        <v>0</v>
      </c>
      <c r="J34" s="51">
        <f t="shared" si="3"/>
        <v>26059.284682729871</v>
      </c>
    </row>
    <row r="35" spans="1:10" x14ac:dyDescent="0.25">
      <c r="A35" s="4" t="s">
        <v>0</v>
      </c>
      <c r="B35" s="5" t="s">
        <v>253</v>
      </c>
      <c r="C35" s="5" t="s">
        <v>210</v>
      </c>
      <c r="D35" s="5">
        <v>6</v>
      </c>
      <c r="E35" s="6">
        <v>5820</v>
      </c>
      <c r="F35" s="11">
        <v>0</v>
      </c>
      <c r="G35" s="27">
        <f t="shared" si="2"/>
        <v>28.730434782608697</v>
      </c>
      <c r="H35" s="13">
        <f t="shared" si="0"/>
        <v>7440.3962349631011</v>
      </c>
      <c r="I35" s="13">
        <f t="shared" si="1"/>
        <v>0</v>
      </c>
      <c r="J35" s="51">
        <f t="shared" si="3"/>
        <v>7440.3962349631011</v>
      </c>
    </row>
    <row r="36" spans="1:10" x14ac:dyDescent="0.25">
      <c r="A36" s="4" t="s">
        <v>0</v>
      </c>
      <c r="B36" s="5" t="s">
        <v>254</v>
      </c>
      <c r="C36" s="5" t="s">
        <v>212</v>
      </c>
      <c r="D36" s="5">
        <v>14</v>
      </c>
      <c r="E36" s="6">
        <v>20384</v>
      </c>
      <c r="F36" s="11">
        <v>0</v>
      </c>
      <c r="G36" s="27">
        <f t="shared" si="2"/>
        <v>67.037681159420288</v>
      </c>
      <c r="H36" s="13">
        <f t="shared" si="0"/>
        <v>26059.284682729871</v>
      </c>
      <c r="I36" s="13">
        <f t="shared" si="1"/>
        <v>0</v>
      </c>
      <c r="J36" s="51">
        <f t="shared" si="3"/>
        <v>26059.284682729871</v>
      </c>
    </row>
    <row r="37" spans="1:10" x14ac:dyDescent="0.25">
      <c r="A37" s="4" t="s">
        <v>0</v>
      </c>
      <c r="B37" s="5" t="s">
        <v>255</v>
      </c>
      <c r="C37" s="5" t="s">
        <v>210</v>
      </c>
      <c r="D37" s="5">
        <v>3</v>
      </c>
      <c r="E37" s="6">
        <v>2910</v>
      </c>
      <c r="F37" s="11">
        <v>0</v>
      </c>
      <c r="G37" s="27">
        <f t="shared" si="2"/>
        <v>14.365217391304348</v>
      </c>
      <c r="H37" s="13">
        <f t="shared" si="0"/>
        <v>3720.1981174815505</v>
      </c>
      <c r="I37" s="13">
        <f t="shared" si="1"/>
        <v>0</v>
      </c>
      <c r="J37" s="51">
        <f t="shared" si="3"/>
        <v>3720.1981174815505</v>
      </c>
    </row>
    <row r="38" spans="1:10" x14ac:dyDescent="0.25">
      <c r="A38" s="4" t="s">
        <v>0</v>
      </c>
      <c r="B38" s="5" t="s">
        <v>256</v>
      </c>
      <c r="C38" s="5" t="s">
        <v>212</v>
      </c>
      <c r="D38" s="5">
        <v>3</v>
      </c>
      <c r="E38" s="6">
        <v>4368</v>
      </c>
      <c r="F38" s="11">
        <v>0</v>
      </c>
      <c r="G38" s="27">
        <f t="shared" si="2"/>
        <v>14.365217391304348</v>
      </c>
      <c r="H38" s="13">
        <f t="shared" si="0"/>
        <v>5584.1324320135436</v>
      </c>
      <c r="I38" s="13">
        <f t="shared" si="1"/>
        <v>0</v>
      </c>
      <c r="J38" s="51">
        <f t="shared" si="3"/>
        <v>5584.1324320135436</v>
      </c>
    </row>
    <row r="39" spans="1:10" x14ac:dyDescent="0.25">
      <c r="A39" s="15" t="s">
        <v>0</v>
      </c>
      <c r="B39" s="16" t="s">
        <v>257</v>
      </c>
      <c r="C39" s="16" t="s">
        <v>210</v>
      </c>
      <c r="D39" s="16">
        <v>2</v>
      </c>
      <c r="E39" s="17">
        <v>1940</v>
      </c>
      <c r="F39" s="18">
        <v>0</v>
      </c>
      <c r="G39" s="54">
        <f>1652*D39/345</f>
        <v>9.5768115942028977</v>
      </c>
      <c r="H39" s="19">
        <f t="shared" si="0"/>
        <v>2480.1320783210335</v>
      </c>
      <c r="I39" s="19">
        <f t="shared" si="1"/>
        <v>0</v>
      </c>
      <c r="J39" s="51">
        <f t="shared" si="3"/>
        <v>2480.1320783210335</v>
      </c>
    </row>
    <row r="40" spans="1:10" s="3" customFormat="1" x14ac:dyDescent="0.25">
      <c r="A40" s="4"/>
      <c r="B40" s="20" t="s">
        <v>427</v>
      </c>
      <c r="C40" s="21"/>
      <c r="D40" s="21"/>
      <c r="E40" s="22"/>
      <c r="F40" s="29"/>
      <c r="G40" s="48">
        <f>SUM(G4:G39)</f>
        <v>1651.9999999999998</v>
      </c>
      <c r="H40" s="48">
        <f t="shared" ref="H40:J40" si="4">SUM(H4:H39)</f>
        <v>2573518</v>
      </c>
      <c r="I40" s="48">
        <f t="shared" si="4"/>
        <v>5426482</v>
      </c>
      <c r="J40" s="47">
        <f t="shared" si="4"/>
        <v>8000000.0000000009</v>
      </c>
    </row>
    <row r="41" spans="1:10" x14ac:dyDescent="0.25">
      <c r="A41" s="23" t="s">
        <v>1</v>
      </c>
      <c r="B41" s="24" t="s">
        <v>207</v>
      </c>
      <c r="C41" s="24" t="s">
        <v>208</v>
      </c>
      <c r="D41" s="24">
        <v>2</v>
      </c>
      <c r="E41" s="25">
        <v>46592</v>
      </c>
      <c r="F41" s="25">
        <v>9318</v>
      </c>
      <c r="G41" s="26">
        <f t="shared" ref="G41:G80" si="5">+D41*4.78808948004837</f>
        <v>9.5761789600967404</v>
      </c>
      <c r="H41" s="7">
        <f t="shared" ref="H41:H80" si="6">+E41*93579155/30244328</f>
        <v>144160.58408571684</v>
      </c>
      <c r="I41" s="7">
        <f t="shared" ref="I41:I80" si="7">+F41*6420845/2075186</f>
        <v>28830.877670724454</v>
      </c>
      <c r="J41" s="51">
        <f t="shared" si="3"/>
        <v>172991.46175644128</v>
      </c>
    </row>
    <row r="42" spans="1:10" x14ac:dyDescent="0.25">
      <c r="A42" s="4" t="s">
        <v>1</v>
      </c>
      <c r="B42" s="5" t="s">
        <v>209</v>
      </c>
      <c r="C42" s="5" t="s">
        <v>210</v>
      </c>
      <c r="D42" s="5">
        <v>90</v>
      </c>
      <c r="E42" s="6">
        <v>174690</v>
      </c>
      <c r="F42" s="11">
        <v>0</v>
      </c>
      <c r="G42" s="27">
        <f t="shared" si="5"/>
        <v>430.92805320435332</v>
      </c>
      <c r="H42" s="13">
        <f t="shared" si="6"/>
        <v>540509.36714315496</v>
      </c>
      <c r="I42" s="13">
        <f t="shared" si="7"/>
        <v>0</v>
      </c>
      <c r="J42" s="51">
        <f t="shared" si="3"/>
        <v>540509.36714315496</v>
      </c>
    </row>
    <row r="43" spans="1:10" x14ac:dyDescent="0.25">
      <c r="A43" s="4" t="s">
        <v>1</v>
      </c>
      <c r="B43" s="5" t="s">
        <v>211</v>
      </c>
      <c r="C43" s="5" t="s">
        <v>212</v>
      </c>
      <c r="D43" s="5">
        <v>7</v>
      </c>
      <c r="E43" s="6">
        <v>20384</v>
      </c>
      <c r="F43" s="11">
        <v>0</v>
      </c>
      <c r="G43" s="27">
        <f t="shared" si="5"/>
        <v>33.516626360338591</v>
      </c>
      <c r="H43" s="13">
        <f t="shared" si="6"/>
        <v>63070.255537501114</v>
      </c>
      <c r="I43" s="13">
        <f t="shared" si="7"/>
        <v>0</v>
      </c>
      <c r="J43" s="51">
        <f t="shared" si="3"/>
        <v>63070.255537501114</v>
      </c>
    </row>
    <row r="44" spans="1:10" x14ac:dyDescent="0.25">
      <c r="A44" s="4" t="s">
        <v>1</v>
      </c>
      <c r="B44" s="5" t="s">
        <v>213</v>
      </c>
      <c r="C44" s="5" t="s">
        <v>212</v>
      </c>
      <c r="D44" s="5">
        <v>26</v>
      </c>
      <c r="E44" s="6">
        <v>75712</v>
      </c>
      <c r="F44" s="11">
        <v>0</v>
      </c>
      <c r="G44" s="27">
        <f t="shared" si="5"/>
        <v>124.49032648125763</v>
      </c>
      <c r="H44" s="13">
        <f t="shared" si="6"/>
        <v>234260.94913928985</v>
      </c>
      <c r="I44" s="13">
        <f t="shared" si="7"/>
        <v>0</v>
      </c>
      <c r="J44" s="51">
        <f t="shared" si="3"/>
        <v>234260.94913928985</v>
      </c>
    </row>
    <row r="45" spans="1:10" x14ac:dyDescent="0.25">
      <c r="A45" s="4" t="s">
        <v>1</v>
      </c>
      <c r="B45" s="5" t="s">
        <v>214</v>
      </c>
      <c r="C45" s="5" t="s">
        <v>210</v>
      </c>
      <c r="D45" s="5">
        <v>300</v>
      </c>
      <c r="E45" s="6">
        <v>582300</v>
      </c>
      <c r="F45" s="11">
        <v>0</v>
      </c>
      <c r="G45" s="27">
        <f t="shared" si="5"/>
        <v>1436.4268440145111</v>
      </c>
      <c r="H45" s="13">
        <f t="shared" si="6"/>
        <v>1801697.890477183</v>
      </c>
      <c r="I45" s="13">
        <f t="shared" si="7"/>
        <v>0</v>
      </c>
      <c r="J45" s="51">
        <f t="shared" si="3"/>
        <v>1801697.890477183</v>
      </c>
    </row>
    <row r="46" spans="1:10" x14ac:dyDescent="0.25">
      <c r="A46" s="4" t="s">
        <v>1</v>
      </c>
      <c r="B46" s="5" t="s">
        <v>215</v>
      </c>
      <c r="C46" s="5" t="s">
        <v>212</v>
      </c>
      <c r="D46" s="5">
        <v>2</v>
      </c>
      <c r="E46" s="6">
        <v>5824</v>
      </c>
      <c r="F46" s="11">
        <v>0</v>
      </c>
      <c r="G46" s="27">
        <f t="shared" si="5"/>
        <v>9.5761789600967404</v>
      </c>
      <c r="H46" s="13">
        <f t="shared" si="6"/>
        <v>18020.073010714605</v>
      </c>
      <c r="I46" s="13">
        <f t="shared" si="7"/>
        <v>0</v>
      </c>
      <c r="J46" s="51">
        <f t="shared" si="3"/>
        <v>18020.073010714605</v>
      </c>
    </row>
    <row r="47" spans="1:10" x14ac:dyDescent="0.25">
      <c r="A47" s="4" t="s">
        <v>1</v>
      </c>
      <c r="B47" s="5" t="s">
        <v>216</v>
      </c>
      <c r="C47" s="5" t="s">
        <v>210</v>
      </c>
      <c r="D47" s="5">
        <v>24</v>
      </c>
      <c r="E47" s="6">
        <v>46584</v>
      </c>
      <c r="F47" s="11">
        <v>0</v>
      </c>
      <c r="G47" s="27">
        <f t="shared" si="5"/>
        <v>114.91414752116088</v>
      </c>
      <c r="H47" s="13">
        <f t="shared" si="6"/>
        <v>144135.83123817464</v>
      </c>
      <c r="I47" s="13">
        <f t="shared" si="7"/>
        <v>0</v>
      </c>
      <c r="J47" s="51">
        <f t="shared" si="3"/>
        <v>144135.83123817464</v>
      </c>
    </row>
    <row r="48" spans="1:10" x14ac:dyDescent="0.25">
      <c r="A48" s="4" t="s">
        <v>1</v>
      </c>
      <c r="B48" s="5" t="s">
        <v>258</v>
      </c>
      <c r="C48" s="5" t="s">
        <v>259</v>
      </c>
      <c r="D48" s="5">
        <v>1</v>
      </c>
      <c r="E48" s="6">
        <v>72800</v>
      </c>
      <c r="F48" s="11">
        <v>0</v>
      </c>
      <c r="G48" s="27">
        <f t="shared" si="5"/>
        <v>4.7880894800483702</v>
      </c>
      <c r="H48" s="13">
        <f t="shared" si="6"/>
        <v>225250.91263393254</v>
      </c>
      <c r="I48" s="13">
        <f t="shared" si="7"/>
        <v>0</v>
      </c>
      <c r="J48" s="51">
        <f t="shared" si="3"/>
        <v>225250.91263393254</v>
      </c>
    </row>
    <row r="49" spans="1:10" x14ac:dyDescent="0.25">
      <c r="A49" s="4" t="s">
        <v>1</v>
      </c>
      <c r="B49" s="5" t="s">
        <v>217</v>
      </c>
      <c r="C49" s="5" t="s">
        <v>218</v>
      </c>
      <c r="D49" s="5">
        <v>92</v>
      </c>
      <c r="E49" s="6">
        <v>609592</v>
      </c>
      <c r="F49" s="6">
        <v>121900</v>
      </c>
      <c r="G49" s="27">
        <f t="shared" si="5"/>
        <v>440.50423216445006</v>
      </c>
      <c r="H49" s="13">
        <f t="shared" si="6"/>
        <v>1886142.2298673654</v>
      </c>
      <c r="I49" s="13">
        <f t="shared" si="7"/>
        <v>377171.49474794068</v>
      </c>
      <c r="J49" s="51">
        <f t="shared" si="3"/>
        <v>2263313.7246153061</v>
      </c>
    </row>
    <row r="50" spans="1:10" x14ac:dyDescent="0.25">
      <c r="A50" s="4" t="s">
        <v>1</v>
      </c>
      <c r="B50" s="5" t="s">
        <v>219</v>
      </c>
      <c r="C50" s="5" t="s">
        <v>220</v>
      </c>
      <c r="D50" s="5">
        <v>30</v>
      </c>
      <c r="E50" s="6">
        <v>203820</v>
      </c>
      <c r="F50" s="6">
        <v>40740</v>
      </c>
      <c r="G50" s="27">
        <f t="shared" si="5"/>
        <v>143.64268440145111</v>
      </c>
      <c r="H50" s="13">
        <f t="shared" si="6"/>
        <v>630640.67325615569</v>
      </c>
      <c r="I50" s="13">
        <f t="shared" si="7"/>
        <v>126053.86953265876</v>
      </c>
      <c r="J50" s="51">
        <f t="shared" si="3"/>
        <v>756694.5427888144</v>
      </c>
    </row>
    <row r="51" spans="1:10" x14ac:dyDescent="0.25">
      <c r="A51" s="4" t="s">
        <v>1</v>
      </c>
      <c r="B51" s="5" t="s">
        <v>221</v>
      </c>
      <c r="C51" s="5" t="s">
        <v>222</v>
      </c>
      <c r="D51" s="5">
        <v>1</v>
      </c>
      <c r="E51" s="6">
        <v>145600</v>
      </c>
      <c r="F51" s="6">
        <v>29120</v>
      </c>
      <c r="G51" s="27">
        <f t="shared" si="5"/>
        <v>4.7880894800483702</v>
      </c>
      <c r="H51" s="13">
        <f t="shared" si="6"/>
        <v>450501.82526786509</v>
      </c>
      <c r="I51" s="13">
        <f t="shared" si="7"/>
        <v>90100.360353240627</v>
      </c>
      <c r="J51" s="51">
        <f t="shared" si="3"/>
        <v>540602.18562110572</v>
      </c>
    </row>
    <row r="52" spans="1:10" x14ac:dyDescent="0.25">
      <c r="A52" s="4" t="s">
        <v>1</v>
      </c>
      <c r="B52" s="5" t="s">
        <v>260</v>
      </c>
      <c r="C52" s="5" t="s">
        <v>208</v>
      </c>
      <c r="D52" s="5">
        <v>5</v>
      </c>
      <c r="E52" s="6">
        <v>349440</v>
      </c>
      <c r="F52" s="11">
        <v>0</v>
      </c>
      <c r="G52" s="27">
        <f t="shared" si="5"/>
        <v>23.940447400241851</v>
      </c>
      <c r="H52" s="13">
        <f t="shared" si="6"/>
        <v>1081204.3806428763</v>
      </c>
      <c r="I52" s="13">
        <f t="shared" si="7"/>
        <v>0</v>
      </c>
      <c r="J52" s="51">
        <f t="shared" si="3"/>
        <v>1081204.3806428763</v>
      </c>
    </row>
    <row r="53" spans="1:10" x14ac:dyDescent="0.25">
      <c r="A53" s="4" t="s">
        <v>1</v>
      </c>
      <c r="B53" s="5" t="s">
        <v>223</v>
      </c>
      <c r="C53" s="5" t="s">
        <v>224</v>
      </c>
      <c r="D53" s="5">
        <v>168</v>
      </c>
      <c r="E53" s="6">
        <v>1941</v>
      </c>
      <c r="F53" s="11">
        <v>0</v>
      </c>
      <c r="G53" s="27">
        <f t="shared" si="5"/>
        <v>804.39903264812619</v>
      </c>
      <c r="H53" s="13">
        <f t="shared" si="6"/>
        <v>6005.6596349239435</v>
      </c>
      <c r="I53" s="13">
        <f t="shared" si="7"/>
        <v>0</v>
      </c>
      <c r="J53" s="51">
        <f t="shared" si="3"/>
        <v>6005.6596349239435</v>
      </c>
    </row>
    <row r="54" spans="1:10" x14ac:dyDescent="0.25">
      <c r="A54" s="4" t="s">
        <v>1</v>
      </c>
      <c r="B54" s="5" t="s">
        <v>261</v>
      </c>
      <c r="C54" s="5" t="s">
        <v>210</v>
      </c>
      <c r="D54" s="5">
        <v>2</v>
      </c>
      <c r="E54" s="6">
        <v>19412</v>
      </c>
      <c r="F54" s="11">
        <v>0</v>
      </c>
      <c r="G54" s="27">
        <f t="shared" si="5"/>
        <v>9.5761789600967404</v>
      </c>
      <c r="H54" s="13">
        <f t="shared" si="6"/>
        <v>60062.78456112498</v>
      </c>
      <c r="I54" s="13">
        <f t="shared" si="7"/>
        <v>0</v>
      </c>
      <c r="J54" s="51">
        <f t="shared" si="3"/>
        <v>60062.78456112498</v>
      </c>
    </row>
    <row r="55" spans="1:10" x14ac:dyDescent="0.25">
      <c r="A55" s="4" t="s">
        <v>1</v>
      </c>
      <c r="B55" s="5" t="s">
        <v>225</v>
      </c>
      <c r="C55" s="5" t="s">
        <v>210</v>
      </c>
      <c r="D55" s="5">
        <v>2</v>
      </c>
      <c r="E55" s="6">
        <v>3882</v>
      </c>
      <c r="F55" s="11">
        <v>0</v>
      </c>
      <c r="G55" s="27">
        <f t="shared" si="5"/>
        <v>9.5761789600967404</v>
      </c>
      <c r="H55" s="13">
        <f t="shared" si="6"/>
        <v>12011.319269847887</v>
      </c>
      <c r="I55" s="13">
        <f t="shared" si="7"/>
        <v>0</v>
      </c>
      <c r="J55" s="51">
        <f t="shared" si="3"/>
        <v>12011.319269847887</v>
      </c>
    </row>
    <row r="56" spans="1:10" x14ac:dyDescent="0.25">
      <c r="A56" s="4" t="s">
        <v>1</v>
      </c>
      <c r="B56" s="5" t="s">
        <v>226</v>
      </c>
      <c r="C56" s="5" t="s">
        <v>210</v>
      </c>
      <c r="D56" s="5">
        <v>74</v>
      </c>
      <c r="E56" s="6">
        <v>143634</v>
      </c>
      <c r="F56" s="11">
        <v>0</v>
      </c>
      <c r="G56" s="27">
        <f t="shared" si="5"/>
        <v>354.3186215235794</v>
      </c>
      <c r="H56" s="13">
        <f t="shared" si="6"/>
        <v>444418.81298437179</v>
      </c>
      <c r="I56" s="13">
        <f t="shared" si="7"/>
        <v>0</v>
      </c>
      <c r="J56" s="51">
        <f t="shared" si="3"/>
        <v>444418.81298437179</v>
      </c>
    </row>
    <row r="57" spans="1:10" x14ac:dyDescent="0.25">
      <c r="A57" s="4" t="s">
        <v>1</v>
      </c>
      <c r="B57" s="5" t="s">
        <v>227</v>
      </c>
      <c r="C57" s="5" t="s">
        <v>210</v>
      </c>
      <c r="D57" s="5">
        <v>3</v>
      </c>
      <c r="E57" s="6">
        <v>5823</v>
      </c>
      <c r="F57" s="11">
        <v>0</v>
      </c>
      <c r="G57" s="27">
        <f t="shared" si="5"/>
        <v>14.364268440145111</v>
      </c>
      <c r="H57" s="13">
        <f t="shared" si="6"/>
        <v>18016.97890477183</v>
      </c>
      <c r="I57" s="13">
        <f t="shared" si="7"/>
        <v>0</v>
      </c>
      <c r="J57" s="51">
        <f t="shared" si="3"/>
        <v>18016.97890477183</v>
      </c>
    </row>
    <row r="58" spans="1:10" x14ac:dyDescent="0.25">
      <c r="A58" s="4" t="s">
        <v>1</v>
      </c>
      <c r="B58" s="5" t="s">
        <v>228</v>
      </c>
      <c r="C58" s="5" t="s">
        <v>229</v>
      </c>
      <c r="D58" s="5">
        <v>1140</v>
      </c>
      <c r="E58" s="6">
        <v>3454983</v>
      </c>
      <c r="F58" s="11">
        <v>0</v>
      </c>
      <c r="G58" s="27">
        <f t="shared" si="5"/>
        <v>5458.4220072551416</v>
      </c>
      <c r="H58" s="13">
        <f t="shared" si="6"/>
        <v>10690083.432482447</v>
      </c>
      <c r="I58" s="13">
        <f t="shared" si="7"/>
        <v>0</v>
      </c>
      <c r="J58" s="51">
        <f t="shared" si="3"/>
        <v>10690083.432482447</v>
      </c>
    </row>
    <row r="59" spans="1:10" x14ac:dyDescent="0.25">
      <c r="A59" s="4" t="s">
        <v>1</v>
      </c>
      <c r="B59" s="5" t="s">
        <v>230</v>
      </c>
      <c r="C59" s="5" t="s">
        <v>229</v>
      </c>
      <c r="D59" s="5">
        <v>26</v>
      </c>
      <c r="E59" s="6">
        <v>91227</v>
      </c>
      <c r="F59" s="11">
        <v>0</v>
      </c>
      <c r="G59" s="27">
        <f t="shared" si="5"/>
        <v>124.49032648125763</v>
      </c>
      <c r="H59" s="13">
        <f t="shared" si="6"/>
        <v>282266.00284142536</v>
      </c>
      <c r="I59" s="13">
        <f t="shared" si="7"/>
        <v>0</v>
      </c>
      <c r="J59" s="51">
        <f t="shared" si="3"/>
        <v>282266.00284142536</v>
      </c>
    </row>
    <row r="60" spans="1:10" x14ac:dyDescent="0.25">
      <c r="A60" s="4" t="s">
        <v>1</v>
      </c>
      <c r="B60" s="5" t="s">
        <v>231</v>
      </c>
      <c r="C60" s="5" t="s">
        <v>232</v>
      </c>
      <c r="D60" s="5">
        <v>6</v>
      </c>
      <c r="E60" s="6">
        <v>2547996</v>
      </c>
      <c r="F60" s="11">
        <v>0</v>
      </c>
      <c r="G60" s="27">
        <f t="shared" si="5"/>
        <v>28.728536880290221</v>
      </c>
      <c r="H60" s="13">
        <f t="shared" si="6"/>
        <v>7883769.5657638684</v>
      </c>
      <c r="I60" s="13">
        <f t="shared" si="7"/>
        <v>0</v>
      </c>
      <c r="J60" s="51">
        <f t="shared" si="3"/>
        <v>7883769.5657638684</v>
      </c>
    </row>
    <row r="61" spans="1:10" x14ac:dyDescent="0.25">
      <c r="A61" s="4" t="s">
        <v>1</v>
      </c>
      <c r="B61" s="5" t="s">
        <v>262</v>
      </c>
      <c r="C61" s="5" t="s">
        <v>263</v>
      </c>
      <c r="D61" s="5">
        <v>15</v>
      </c>
      <c r="E61" s="6">
        <v>4549995</v>
      </c>
      <c r="F61" s="11">
        <v>0</v>
      </c>
      <c r="G61" s="27">
        <f t="shared" si="5"/>
        <v>71.821342200725553</v>
      </c>
      <c r="H61" s="13">
        <f t="shared" si="6"/>
        <v>14078166.56909107</v>
      </c>
      <c r="I61" s="13">
        <f t="shared" si="7"/>
        <v>0</v>
      </c>
      <c r="J61" s="51">
        <f t="shared" si="3"/>
        <v>14078166.56909107</v>
      </c>
    </row>
    <row r="62" spans="1:10" x14ac:dyDescent="0.25">
      <c r="A62" s="4" t="s">
        <v>1</v>
      </c>
      <c r="B62" s="5" t="s">
        <v>233</v>
      </c>
      <c r="C62" s="5" t="s">
        <v>234</v>
      </c>
      <c r="D62" s="5">
        <v>32</v>
      </c>
      <c r="E62" s="6">
        <v>6212256</v>
      </c>
      <c r="F62" s="11">
        <v>0</v>
      </c>
      <c r="G62" s="27">
        <f t="shared" si="5"/>
        <v>153.21886336154785</v>
      </c>
      <c r="H62" s="13">
        <f t="shared" si="6"/>
        <v>19221378.207632188</v>
      </c>
      <c r="I62" s="13">
        <f t="shared" si="7"/>
        <v>0</v>
      </c>
      <c r="J62" s="51">
        <f t="shared" si="3"/>
        <v>19221378.207632188</v>
      </c>
    </row>
    <row r="63" spans="1:10" x14ac:dyDescent="0.25">
      <c r="A63" s="4" t="s">
        <v>1</v>
      </c>
      <c r="B63" s="5" t="s">
        <v>235</v>
      </c>
      <c r="C63" s="5" t="s">
        <v>236</v>
      </c>
      <c r="D63" s="5">
        <v>108</v>
      </c>
      <c r="E63" s="6">
        <v>1465676</v>
      </c>
      <c r="F63" s="6">
        <v>293135</v>
      </c>
      <c r="G63" s="27">
        <f t="shared" si="5"/>
        <v>517.11366384522398</v>
      </c>
      <c r="H63" s="13">
        <f t="shared" si="6"/>
        <v>4534956.8217809303</v>
      </c>
      <c r="I63" s="13">
        <f t="shared" si="7"/>
        <v>906990.69821934029</v>
      </c>
      <c r="J63" s="51">
        <f t="shared" si="3"/>
        <v>5441947.5200002706</v>
      </c>
    </row>
    <row r="64" spans="1:10" x14ac:dyDescent="0.25">
      <c r="A64" s="4" t="s">
        <v>1</v>
      </c>
      <c r="B64" s="5" t="s">
        <v>237</v>
      </c>
      <c r="C64" s="5" t="s">
        <v>238</v>
      </c>
      <c r="D64" s="5">
        <v>10</v>
      </c>
      <c r="E64" s="6">
        <v>102520</v>
      </c>
      <c r="F64" s="6">
        <v>20500</v>
      </c>
      <c r="G64" s="27">
        <f t="shared" si="5"/>
        <v>47.880894800483702</v>
      </c>
      <c r="H64" s="13">
        <f t="shared" si="6"/>
        <v>317207.74125316984</v>
      </c>
      <c r="I64" s="13">
        <f t="shared" si="7"/>
        <v>63429.16851790635</v>
      </c>
      <c r="J64" s="51">
        <f t="shared" si="3"/>
        <v>380636.90977107617</v>
      </c>
    </row>
    <row r="65" spans="1:10" x14ac:dyDescent="0.25">
      <c r="A65" s="4" t="s">
        <v>1</v>
      </c>
      <c r="B65" s="5" t="s">
        <v>239</v>
      </c>
      <c r="C65" s="5" t="s">
        <v>236</v>
      </c>
      <c r="D65" s="5">
        <v>2</v>
      </c>
      <c r="E65" s="6">
        <v>27300</v>
      </c>
      <c r="F65" s="6">
        <v>5460</v>
      </c>
      <c r="G65" s="27">
        <f t="shared" si="5"/>
        <v>9.5761789600967404</v>
      </c>
      <c r="H65" s="13">
        <f t="shared" si="6"/>
        <v>84469.092237724704</v>
      </c>
      <c r="I65" s="13">
        <f t="shared" si="7"/>
        <v>16893.817566232618</v>
      </c>
      <c r="J65" s="51">
        <f t="shared" si="3"/>
        <v>101362.90980395733</v>
      </c>
    </row>
    <row r="66" spans="1:10" x14ac:dyDescent="0.25">
      <c r="A66" s="4" t="s">
        <v>1</v>
      </c>
      <c r="B66" s="5" t="s">
        <v>240</v>
      </c>
      <c r="C66" s="5" t="s">
        <v>238</v>
      </c>
      <c r="D66" s="5">
        <v>1</v>
      </c>
      <c r="E66" s="6">
        <v>10252</v>
      </c>
      <c r="F66" s="6">
        <v>2050</v>
      </c>
      <c r="G66" s="27">
        <f t="shared" si="5"/>
        <v>4.7880894800483702</v>
      </c>
      <c r="H66" s="13">
        <f t="shared" si="6"/>
        <v>31720.774125316984</v>
      </c>
      <c r="I66" s="13">
        <f t="shared" si="7"/>
        <v>6342.9168517906346</v>
      </c>
      <c r="J66" s="51">
        <f t="shared" si="3"/>
        <v>38063.690977107617</v>
      </c>
    </row>
    <row r="67" spans="1:10" x14ac:dyDescent="0.25">
      <c r="A67" s="4" t="s">
        <v>1</v>
      </c>
      <c r="B67" s="5" t="s">
        <v>241</v>
      </c>
      <c r="C67" s="5" t="s">
        <v>236</v>
      </c>
      <c r="D67" s="5">
        <v>254</v>
      </c>
      <c r="E67" s="6">
        <v>3467100</v>
      </c>
      <c r="F67" s="6">
        <v>693420</v>
      </c>
      <c r="G67" s="27">
        <f t="shared" si="5"/>
        <v>1216.174727932286</v>
      </c>
      <c r="H67" s="13">
        <f t="shared" si="6"/>
        <v>10727574.714191038</v>
      </c>
      <c r="I67" s="13">
        <f t="shared" si="7"/>
        <v>2145514.8309115423</v>
      </c>
      <c r="J67" s="51">
        <f t="shared" si="3"/>
        <v>12873089.545102581</v>
      </c>
    </row>
    <row r="68" spans="1:10" x14ac:dyDescent="0.25">
      <c r="A68" s="4" t="s">
        <v>1</v>
      </c>
      <c r="B68" s="5" t="s">
        <v>242</v>
      </c>
      <c r="C68" s="5" t="s">
        <v>238</v>
      </c>
      <c r="D68" s="5">
        <v>9</v>
      </c>
      <c r="E68" s="6">
        <v>92268</v>
      </c>
      <c r="F68" s="6">
        <v>18450</v>
      </c>
      <c r="G68" s="27">
        <f t="shared" si="5"/>
        <v>43.092805320435332</v>
      </c>
      <c r="H68" s="13">
        <f t="shared" si="6"/>
        <v>285486.96712785284</v>
      </c>
      <c r="I68" s="13">
        <f t="shared" si="7"/>
        <v>57086.251666115713</v>
      </c>
      <c r="J68" s="51">
        <f t="shared" si="3"/>
        <v>342573.21879396855</v>
      </c>
    </row>
    <row r="69" spans="1:10" x14ac:dyDescent="0.25">
      <c r="A69" s="4" t="s">
        <v>1</v>
      </c>
      <c r="B69" s="5" t="s">
        <v>264</v>
      </c>
      <c r="C69" s="5" t="s">
        <v>238</v>
      </c>
      <c r="D69" s="5">
        <v>3</v>
      </c>
      <c r="E69" s="6">
        <v>30756</v>
      </c>
      <c r="F69" s="11">
        <v>0</v>
      </c>
      <c r="G69" s="27">
        <f t="shared" si="5"/>
        <v>14.364268440145111</v>
      </c>
      <c r="H69" s="13">
        <f t="shared" si="6"/>
        <v>95162.322375950956</v>
      </c>
      <c r="I69" s="13">
        <f t="shared" si="7"/>
        <v>0</v>
      </c>
      <c r="J69" s="51">
        <f t="shared" ref="J69:J132" si="8">SUM(H69:I69)</f>
        <v>95162.322375950956</v>
      </c>
    </row>
    <row r="70" spans="1:10" x14ac:dyDescent="0.25">
      <c r="A70" s="4" t="s">
        <v>1</v>
      </c>
      <c r="B70" s="5" t="s">
        <v>265</v>
      </c>
      <c r="C70" s="5" t="s">
        <v>208</v>
      </c>
      <c r="D70" s="5">
        <v>1</v>
      </c>
      <c r="E70" s="6">
        <v>69888</v>
      </c>
      <c r="F70" s="6">
        <v>4659</v>
      </c>
      <c r="G70" s="27">
        <f t="shared" si="5"/>
        <v>4.7880894800483702</v>
      </c>
      <c r="H70" s="13">
        <f t="shared" si="6"/>
        <v>216240.87612857524</v>
      </c>
      <c r="I70" s="13">
        <f t="shared" si="7"/>
        <v>14415.438835362227</v>
      </c>
      <c r="J70" s="51">
        <f t="shared" si="8"/>
        <v>230656.31496393748</v>
      </c>
    </row>
    <row r="71" spans="1:10" x14ac:dyDescent="0.25">
      <c r="A71" s="4" t="s">
        <v>1</v>
      </c>
      <c r="B71" s="5" t="s">
        <v>243</v>
      </c>
      <c r="C71" s="5" t="s">
        <v>244</v>
      </c>
      <c r="D71" s="5">
        <v>36</v>
      </c>
      <c r="E71" s="6">
        <v>245700</v>
      </c>
      <c r="F71" s="6">
        <v>49140</v>
      </c>
      <c r="G71" s="27">
        <f t="shared" si="5"/>
        <v>172.37122128174133</v>
      </c>
      <c r="H71" s="13">
        <f t="shared" si="6"/>
        <v>760221.83013952232</v>
      </c>
      <c r="I71" s="13">
        <f t="shared" si="7"/>
        <v>152044.35809609355</v>
      </c>
      <c r="J71" s="51">
        <f t="shared" si="8"/>
        <v>912266.18823561585</v>
      </c>
    </row>
    <row r="72" spans="1:10" x14ac:dyDescent="0.25">
      <c r="A72" s="4" t="s">
        <v>1</v>
      </c>
      <c r="B72" s="5" t="s">
        <v>247</v>
      </c>
      <c r="C72" s="5" t="s">
        <v>244</v>
      </c>
      <c r="D72" s="5">
        <v>2</v>
      </c>
      <c r="E72" s="6">
        <v>13650</v>
      </c>
      <c r="F72" s="6">
        <v>2730</v>
      </c>
      <c r="G72" s="27">
        <f t="shared" si="5"/>
        <v>9.5761789600967404</v>
      </c>
      <c r="H72" s="13">
        <f t="shared" si="6"/>
        <v>42234.546118862352</v>
      </c>
      <c r="I72" s="13">
        <f t="shared" si="7"/>
        <v>8446.9087831163088</v>
      </c>
      <c r="J72" s="51">
        <f t="shared" si="8"/>
        <v>50681.454901978665</v>
      </c>
    </row>
    <row r="73" spans="1:10" x14ac:dyDescent="0.25">
      <c r="A73" s="4" t="s">
        <v>1</v>
      </c>
      <c r="B73" s="5" t="s">
        <v>248</v>
      </c>
      <c r="C73" s="5" t="s">
        <v>246</v>
      </c>
      <c r="D73" s="5">
        <v>2</v>
      </c>
      <c r="E73" s="6">
        <v>10252</v>
      </c>
      <c r="F73" s="6">
        <v>2050</v>
      </c>
      <c r="G73" s="27">
        <f t="shared" si="5"/>
        <v>9.5761789600967404</v>
      </c>
      <c r="H73" s="13">
        <f t="shared" si="6"/>
        <v>31720.774125316984</v>
      </c>
      <c r="I73" s="13">
        <f t="shared" si="7"/>
        <v>6342.9168517906346</v>
      </c>
      <c r="J73" s="51">
        <f t="shared" si="8"/>
        <v>38063.690977107617</v>
      </c>
    </row>
    <row r="74" spans="1:10" x14ac:dyDescent="0.25">
      <c r="A74" s="4" t="s">
        <v>1</v>
      </c>
      <c r="B74" s="5" t="s">
        <v>249</v>
      </c>
      <c r="C74" s="5" t="s">
        <v>250</v>
      </c>
      <c r="D74" s="5">
        <v>129</v>
      </c>
      <c r="E74" s="6">
        <v>3912957</v>
      </c>
      <c r="F74" s="6">
        <v>782514</v>
      </c>
      <c r="G74" s="27">
        <f t="shared" si="5"/>
        <v>617.66354292623976</v>
      </c>
      <c r="H74" s="13">
        <f t="shared" si="6"/>
        <v>12107103.507518336</v>
      </c>
      <c r="I74" s="13">
        <f t="shared" si="7"/>
        <v>2421181.0913961446</v>
      </c>
      <c r="J74" s="51">
        <f t="shared" si="8"/>
        <v>14528284.598914482</v>
      </c>
    </row>
    <row r="75" spans="1:10" x14ac:dyDescent="0.25">
      <c r="A75" s="4" t="s">
        <v>1</v>
      </c>
      <c r="B75" s="5" t="s">
        <v>252</v>
      </c>
      <c r="C75" s="5" t="s">
        <v>212</v>
      </c>
      <c r="D75" s="5">
        <v>39</v>
      </c>
      <c r="E75" s="6">
        <v>113568</v>
      </c>
      <c r="F75" s="11">
        <v>0</v>
      </c>
      <c r="G75" s="27">
        <f t="shared" si="5"/>
        <v>186.73548972188644</v>
      </c>
      <c r="H75" s="13">
        <f t="shared" si="6"/>
        <v>351391.4237089348</v>
      </c>
      <c r="I75" s="13">
        <f t="shared" si="7"/>
        <v>0</v>
      </c>
      <c r="J75" s="51">
        <f t="shared" si="8"/>
        <v>351391.4237089348</v>
      </c>
    </row>
    <row r="76" spans="1:10" x14ac:dyDescent="0.25">
      <c r="A76" s="4" t="s">
        <v>1</v>
      </c>
      <c r="B76" s="5" t="s">
        <v>253</v>
      </c>
      <c r="C76" s="5" t="s">
        <v>210</v>
      </c>
      <c r="D76" s="5">
        <v>470</v>
      </c>
      <c r="E76" s="6">
        <v>912270</v>
      </c>
      <c r="F76" s="11">
        <v>0</v>
      </c>
      <c r="G76" s="27">
        <f t="shared" si="5"/>
        <v>2250.4020556227342</v>
      </c>
      <c r="H76" s="13">
        <f t="shared" si="6"/>
        <v>2822660.0284142536</v>
      </c>
      <c r="I76" s="13">
        <f t="shared" si="7"/>
        <v>0</v>
      </c>
      <c r="J76" s="51">
        <f t="shared" si="8"/>
        <v>2822660.0284142536</v>
      </c>
    </row>
    <row r="77" spans="1:10" x14ac:dyDescent="0.25">
      <c r="A77" s="4" t="s">
        <v>1</v>
      </c>
      <c r="B77" s="5" t="s">
        <v>254</v>
      </c>
      <c r="C77" s="5" t="s">
        <v>212</v>
      </c>
      <c r="D77" s="5">
        <v>22</v>
      </c>
      <c r="E77" s="6">
        <v>64064</v>
      </c>
      <c r="F77" s="11">
        <v>0</v>
      </c>
      <c r="G77" s="27">
        <f t="shared" si="5"/>
        <v>105.33796856106414</v>
      </c>
      <c r="H77" s="13">
        <f t="shared" si="6"/>
        <v>198220.80311786063</v>
      </c>
      <c r="I77" s="13">
        <f t="shared" si="7"/>
        <v>0</v>
      </c>
      <c r="J77" s="51">
        <f t="shared" si="8"/>
        <v>198220.80311786063</v>
      </c>
    </row>
    <row r="78" spans="1:10" x14ac:dyDescent="0.25">
      <c r="A78" s="4" t="s">
        <v>1</v>
      </c>
      <c r="B78" s="5" t="s">
        <v>255</v>
      </c>
      <c r="C78" s="5" t="s">
        <v>210</v>
      </c>
      <c r="D78" s="5">
        <v>96</v>
      </c>
      <c r="E78" s="6">
        <v>186336</v>
      </c>
      <c r="F78" s="11">
        <v>0</v>
      </c>
      <c r="G78" s="27">
        <f t="shared" si="5"/>
        <v>459.65659008464354</v>
      </c>
      <c r="H78" s="13">
        <f t="shared" si="6"/>
        <v>576543.32495269855</v>
      </c>
      <c r="I78" s="13">
        <f t="shared" si="7"/>
        <v>0</v>
      </c>
      <c r="J78" s="51">
        <f t="shared" si="8"/>
        <v>576543.32495269855</v>
      </c>
    </row>
    <row r="79" spans="1:10" x14ac:dyDescent="0.25">
      <c r="A79" s="4" t="s">
        <v>1</v>
      </c>
      <c r="B79" s="5" t="s">
        <v>256</v>
      </c>
      <c r="C79" s="5" t="s">
        <v>212</v>
      </c>
      <c r="D79" s="5">
        <v>8</v>
      </c>
      <c r="E79" s="6">
        <v>23296</v>
      </c>
      <c r="F79" s="11">
        <v>0</v>
      </c>
      <c r="G79" s="27">
        <f t="shared" si="5"/>
        <v>38.304715840386962</v>
      </c>
      <c r="H79" s="13">
        <f t="shared" si="6"/>
        <v>72080.292042858418</v>
      </c>
      <c r="I79" s="13">
        <f t="shared" si="7"/>
        <v>0</v>
      </c>
      <c r="J79" s="51">
        <f t="shared" si="8"/>
        <v>72080.292042858418</v>
      </c>
    </row>
    <row r="80" spans="1:10" x14ac:dyDescent="0.25">
      <c r="A80" s="15" t="s">
        <v>1</v>
      </c>
      <c r="B80" s="16" t="s">
        <v>257</v>
      </c>
      <c r="C80" s="16" t="s">
        <v>210</v>
      </c>
      <c r="D80" s="16">
        <v>68</v>
      </c>
      <c r="E80" s="17">
        <v>131988</v>
      </c>
      <c r="F80" s="18">
        <v>0</v>
      </c>
      <c r="G80" s="54">
        <f t="shared" si="5"/>
        <v>325.59008464328917</v>
      </c>
      <c r="H80" s="19">
        <f t="shared" si="6"/>
        <v>408384.85517482815</v>
      </c>
      <c r="I80" s="19">
        <f t="shared" si="7"/>
        <v>0</v>
      </c>
      <c r="J80" s="51">
        <f t="shared" si="8"/>
        <v>408384.85517482815</v>
      </c>
    </row>
    <row r="81" spans="1:10" s="3" customFormat="1" x14ac:dyDescent="0.25">
      <c r="A81" s="4"/>
      <c r="B81" s="20" t="s">
        <v>428</v>
      </c>
      <c r="C81" s="21"/>
      <c r="D81" s="21"/>
      <c r="E81" s="22"/>
      <c r="F81" s="29"/>
      <c r="G81" s="48">
        <f>SUM(G41:G80)</f>
        <v>15839.000000000007</v>
      </c>
      <c r="H81" s="48">
        <f t="shared" ref="H81:J81" si="9">SUM(H41:H80)</f>
        <v>93579154.999999955</v>
      </c>
      <c r="I81" s="48">
        <f t="shared" si="9"/>
        <v>6420845</v>
      </c>
      <c r="J81" s="47">
        <f t="shared" si="9"/>
        <v>99999999.999999985</v>
      </c>
    </row>
    <row r="82" spans="1:10" x14ac:dyDescent="0.25">
      <c r="A82" s="23" t="s">
        <v>2</v>
      </c>
      <c r="B82" s="24" t="s">
        <v>207</v>
      </c>
      <c r="C82" s="24" t="s">
        <v>208</v>
      </c>
      <c r="D82" s="24">
        <v>1</v>
      </c>
      <c r="E82" s="25">
        <v>11648</v>
      </c>
      <c r="F82" s="25">
        <v>4659</v>
      </c>
      <c r="G82" s="26">
        <f t="shared" ref="G82:G101" si="10">+D82*4.78409090909091</f>
        <v>4.7840909090909101</v>
      </c>
      <c r="H82" s="7">
        <f t="shared" ref="H82:H101" si="11">+E82*5907144/763922</f>
        <v>90069.946031139305</v>
      </c>
      <c r="I82" s="7">
        <f t="shared" ref="I82:I101" si="12">+F82*1092856/141330</f>
        <v>36026.435321587771</v>
      </c>
      <c r="J82" s="51">
        <f t="shared" si="8"/>
        <v>126096.38135272707</v>
      </c>
    </row>
    <row r="83" spans="1:10" x14ac:dyDescent="0.25">
      <c r="A83" s="4" t="s">
        <v>2</v>
      </c>
      <c r="B83" s="5" t="s">
        <v>209</v>
      </c>
      <c r="C83" s="5" t="s">
        <v>210</v>
      </c>
      <c r="D83" s="5">
        <v>1</v>
      </c>
      <c r="E83" s="6">
        <v>970</v>
      </c>
      <c r="F83" s="11">
        <v>0</v>
      </c>
      <c r="G83" s="27">
        <f t="shared" si="10"/>
        <v>4.7840909090909101</v>
      </c>
      <c r="H83" s="13">
        <f t="shared" si="11"/>
        <v>7500.6737337057975</v>
      </c>
      <c r="I83" s="13">
        <f t="shared" si="12"/>
        <v>0</v>
      </c>
      <c r="J83" s="51">
        <f t="shared" si="8"/>
        <v>7500.6737337057975</v>
      </c>
    </row>
    <row r="84" spans="1:10" x14ac:dyDescent="0.25">
      <c r="A84" s="4" t="s">
        <v>2</v>
      </c>
      <c r="B84" s="5" t="s">
        <v>214</v>
      </c>
      <c r="C84" s="5" t="s">
        <v>210</v>
      </c>
      <c r="D84" s="5">
        <v>11</v>
      </c>
      <c r="E84" s="6">
        <v>10670</v>
      </c>
      <c r="F84" s="11">
        <v>0</v>
      </c>
      <c r="G84" s="27">
        <f t="shared" si="10"/>
        <v>52.625000000000014</v>
      </c>
      <c r="H84" s="13">
        <f t="shared" si="11"/>
        <v>82507.411070763774</v>
      </c>
      <c r="I84" s="13">
        <f t="shared" si="12"/>
        <v>0</v>
      </c>
      <c r="J84" s="51">
        <f t="shared" si="8"/>
        <v>82507.411070763774</v>
      </c>
    </row>
    <row r="85" spans="1:10" x14ac:dyDescent="0.25">
      <c r="A85" s="4" t="s">
        <v>2</v>
      </c>
      <c r="B85" s="5" t="s">
        <v>217</v>
      </c>
      <c r="C85" s="5" t="s">
        <v>218</v>
      </c>
      <c r="D85" s="5">
        <v>15</v>
      </c>
      <c r="E85" s="6">
        <v>49695</v>
      </c>
      <c r="F85" s="6">
        <v>19875</v>
      </c>
      <c r="G85" s="27">
        <f t="shared" si="10"/>
        <v>71.761363636363654</v>
      </c>
      <c r="H85" s="13">
        <f t="shared" si="11"/>
        <v>384274.20741908206</v>
      </c>
      <c r="I85" s="13">
        <f t="shared" si="12"/>
        <v>153686.49968159627</v>
      </c>
      <c r="J85" s="51">
        <f t="shared" si="8"/>
        <v>537960.70710067835</v>
      </c>
    </row>
    <row r="86" spans="1:10" x14ac:dyDescent="0.25">
      <c r="A86" s="4" t="s">
        <v>2</v>
      </c>
      <c r="B86" s="5" t="s">
        <v>219</v>
      </c>
      <c r="C86" s="5" t="s">
        <v>220</v>
      </c>
      <c r="D86" s="5">
        <v>3</v>
      </c>
      <c r="E86" s="6">
        <v>10191</v>
      </c>
      <c r="F86" s="6">
        <v>4074</v>
      </c>
      <c r="G86" s="27">
        <f t="shared" si="10"/>
        <v>14.35227272727273</v>
      </c>
      <c r="H86" s="13">
        <f t="shared" si="11"/>
        <v>78803.470123913168</v>
      </c>
      <c r="I86" s="13">
        <f t="shared" si="12"/>
        <v>31502.832689450224</v>
      </c>
      <c r="J86" s="51">
        <f t="shared" si="8"/>
        <v>110306.30281336339</v>
      </c>
    </row>
    <row r="87" spans="1:10" x14ac:dyDescent="0.25">
      <c r="A87" s="4" t="s">
        <v>2</v>
      </c>
      <c r="B87" s="5" t="s">
        <v>226</v>
      </c>
      <c r="C87" s="5" t="s">
        <v>210</v>
      </c>
      <c r="D87" s="5">
        <v>1</v>
      </c>
      <c r="E87" s="6">
        <v>970</v>
      </c>
      <c r="F87" s="11">
        <v>0</v>
      </c>
      <c r="G87" s="27">
        <f t="shared" si="10"/>
        <v>4.7840909090909101</v>
      </c>
      <c r="H87" s="13">
        <f t="shared" si="11"/>
        <v>7500.6737337057975</v>
      </c>
      <c r="I87" s="13">
        <f t="shared" si="12"/>
        <v>0</v>
      </c>
      <c r="J87" s="51">
        <f t="shared" si="8"/>
        <v>7500.6737337057975</v>
      </c>
    </row>
    <row r="88" spans="1:10" x14ac:dyDescent="0.25">
      <c r="A88" s="4" t="s">
        <v>2</v>
      </c>
      <c r="B88" s="5" t="s">
        <v>228</v>
      </c>
      <c r="C88" s="5" t="s">
        <v>229</v>
      </c>
      <c r="D88" s="5">
        <v>9</v>
      </c>
      <c r="E88" s="6">
        <v>17469</v>
      </c>
      <c r="F88" s="11">
        <v>0</v>
      </c>
      <c r="G88" s="27">
        <f t="shared" si="10"/>
        <v>43.056818181818187</v>
      </c>
      <c r="H88" s="13">
        <f t="shared" si="11"/>
        <v>135081.72108670781</v>
      </c>
      <c r="I88" s="13">
        <f t="shared" si="12"/>
        <v>0</v>
      </c>
      <c r="J88" s="51">
        <f t="shared" si="8"/>
        <v>135081.72108670781</v>
      </c>
    </row>
    <row r="89" spans="1:10" x14ac:dyDescent="0.25">
      <c r="A89" s="4" t="s">
        <v>2</v>
      </c>
      <c r="B89" s="5" t="s">
        <v>231</v>
      </c>
      <c r="C89" s="5" t="s">
        <v>232</v>
      </c>
      <c r="D89" s="5">
        <v>1</v>
      </c>
      <c r="E89" s="6">
        <v>212333</v>
      </c>
      <c r="F89" s="11">
        <v>0</v>
      </c>
      <c r="G89" s="27">
        <f t="shared" si="10"/>
        <v>4.7840909090909101</v>
      </c>
      <c r="H89" s="13">
        <f t="shared" si="11"/>
        <v>1641897.4803081991</v>
      </c>
      <c r="I89" s="13">
        <f t="shared" si="12"/>
        <v>0</v>
      </c>
      <c r="J89" s="51">
        <f t="shared" si="8"/>
        <v>1641897.4803081991</v>
      </c>
    </row>
    <row r="90" spans="1:10" x14ac:dyDescent="0.25">
      <c r="A90" s="4" t="s">
        <v>2</v>
      </c>
      <c r="B90" s="5" t="s">
        <v>262</v>
      </c>
      <c r="C90" s="5" t="s">
        <v>263</v>
      </c>
      <c r="D90" s="5">
        <v>1</v>
      </c>
      <c r="E90" s="6">
        <v>151666</v>
      </c>
      <c r="F90" s="11">
        <v>0</v>
      </c>
      <c r="G90" s="27">
        <f t="shared" si="10"/>
        <v>4.7840909090909101</v>
      </c>
      <c r="H90" s="13">
        <f t="shared" si="11"/>
        <v>1172780.6005115705</v>
      </c>
      <c r="I90" s="13">
        <f t="shared" si="12"/>
        <v>0</v>
      </c>
      <c r="J90" s="51">
        <f t="shared" si="8"/>
        <v>1172780.6005115705</v>
      </c>
    </row>
    <row r="91" spans="1:10" x14ac:dyDescent="0.25">
      <c r="A91" s="4" t="s">
        <v>2</v>
      </c>
      <c r="B91" s="5" t="s">
        <v>235</v>
      </c>
      <c r="C91" s="5" t="s">
        <v>236</v>
      </c>
      <c r="D91" s="5">
        <v>2</v>
      </c>
      <c r="E91" s="6">
        <v>13650</v>
      </c>
      <c r="F91" s="6">
        <v>5460</v>
      </c>
      <c r="G91" s="27">
        <f t="shared" si="10"/>
        <v>9.5681818181818201</v>
      </c>
      <c r="H91" s="13">
        <f t="shared" si="11"/>
        <v>105550.71800524138</v>
      </c>
      <c r="I91" s="13">
        <f t="shared" si="12"/>
        <v>42220.291233283802</v>
      </c>
      <c r="J91" s="51">
        <f t="shared" si="8"/>
        <v>147771.00923852518</v>
      </c>
    </row>
    <row r="92" spans="1:10" x14ac:dyDescent="0.25">
      <c r="A92" s="4" t="s">
        <v>2</v>
      </c>
      <c r="B92" s="5" t="s">
        <v>239</v>
      </c>
      <c r="C92" s="5" t="s">
        <v>236</v>
      </c>
      <c r="D92" s="5">
        <v>1</v>
      </c>
      <c r="E92" s="6">
        <v>6825</v>
      </c>
      <c r="F92" s="6">
        <v>2730</v>
      </c>
      <c r="G92" s="27">
        <f t="shared" si="10"/>
        <v>4.7840909090909101</v>
      </c>
      <c r="H92" s="13">
        <f t="shared" si="11"/>
        <v>52775.359002620688</v>
      </c>
      <c r="I92" s="13">
        <f t="shared" si="12"/>
        <v>21110.145616641901</v>
      </c>
      <c r="J92" s="51">
        <f t="shared" si="8"/>
        <v>73885.504619262589</v>
      </c>
    </row>
    <row r="93" spans="1:10" x14ac:dyDescent="0.25">
      <c r="A93" s="4" t="s">
        <v>2</v>
      </c>
      <c r="B93" s="5" t="s">
        <v>241</v>
      </c>
      <c r="C93" s="5" t="s">
        <v>236</v>
      </c>
      <c r="D93" s="5">
        <v>10</v>
      </c>
      <c r="E93" s="6">
        <v>68250</v>
      </c>
      <c r="F93" s="6">
        <v>27300</v>
      </c>
      <c r="G93" s="27">
        <f t="shared" si="10"/>
        <v>47.840909090909101</v>
      </c>
      <c r="H93" s="13">
        <f t="shared" si="11"/>
        <v>527753.59002620692</v>
      </c>
      <c r="I93" s="13">
        <f t="shared" si="12"/>
        <v>211101.45616641903</v>
      </c>
      <c r="J93" s="51">
        <f t="shared" si="8"/>
        <v>738855.046192626</v>
      </c>
    </row>
    <row r="94" spans="1:10" x14ac:dyDescent="0.25">
      <c r="A94" s="4" t="s">
        <v>2</v>
      </c>
      <c r="B94" s="5" t="s">
        <v>245</v>
      </c>
      <c r="C94" s="5" t="s">
        <v>246</v>
      </c>
      <c r="D94" s="5">
        <v>3</v>
      </c>
      <c r="E94" s="6">
        <v>7689</v>
      </c>
      <c r="F94" s="6">
        <v>3075</v>
      </c>
      <c r="G94" s="27">
        <f t="shared" si="10"/>
        <v>14.35227272727273</v>
      </c>
      <c r="H94" s="13">
        <f t="shared" si="11"/>
        <v>59456.371482952447</v>
      </c>
      <c r="I94" s="13">
        <f t="shared" si="12"/>
        <v>23777.911271492252</v>
      </c>
      <c r="J94" s="51">
        <f t="shared" si="8"/>
        <v>83234.282754444692</v>
      </c>
    </row>
    <row r="95" spans="1:10" x14ac:dyDescent="0.25">
      <c r="A95" s="4" t="s">
        <v>2</v>
      </c>
      <c r="B95" s="5" t="s">
        <v>247</v>
      </c>
      <c r="C95" s="5" t="s">
        <v>244</v>
      </c>
      <c r="D95" s="5">
        <v>1</v>
      </c>
      <c r="E95" s="6">
        <v>3412</v>
      </c>
      <c r="F95" s="6">
        <v>1365</v>
      </c>
      <c r="G95" s="27">
        <f t="shared" si="10"/>
        <v>4.7840909090909101</v>
      </c>
      <c r="H95" s="13">
        <f t="shared" si="11"/>
        <v>26383.813174643485</v>
      </c>
      <c r="I95" s="13">
        <f t="shared" si="12"/>
        <v>10555.072808320951</v>
      </c>
      <c r="J95" s="51">
        <f t="shared" si="8"/>
        <v>36938.885982964435</v>
      </c>
    </row>
    <row r="96" spans="1:10" x14ac:dyDescent="0.25">
      <c r="A96" s="4" t="s">
        <v>2</v>
      </c>
      <c r="B96" s="5" t="s">
        <v>249</v>
      </c>
      <c r="C96" s="5" t="s">
        <v>250</v>
      </c>
      <c r="D96" s="5">
        <v>12</v>
      </c>
      <c r="E96" s="6">
        <v>181992</v>
      </c>
      <c r="F96" s="6">
        <v>72792</v>
      </c>
      <c r="G96" s="27">
        <f t="shared" si="10"/>
        <v>57.409090909090921</v>
      </c>
      <c r="H96" s="13">
        <f t="shared" si="11"/>
        <v>1407281.0455098818</v>
      </c>
      <c r="I96" s="13">
        <f t="shared" si="12"/>
        <v>562875.35521120776</v>
      </c>
      <c r="J96" s="51">
        <f t="shared" si="8"/>
        <v>1970156.4007210894</v>
      </c>
    </row>
    <row r="97" spans="1:10" x14ac:dyDescent="0.25">
      <c r="A97" s="4" t="s">
        <v>2</v>
      </c>
      <c r="B97" s="5" t="s">
        <v>253</v>
      </c>
      <c r="C97" s="5" t="s">
        <v>210</v>
      </c>
      <c r="D97" s="5">
        <v>12</v>
      </c>
      <c r="E97" s="6">
        <v>11640</v>
      </c>
      <c r="F97" s="11">
        <v>0</v>
      </c>
      <c r="G97" s="27">
        <f t="shared" si="10"/>
        <v>57.409090909090921</v>
      </c>
      <c r="H97" s="13">
        <f t="shared" si="11"/>
        <v>90008.084804469559</v>
      </c>
      <c r="I97" s="13">
        <f t="shared" si="12"/>
        <v>0</v>
      </c>
      <c r="J97" s="51">
        <f t="shared" si="8"/>
        <v>90008.084804469559</v>
      </c>
    </row>
    <row r="98" spans="1:10" x14ac:dyDescent="0.25">
      <c r="A98" s="4" t="s">
        <v>2</v>
      </c>
      <c r="B98" s="5" t="s">
        <v>254</v>
      </c>
      <c r="C98" s="5" t="s">
        <v>212</v>
      </c>
      <c r="D98" s="5">
        <v>1</v>
      </c>
      <c r="E98" s="6">
        <v>1456</v>
      </c>
      <c r="F98" s="11">
        <v>0</v>
      </c>
      <c r="G98" s="27">
        <f t="shared" si="10"/>
        <v>4.7840909090909101</v>
      </c>
      <c r="H98" s="13">
        <f t="shared" si="11"/>
        <v>11258.743253892413</v>
      </c>
      <c r="I98" s="13">
        <f t="shared" si="12"/>
        <v>0</v>
      </c>
      <c r="J98" s="51">
        <f t="shared" si="8"/>
        <v>11258.743253892413</v>
      </c>
    </row>
    <row r="99" spans="1:10" x14ac:dyDescent="0.25">
      <c r="A99" s="4" t="s">
        <v>2</v>
      </c>
      <c r="B99" s="5" t="s">
        <v>255</v>
      </c>
      <c r="C99" s="5" t="s">
        <v>210</v>
      </c>
      <c r="D99" s="5">
        <v>1</v>
      </c>
      <c r="E99" s="6">
        <v>970</v>
      </c>
      <c r="F99" s="11">
        <v>0</v>
      </c>
      <c r="G99" s="27">
        <f t="shared" si="10"/>
        <v>4.7840909090909101</v>
      </c>
      <c r="H99" s="13">
        <f t="shared" si="11"/>
        <v>7500.6737337057975</v>
      </c>
      <c r="I99" s="13">
        <f t="shared" si="12"/>
        <v>0</v>
      </c>
      <c r="J99" s="51">
        <f t="shared" si="8"/>
        <v>7500.6737337057975</v>
      </c>
    </row>
    <row r="100" spans="1:10" x14ac:dyDescent="0.25">
      <c r="A100" s="4" t="s">
        <v>2</v>
      </c>
      <c r="B100" s="5" t="s">
        <v>256</v>
      </c>
      <c r="C100" s="5" t="s">
        <v>212</v>
      </c>
      <c r="D100" s="5">
        <v>1</v>
      </c>
      <c r="E100" s="6">
        <v>1456</v>
      </c>
      <c r="F100" s="11">
        <v>0</v>
      </c>
      <c r="G100" s="27">
        <f t="shared" si="10"/>
        <v>4.7840909090909101</v>
      </c>
      <c r="H100" s="13">
        <f t="shared" si="11"/>
        <v>11258.743253892413</v>
      </c>
      <c r="I100" s="13">
        <f t="shared" si="12"/>
        <v>0</v>
      </c>
      <c r="J100" s="51">
        <f t="shared" si="8"/>
        <v>11258.743253892413</v>
      </c>
    </row>
    <row r="101" spans="1:10" x14ac:dyDescent="0.25">
      <c r="A101" s="15" t="s">
        <v>2</v>
      </c>
      <c r="B101" s="16" t="s">
        <v>257</v>
      </c>
      <c r="C101" s="16" t="s">
        <v>210</v>
      </c>
      <c r="D101" s="16">
        <v>1</v>
      </c>
      <c r="E101" s="17">
        <v>970</v>
      </c>
      <c r="F101" s="18">
        <v>0</v>
      </c>
      <c r="G101" s="27">
        <f t="shared" si="10"/>
        <v>4.7840909090909101</v>
      </c>
      <c r="H101" s="13">
        <f t="shared" si="11"/>
        <v>7500.6737337057975</v>
      </c>
      <c r="I101" s="13">
        <f t="shared" si="12"/>
        <v>0</v>
      </c>
      <c r="J101" s="51">
        <f t="shared" si="8"/>
        <v>7500.6737337057975</v>
      </c>
    </row>
    <row r="102" spans="1:10" s="3" customFormat="1" x14ac:dyDescent="0.25">
      <c r="A102" s="4"/>
      <c r="B102" s="20" t="s">
        <v>429</v>
      </c>
      <c r="C102" s="21"/>
      <c r="D102" s="21"/>
      <c r="E102" s="22"/>
      <c r="F102" s="29"/>
      <c r="G102" s="47">
        <f>SUM(G82:G101)</f>
        <v>421.00000000000023</v>
      </c>
      <c r="H102" s="47">
        <f t="shared" ref="H102:J102" si="13">SUM(H82:H101)</f>
        <v>5907144</v>
      </c>
      <c r="I102" s="47">
        <f t="shared" si="13"/>
        <v>1092856</v>
      </c>
      <c r="J102" s="47">
        <f t="shared" si="13"/>
        <v>6999999.9999999981</v>
      </c>
    </row>
    <row r="103" spans="1:10" x14ac:dyDescent="0.25">
      <c r="A103" s="23" t="s">
        <v>3</v>
      </c>
      <c r="B103" s="24" t="s">
        <v>214</v>
      </c>
      <c r="C103" s="24" t="s">
        <v>210</v>
      </c>
      <c r="D103" s="24">
        <v>1</v>
      </c>
      <c r="E103" s="25">
        <v>485</v>
      </c>
      <c r="F103" s="30">
        <v>0</v>
      </c>
      <c r="G103" s="27">
        <f t="shared" ref="G103:G108" si="14">+D103*4.75</f>
        <v>4.75</v>
      </c>
      <c r="H103" s="13">
        <f t="shared" ref="H103:H108" si="15">+E103*2859520/6063</f>
        <v>228742.73461982518</v>
      </c>
      <c r="I103" s="13">
        <f t="shared" ref="I103:I108" si="16">+F103*640480/1358</f>
        <v>0</v>
      </c>
      <c r="J103" s="51">
        <f t="shared" si="8"/>
        <v>228742.73461982518</v>
      </c>
    </row>
    <row r="104" spans="1:10" x14ac:dyDescent="0.25">
      <c r="A104" s="4" t="s">
        <v>3</v>
      </c>
      <c r="B104" s="5" t="s">
        <v>216</v>
      </c>
      <c r="C104" s="5" t="s">
        <v>210</v>
      </c>
      <c r="D104" s="5">
        <v>1</v>
      </c>
      <c r="E104" s="6">
        <v>485</v>
      </c>
      <c r="F104" s="11">
        <v>0</v>
      </c>
      <c r="G104" s="27">
        <f t="shared" si="14"/>
        <v>4.75</v>
      </c>
      <c r="H104" s="13">
        <f t="shared" si="15"/>
        <v>228742.73461982518</v>
      </c>
      <c r="I104" s="13">
        <f t="shared" si="16"/>
        <v>0</v>
      </c>
      <c r="J104" s="51">
        <f t="shared" si="8"/>
        <v>228742.73461982518</v>
      </c>
    </row>
    <row r="105" spans="1:10" x14ac:dyDescent="0.25">
      <c r="A105" s="4" t="s">
        <v>3</v>
      </c>
      <c r="B105" s="5" t="s">
        <v>219</v>
      </c>
      <c r="C105" s="5" t="s">
        <v>220</v>
      </c>
      <c r="D105" s="5">
        <v>1</v>
      </c>
      <c r="E105" s="6">
        <v>1698</v>
      </c>
      <c r="F105" s="6">
        <v>1358</v>
      </c>
      <c r="G105" s="27">
        <f t="shared" si="14"/>
        <v>4.75</v>
      </c>
      <c r="H105" s="13">
        <f t="shared" si="15"/>
        <v>800835.38842157344</v>
      </c>
      <c r="I105" s="13">
        <f t="shared" si="16"/>
        <v>640480</v>
      </c>
      <c r="J105" s="51">
        <f t="shared" si="8"/>
        <v>1441315.3884215734</v>
      </c>
    </row>
    <row r="106" spans="1:10" x14ac:dyDescent="0.25">
      <c r="A106" s="4" t="s">
        <v>3</v>
      </c>
      <c r="B106" s="5" t="s">
        <v>228</v>
      </c>
      <c r="C106" s="5" t="s">
        <v>229</v>
      </c>
      <c r="D106" s="5">
        <v>1</v>
      </c>
      <c r="E106" s="6">
        <v>970</v>
      </c>
      <c r="F106" s="11">
        <v>0</v>
      </c>
      <c r="G106" s="27">
        <f t="shared" si="14"/>
        <v>4.75</v>
      </c>
      <c r="H106" s="13">
        <f t="shared" si="15"/>
        <v>457485.46923965035</v>
      </c>
      <c r="I106" s="13">
        <f t="shared" si="16"/>
        <v>0</v>
      </c>
      <c r="J106" s="51">
        <f t="shared" si="8"/>
        <v>457485.46923965035</v>
      </c>
    </row>
    <row r="107" spans="1:10" x14ac:dyDescent="0.25">
      <c r="A107" s="4" t="s">
        <v>3</v>
      </c>
      <c r="B107" s="5" t="s">
        <v>230</v>
      </c>
      <c r="C107" s="5" t="s">
        <v>229</v>
      </c>
      <c r="D107" s="5">
        <v>1</v>
      </c>
      <c r="E107" s="6">
        <v>970</v>
      </c>
      <c r="F107" s="11">
        <v>0</v>
      </c>
      <c r="G107" s="27">
        <f t="shared" si="14"/>
        <v>4.75</v>
      </c>
      <c r="H107" s="13">
        <f t="shared" si="15"/>
        <v>457485.46923965035</v>
      </c>
      <c r="I107" s="13">
        <f t="shared" si="16"/>
        <v>0</v>
      </c>
      <c r="J107" s="51">
        <f t="shared" si="8"/>
        <v>457485.46923965035</v>
      </c>
    </row>
    <row r="108" spans="1:10" x14ac:dyDescent="0.25">
      <c r="A108" s="15" t="s">
        <v>3</v>
      </c>
      <c r="B108" s="16" t="s">
        <v>253</v>
      </c>
      <c r="C108" s="16" t="s">
        <v>210</v>
      </c>
      <c r="D108" s="16">
        <v>3</v>
      </c>
      <c r="E108" s="17">
        <v>1455</v>
      </c>
      <c r="F108" s="18">
        <v>0</v>
      </c>
      <c r="G108" s="27">
        <f t="shared" si="14"/>
        <v>14.25</v>
      </c>
      <c r="H108" s="13">
        <f t="shared" si="15"/>
        <v>686228.20385947556</v>
      </c>
      <c r="I108" s="13">
        <f t="shared" si="16"/>
        <v>0</v>
      </c>
      <c r="J108" s="51">
        <f t="shared" si="8"/>
        <v>686228.20385947556</v>
      </c>
    </row>
    <row r="109" spans="1:10" s="3" customFormat="1" x14ac:dyDescent="0.25">
      <c r="A109" s="4"/>
      <c r="B109" s="20" t="s">
        <v>430</v>
      </c>
      <c r="C109" s="21"/>
      <c r="D109" s="21"/>
      <c r="E109" s="22"/>
      <c r="F109" s="29"/>
      <c r="G109" s="47">
        <f>SUM(G103:G108)</f>
        <v>38</v>
      </c>
      <c r="H109" s="47">
        <f t="shared" ref="H109:J109" si="17">SUM(H103:H108)</f>
        <v>2859520</v>
      </c>
      <c r="I109" s="47">
        <f t="shared" si="17"/>
        <v>640480</v>
      </c>
      <c r="J109" s="47">
        <f t="shared" si="17"/>
        <v>3500000</v>
      </c>
    </row>
    <row r="110" spans="1:10" x14ac:dyDescent="0.25">
      <c r="A110" s="23" t="s">
        <v>4</v>
      </c>
      <c r="B110" s="24" t="s">
        <v>207</v>
      </c>
      <c r="C110" s="24" t="s">
        <v>208</v>
      </c>
      <c r="D110" s="24">
        <v>1</v>
      </c>
      <c r="E110" s="25">
        <v>23296</v>
      </c>
      <c r="F110" s="25">
        <v>4659</v>
      </c>
      <c r="G110" s="27">
        <f>6948*D110/1451</f>
        <v>4.7884217780840803</v>
      </c>
      <c r="H110" s="13">
        <f t="shared" ref="H110:H146" si="18">+E110*44850023/10552595</f>
        <v>99011.298719224986</v>
      </c>
      <c r="I110" s="13">
        <f t="shared" ref="I110:I146" si="19">+F110*5149977/1211719</f>
        <v>19801.408447833201</v>
      </c>
      <c r="J110" s="51">
        <f t="shared" si="8"/>
        <v>118812.70716705819</v>
      </c>
    </row>
    <row r="111" spans="1:10" x14ac:dyDescent="0.25">
      <c r="A111" s="4" t="s">
        <v>4</v>
      </c>
      <c r="B111" s="5" t="s">
        <v>209</v>
      </c>
      <c r="C111" s="5" t="s">
        <v>210</v>
      </c>
      <c r="D111" s="5">
        <v>5</v>
      </c>
      <c r="E111" s="6">
        <v>9705</v>
      </c>
      <c r="F111" s="11">
        <v>0</v>
      </c>
      <c r="G111" s="27">
        <f t="shared" ref="G111:G146" si="20">6948*D111/1451</f>
        <v>23.9421088904204</v>
      </c>
      <c r="H111" s="13">
        <f t="shared" si="18"/>
        <v>41247.624230343339</v>
      </c>
      <c r="I111" s="13">
        <f t="shared" si="19"/>
        <v>0</v>
      </c>
      <c r="J111" s="51">
        <f t="shared" si="8"/>
        <v>41247.624230343339</v>
      </c>
    </row>
    <row r="112" spans="1:10" x14ac:dyDescent="0.25">
      <c r="A112" s="4" t="s">
        <v>4</v>
      </c>
      <c r="B112" s="5" t="s">
        <v>211</v>
      </c>
      <c r="C112" s="5" t="s">
        <v>212</v>
      </c>
      <c r="D112" s="5">
        <v>4</v>
      </c>
      <c r="E112" s="6">
        <v>11648</v>
      </c>
      <c r="F112" s="11">
        <v>0</v>
      </c>
      <c r="G112" s="27">
        <f t="shared" si="20"/>
        <v>19.153687112336321</v>
      </c>
      <c r="H112" s="13">
        <f t="shared" si="18"/>
        <v>49505.649359612493</v>
      </c>
      <c r="I112" s="13">
        <f t="shared" si="19"/>
        <v>0</v>
      </c>
      <c r="J112" s="51">
        <f t="shared" si="8"/>
        <v>49505.649359612493</v>
      </c>
    </row>
    <row r="113" spans="1:10" x14ac:dyDescent="0.25">
      <c r="A113" s="4" t="s">
        <v>4</v>
      </c>
      <c r="B113" s="5" t="s">
        <v>213</v>
      </c>
      <c r="C113" s="5" t="s">
        <v>212</v>
      </c>
      <c r="D113" s="5">
        <v>23</v>
      </c>
      <c r="E113" s="6">
        <v>66976</v>
      </c>
      <c r="F113" s="11">
        <v>0</v>
      </c>
      <c r="G113" s="27">
        <f t="shared" si="20"/>
        <v>110.13370089593384</v>
      </c>
      <c r="H113" s="13">
        <f t="shared" si="18"/>
        <v>284657.48381777183</v>
      </c>
      <c r="I113" s="13">
        <f t="shared" si="19"/>
        <v>0</v>
      </c>
      <c r="J113" s="51">
        <f t="shared" si="8"/>
        <v>284657.48381777183</v>
      </c>
    </row>
    <row r="114" spans="1:10" x14ac:dyDescent="0.25">
      <c r="A114" s="4" t="s">
        <v>4</v>
      </c>
      <c r="B114" s="5" t="s">
        <v>214</v>
      </c>
      <c r="C114" s="5" t="s">
        <v>210</v>
      </c>
      <c r="D114" s="5">
        <v>130</v>
      </c>
      <c r="E114" s="6">
        <v>252330</v>
      </c>
      <c r="F114" s="11">
        <v>0</v>
      </c>
      <c r="G114" s="27">
        <f t="shared" si="20"/>
        <v>622.49483115093039</v>
      </c>
      <c r="H114" s="13">
        <f t="shared" si="18"/>
        <v>1072438.2299889268</v>
      </c>
      <c r="I114" s="13">
        <f t="shared" si="19"/>
        <v>0</v>
      </c>
      <c r="J114" s="51">
        <f t="shared" si="8"/>
        <v>1072438.2299889268</v>
      </c>
    </row>
    <row r="115" spans="1:10" x14ac:dyDescent="0.25">
      <c r="A115" s="4" t="s">
        <v>4</v>
      </c>
      <c r="B115" s="5" t="s">
        <v>215</v>
      </c>
      <c r="C115" s="5" t="s">
        <v>212</v>
      </c>
      <c r="D115" s="5">
        <v>4</v>
      </c>
      <c r="E115" s="6">
        <v>11648</v>
      </c>
      <c r="F115" s="11">
        <v>0</v>
      </c>
      <c r="G115" s="27">
        <f t="shared" si="20"/>
        <v>19.153687112336321</v>
      </c>
      <c r="H115" s="13">
        <f t="shared" si="18"/>
        <v>49505.649359612493</v>
      </c>
      <c r="I115" s="13">
        <f t="shared" si="19"/>
        <v>0</v>
      </c>
      <c r="J115" s="51">
        <f t="shared" si="8"/>
        <v>49505.649359612493</v>
      </c>
    </row>
    <row r="116" spans="1:10" x14ac:dyDescent="0.25">
      <c r="A116" s="4" t="s">
        <v>4</v>
      </c>
      <c r="B116" s="5" t="s">
        <v>216</v>
      </c>
      <c r="C116" s="5" t="s">
        <v>210</v>
      </c>
      <c r="D116" s="5">
        <v>24</v>
      </c>
      <c r="E116" s="6">
        <v>46584</v>
      </c>
      <c r="F116" s="11">
        <v>0</v>
      </c>
      <c r="G116" s="27">
        <f t="shared" si="20"/>
        <v>114.92212267401791</v>
      </c>
      <c r="H116" s="13">
        <f t="shared" si="18"/>
        <v>197988.59630564804</v>
      </c>
      <c r="I116" s="13">
        <f t="shared" si="19"/>
        <v>0</v>
      </c>
      <c r="J116" s="51">
        <f t="shared" si="8"/>
        <v>197988.59630564804</v>
      </c>
    </row>
    <row r="117" spans="1:10" x14ac:dyDescent="0.25">
      <c r="A117" s="4" t="s">
        <v>4</v>
      </c>
      <c r="B117" s="5" t="s">
        <v>258</v>
      </c>
      <c r="C117" s="5" t="s">
        <v>259</v>
      </c>
      <c r="D117" s="5">
        <v>1</v>
      </c>
      <c r="E117" s="6">
        <v>72800</v>
      </c>
      <c r="F117" s="11">
        <v>0</v>
      </c>
      <c r="G117" s="27">
        <f t="shared" si="20"/>
        <v>4.7884217780840803</v>
      </c>
      <c r="H117" s="13">
        <f t="shared" si="18"/>
        <v>309410.30849757808</v>
      </c>
      <c r="I117" s="13">
        <f t="shared" si="19"/>
        <v>0</v>
      </c>
      <c r="J117" s="51">
        <f t="shared" si="8"/>
        <v>309410.30849757808</v>
      </c>
    </row>
    <row r="118" spans="1:10" x14ac:dyDescent="0.25">
      <c r="A118" s="4" t="s">
        <v>4</v>
      </c>
      <c r="B118" s="5" t="s">
        <v>217</v>
      </c>
      <c r="C118" s="5" t="s">
        <v>218</v>
      </c>
      <c r="D118" s="5">
        <v>61</v>
      </c>
      <c r="E118" s="6">
        <v>404186</v>
      </c>
      <c r="F118" s="6">
        <v>80825</v>
      </c>
      <c r="G118" s="27">
        <f t="shared" si="20"/>
        <v>292.09372846312885</v>
      </c>
      <c r="H118" s="13">
        <f t="shared" si="18"/>
        <v>1717847.7328351936</v>
      </c>
      <c r="I118" s="13">
        <f t="shared" si="19"/>
        <v>343517.67284741759</v>
      </c>
      <c r="J118" s="51">
        <f t="shared" si="8"/>
        <v>2061365.4056826113</v>
      </c>
    </row>
    <row r="119" spans="1:10" x14ac:dyDescent="0.25">
      <c r="A119" s="4" t="s">
        <v>4</v>
      </c>
      <c r="B119" s="5" t="s">
        <v>219</v>
      </c>
      <c r="C119" s="5" t="s">
        <v>220</v>
      </c>
      <c r="D119" s="5">
        <v>5</v>
      </c>
      <c r="E119" s="6">
        <v>33970</v>
      </c>
      <c r="F119" s="6">
        <v>6790</v>
      </c>
      <c r="G119" s="27">
        <f t="shared" si="20"/>
        <v>23.9421088904204</v>
      </c>
      <c r="H119" s="13">
        <f t="shared" si="18"/>
        <v>144377.31016020229</v>
      </c>
      <c r="I119" s="13">
        <f t="shared" si="19"/>
        <v>28858.459618112782</v>
      </c>
      <c r="J119" s="51">
        <f t="shared" si="8"/>
        <v>173235.76977831507</v>
      </c>
    </row>
    <row r="120" spans="1:10" x14ac:dyDescent="0.25">
      <c r="A120" s="4" t="s">
        <v>4</v>
      </c>
      <c r="B120" s="5" t="s">
        <v>221</v>
      </c>
      <c r="C120" s="5" t="s">
        <v>222</v>
      </c>
      <c r="D120" s="5">
        <v>2</v>
      </c>
      <c r="E120" s="6">
        <v>291200</v>
      </c>
      <c r="F120" s="11">
        <v>58240</v>
      </c>
      <c r="G120" s="27">
        <f t="shared" si="20"/>
        <v>9.5768435561681606</v>
      </c>
      <c r="H120" s="13">
        <f t="shared" si="18"/>
        <v>1237641.2339903123</v>
      </c>
      <c r="I120" s="13">
        <f t="shared" si="19"/>
        <v>247528.2309512354</v>
      </c>
      <c r="J120" s="51">
        <f t="shared" si="8"/>
        <v>1485169.4649415477</v>
      </c>
    </row>
    <row r="121" spans="1:10" x14ac:dyDescent="0.25">
      <c r="A121" s="4" t="s">
        <v>4</v>
      </c>
      <c r="B121" s="5" t="s">
        <v>260</v>
      </c>
      <c r="C121" s="5" t="s">
        <v>208</v>
      </c>
      <c r="D121" s="5">
        <v>5</v>
      </c>
      <c r="E121" s="6">
        <v>349440</v>
      </c>
      <c r="F121" s="11">
        <v>0</v>
      </c>
      <c r="G121" s="27">
        <f t="shared" si="20"/>
        <v>23.9421088904204</v>
      </c>
      <c r="H121" s="13">
        <f t="shared" si="18"/>
        <v>1485169.4807883748</v>
      </c>
      <c r="I121" s="13">
        <f t="shared" si="19"/>
        <v>0</v>
      </c>
      <c r="J121" s="51">
        <f t="shared" si="8"/>
        <v>1485169.4807883748</v>
      </c>
    </row>
    <row r="122" spans="1:10" x14ac:dyDescent="0.25">
      <c r="A122" s="4" t="s">
        <v>4</v>
      </c>
      <c r="B122" s="5" t="s">
        <v>223</v>
      </c>
      <c r="C122" s="5" t="s">
        <v>224</v>
      </c>
      <c r="D122" s="5">
        <v>25</v>
      </c>
      <c r="E122" s="11">
        <v>0</v>
      </c>
      <c r="F122" s="11">
        <v>0</v>
      </c>
      <c r="G122" s="27">
        <f t="shared" si="20"/>
        <v>119.710544452102</v>
      </c>
      <c r="H122" s="13">
        <f t="shared" si="18"/>
        <v>0</v>
      </c>
      <c r="I122" s="13">
        <f t="shared" si="19"/>
        <v>0</v>
      </c>
      <c r="J122" s="51">
        <f t="shared" si="8"/>
        <v>0</v>
      </c>
    </row>
    <row r="123" spans="1:10" x14ac:dyDescent="0.25">
      <c r="A123" s="4" t="s">
        <v>4</v>
      </c>
      <c r="B123" s="5" t="s">
        <v>266</v>
      </c>
      <c r="C123" s="5" t="s">
        <v>210</v>
      </c>
      <c r="D123" s="5">
        <v>11</v>
      </c>
      <c r="E123" s="6">
        <v>21351</v>
      </c>
      <c r="F123" s="11">
        <v>0</v>
      </c>
      <c r="G123" s="27">
        <f t="shared" si="20"/>
        <v>52.672639558924878</v>
      </c>
      <c r="H123" s="13">
        <f t="shared" si="18"/>
        <v>90744.773306755349</v>
      </c>
      <c r="I123" s="13">
        <f t="shared" si="19"/>
        <v>0</v>
      </c>
      <c r="J123" s="51">
        <f t="shared" si="8"/>
        <v>90744.773306755349</v>
      </c>
    </row>
    <row r="124" spans="1:10" x14ac:dyDescent="0.25">
      <c r="A124" s="4" t="s">
        <v>4</v>
      </c>
      <c r="B124" s="5" t="s">
        <v>225</v>
      </c>
      <c r="C124" s="5" t="s">
        <v>210</v>
      </c>
      <c r="D124" s="5">
        <v>4</v>
      </c>
      <c r="E124" s="6">
        <v>7764</v>
      </c>
      <c r="F124" s="11">
        <v>0</v>
      </c>
      <c r="G124" s="27">
        <f t="shared" si="20"/>
        <v>19.153687112336321</v>
      </c>
      <c r="H124" s="13">
        <f t="shared" si="18"/>
        <v>32998.099384274676</v>
      </c>
      <c r="I124" s="13">
        <f t="shared" si="19"/>
        <v>0</v>
      </c>
      <c r="J124" s="51">
        <f t="shared" si="8"/>
        <v>32998.099384274676</v>
      </c>
    </row>
    <row r="125" spans="1:10" x14ac:dyDescent="0.25">
      <c r="A125" s="4" t="s">
        <v>4</v>
      </c>
      <c r="B125" s="5" t="s">
        <v>226</v>
      </c>
      <c r="C125" s="5" t="s">
        <v>210</v>
      </c>
      <c r="D125" s="5">
        <v>56</v>
      </c>
      <c r="E125" s="6">
        <v>140546</v>
      </c>
      <c r="F125" s="11">
        <v>0</v>
      </c>
      <c r="G125" s="27">
        <f t="shared" si="20"/>
        <v>268.15161957270846</v>
      </c>
      <c r="H125" s="13">
        <f t="shared" si="18"/>
        <v>597340.4013475359</v>
      </c>
      <c r="I125" s="13">
        <f t="shared" si="19"/>
        <v>0</v>
      </c>
      <c r="J125" s="51">
        <f t="shared" si="8"/>
        <v>597340.4013475359</v>
      </c>
    </row>
    <row r="126" spans="1:10" x14ac:dyDescent="0.25">
      <c r="A126" s="4" t="s">
        <v>4</v>
      </c>
      <c r="B126" s="5" t="s">
        <v>227</v>
      </c>
      <c r="C126" s="5" t="s">
        <v>210</v>
      </c>
      <c r="D126" s="5">
        <v>1</v>
      </c>
      <c r="E126" s="6">
        <v>1941</v>
      </c>
      <c r="F126" s="11">
        <v>0</v>
      </c>
      <c r="G126" s="27">
        <f t="shared" si="20"/>
        <v>4.7884217780840803</v>
      </c>
      <c r="H126" s="13">
        <f t="shared" si="18"/>
        <v>8249.5248460686689</v>
      </c>
      <c r="I126" s="13">
        <f t="shared" si="19"/>
        <v>0</v>
      </c>
      <c r="J126" s="51">
        <f t="shared" si="8"/>
        <v>8249.5248460686689</v>
      </c>
    </row>
    <row r="127" spans="1:10" x14ac:dyDescent="0.25">
      <c r="A127" s="4" t="s">
        <v>4</v>
      </c>
      <c r="B127" s="5" t="s">
        <v>228</v>
      </c>
      <c r="C127" s="5" t="s">
        <v>229</v>
      </c>
      <c r="D127" s="5">
        <v>394</v>
      </c>
      <c r="E127" s="6">
        <v>1447986</v>
      </c>
      <c r="F127" s="11">
        <v>0</v>
      </c>
      <c r="G127" s="27">
        <f t="shared" si="20"/>
        <v>1886.6381805651274</v>
      </c>
      <c r="H127" s="13">
        <f t="shared" si="18"/>
        <v>6154145.5351672266</v>
      </c>
      <c r="I127" s="13">
        <f t="shared" si="19"/>
        <v>0</v>
      </c>
      <c r="J127" s="51">
        <f t="shared" si="8"/>
        <v>6154145.5351672266</v>
      </c>
    </row>
    <row r="128" spans="1:10" x14ac:dyDescent="0.25">
      <c r="A128" s="4" t="s">
        <v>4</v>
      </c>
      <c r="B128" s="5" t="s">
        <v>230</v>
      </c>
      <c r="C128" s="5" t="s">
        <v>229</v>
      </c>
      <c r="D128" s="5">
        <v>13</v>
      </c>
      <c r="E128" s="6">
        <v>50466</v>
      </c>
      <c r="F128" s="11">
        <v>0</v>
      </c>
      <c r="G128" s="27">
        <f t="shared" si="20"/>
        <v>62.249483115093042</v>
      </c>
      <c r="H128" s="13">
        <f t="shared" si="18"/>
        <v>214487.64599778538</v>
      </c>
      <c r="I128" s="13">
        <f t="shared" si="19"/>
        <v>0</v>
      </c>
      <c r="J128" s="51">
        <f t="shared" si="8"/>
        <v>214487.64599778538</v>
      </c>
    </row>
    <row r="129" spans="1:10" x14ac:dyDescent="0.25">
      <c r="A129" s="4" t="s">
        <v>4</v>
      </c>
      <c r="B129" s="5" t="s">
        <v>262</v>
      </c>
      <c r="C129" s="5" t="s">
        <v>263</v>
      </c>
      <c r="D129" s="5">
        <v>2</v>
      </c>
      <c r="E129" s="6">
        <v>606666</v>
      </c>
      <c r="F129" s="11">
        <v>0</v>
      </c>
      <c r="G129" s="27">
        <f t="shared" si="20"/>
        <v>9.5768435561681606</v>
      </c>
      <c r="H129" s="13">
        <f t="shared" si="18"/>
        <v>2578416.4040520838</v>
      </c>
      <c r="I129" s="13">
        <f t="shared" si="19"/>
        <v>0</v>
      </c>
      <c r="J129" s="51">
        <f t="shared" si="8"/>
        <v>2578416.4040520838</v>
      </c>
    </row>
    <row r="130" spans="1:10" x14ac:dyDescent="0.25">
      <c r="A130" s="4" t="s">
        <v>4</v>
      </c>
      <c r="B130" s="5" t="s">
        <v>233</v>
      </c>
      <c r="C130" s="5" t="s">
        <v>234</v>
      </c>
      <c r="D130" s="5">
        <v>3</v>
      </c>
      <c r="E130" s="6">
        <v>582399</v>
      </c>
      <c r="F130" s="11">
        <v>0</v>
      </c>
      <c r="G130" s="27">
        <f t="shared" si="20"/>
        <v>14.365265334252239</v>
      </c>
      <c r="H130" s="13">
        <f t="shared" si="18"/>
        <v>2475278.2178390245</v>
      </c>
      <c r="I130" s="13">
        <f t="shared" si="19"/>
        <v>0</v>
      </c>
      <c r="J130" s="51">
        <f t="shared" si="8"/>
        <v>2475278.2178390245</v>
      </c>
    </row>
    <row r="131" spans="1:10" x14ac:dyDescent="0.25">
      <c r="A131" s="4" t="s">
        <v>4</v>
      </c>
      <c r="B131" s="5" t="s">
        <v>235</v>
      </c>
      <c r="C131" s="5" t="s">
        <v>236</v>
      </c>
      <c r="D131" s="5">
        <v>18</v>
      </c>
      <c r="E131" s="6">
        <v>237176</v>
      </c>
      <c r="F131" s="6">
        <v>47435</v>
      </c>
      <c r="G131" s="27">
        <f t="shared" si="20"/>
        <v>86.191592005513442</v>
      </c>
      <c r="H131" s="13">
        <f t="shared" si="18"/>
        <v>1008031.5841788679</v>
      </c>
      <c r="I131" s="13">
        <f t="shared" si="19"/>
        <v>201605.45390061557</v>
      </c>
      <c r="J131" s="51">
        <f t="shared" si="8"/>
        <v>1209637.0380794834</v>
      </c>
    </row>
    <row r="132" spans="1:10" x14ac:dyDescent="0.25">
      <c r="A132" s="4" t="s">
        <v>4</v>
      </c>
      <c r="B132" s="5" t="s">
        <v>237</v>
      </c>
      <c r="C132" s="5" t="s">
        <v>238</v>
      </c>
      <c r="D132" s="5">
        <v>12</v>
      </c>
      <c r="E132" s="6">
        <v>123024</v>
      </c>
      <c r="F132" s="6">
        <v>24600</v>
      </c>
      <c r="G132" s="27">
        <f t="shared" si="20"/>
        <v>57.461061337008957</v>
      </c>
      <c r="H132" s="13">
        <f t="shared" si="18"/>
        <v>522869.42022810504</v>
      </c>
      <c r="I132" s="13">
        <f t="shared" si="19"/>
        <v>104553.47667239682</v>
      </c>
      <c r="J132" s="51">
        <f t="shared" si="8"/>
        <v>627422.8969005018</v>
      </c>
    </row>
    <row r="133" spans="1:10" x14ac:dyDescent="0.25">
      <c r="A133" s="4" t="s">
        <v>4</v>
      </c>
      <c r="B133" s="5" t="s">
        <v>241</v>
      </c>
      <c r="C133" s="5" t="s">
        <v>236</v>
      </c>
      <c r="D133" s="5">
        <v>114</v>
      </c>
      <c r="E133" s="6">
        <v>1556100</v>
      </c>
      <c r="F133" s="6">
        <v>311220</v>
      </c>
      <c r="G133" s="27">
        <f t="shared" si="20"/>
        <v>545.88008270158514</v>
      </c>
      <c r="H133" s="13">
        <f t="shared" si="18"/>
        <v>6613645.3441357315</v>
      </c>
      <c r="I133" s="13">
        <f t="shared" si="19"/>
        <v>1322728.9841456641</v>
      </c>
      <c r="J133" s="51">
        <f t="shared" ref="J133:J196" si="21">SUM(H133:I133)</f>
        <v>7936374.3282813951</v>
      </c>
    </row>
    <row r="134" spans="1:10" x14ac:dyDescent="0.25">
      <c r="A134" s="4" t="s">
        <v>4</v>
      </c>
      <c r="B134" s="5" t="s">
        <v>242</v>
      </c>
      <c r="C134" s="5" t="s">
        <v>238</v>
      </c>
      <c r="D134" s="5">
        <v>3</v>
      </c>
      <c r="E134" s="6">
        <v>30756</v>
      </c>
      <c r="F134" s="6">
        <v>6150</v>
      </c>
      <c r="G134" s="27">
        <f t="shared" si="20"/>
        <v>14.365265334252239</v>
      </c>
      <c r="H134" s="13">
        <f t="shared" si="18"/>
        <v>130717.35505702626</v>
      </c>
      <c r="I134" s="13">
        <f t="shared" si="19"/>
        <v>26138.369168099205</v>
      </c>
      <c r="J134" s="51">
        <f t="shared" si="21"/>
        <v>156855.72422512545</v>
      </c>
    </row>
    <row r="135" spans="1:10" x14ac:dyDescent="0.25">
      <c r="A135" s="4" t="s">
        <v>4</v>
      </c>
      <c r="B135" s="5" t="s">
        <v>243</v>
      </c>
      <c r="C135" s="5" t="s">
        <v>244</v>
      </c>
      <c r="D135" s="5">
        <v>35</v>
      </c>
      <c r="E135" s="6">
        <v>230380</v>
      </c>
      <c r="F135" s="6">
        <v>46075</v>
      </c>
      <c r="G135" s="27">
        <f t="shared" si="20"/>
        <v>167.5947622329428</v>
      </c>
      <c r="H135" s="13">
        <f t="shared" si="18"/>
        <v>979147.62186362687</v>
      </c>
      <c r="I135" s="13">
        <f t="shared" si="19"/>
        <v>195825.26169433672</v>
      </c>
      <c r="J135" s="51">
        <f t="shared" si="21"/>
        <v>1174972.8835579637</v>
      </c>
    </row>
    <row r="136" spans="1:10" x14ac:dyDescent="0.25">
      <c r="A136" s="4" t="s">
        <v>4</v>
      </c>
      <c r="B136" s="5" t="s">
        <v>245</v>
      </c>
      <c r="C136" s="5" t="s">
        <v>246</v>
      </c>
      <c r="D136" s="5">
        <v>11</v>
      </c>
      <c r="E136" s="6">
        <v>56386</v>
      </c>
      <c r="F136" s="6">
        <v>11275</v>
      </c>
      <c r="G136" s="27">
        <f t="shared" si="20"/>
        <v>52.672639558924878</v>
      </c>
      <c r="H136" s="13">
        <f t="shared" si="18"/>
        <v>239648.48427121481</v>
      </c>
      <c r="I136" s="13">
        <f t="shared" si="19"/>
        <v>47920.343474848545</v>
      </c>
      <c r="J136" s="51">
        <f t="shared" si="21"/>
        <v>287568.82774606335</v>
      </c>
    </row>
    <row r="137" spans="1:10" x14ac:dyDescent="0.25">
      <c r="A137" s="4" t="s">
        <v>4</v>
      </c>
      <c r="B137" s="5" t="s">
        <v>247</v>
      </c>
      <c r="C137" s="5" t="s">
        <v>244</v>
      </c>
      <c r="D137" s="5">
        <v>5</v>
      </c>
      <c r="E137" s="6">
        <v>34125</v>
      </c>
      <c r="F137" s="6">
        <v>6825</v>
      </c>
      <c r="G137" s="27">
        <f t="shared" si="20"/>
        <v>23.9421088904204</v>
      </c>
      <c r="H137" s="13">
        <f t="shared" si="18"/>
        <v>145036.08210823973</v>
      </c>
      <c r="I137" s="13">
        <f t="shared" si="19"/>
        <v>29007.214564597896</v>
      </c>
      <c r="J137" s="51">
        <f t="shared" si="21"/>
        <v>174043.29667283763</v>
      </c>
    </row>
    <row r="138" spans="1:10" x14ac:dyDescent="0.25">
      <c r="A138" s="4" t="s">
        <v>4</v>
      </c>
      <c r="B138" s="5" t="s">
        <v>248</v>
      </c>
      <c r="C138" s="5" t="s">
        <v>246</v>
      </c>
      <c r="D138" s="5">
        <v>1</v>
      </c>
      <c r="E138" s="6">
        <v>5126</v>
      </c>
      <c r="F138" s="6">
        <v>1025</v>
      </c>
      <c r="G138" s="27">
        <f t="shared" si="20"/>
        <v>4.7884217780840803</v>
      </c>
      <c r="H138" s="13">
        <f t="shared" si="18"/>
        <v>21786.22584283771</v>
      </c>
      <c r="I138" s="13">
        <f t="shared" si="19"/>
        <v>4356.3948613498678</v>
      </c>
      <c r="J138" s="51">
        <f t="shared" si="21"/>
        <v>26142.620704187579</v>
      </c>
    </row>
    <row r="139" spans="1:10" x14ac:dyDescent="0.25">
      <c r="A139" s="4" t="s">
        <v>4</v>
      </c>
      <c r="B139" s="5" t="s">
        <v>249</v>
      </c>
      <c r="C139" s="5" t="s">
        <v>250</v>
      </c>
      <c r="D139" s="5">
        <v>100</v>
      </c>
      <c r="E139" s="6">
        <v>3033300</v>
      </c>
      <c r="F139" s="6">
        <v>606600</v>
      </c>
      <c r="G139" s="27">
        <f t="shared" si="20"/>
        <v>478.842177808408</v>
      </c>
      <c r="H139" s="13">
        <f t="shared" si="18"/>
        <v>12891954.516012412</v>
      </c>
      <c r="I139" s="13">
        <f t="shared" si="19"/>
        <v>2578135.7296534921</v>
      </c>
      <c r="J139" s="51">
        <f t="shared" si="21"/>
        <v>15470090.245665904</v>
      </c>
    </row>
    <row r="140" spans="1:10" x14ac:dyDescent="0.25">
      <c r="A140" s="4" t="s">
        <v>4</v>
      </c>
      <c r="B140" s="5" t="s">
        <v>267</v>
      </c>
      <c r="C140" s="5" t="s">
        <v>210</v>
      </c>
      <c r="D140" s="5">
        <v>1</v>
      </c>
      <c r="E140" s="6">
        <v>1941</v>
      </c>
      <c r="F140" s="11">
        <v>0</v>
      </c>
      <c r="G140" s="27">
        <f t="shared" si="20"/>
        <v>4.7884217780840803</v>
      </c>
      <c r="H140" s="13">
        <f t="shared" si="18"/>
        <v>8249.5248460686689</v>
      </c>
      <c r="I140" s="13">
        <f t="shared" si="19"/>
        <v>0</v>
      </c>
      <c r="J140" s="51">
        <f t="shared" si="21"/>
        <v>8249.5248460686689</v>
      </c>
    </row>
    <row r="141" spans="1:10" x14ac:dyDescent="0.25">
      <c r="A141" s="4" t="s">
        <v>4</v>
      </c>
      <c r="B141" s="5" t="s">
        <v>252</v>
      </c>
      <c r="C141" s="5" t="s">
        <v>212</v>
      </c>
      <c r="D141" s="5">
        <v>37</v>
      </c>
      <c r="E141" s="6">
        <v>107744</v>
      </c>
      <c r="F141" s="11">
        <v>0</v>
      </c>
      <c r="G141" s="27">
        <f t="shared" si="20"/>
        <v>177.17160578911097</v>
      </c>
      <c r="H141" s="13">
        <f t="shared" si="18"/>
        <v>457927.25657641556</v>
      </c>
      <c r="I141" s="13">
        <f t="shared" si="19"/>
        <v>0</v>
      </c>
      <c r="J141" s="51">
        <f t="shared" si="21"/>
        <v>457927.25657641556</v>
      </c>
    </row>
    <row r="142" spans="1:10" x14ac:dyDescent="0.25">
      <c r="A142" s="4" t="s">
        <v>4</v>
      </c>
      <c r="B142" s="5" t="s">
        <v>253</v>
      </c>
      <c r="C142" s="5" t="s">
        <v>210</v>
      </c>
      <c r="D142" s="5">
        <v>177</v>
      </c>
      <c r="E142" s="6">
        <v>343557</v>
      </c>
      <c r="F142" s="11">
        <v>0</v>
      </c>
      <c r="G142" s="27">
        <f t="shared" si="20"/>
        <v>847.55065472088211</v>
      </c>
      <c r="H142" s="13">
        <f t="shared" si="18"/>
        <v>1460165.8977541544</v>
      </c>
      <c r="I142" s="13">
        <f t="shared" si="19"/>
        <v>0</v>
      </c>
      <c r="J142" s="51">
        <f t="shared" si="21"/>
        <v>1460165.8977541544</v>
      </c>
    </row>
    <row r="143" spans="1:10" x14ac:dyDescent="0.25">
      <c r="A143" s="4" t="s">
        <v>4</v>
      </c>
      <c r="B143" s="5" t="s">
        <v>254</v>
      </c>
      <c r="C143" s="5" t="s">
        <v>212</v>
      </c>
      <c r="D143" s="5">
        <v>37</v>
      </c>
      <c r="E143" s="6">
        <v>107744</v>
      </c>
      <c r="F143" s="11">
        <v>0</v>
      </c>
      <c r="G143" s="27">
        <f t="shared" si="20"/>
        <v>177.17160578911097</v>
      </c>
      <c r="H143" s="13">
        <f t="shared" si="18"/>
        <v>457927.25657641556</v>
      </c>
      <c r="I143" s="13">
        <f t="shared" si="19"/>
        <v>0</v>
      </c>
      <c r="J143" s="51">
        <f t="shared" si="21"/>
        <v>457927.25657641556</v>
      </c>
    </row>
    <row r="144" spans="1:10" x14ac:dyDescent="0.25">
      <c r="A144" s="4" t="s">
        <v>4</v>
      </c>
      <c r="B144" s="5" t="s">
        <v>255</v>
      </c>
      <c r="C144" s="5" t="s">
        <v>210</v>
      </c>
      <c r="D144" s="5">
        <v>65</v>
      </c>
      <c r="E144" s="6">
        <v>126165</v>
      </c>
      <c r="F144" s="11">
        <v>0</v>
      </c>
      <c r="G144" s="27">
        <f t="shared" si="20"/>
        <v>311.2474155754652</v>
      </c>
      <c r="H144" s="13">
        <f t="shared" si="18"/>
        <v>536219.11499446339</v>
      </c>
      <c r="I144" s="13">
        <f t="shared" si="19"/>
        <v>0</v>
      </c>
      <c r="J144" s="51">
        <f t="shared" si="21"/>
        <v>536219.11499446339</v>
      </c>
    </row>
    <row r="145" spans="1:10" x14ac:dyDescent="0.25">
      <c r="A145" s="4" t="s">
        <v>4</v>
      </c>
      <c r="B145" s="5" t="s">
        <v>256</v>
      </c>
      <c r="C145" s="5" t="s">
        <v>212</v>
      </c>
      <c r="D145" s="5">
        <v>8</v>
      </c>
      <c r="E145" s="6">
        <v>23296</v>
      </c>
      <c r="F145" s="11">
        <v>0</v>
      </c>
      <c r="G145" s="27">
        <f t="shared" si="20"/>
        <v>38.307374224672643</v>
      </c>
      <c r="H145" s="13">
        <f t="shared" si="18"/>
        <v>99011.298719224986</v>
      </c>
      <c r="I145" s="13">
        <f t="shared" si="19"/>
        <v>0</v>
      </c>
      <c r="J145" s="51">
        <f t="shared" si="21"/>
        <v>99011.298719224986</v>
      </c>
    </row>
    <row r="146" spans="1:10" x14ac:dyDescent="0.25">
      <c r="A146" s="15" t="s">
        <v>4</v>
      </c>
      <c r="B146" s="16" t="s">
        <v>257</v>
      </c>
      <c r="C146" s="16" t="s">
        <v>210</v>
      </c>
      <c r="D146" s="16">
        <v>53</v>
      </c>
      <c r="E146" s="17">
        <v>102873</v>
      </c>
      <c r="F146" s="18">
        <v>0</v>
      </c>
      <c r="G146" s="54">
        <f t="shared" si="20"/>
        <v>253.78635423845623</v>
      </c>
      <c r="H146" s="19">
        <f t="shared" si="18"/>
        <v>437224.8168416394</v>
      </c>
      <c r="I146" s="19">
        <f t="shared" si="19"/>
        <v>0</v>
      </c>
      <c r="J146" s="51">
        <f t="shared" si="21"/>
        <v>437224.8168416394</v>
      </c>
    </row>
    <row r="147" spans="1:10" s="3" customFormat="1" x14ac:dyDescent="0.25">
      <c r="A147" s="4"/>
      <c r="B147" s="20" t="s">
        <v>431</v>
      </c>
      <c r="C147" s="21"/>
      <c r="D147" s="21"/>
      <c r="E147" s="22"/>
      <c r="F147" s="29"/>
      <c r="G147" s="48">
        <f>SUM(G110:G146)</f>
        <v>6948</v>
      </c>
      <c r="H147" s="48">
        <f t="shared" ref="H147:J147" si="22">SUM(H110:H146)</f>
        <v>44850023.000000007</v>
      </c>
      <c r="I147" s="48">
        <f t="shared" si="22"/>
        <v>5149977</v>
      </c>
      <c r="J147" s="47">
        <f t="shared" si="22"/>
        <v>50000000.000000007</v>
      </c>
    </row>
    <row r="148" spans="1:10" x14ac:dyDescent="0.25">
      <c r="A148" s="23" t="s">
        <v>5</v>
      </c>
      <c r="B148" s="24" t="s">
        <v>214</v>
      </c>
      <c r="C148" s="24" t="s">
        <v>210</v>
      </c>
      <c r="D148" s="24">
        <v>7</v>
      </c>
      <c r="E148" s="25">
        <v>6790</v>
      </c>
      <c r="F148" s="30">
        <v>0</v>
      </c>
      <c r="G148" s="26">
        <f t="shared" ref="G148:G163" si="23">+D148*4.79411764705882</f>
        <v>33.55882352941174</v>
      </c>
      <c r="H148" s="7">
        <f t="shared" ref="H148:H163" si="24">+E148*7866236/289494</f>
        <v>184500.34349589283</v>
      </c>
      <c r="I148" s="7">
        <f t="shared" ref="I148:I163" si="25">+F148*2133764/78527</f>
        <v>0</v>
      </c>
      <c r="J148" s="51">
        <f t="shared" si="21"/>
        <v>184500.34349589283</v>
      </c>
    </row>
    <row r="149" spans="1:10" x14ac:dyDescent="0.25">
      <c r="A149" s="4" t="s">
        <v>5</v>
      </c>
      <c r="B149" s="5" t="s">
        <v>217</v>
      </c>
      <c r="C149" s="5" t="s">
        <v>218</v>
      </c>
      <c r="D149" s="5">
        <v>1</v>
      </c>
      <c r="E149" s="6">
        <v>3313</v>
      </c>
      <c r="F149" s="11">
        <v>1325</v>
      </c>
      <c r="G149" s="27">
        <f t="shared" si="23"/>
        <v>4.7941176470588198</v>
      </c>
      <c r="H149" s="13">
        <f t="shared" si="24"/>
        <v>90022.037997333275</v>
      </c>
      <c r="I149" s="13">
        <f t="shared" si="25"/>
        <v>36003.378455817743</v>
      </c>
      <c r="J149" s="51">
        <f t="shared" si="21"/>
        <v>126025.41645315102</v>
      </c>
    </row>
    <row r="150" spans="1:10" x14ac:dyDescent="0.25">
      <c r="A150" s="4" t="s">
        <v>5</v>
      </c>
      <c r="B150" s="5" t="s">
        <v>219</v>
      </c>
      <c r="C150" s="5" t="s">
        <v>220</v>
      </c>
      <c r="D150" s="5">
        <v>4</v>
      </c>
      <c r="E150" s="6">
        <v>13588</v>
      </c>
      <c r="F150" s="11">
        <v>5432</v>
      </c>
      <c r="G150" s="27">
        <f t="shared" si="23"/>
        <v>19.176470588235279</v>
      </c>
      <c r="H150" s="13">
        <f t="shared" si="24"/>
        <v>369218.06589428452</v>
      </c>
      <c r="I150" s="13">
        <f t="shared" si="25"/>
        <v>147600.26548830338</v>
      </c>
      <c r="J150" s="51">
        <f t="shared" si="21"/>
        <v>516818.3313825879</v>
      </c>
    </row>
    <row r="151" spans="1:10" x14ac:dyDescent="0.25">
      <c r="A151" s="4" t="s">
        <v>5</v>
      </c>
      <c r="B151" s="5" t="s">
        <v>226</v>
      </c>
      <c r="C151" s="5" t="s">
        <v>210</v>
      </c>
      <c r="D151" s="5">
        <v>4</v>
      </c>
      <c r="E151" s="6">
        <v>3880</v>
      </c>
      <c r="F151" s="11">
        <v>0</v>
      </c>
      <c r="G151" s="27">
        <f t="shared" si="23"/>
        <v>19.176470588235279</v>
      </c>
      <c r="H151" s="13">
        <f t="shared" si="24"/>
        <v>105428.76771193877</v>
      </c>
      <c r="I151" s="13">
        <f t="shared" si="25"/>
        <v>0</v>
      </c>
      <c r="J151" s="51">
        <f t="shared" si="21"/>
        <v>105428.76771193877</v>
      </c>
    </row>
    <row r="152" spans="1:10" x14ac:dyDescent="0.25">
      <c r="A152" s="4" t="s">
        <v>5</v>
      </c>
      <c r="B152" s="5" t="s">
        <v>228</v>
      </c>
      <c r="C152" s="5" t="s">
        <v>229</v>
      </c>
      <c r="D152" s="5">
        <v>14</v>
      </c>
      <c r="E152" s="6">
        <v>27174</v>
      </c>
      <c r="F152" s="11">
        <v>0</v>
      </c>
      <c r="G152" s="27">
        <f t="shared" si="23"/>
        <v>67.117647058823479</v>
      </c>
      <c r="H152" s="13">
        <f t="shared" si="24"/>
        <v>738381.78706294426</v>
      </c>
      <c r="I152" s="13">
        <f t="shared" si="25"/>
        <v>0</v>
      </c>
      <c r="J152" s="51">
        <f t="shared" si="21"/>
        <v>738381.78706294426</v>
      </c>
    </row>
    <row r="153" spans="1:10" x14ac:dyDescent="0.25">
      <c r="A153" s="4" t="s">
        <v>5</v>
      </c>
      <c r="B153" s="5" t="s">
        <v>230</v>
      </c>
      <c r="C153" s="5" t="s">
        <v>229</v>
      </c>
      <c r="D153" s="5">
        <v>3</v>
      </c>
      <c r="E153" s="6">
        <v>5823</v>
      </c>
      <c r="F153" s="11">
        <v>0</v>
      </c>
      <c r="G153" s="27">
        <f t="shared" si="23"/>
        <v>14.38235294117646</v>
      </c>
      <c r="H153" s="13">
        <f t="shared" si="24"/>
        <v>158224.66865634519</v>
      </c>
      <c r="I153" s="13">
        <f t="shared" si="25"/>
        <v>0</v>
      </c>
      <c r="J153" s="51">
        <f t="shared" si="21"/>
        <v>158224.66865634519</v>
      </c>
    </row>
    <row r="154" spans="1:10" x14ac:dyDescent="0.25">
      <c r="A154" s="4" t="s">
        <v>5</v>
      </c>
      <c r="B154" s="5" t="s">
        <v>235</v>
      </c>
      <c r="C154" s="5" t="s">
        <v>236</v>
      </c>
      <c r="D154" s="5">
        <v>1</v>
      </c>
      <c r="E154" s="6">
        <v>6825</v>
      </c>
      <c r="F154" s="11">
        <v>2730</v>
      </c>
      <c r="G154" s="27">
        <f t="shared" si="23"/>
        <v>4.7941176470588198</v>
      </c>
      <c r="H154" s="13">
        <f t="shared" si="24"/>
        <v>185451.37619432528</v>
      </c>
      <c r="I154" s="13">
        <f t="shared" si="25"/>
        <v>74180.545799533924</v>
      </c>
      <c r="J154" s="51">
        <f t="shared" si="21"/>
        <v>259631.9219938592</v>
      </c>
    </row>
    <row r="155" spans="1:10" x14ac:dyDescent="0.25">
      <c r="A155" s="4" t="s">
        <v>5</v>
      </c>
      <c r="B155" s="5" t="s">
        <v>241</v>
      </c>
      <c r="C155" s="5" t="s">
        <v>236</v>
      </c>
      <c r="D155" s="5">
        <v>9</v>
      </c>
      <c r="E155" s="6">
        <v>61425</v>
      </c>
      <c r="F155" s="11">
        <v>24570</v>
      </c>
      <c r="G155" s="27">
        <f t="shared" si="23"/>
        <v>43.147058823529377</v>
      </c>
      <c r="H155" s="13">
        <f t="shared" si="24"/>
        <v>1669062.3857489275</v>
      </c>
      <c r="I155" s="13">
        <f t="shared" si="25"/>
        <v>667624.91219580523</v>
      </c>
      <c r="J155" s="51">
        <f t="shared" si="21"/>
        <v>2336687.2979447329</v>
      </c>
    </row>
    <row r="156" spans="1:10" x14ac:dyDescent="0.25">
      <c r="A156" s="4" t="s">
        <v>5</v>
      </c>
      <c r="B156" s="5" t="s">
        <v>265</v>
      </c>
      <c r="C156" s="5" t="s">
        <v>208</v>
      </c>
      <c r="D156" s="5">
        <v>1</v>
      </c>
      <c r="E156" s="6">
        <v>46592</v>
      </c>
      <c r="F156" s="11">
        <v>4659</v>
      </c>
      <c r="G156" s="27">
        <f t="shared" si="23"/>
        <v>4.7941176470588198</v>
      </c>
      <c r="H156" s="13">
        <f t="shared" si="24"/>
        <v>1266014.7281532604</v>
      </c>
      <c r="I156" s="13">
        <f t="shared" si="25"/>
        <v>126596.0303589848</v>
      </c>
      <c r="J156" s="51">
        <f t="shared" si="21"/>
        <v>1392610.7585122453</v>
      </c>
    </row>
    <row r="157" spans="1:10" x14ac:dyDescent="0.25">
      <c r="A157" s="4" t="s">
        <v>5</v>
      </c>
      <c r="B157" s="5" t="s">
        <v>245</v>
      </c>
      <c r="C157" s="5" t="s">
        <v>246</v>
      </c>
      <c r="D157" s="5">
        <v>1</v>
      </c>
      <c r="E157" s="6">
        <v>2563</v>
      </c>
      <c r="F157" s="11">
        <v>1025</v>
      </c>
      <c r="G157" s="27">
        <f t="shared" si="23"/>
        <v>4.7941176470588198</v>
      </c>
      <c r="H157" s="13">
        <f t="shared" si="24"/>
        <v>69642.765888066759</v>
      </c>
      <c r="I157" s="13">
        <f t="shared" si="25"/>
        <v>27851.670126198631</v>
      </c>
      <c r="J157" s="51">
        <f t="shared" si="21"/>
        <v>97494.43601426539</v>
      </c>
    </row>
    <row r="158" spans="1:10" x14ac:dyDescent="0.25">
      <c r="A158" s="4" t="s">
        <v>5</v>
      </c>
      <c r="B158" s="5" t="s">
        <v>247</v>
      </c>
      <c r="C158" s="5" t="s">
        <v>244</v>
      </c>
      <c r="D158" s="5">
        <v>1</v>
      </c>
      <c r="E158" s="6">
        <v>3412</v>
      </c>
      <c r="F158" s="11">
        <v>1365</v>
      </c>
      <c r="G158" s="27">
        <f t="shared" si="23"/>
        <v>4.7941176470588198</v>
      </c>
      <c r="H158" s="13">
        <f t="shared" si="24"/>
        <v>92712.101915756459</v>
      </c>
      <c r="I158" s="13">
        <f t="shared" si="25"/>
        <v>37090.272899766962</v>
      </c>
      <c r="J158" s="51">
        <f t="shared" si="21"/>
        <v>129802.37481552342</v>
      </c>
    </row>
    <row r="159" spans="1:10" x14ac:dyDescent="0.25">
      <c r="A159" s="4" t="s">
        <v>5</v>
      </c>
      <c r="B159" s="5" t="s">
        <v>248</v>
      </c>
      <c r="C159" s="5" t="s">
        <v>246</v>
      </c>
      <c r="D159" s="5">
        <v>1</v>
      </c>
      <c r="E159" s="6">
        <v>2563</v>
      </c>
      <c r="F159" s="11">
        <v>1025</v>
      </c>
      <c r="G159" s="27">
        <f t="shared" si="23"/>
        <v>4.7941176470588198</v>
      </c>
      <c r="H159" s="13">
        <f t="shared" si="24"/>
        <v>69642.765888066759</v>
      </c>
      <c r="I159" s="13">
        <f t="shared" si="25"/>
        <v>27851.670126198631</v>
      </c>
      <c r="J159" s="51">
        <f t="shared" si="21"/>
        <v>97494.43601426539</v>
      </c>
    </row>
    <row r="160" spans="1:10" x14ac:dyDescent="0.25">
      <c r="A160" s="4" t="s">
        <v>5</v>
      </c>
      <c r="B160" s="5" t="s">
        <v>249</v>
      </c>
      <c r="C160" s="5" t="s">
        <v>250</v>
      </c>
      <c r="D160" s="5">
        <v>6</v>
      </c>
      <c r="E160" s="6">
        <v>90996</v>
      </c>
      <c r="F160" s="11">
        <v>36396</v>
      </c>
      <c r="G160" s="27">
        <f t="shared" si="23"/>
        <v>28.764705882352921</v>
      </c>
      <c r="H160" s="13">
        <f t="shared" si="24"/>
        <v>2472576.3264730875</v>
      </c>
      <c r="I160" s="13">
        <f t="shared" si="25"/>
        <v>988965.25454939064</v>
      </c>
      <c r="J160" s="51">
        <f t="shared" si="21"/>
        <v>3461541.5810224782</v>
      </c>
    </row>
    <row r="161" spans="1:10" x14ac:dyDescent="0.25">
      <c r="A161" s="4" t="s">
        <v>5</v>
      </c>
      <c r="B161" s="5" t="s">
        <v>253</v>
      </c>
      <c r="C161" s="5" t="s">
        <v>210</v>
      </c>
      <c r="D161" s="5">
        <v>13</v>
      </c>
      <c r="E161" s="6">
        <v>12610</v>
      </c>
      <c r="F161" s="11">
        <v>0</v>
      </c>
      <c r="G161" s="27">
        <f t="shared" si="23"/>
        <v>62.32352941176466</v>
      </c>
      <c r="H161" s="13">
        <f t="shared" si="24"/>
        <v>342643.49506380101</v>
      </c>
      <c r="I161" s="13">
        <f t="shared" si="25"/>
        <v>0</v>
      </c>
      <c r="J161" s="51">
        <f t="shared" si="21"/>
        <v>342643.49506380101</v>
      </c>
    </row>
    <row r="162" spans="1:10" x14ac:dyDescent="0.25">
      <c r="A162" s="4" t="s">
        <v>5</v>
      </c>
      <c r="B162" s="5" t="s">
        <v>255</v>
      </c>
      <c r="C162" s="5" t="s">
        <v>210</v>
      </c>
      <c r="D162" s="5">
        <v>1</v>
      </c>
      <c r="E162" s="6">
        <v>970</v>
      </c>
      <c r="F162" s="11">
        <v>0</v>
      </c>
      <c r="G162" s="27">
        <f t="shared" si="23"/>
        <v>4.7941176470588198</v>
      </c>
      <c r="H162" s="13">
        <f t="shared" si="24"/>
        <v>26357.191927984692</v>
      </c>
      <c r="I162" s="13">
        <f t="shared" si="25"/>
        <v>0</v>
      </c>
      <c r="J162" s="51">
        <f t="shared" si="21"/>
        <v>26357.191927984692</v>
      </c>
    </row>
    <row r="163" spans="1:10" x14ac:dyDescent="0.25">
      <c r="A163" s="15" t="s">
        <v>5</v>
      </c>
      <c r="B163" s="16" t="s">
        <v>257</v>
      </c>
      <c r="C163" s="16" t="s">
        <v>210</v>
      </c>
      <c r="D163" s="16">
        <v>1</v>
      </c>
      <c r="E163" s="17">
        <v>970</v>
      </c>
      <c r="F163" s="18">
        <v>0</v>
      </c>
      <c r="G163" s="54">
        <f t="shared" si="23"/>
        <v>4.7941176470588198</v>
      </c>
      <c r="H163" s="19">
        <f t="shared" si="24"/>
        <v>26357.191927984692</v>
      </c>
      <c r="I163" s="19">
        <f t="shared" si="25"/>
        <v>0</v>
      </c>
      <c r="J163" s="51">
        <f t="shared" si="21"/>
        <v>26357.191927984692</v>
      </c>
    </row>
    <row r="164" spans="1:10" s="3" customFormat="1" x14ac:dyDescent="0.25">
      <c r="A164" s="4"/>
      <c r="B164" s="20" t="s">
        <v>432</v>
      </c>
      <c r="C164" s="21"/>
      <c r="D164" s="21"/>
      <c r="E164" s="22"/>
      <c r="F164" s="29"/>
      <c r="G164" s="48">
        <f>SUM(G148:G163)</f>
        <v>325.99999999999972</v>
      </c>
      <c r="H164" s="48">
        <f t="shared" ref="H164:J164" si="26">SUM(H148:H163)</f>
        <v>7866235.9999999991</v>
      </c>
      <c r="I164" s="48">
        <f t="shared" si="26"/>
        <v>2133764</v>
      </c>
      <c r="J164" s="47">
        <f t="shared" si="26"/>
        <v>10000000</v>
      </c>
    </row>
    <row r="165" spans="1:10" x14ac:dyDescent="0.25">
      <c r="A165" s="23" t="s">
        <v>6</v>
      </c>
      <c r="B165" s="24" t="s">
        <v>214</v>
      </c>
      <c r="C165" s="24" t="s">
        <v>210</v>
      </c>
      <c r="D165" s="24">
        <v>2</v>
      </c>
      <c r="E165" s="30">
        <v>1940</v>
      </c>
      <c r="F165" s="30">
        <v>0</v>
      </c>
      <c r="G165" s="26">
        <f t="shared" ref="G165:G175" si="27">+D165*4.78947368421053</f>
        <v>9.5789473684210602</v>
      </c>
      <c r="H165" s="7">
        <f t="shared" ref="H165:H175" si="28">+E165*2570703/131075</f>
        <v>38048.169521266449</v>
      </c>
      <c r="I165" s="7">
        <f t="shared" ref="I165:I175" si="29">+F165*929297/47383</f>
        <v>0</v>
      </c>
      <c r="J165" s="51">
        <f t="shared" si="21"/>
        <v>38048.169521266449</v>
      </c>
    </row>
    <row r="166" spans="1:10" x14ac:dyDescent="0.25">
      <c r="A166" s="4" t="s">
        <v>6</v>
      </c>
      <c r="B166" s="5" t="s">
        <v>219</v>
      </c>
      <c r="C166" s="5" t="s">
        <v>220</v>
      </c>
      <c r="D166" s="5">
        <v>2</v>
      </c>
      <c r="E166" s="11">
        <v>6794</v>
      </c>
      <c r="F166" s="11">
        <v>2716</v>
      </c>
      <c r="G166" s="27">
        <f t="shared" si="27"/>
        <v>9.5789473684210602</v>
      </c>
      <c r="H166" s="13">
        <f t="shared" si="28"/>
        <v>133247.04315849705</v>
      </c>
      <c r="I166" s="13">
        <f t="shared" si="29"/>
        <v>53267.430344216278</v>
      </c>
      <c r="J166" s="51">
        <f t="shared" si="21"/>
        <v>186514.47350271331</v>
      </c>
    </row>
    <row r="167" spans="1:10" x14ac:dyDescent="0.25">
      <c r="A167" s="4" t="s">
        <v>6</v>
      </c>
      <c r="B167" s="5" t="s">
        <v>221</v>
      </c>
      <c r="C167" s="5" t="s">
        <v>222</v>
      </c>
      <c r="D167" s="5">
        <v>1</v>
      </c>
      <c r="E167" s="11">
        <v>72800</v>
      </c>
      <c r="F167" s="11">
        <v>29120</v>
      </c>
      <c r="G167" s="27">
        <f t="shared" si="27"/>
        <v>4.7894736842105301</v>
      </c>
      <c r="H167" s="13">
        <f t="shared" si="28"/>
        <v>1427786.9799732978</v>
      </c>
      <c r="I167" s="13">
        <f t="shared" si="29"/>
        <v>571114.71709262813</v>
      </c>
      <c r="J167" s="51">
        <f t="shared" si="21"/>
        <v>1998901.6970659259</v>
      </c>
    </row>
    <row r="168" spans="1:10" x14ac:dyDescent="0.25">
      <c r="A168" s="4" t="s">
        <v>6</v>
      </c>
      <c r="B168" s="5" t="s">
        <v>226</v>
      </c>
      <c r="C168" s="5" t="s">
        <v>210</v>
      </c>
      <c r="D168" s="5">
        <v>3</v>
      </c>
      <c r="E168" s="11">
        <v>2910</v>
      </c>
      <c r="F168" s="11">
        <v>0</v>
      </c>
      <c r="G168" s="27">
        <f t="shared" si="27"/>
        <v>14.368421052631589</v>
      </c>
      <c r="H168" s="13">
        <f t="shared" si="28"/>
        <v>57072.254281899674</v>
      </c>
      <c r="I168" s="13">
        <f t="shared" si="29"/>
        <v>0</v>
      </c>
      <c r="J168" s="51">
        <f t="shared" si="21"/>
        <v>57072.254281899674</v>
      </c>
    </row>
    <row r="169" spans="1:10" x14ac:dyDescent="0.25">
      <c r="A169" s="4" t="s">
        <v>6</v>
      </c>
      <c r="B169" s="5" t="s">
        <v>227</v>
      </c>
      <c r="C169" s="5" t="s">
        <v>210</v>
      </c>
      <c r="D169" s="5">
        <v>2</v>
      </c>
      <c r="E169" s="11">
        <v>1940</v>
      </c>
      <c r="F169" s="11">
        <v>0</v>
      </c>
      <c r="G169" s="27">
        <f t="shared" si="27"/>
        <v>9.5789473684210602</v>
      </c>
      <c r="H169" s="13">
        <f t="shared" si="28"/>
        <v>38048.169521266449</v>
      </c>
      <c r="I169" s="13">
        <f t="shared" si="29"/>
        <v>0</v>
      </c>
      <c r="J169" s="51">
        <f t="shared" si="21"/>
        <v>38048.169521266449</v>
      </c>
    </row>
    <row r="170" spans="1:10" x14ac:dyDescent="0.25">
      <c r="A170" s="4" t="s">
        <v>6</v>
      </c>
      <c r="B170" s="5" t="s">
        <v>228</v>
      </c>
      <c r="C170" s="5" t="s">
        <v>229</v>
      </c>
      <c r="D170" s="5">
        <v>1</v>
      </c>
      <c r="E170" s="11">
        <v>1941</v>
      </c>
      <c r="F170" s="11">
        <v>0</v>
      </c>
      <c r="G170" s="27">
        <f t="shared" si="27"/>
        <v>4.7894736842105301</v>
      </c>
      <c r="H170" s="13">
        <f t="shared" si="28"/>
        <v>38067.781979782565</v>
      </c>
      <c r="I170" s="13">
        <f t="shared" si="29"/>
        <v>0</v>
      </c>
      <c r="J170" s="51">
        <f t="shared" si="21"/>
        <v>38067.781979782565</v>
      </c>
    </row>
    <row r="171" spans="1:10" x14ac:dyDescent="0.25">
      <c r="A171" s="4" t="s">
        <v>6</v>
      </c>
      <c r="B171" s="5" t="s">
        <v>242</v>
      </c>
      <c r="C171" s="5" t="s">
        <v>238</v>
      </c>
      <c r="D171" s="5">
        <v>1</v>
      </c>
      <c r="E171" s="11">
        <v>5126</v>
      </c>
      <c r="F171" s="11">
        <v>2050</v>
      </c>
      <c r="G171" s="27">
        <f t="shared" si="27"/>
        <v>4.7894736842105301</v>
      </c>
      <c r="H171" s="13">
        <f t="shared" si="28"/>
        <v>100533.46235361435</v>
      </c>
      <c r="I171" s="13">
        <f t="shared" si="29"/>
        <v>40205.534685435705</v>
      </c>
      <c r="J171" s="51">
        <f t="shared" si="21"/>
        <v>140738.99703905004</v>
      </c>
    </row>
    <row r="172" spans="1:10" x14ac:dyDescent="0.25">
      <c r="A172" s="4" t="s">
        <v>6</v>
      </c>
      <c r="B172" s="5" t="s">
        <v>243</v>
      </c>
      <c r="C172" s="5" t="s">
        <v>244</v>
      </c>
      <c r="D172" s="5">
        <v>1</v>
      </c>
      <c r="E172" s="11">
        <v>3412</v>
      </c>
      <c r="F172" s="11">
        <v>1365</v>
      </c>
      <c r="G172" s="27">
        <f t="shared" si="27"/>
        <v>4.7894736842105301</v>
      </c>
      <c r="H172" s="13">
        <f t="shared" si="28"/>
        <v>66917.70845699028</v>
      </c>
      <c r="I172" s="13">
        <f t="shared" si="29"/>
        <v>26771.002363716943</v>
      </c>
      <c r="J172" s="51">
        <f t="shared" si="21"/>
        <v>93688.710820707231</v>
      </c>
    </row>
    <row r="173" spans="1:10" x14ac:dyDescent="0.25">
      <c r="A173" s="4" t="s">
        <v>6</v>
      </c>
      <c r="B173" s="5" t="s">
        <v>249</v>
      </c>
      <c r="C173" s="5" t="s">
        <v>250</v>
      </c>
      <c r="D173" s="5">
        <v>2</v>
      </c>
      <c r="E173" s="11">
        <v>30332</v>
      </c>
      <c r="F173" s="11">
        <v>12132</v>
      </c>
      <c r="G173" s="27">
        <f t="shared" si="27"/>
        <v>9.5789473684210602</v>
      </c>
      <c r="H173" s="13">
        <f t="shared" si="28"/>
        <v>594885.09171085258</v>
      </c>
      <c r="I173" s="13">
        <f t="shared" si="29"/>
        <v>237938.31551400293</v>
      </c>
      <c r="J173" s="51">
        <f t="shared" si="21"/>
        <v>832823.4072248555</v>
      </c>
    </row>
    <row r="174" spans="1:10" x14ac:dyDescent="0.25">
      <c r="A174" s="4" t="s">
        <v>6</v>
      </c>
      <c r="B174" s="5" t="s">
        <v>253</v>
      </c>
      <c r="C174" s="5" t="s">
        <v>210</v>
      </c>
      <c r="D174" s="5">
        <v>2</v>
      </c>
      <c r="E174" s="11">
        <v>1940</v>
      </c>
      <c r="F174" s="11">
        <v>0</v>
      </c>
      <c r="G174" s="27">
        <f t="shared" si="27"/>
        <v>9.5789473684210602</v>
      </c>
      <c r="H174" s="13">
        <f t="shared" si="28"/>
        <v>38048.169521266449</v>
      </c>
      <c r="I174" s="13">
        <f t="shared" si="29"/>
        <v>0</v>
      </c>
      <c r="J174" s="51">
        <f t="shared" si="21"/>
        <v>38048.169521266449</v>
      </c>
    </row>
    <row r="175" spans="1:10" x14ac:dyDescent="0.25">
      <c r="A175" s="15" t="s">
        <v>6</v>
      </c>
      <c r="B175" s="16" t="s">
        <v>257</v>
      </c>
      <c r="C175" s="16" t="s">
        <v>210</v>
      </c>
      <c r="D175" s="16">
        <v>2</v>
      </c>
      <c r="E175" s="18">
        <v>1940</v>
      </c>
      <c r="F175" s="18">
        <v>0</v>
      </c>
      <c r="G175" s="54">
        <f t="shared" si="27"/>
        <v>9.5789473684210602</v>
      </c>
      <c r="H175" s="19">
        <f t="shared" si="28"/>
        <v>38048.169521266449</v>
      </c>
      <c r="I175" s="19">
        <f t="shared" si="29"/>
        <v>0</v>
      </c>
      <c r="J175" s="51">
        <f t="shared" si="21"/>
        <v>38048.169521266449</v>
      </c>
    </row>
    <row r="176" spans="1:10" s="3" customFormat="1" x14ac:dyDescent="0.25">
      <c r="A176" s="4"/>
      <c r="B176" s="20" t="s">
        <v>433</v>
      </c>
      <c r="C176" s="21"/>
      <c r="D176" s="21"/>
      <c r="E176" s="29"/>
      <c r="F176" s="29"/>
      <c r="G176" s="48">
        <f>SUM(G165:G175)</f>
        <v>91.000000000000057</v>
      </c>
      <c r="H176" s="48">
        <f t="shared" ref="H176:J176" si="30">SUM(H165:H175)</f>
        <v>2570703.0000000005</v>
      </c>
      <c r="I176" s="48">
        <f t="shared" si="30"/>
        <v>929297</v>
      </c>
      <c r="J176" s="47">
        <f t="shared" si="30"/>
        <v>3500000</v>
      </c>
    </row>
    <row r="177" spans="1:10" x14ac:dyDescent="0.25">
      <c r="A177" s="23" t="s">
        <v>7</v>
      </c>
      <c r="B177" s="24" t="s">
        <v>226</v>
      </c>
      <c r="C177" s="24" t="s">
        <v>210</v>
      </c>
      <c r="D177" s="24">
        <v>1</v>
      </c>
      <c r="E177" s="30">
        <v>485</v>
      </c>
      <c r="F177" s="30">
        <v>0</v>
      </c>
      <c r="G177" s="26">
        <f>+D177*4.75</f>
        <v>4.75</v>
      </c>
      <c r="H177" s="7">
        <f>+E177*1000000/5823</f>
        <v>83290.400137386227</v>
      </c>
      <c r="I177" s="7">
        <v>0</v>
      </c>
      <c r="J177" s="51">
        <f t="shared" si="21"/>
        <v>83290.400137386227</v>
      </c>
    </row>
    <row r="178" spans="1:10" x14ac:dyDescent="0.25">
      <c r="A178" s="4" t="s">
        <v>7</v>
      </c>
      <c r="B178" s="5" t="s">
        <v>228</v>
      </c>
      <c r="C178" s="5" t="s">
        <v>229</v>
      </c>
      <c r="D178" s="5">
        <v>1</v>
      </c>
      <c r="E178" s="11">
        <v>970</v>
      </c>
      <c r="F178" s="11">
        <v>0</v>
      </c>
      <c r="G178" s="27">
        <f>+D178*4.75</f>
        <v>4.75</v>
      </c>
      <c r="H178" s="13">
        <f>+E178*1000000/5823</f>
        <v>166580.80027477245</v>
      </c>
      <c r="I178" s="13">
        <v>0</v>
      </c>
      <c r="J178" s="51">
        <f t="shared" si="21"/>
        <v>166580.80027477245</v>
      </c>
    </row>
    <row r="179" spans="1:10" x14ac:dyDescent="0.25">
      <c r="A179" s="4" t="s">
        <v>7</v>
      </c>
      <c r="B179" s="5" t="s">
        <v>252</v>
      </c>
      <c r="C179" s="5" t="s">
        <v>212</v>
      </c>
      <c r="D179" s="5">
        <v>2</v>
      </c>
      <c r="E179" s="11">
        <v>1456</v>
      </c>
      <c r="F179" s="11">
        <v>0</v>
      </c>
      <c r="G179" s="27">
        <f>+D179*4.75</f>
        <v>9.5</v>
      </c>
      <c r="H179" s="13">
        <f>+E179*1000000/5823</f>
        <v>250042.93319594712</v>
      </c>
      <c r="I179" s="13">
        <v>0</v>
      </c>
      <c r="J179" s="51">
        <f t="shared" si="21"/>
        <v>250042.93319594712</v>
      </c>
    </row>
    <row r="180" spans="1:10" x14ac:dyDescent="0.25">
      <c r="A180" s="15" t="s">
        <v>7</v>
      </c>
      <c r="B180" s="16" t="s">
        <v>254</v>
      </c>
      <c r="C180" s="16" t="s">
        <v>212</v>
      </c>
      <c r="D180" s="16">
        <v>4</v>
      </c>
      <c r="E180" s="18">
        <v>2912</v>
      </c>
      <c r="F180" s="18">
        <v>0</v>
      </c>
      <c r="G180" s="54">
        <f>+D180*4.75</f>
        <v>19</v>
      </c>
      <c r="H180" s="19">
        <f>+E180*1000000/5823</f>
        <v>500085.86639189423</v>
      </c>
      <c r="I180" s="19">
        <v>0</v>
      </c>
      <c r="J180" s="51">
        <f t="shared" si="21"/>
        <v>500085.86639189423</v>
      </c>
    </row>
    <row r="181" spans="1:10" s="3" customFormat="1" x14ac:dyDescent="0.25">
      <c r="A181" s="4"/>
      <c r="B181" s="20" t="s">
        <v>434</v>
      </c>
      <c r="C181" s="21"/>
      <c r="D181" s="21"/>
      <c r="E181" s="29"/>
      <c r="F181" s="29"/>
      <c r="G181" s="48">
        <f>SUM(G177:G180)</f>
        <v>38</v>
      </c>
      <c r="H181" s="48">
        <f t="shared" ref="H181:J181" si="31">SUM(H177:H180)</f>
        <v>1000000</v>
      </c>
      <c r="I181" s="48">
        <f t="shared" si="31"/>
        <v>0</v>
      </c>
      <c r="J181" s="47">
        <f t="shared" si="31"/>
        <v>1000000</v>
      </c>
    </row>
    <row r="182" spans="1:10" x14ac:dyDescent="0.25">
      <c r="A182" s="23" t="s">
        <v>8</v>
      </c>
      <c r="B182" s="24" t="s">
        <v>209</v>
      </c>
      <c r="C182" s="24" t="s">
        <v>210</v>
      </c>
      <c r="D182" s="24">
        <v>3</v>
      </c>
      <c r="E182" s="30">
        <v>2910</v>
      </c>
      <c r="F182" s="30">
        <v>0</v>
      </c>
      <c r="G182" s="26">
        <f t="shared" ref="G182:G207" si="32">+D182*4.78688524590164</f>
        <v>14.360655737704921</v>
      </c>
      <c r="H182" s="7">
        <f t="shared" ref="H182:H207" si="33">+E182*5716022/6406001</f>
        <v>2596.5690639136646</v>
      </c>
      <c r="I182" s="7">
        <f t="shared" ref="I182:I207" si="34">+F182*283978/318257</f>
        <v>0</v>
      </c>
      <c r="J182" s="51">
        <f t="shared" si="21"/>
        <v>2596.5690639136646</v>
      </c>
    </row>
    <row r="183" spans="1:10" x14ac:dyDescent="0.25">
      <c r="A183" s="4" t="s">
        <v>8</v>
      </c>
      <c r="B183" s="5" t="s">
        <v>214</v>
      </c>
      <c r="C183" s="5" t="s">
        <v>210</v>
      </c>
      <c r="D183" s="5">
        <v>32</v>
      </c>
      <c r="E183" s="11">
        <v>31040</v>
      </c>
      <c r="F183" s="11">
        <v>0</v>
      </c>
      <c r="G183" s="27">
        <f t="shared" si="32"/>
        <v>153.18032786885249</v>
      </c>
      <c r="H183" s="13">
        <f t="shared" si="33"/>
        <v>27696.736681745755</v>
      </c>
      <c r="I183" s="13">
        <f t="shared" si="34"/>
        <v>0</v>
      </c>
      <c r="J183" s="51">
        <f t="shared" si="21"/>
        <v>27696.736681745755</v>
      </c>
    </row>
    <row r="184" spans="1:10" x14ac:dyDescent="0.25">
      <c r="A184" s="4" t="s">
        <v>8</v>
      </c>
      <c r="B184" s="5" t="s">
        <v>216</v>
      </c>
      <c r="C184" s="5" t="s">
        <v>210</v>
      </c>
      <c r="D184" s="5">
        <v>10</v>
      </c>
      <c r="E184" s="11">
        <v>9700</v>
      </c>
      <c r="F184" s="11">
        <v>0</v>
      </c>
      <c r="G184" s="27">
        <f t="shared" si="32"/>
        <v>47.868852459016402</v>
      </c>
      <c r="H184" s="13">
        <f t="shared" si="33"/>
        <v>8655.2302130455482</v>
      </c>
      <c r="I184" s="13">
        <f t="shared" si="34"/>
        <v>0</v>
      </c>
      <c r="J184" s="51">
        <f t="shared" si="21"/>
        <v>8655.2302130455482</v>
      </c>
    </row>
    <row r="185" spans="1:10" x14ac:dyDescent="0.25">
      <c r="A185" s="4" t="s">
        <v>8</v>
      </c>
      <c r="B185" s="5" t="s">
        <v>217</v>
      </c>
      <c r="C185" s="5" t="s">
        <v>218</v>
      </c>
      <c r="D185" s="5">
        <v>7</v>
      </c>
      <c r="E185" s="11">
        <v>23191</v>
      </c>
      <c r="F185" s="11">
        <v>9275</v>
      </c>
      <c r="G185" s="27">
        <f t="shared" si="32"/>
        <v>33.508196721311478</v>
      </c>
      <c r="H185" s="13">
        <f t="shared" si="33"/>
        <v>20693.138543375189</v>
      </c>
      <c r="I185" s="13">
        <f t="shared" si="34"/>
        <v>8276.0031986727699</v>
      </c>
      <c r="J185" s="51">
        <f t="shared" si="21"/>
        <v>28969.141742047959</v>
      </c>
    </row>
    <row r="186" spans="1:10" x14ac:dyDescent="0.25">
      <c r="A186" s="4" t="s">
        <v>8</v>
      </c>
      <c r="B186" s="5" t="s">
        <v>219</v>
      </c>
      <c r="C186" s="5" t="s">
        <v>220</v>
      </c>
      <c r="D186" s="5">
        <v>1</v>
      </c>
      <c r="E186" s="11">
        <v>3397</v>
      </c>
      <c r="F186" s="11">
        <v>1358</v>
      </c>
      <c r="G186" s="27">
        <f t="shared" si="32"/>
        <v>4.7868852459016402</v>
      </c>
      <c r="H186" s="13">
        <f t="shared" si="33"/>
        <v>3031.1151581150239</v>
      </c>
      <c r="I186" s="13">
        <f t="shared" si="34"/>
        <v>1211.7317890886925</v>
      </c>
      <c r="J186" s="51">
        <f t="shared" si="21"/>
        <v>4242.8469472037159</v>
      </c>
    </row>
    <row r="187" spans="1:10" x14ac:dyDescent="0.25">
      <c r="A187" s="4" t="s">
        <v>8</v>
      </c>
      <c r="B187" s="5" t="s">
        <v>221</v>
      </c>
      <c r="C187" s="5" t="s">
        <v>222</v>
      </c>
      <c r="D187" s="5">
        <v>1</v>
      </c>
      <c r="E187" s="11">
        <v>72800</v>
      </c>
      <c r="F187" s="11">
        <v>29120</v>
      </c>
      <c r="G187" s="27">
        <f t="shared" si="32"/>
        <v>4.7868852459016402</v>
      </c>
      <c r="H187" s="13">
        <f t="shared" si="33"/>
        <v>64958.841186568658</v>
      </c>
      <c r="I187" s="13">
        <f t="shared" si="34"/>
        <v>25983.527023757528</v>
      </c>
      <c r="J187" s="51">
        <f t="shared" si="21"/>
        <v>90942.368210326182</v>
      </c>
    </row>
    <row r="188" spans="1:10" x14ac:dyDescent="0.25">
      <c r="A188" s="4" t="s">
        <v>8</v>
      </c>
      <c r="B188" s="5" t="s">
        <v>260</v>
      </c>
      <c r="C188" s="5" t="s">
        <v>208</v>
      </c>
      <c r="D188" s="5">
        <v>2</v>
      </c>
      <c r="E188" s="11">
        <v>93184</v>
      </c>
      <c r="F188" s="11">
        <v>0</v>
      </c>
      <c r="G188" s="27">
        <f t="shared" si="32"/>
        <v>9.5737704918032804</v>
      </c>
      <c r="H188" s="13">
        <f t="shared" si="33"/>
        <v>83147.316718807881</v>
      </c>
      <c r="I188" s="13">
        <f t="shared" si="34"/>
        <v>0</v>
      </c>
      <c r="J188" s="51">
        <f t="shared" si="21"/>
        <v>83147.316718807881</v>
      </c>
    </row>
    <row r="189" spans="1:10" x14ac:dyDescent="0.25">
      <c r="A189" s="4" t="s">
        <v>8</v>
      </c>
      <c r="B189" s="5" t="s">
        <v>223</v>
      </c>
      <c r="C189" s="5" t="s">
        <v>224</v>
      </c>
      <c r="D189" s="5">
        <v>10</v>
      </c>
      <c r="E189" s="11">
        <v>0</v>
      </c>
      <c r="F189" s="11">
        <v>0</v>
      </c>
      <c r="G189" s="27">
        <f t="shared" si="32"/>
        <v>47.868852459016402</v>
      </c>
      <c r="H189" s="13">
        <f t="shared" si="33"/>
        <v>0</v>
      </c>
      <c r="I189" s="13">
        <f t="shared" si="34"/>
        <v>0</v>
      </c>
      <c r="J189" s="51">
        <f t="shared" si="21"/>
        <v>0</v>
      </c>
    </row>
    <row r="190" spans="1:10" x14ac:dyDescent="0.25">
      <c r="A190" s="4" t="s">
        <v>8</v>
      </c>
      <c r="B190" s="5" t="s">
        <v>225</v>
      </c>
      <c r="C190" s="5" t="s">
        <v>210</v>
      </c>
      <c r="D190" s="5">
        <v>1</v>
      </c>
      <c r="E190" s="11">
        <v>970</v>
      </c>
      <c r="F190" s="11">
        <v>0</v>
      </c>
      <c r="G190" s="27">
        <f t="shared" si="32"/>
        <v>4.7868852459016402</v>
      </c>
      <c r="H190" s="13">
        <f t="shared" si="33"/>
        <v>865.52302130455485</v>
      </c>
      <c r="I190" s="13">
        <f t="shared" si="34"/>
        <v>0</v>
      </c>
      <c r="J190" s="51">
        <f t="shared" si="21"/>
        <v>865.52302130455485</v>
      </c>
    </row>
    <row r="191" spans="1:10" x14ac:dyDescent="0.25">
      <c r="A191" s="4" t="s">
        <v>8</v>
      </c>
      <c r="B191" s="5" t="s">
        <v>226</v>
      </c>
      <c r="C191" s="5" t="s">
        <v>210</v>
      </c>
      <c r="D191" s="5">
        <v>28</v>
      </c>
      <c r="E191" s="11">
        <v>27160</v>
      </c>
      <c r="F191" s="11">
        <v>0</v>
      </c>
      <c r="G191" s="27">
        <f t="shared" si="32"/>
        <v>134.03278688524591</v>
      </c>
      <c r="H191" s="13">
        <f t="shared" si="33"/>
        <v>24234.644596527538</v>
      </c>
      <c r="I191" s="13">
        <f t="shared" si="34"/>
        <v>0</v>
      </c>
      <c r="J191" s="51">
        <f t="shared" si="21"/>
        <v>24234.644596527538</v>
      </c>
    </row>
    <row r="192" spans="1:10" x14ac:dyDescent="0.25">
      <c r="A192" s="4" t="s">
        <v>8</v>
      </c>
      <c r="B192" s="5" t="s">
        <v>228</v>
      </c>
      <c r="C192" s="5" t="s">
        <v>229</v>
      </c>
      <c r="D192" s="5">
        <v>124</v>
      </c>
      <c r="E192" s="11">
        <v>240684</v>
      </c>
      <c r="F192" s="11">
        <v>0</v>
      </c>
      <c r="G192" s="27">
        <f t="shared" si="32"/>
        <v>593.57377049180343</v>
      </c>
      <c r="H192" s="13">
        <f t="shared" si="33"/>
        <v>214760.35346357268</v>
      </c>
      <c r="I192" s="13">
        <f t="shared" si="34"/>
        <v>0</v>
      </c>
      <c r="J192" s="51">
        <f t="shared" si="21"/>
        <v>214760.35346357268</v>
      </c>
    </row>
    <row r="193" spans="1:10" x14ac:dyDescent="0.25">
      <c r="A193" s="4" t="s">
        <v>8</v>
      </c>
      <c r="B193" s="5" t="s">
        <v>231</v>
      </c>
      <c r="C193" s="5" t="s">
        <v>232</v>
      </c>
      <c r="D193" s="5">
        <v>3</v>
      </c>
      <c r="E193" s="11">
        <v>636999</v>
      </c>
      <c r="F193" s="11">
        <v>0</v>
      </c>
      <c r="G193" s="27">
        <f t="shared" si="32"/>
        <v>14.360655737704921</v>
      </c>
      <c r="H193" s="13">
        <f t="shared" si="33"/>
        <v>568388.96809070115</v>
      </c>
      <c r="I193" s="13">
        <f t="shared" si="34"/>
        <v>0</v>
      </c>
      <c r="J193" s="51">
        <f t="shared" si="21"/>
        <v>568388.96809070115</v>
      </c>
    </row>
    <row r="194" spans="1:10" x14ac:dyDescent="0.25">
      <c r="A194" s="4" t="s">
        <v>8</v>
      </c>
      <c r="B194" s="5" t="s">
        <v>262</v>
      </c>
      <c r="C194" s="5" t="s">
        <v>263</v>
      </c>
      <c r="D194" s="5">
        <v>29</v>
      </c>
      <c r="E194" s="11">
        <v>4398314</v>
      </c>
      <c r="F194" s="11">
        <v>0</v>
      </c>
      <c r="G194" s="27">
        <f t="shared" si="32"/>
        <v>138.81967213114757</v>
      </c>
      <c r="H194" s="13">
        <f t="shared" si="33"/>
        <v>3924579.4040475488</v>
      </c>
      <c r="I194" s="13">
        <f t="shared" si="34"/>
        <v>0</v>
      </c>
      <c r="J194" s="51">
        <f t="shared" si="21"/>
        <v>3924579.4040475488</v>
      </c>
    </row>
    <row r="195" spans="1:10" x14ac:dyDescent="0.25">
      <c r="A195" s="4" t="s">
        <v>8</v>
      </c>
      <c r="B195" s="5" t="s">
        <v>233</v>
      </c>
      <c r="C195" s="5" t="s">
        <v>234</v>
      </c>
      <c r="D195" s="5">
        <v>1</v>
      </c>
      <c r="E195" s="11">
        <v>97066</v>
      </c>
      <c r="F195" s="11">
        <v>0</v>
      </c>
      <c r="G195" s="27">
        <f t="shared" si="32"/>
        <v>4.7868852459016402</v>
      </c>
      <c r="H195" s="13">
        <f t="shared" si="33"/>
        <v>86611.193387575186</v>
      </c>
      <c r="I195" s="13">
        <f t="shared" si="34"/>
        <v>0</v>
      </c>
      <c r="J195" s="51">
        <f t="shared" si="21"/>
        <v>86611.193387575186</v>
      </c>
    </row>
    <row r="196" spans="1:10" x14ac:dyDescent="0.25">
      <c r="A196" s="4" t="s">
        <v>8</v>
      </c>
      <c r="B196" s="5" t="s">
        <v>235</v>
      </c>
      <c r="C196" s="5" t="s">
        <v>236</v>
      </c>
      <c r="D196" s="5">
        <v>14</v>
      </c>
      <c r="E196" s="11">
        <v>95550</v>
      </c>
      <c r="F196" s="11">
        <v>38220</v>
      </c>
      <c r="G196" s="27">
        <f t="shared" si="32"/>
        <v>67.016393442622956</v>
      </c>
      <c r="H196" s="13">
        <f t="shared" si="33"/>
        <v>85258.479057371354</v>
      </c>
      <c r="I196" s="13">
        <f t="shared" si="34"/>
        <v>34103.379218681759</v>
      </c>
      <c r="J196" s="51">
        <f t="shared" si="21"/>
        <v>119361.85827605311</v>
      </c>
    </row>
    <row r="197" spans="1:10" x14ac:dyDescent="0.25">
      <c r="A197" s="4" t="s">
        <v>8</v>
      </c>
      <c r="B197" s="5" t="s">
        <v>239</v>
      </c>
      <c r="C197" s="5" t="s">
        <v>236</v>
      </c>
      <c r="D197" s="5">
        <v>2</v>
      </c>
      <c r="E197" s="11">
        <v>13650</v>
      </c>
      <c r="F197" s="11">
        <v>5460</v>
      </c>
      <c r="G197" s="27">
        <f t="shared" si="32"/>
        <v>9.5737704918032804</v>
      </c>
      <c r="H197" s="13">
        <f t="shared" si="33"/>
        <v>12179.782722481623</v>
      </c>
      <c r="I197" s="13">
        <f t="shared" si="34"/>
        <v>4871.9113169545371</v>
      </c>
      <c r="J197" s="51">
        <f t="shared" ref="J197:J260" si="35">SUM(H197:I197)</f>
        <v>17051.694039436159</v>
      </c>
    </row>
    <row r="198" spans="1:10" x14ac:dyDescent="0.25">
      <c r="A198" s="4" t="s">
        <v>8</v>
      </c>
      <c r="B198" s="5" t="s">
        <v>240</v>
      </c>
      <c r="C198" s="5" t="s">
        <v>238</v>
      </c>
      <c r="D198" s="5">
        <v>9</v>
      </c>
      <c r="E198" s="11">
        <v>46134</v>
      </c>
      <c r="F198" s="11">
        <v>18450</v>
      </c>
      <c r="G198" s="27">
        <f t="shared" si="32"/>
        <v>43.081967213114766</v>
      </c>
      <c r="H198" s="13">
        <f t="shared" si="33"/>
        <v>41164.988726664262</v>
      </c>
      <c r="I198" s="13">
        <f t="shared" si="34"/>
        <v>16462.777252346375</v>
      </c>
      <c r="J198" s="51">
        <f t="shared" si="35"/>
        <v>57627.765979010641</v>
      </c>
    </row>
    <row r="199" spans="1:10" x14ac:dyDescent="0.25">
      <c r="A199" s="4" t="s">
        <v>8</v>
      </c>
      <c r="B199" s="5" t="s">
        <v>241</v>
      </c>
      <c r="C199" s="5" t="s">
        <v>236</v>
      </c>
      <c r="D199" s="5">
        <v>20</v>
      </c>
      <c r="E199" s="11">
        <v>136500</v>
      </c>
      <c r="F199" s="11">
        <v>54600</v>
      </c>
      <c r="G199" s="27">
        <f t="shared" si="32"/>
        <v>95.737704918032804</v>
      </c>
      <c r="H199" s="13">
        <f t="shared" si="33"/>
        <v>121797.82722481622</v>
      </c>
      <c r="I199" s="13">
        <f t="shared" si="34"/>
        <v>48719.113169545366</v>
      </c>
      <c r="J199" s="51">
        <f t="shared" si="35"/>
        <v>170516.94039436159</v>
      </c>
    </row>
    <row r="200" spans="1:10" x14ac:dyDescent="0.25">
      <c r="A200" s="4" t="s">
        <v>8</v>
      </c>
      <c r="B200" s="5" t="s">
        <v>265</v>
      </c>
      <c r="C200" s="5" t="s">
        <v>208</v>
      </c>
      <c r="D200" s="5">
        <v>1</v>
      </c>
      <c r="E200" s="11">
        <v>46592</v>
      </c>
      <c r="F200" s="11">
        <v>4659</v>
      </c>
      <c r="G200" s="27">
        <f t="shared" si="32"/>
        <v>4.7868852459016402</v>
      </c>
      <c r="H200" s="13">
        <f t="shared" si="33"/>
        <v>41573.65835940394</v>
      </c>
      <c r="I200" s="13">
        <f t="shared" si="34"/>
        <v>4157.1858655112064</v>
      </c>
      <c r="J200" s="51">
        <f t="shared" si="35"/>
        <v>45730.844224915149</v>
      </c>
    </row>
    <row r="201" spans="1:10" x14ac:dyDescent="0.25">
      <c r="A201" s="4" t="s">
        <v>8</v>
      </c>
      <c r="B201" s="5" t="s">
        <v>247</v>
      </c>
      <c r="C201" s="5" t="s">
        <v>244</v>
      </c>
      <c r="D201" s="5">
        <v>1</v>
      </c>
      <c r="E201" s="11">
        <v>3412</v>
      </c>
      <c r="F201" s="11">
        <v>1365</v>
      </c>
      <c r="G201" s="27">
        <f t="shared" si="32"/>
        <v>4.7868852459016402</v>
      </c>
      <c r="H201" s="13">
        <f t="shared" si="33"/>
        <v>3044.4995347331355</v>
      </c>
      <c r="I201" s="13">
        <f t="shared" si="34"/>
        <v>1217.9778292386343</v>
      </c>
      <c r="J201" s="51">
        <f t="shared" si="35"/>
        <v>4262.4773639717696</v>
      </c>
    </row>
    <row r="202" spans="1:10" x14ac:dyDescent="0.25">
      <c r="A202" s="4" t="s">
        <v>8</v>
      </c>
      <c r="B202" s="5" t="s">
        <v>248</v>
      </c>
      <c r="C202" s="5" t="s">
        <v>246</v>
      </c>
      <c r="D202" s="5">
        <v>4</v>
      </c>
      <c r="E202" s="11">
        <v>10252</v>
      </c>
      <c r="F202" s="11">
        <v>4100</v>
      </c>
      <c r="G202" s="27">
        <f t="shared" si="32"/>
        <v>19.147540983606561</v>
      </c>
      <c r="H202" s="13">
        <f t="shared" si="33"/>
        <v>9147.7752725920582</v>
      </c>
      <c r="I202" s="13">
        <f t="shared" si="34"/>
        <v>3658.3949449658608</v>
      </c>
      <c r="J202" s="51">
        <f t="shared" si="35"/>
        <v>12806.170217557919</v>
      </c>
    </row>
    <row r="203" spans="1:10" x14ac:dyDescent="0.25">
      <c r="A203" s="4" t="s">
        <v>8</v>
      </c>
      <c r="B203" s="5" t="s">
        <v>249</v>
      </c>
      <c r="C203" s="5" t="s">
        <v>250</v>
      </c>
      <c r="D203" s="5">
        <v>25</v>
      </c>
      <c r="E203" s="11">
        <v>379150</v>
      </c>
      <c r="F203" s="11">
        <v>151650</v>
      </c>
      <c r="G203" s="27">
        <f t="shared" si="32"/>
        <v>119.67213114754101</v>
      </c>
      <c r="H203" s="13">
        <f t="shared" si="33"/>
        <v>338312.42631713609</v>
      </c>
      <c r="I203" s="13">
        <f t="shared" si="34"/>
        <v>135315.99839123728</v>
      </c>
      <c r="J203" s="51">
        <f t="shared" si="35"/>
        <v>473628.42470837338</v>
      </c>
    </row>
    <row r="204" spans="1:10" x14ac:dyDescent="0.25">
      <c r="A204" s="4" t="s">
        <v>8</v>
      </c>
      <c r="B204" s="5" t="s">
        <v>251</v>
      </c>
      <c r="C204" s="5" t="s">
        <v>212</v>
      </c>
      <c r="D204" s="5">
        <v>1</v>
      </c>
      <c r="E204" s="11">
        <v>1456</v>
      </c>
      <c r="F204" s="11">
        <v>0</v>
      </c>
      <c r="G204" s="27">
        <f t="shared" si="32"/>
        <v>4.7868852459016402</v>
      </c>
      <c r="H204" s="13">
        <f t="shared" si="33"/>
        <v>1299.1768237313731</v>
      </c>
      <c r="I204" s="13">
        <f t="shared" si="34"/>
        <v>0</v>
      </c>
      <c r="J204" s="51">
        <f t="shared" si="35"/>
        <v>1299.1768237313731</v>
      </c>
    </row>
    <row r="205" spans="1:10" x14ac:dyDescent="0.25">
      <c r="A205" s="4" t="s">
        <v>8</v>
      </c>
      <c r="B205" s="5" t="s">
        <v>253</v>
      </c>
      <c r="C205" s="5" t="s">
        <v>210</v>
      </c>
      <c r="D205" s="5">
        <v>27</v>
      </c>
      <c r="E205" s="11">
        <v>26190</v>
      </c>
      <c r="F205" s="11">
        <v>0</v>
      </c>
      <c r="G205" s="27">
        <f t="shared" si="32"/>
        <v>129.24590163934428</v>
      </c>
      <c r="H205" s="13">
        <f t="shared" si="33"/>
        <v>23369.121575222984</v>
      </c>
      <c r="I205" s="13">
        <f t="shared" si="34"/>
        <v>0</v>
      </c>
      <c r="J205" s="51">
        <f t="shared" si="35"/>
        <v>23369.121575222984</v>
      </c>
    </row>
    <row r="206" spans="1:10" x14ac:dyDescent="0.25">
      <c r="A206" s="4" t="s">
        <v>8</v>
      </c>
      <c r="B206" s="5" t="s">
        <v>255</v>
      </c>
      <c r="C206" s="5" t="s">
        <v>210</v>
      </c>
      <c r="D206" s="5">
        <v>3</v>
      </c>
      <c r="E206" s="11">
        <v>2910</v>
      </c>
      <c r="F206" s="11">
        <v>0</v>
      </c>
      <c r="G206" s="27">
        <f t="shared" si="32"/>
        <v>14.360655737704921</v>
      </c>
      <c r="H206" s="13">
        <f t="shared" si="33"/>
        <v>2596.5690639136646</v>
      </c>
      <c r="I206" s="13">
        <f t="shared" si="34"/>
        <v>0</v>
      </c>
      <c r="J206" s="51">
        <f t="shared" si="35"/>
        <v>2596.5690639136646</v>
      </c>
    </row>
    <row r="207" spans="1:10" x14ac:dyDescent="0.25">
      <c r="A207" s="15" t="s">
        <v>8</v>
      </c>
      <c r="B207" s="16" t="s">
        <v>257</v>
      </c>
      <c r="C207" s="16" t="s">
        <v>210</v>
      </c>
      <c r="D207" s="16">
        <v>7</v>
      </c>
      <c r="E207" s="18">
        <v>6790</v>
      </c>
      <c r="F207" s="18">
        <v>0</v>
      </c>
      <c r="G207" s="54">
        <f t="shared" si="32"/>
        <v>33.508196721311478</v>
      </c>
      <c r="H207" s="19">
        <f t="shared" si="33"/>
        <v>6058.6611491318845</v>
      </c>
      <c r="I207" s="19">
        <f t="shared" si="34"/>
        <v>0</v>
      </c>
      <c r="J207" s="51">
        <f t="shared" si="35"/>
        <v>6058.6611491318845</v>
      </c>
    </row>
    <row r="208" spans="1:10" s="3" customFormat="1" x14ac:dyDescent="0.25">
      <c r="A208" s="4"/>
      <c r="B208" s="20" t="s">
        <v>435</v>
      </c>
      <c r="C208" s="21"/>
      <c r="D208" s="21"/>
      <c r="E208" s="29"/>
      <c r="F208" s="29"/>
      <c r="G208" s="48">
        <f>SUM(G182:G207)</f>
        <v>1752.0000000000005</v>
      </c>
      <c r="H208" s="48">
        <f t="shared" ref="H208:J208" si="36">SUM(H182:H207)</f>
        <v>5716022.0000000019</v>
      </c>
      <c r="I208" s="48">
        <f t="shared" si="36"/>
        <v>283978</v>
      </c>
      <c r="J208" s="47">
        <f t="shared" si="36"/>
        <v>6000000.0000000019</v>
      </c>
    </row>
    <row r="209" spans="1:10" x14ac:dyDescent="0.25">
      <c r="A209" s="23" t="s">
        <v>9</v>
      </c>
      <c r="B209" s="24" t="s">
        <v>207</v>
      </c>
      <c r="C209" s="24" t="s">
        <v>208</v>
      </c>
      <c r="D209" s="24">
        <v>3</v>
      </c>
      <c r="E209" s="30">
        <v>34944</v>
      </c>
      <c r="F209" s="30">
        <v>13977</v>
      </c>
      <c r="G209" s="26">
        <f t="shared" ref="G209:G229" si="37">+D209*4.79032258064516</f>
        <v>14.37096774193548</v>
      </c>
      <c r="H209" s="7">
        <f t="shared" ref="H209:H229" si="38">+E209*4785786/2313250</f>
        <v>72294.177449043549</v>
      </c>
      <c r="I209" s="7">
        <f t="shared" ref="I209:I229" si="39">+F209*214214/103542</f>
        <v>28916.469432693979</v>
      </c>
      <c r="J209" s="51">
        <f t="shared" si="35"/>
        <v>101210.64688173753</v>
      </c>
    </row>
    <row r="210" spans="1:10" x14ac:dyDescent="0.25">
      <c r="A210" s="4" t="s">
        <v>9</v>
      </c>
      <c r="B210" s="5" t="s">
        <v>213</v>
      </c>
      <c r="C210" s="5" t="s">
        <v>212</v>
      </c>
      <c r="D210" s="5">
        <v>3</v>
      </c>
      <c r="E210" s="11">
        <v>4368</v>
      </c>
      <c r="F210" s="11">
        <v>0</v>
      </c>
      <c r="G210" s="27">
        <f t="shared" si="37"/>
        <v>14.37096774193548</v>
      </c>
      <c r="H210" s="13">
        <f t="shared" si="38"/>
        <v>9036.7721811304436</v>
      </c>
      <c r="I210" s="13">
        <f t="shared" si="39"/>
        <v>0</v>
      </c>
      <c r="J210" s="51">
        <f t="shared" si="35"/>
        <v>9036.7721811304436</v>
      </c>
    </row>
    <row r="211" spans="1:10" x14ac:dyDescent="0.25">
      <c r="A211" s="4" t="s">
        <v>9</v>
      </c>
      <c r="B211" s="5" t="s">
        <v>217</v>
      </c>
      <c r="C211" s="5" t="s">
        <v>218</v>
      </c>
      <c r="D211" s="5">
        <v>1</v>
      </c>
      <c r="E211" s="11">
        <v>3313</v>
      </c>
      <c r="F211" s="11">
        <v>1325</v>
      </c>
      <c r="G211" s="27">
        <f t="shared" si="37"/>
        <v>4.7903225806451601</v>
      </c>
      <c r="H211" s="13">
        <f t="shared" si="38"/>
        <v>6854.1268855506323</v>
      </c>
      <c r="I211" s="13">
        <f t="shared" si="39"/>
        <v>2741.2407525448612</v>
      </c>
      <c r="J211" s="51">
        <f t="shared" si="35"/>
        <v>9595.367638095493</v>
      </c>
    </row>
    <row r="212" spans="1:10" x14ac:dyDescent="0.25">
      <c r="A212" s="4" t="s">
        <v>9</v>
      </c>
      <c r="B212" s="5" t="s">
        <v>219</v>
      </c>
      <c r="C212" s="5" t="s">
        <v>220</v>
      </c>
      <c r="D212" s="5">
        <v>4</v>
      </c>
      <c r="E212" s="11">
        <v>13588</v>
      </c>
      <c r="F212" s="11">
        <v>5432</v>
      </c>
      <c r="G212" s="27">
        <f t="shared" si="37"/>
        <v>19.161290322580641</v>
      </c>
      <c r="H212" s="13">
        <f t="shared" si="38"/>
        <v>28111.643863827947</v>
      </c>
      <c r="I212" s="13">
        <f t="shared" si="39"/>
        <v>11238.052654961271</v>
      </c>
      <c r="J212" s="51">
        <f t="shared" si="35"/>
        <v>39349.69651878922</v>
      </c>
    </row>
    <row r="213" spans="1:10" x14ac:dyDescent="0.25">
      <c r="A213" s="4" t="s">
        <v>9</v>
      </c>
      <c r="B213" s="5" t="s">
        <v>221</v>
      </c>
      <c r="C213" s="5" t="s">
        <v>222</v>
      </c>
      <c r="D213" s="5">
        <v>1</v>
      </c>
      <c r="E213" s="11">
        <v>72800</v>
      </c>
      <c r="F213" s="11">
        <v>29120</v>
      </c>
      <c r="G213" s="27">
        <f t="shared" si="37"/>
        <v>4.7903225806451601</v>
      </c>
      <c r="H213" s="13">
        <f t="shared" si="38"/>
        <v>150612.86968550741</v>
      </c>
      <c r="I213" s="13">
        <f t="shared" si="39"/>
        <v>60245.230727627437</v>
      </c>
      <c r="J213" s="51">
        <f t="shared" si="35"/>
        <v>210858.10041313485</v>
      </c>
    </row>
    <row r="214" spans="1:10" x14ac:dyDescent="0.25">
      <c r="A214" s="4" t="s">
        <v>9</v>
      </c>
      <c r="B214" s="5" t="s">
        <v>223</v>
      </c>
      <c r="C214" s="5" t="s">
        <v>224</v>
      </c>
      <c r="D214" s="5">
        <v>1</v>
      </c>
      <c r="E214" s="11">
        <v>0</v>
      </c>
      <c r="F214" s="11">
        <v>0</v>
      </c>
      <c r="G214" s="27">
        <f t="shared" si="37"/>
        <v>4.7903225806451601</v>
      </c>
      <c r="H214" s="13">
        <f t="shared" si="38"/>
        <v>0</v>
      </c>
      <c r="I214" s="13">
        <f t="shared" si="39"/>
        <v>0</v>
      </c>
      <c r="J214" s="51">
        <f t="shared" si="35"/>
        <v>0</v>
      </c>
    </row>
    <row r="215" spans="1:10" x14ac:dyDescent="0.25">
      <c r="A215" s="4" t="s">
        <v>9</v>
      </c>
      <c r="B215" s="5" t="s">
        <v>226</v>
      </c>
      <c r="C215" s="5" t="s">
        <v>210</v>
      </c>
      <c r="D215" s="5">
        <v>10</v>
      </c>
      <c r="E215" s="11">
        <v>9700</v>
      </c>
      <c r="F215" s="11">
        <v>0</v>
      </c>
      <c r="G215" s="27">
        <f t="shared" si="37"/>
        <v>47.903225806451601</v>
      </c>
      <c r="H215" s="13">
        <f t="shared" si="38"/>
        <v>20067.923570733816</v>
      </c>
      <c r="I215" s="13">
        <f t="shared" si="39"/>
        <v>0</v>
      </c>
      <c r="J215" s="51">
        <f t="shared" si="35"/>
        <v>20067.923570733816</v>
      </c>
    </row>
    <row r="216" spans="1:10" x14ac:dyDescent="0.25">
      <c r="A216" s="4" t="s">
        <v>9</v>
      </c>
      <c r="B216" s="5" t="s">
        <v>227</v>
      </c>
      <c r="C216" s="5" t="s">
        <v>210</v>
      </c>
      <c r="D216" s="5">
        <v>1</v>
      </c>
      <c r="E216" s="11">
        <v>970</v>
      </c>
      <c r="F216" s="11">
        <v>0</v>
      </c>
      <c r="G216" s="27">
        <f t="shared" si="37"/>
        <v>4.7903225806451601</v>
      </c>
      <c r="H216" s="13">
        <f t="shared" si="38"/>
        <v>2006.7923570733817</v>
      </c>
      <c r="I216" s="13">
        <f t="shared" si="39"/>
        <v>0</v>
      </c>
      <c r="J216" s="51">
        <f t="shared" si="35"/>
        <v>2006.7923570733817</v>
      </c>
    </row>
    <row r="217" spans="1:10" x14ac:dyDescent="0.25">
      <c r="A217" s="4" t="s">
        <v>9</v>
      </c>
      <c r="B217" s="5" t="s">
        <v>228</v>
      </c>
      <c r="C217" s="5" t="s">
        <v>229</v>
      </c>
      <c r="D217" s="5">
        <v>44</v>
      </c>
      <c r="E217" s="11">
        <v>85404</v>
      </c>
      <c r="F217" s="11">
        <v>0</v>
      </c>
      <c r="G217" s="27">
        <f t="shared" si="37"/>
        <v>210.77419354838705</v>
      </c>
      <c r="H217" s="13">
        <f t="shared" si="38"/>
        <v>176688.75717886092</v>
      </c>
      <c r="I217" s="13">
        <f t="shared" si="39"/>
        <v>0</v>
      </c>
      <c r="J217" s="51">
        <f t="shared" si="35"/>
        <v>176688.75717886092</v>
      </c>
    </row>
    <row r="218" spans="1:10" x14ac:dyDescent="0.25">
      <c r="A218" s="4" t="s">
        <v>9</v>
      </c>
      <c r="B218" s="5" t="s">
        <v>230</v>
      </c>
      <c r="C218" s="5" t="s">
        <v>229</v>
      </c>
      <c r="D218" s="5">
        <v>4</v>
      </c>
      <c r="E218" s="11">
        <v>7764</v>
      </c>
      <c r="F218" s="11">
        <v>0</v>
      </c>
      <c r="G218" s="27">
        <f t="shared" si="37"/>
        <v>19.161290322580641</v>
      </c>
      <c r="H218" s="13">
        <f t="shared" si="38"/>
        <v>16062.614288987355</v>
      </c>
      <c r="I218" s="13">
        <f t="shared" si="39"/>
        <v>0</v>
      </c>
      <c r="J218" s="51">
        <f t="shared" si="35"/>
        <v>16062.614288987355</v>
      </c>
    </row>
    <row r="219" spans="1:10" x14ac:dyDescent="0.25">
      <c r="A219" s="4" t="s">
        <v>9</v>
      </c>
      <c r="B219" s="5" t="s">
        <v>231</v>
      </c>
      <c r="C219" s="5" t="s">
        <v>232</v>
      </c>
      <c r="D219" s="5">
        <v>2</v>
      </c>
      <c r="E219" s="11">
        <v>424666</v>
      </c>
      <c r="F219" s="11">
        <v>0</v>
      </c>
      <c r="G219" s="27">
        <f t="shared" si="37"/>
        <v>9.5806451612903203</v>
      </c>
      <c r="H219" s="13">
        <f t="shared" si="38"/>
        <v>878573.69392672647</v>
      </c>
      <c r="I219" s="13">
        <f t="shared" si="39"/>
        <v>0</v>
      </c>
      <c r="J219" s="51">
        <f t="shared" si="35"/>
        <v>878573.69392672647</v>
      </c>
    </row>
    <row r="220" spans="1:10" x14ac:dyDescent="0.25">
      <c r="A220" s="4" t="s">
        <v>9</v>
      </c>
      <c r="B220" s="5" t="s">
        <v>262</v>
      </c>
      <c r="C220" s="5" t="s">
        <v>263</v>
      </c>
      <c r="D220" s="5">
        <v>6</v>
      </c>
      <c r="E220" s="11">
        <v>909996</v>
      </c>
      <c r="F220" s="11">
        <v>0</v>
      </c>
      <c r="G220" s="27">
        <f t="shared" si="37"/>
        <v>28.741935483870961</v>
      </c>
      <c r="H220" s="13">
        <f t="shared" si="38"/>
        <v>1882652.5956364423</v>
      </c>
      <c r="I220" s="13">
        <f t="shared" si="39"/>
        <v>0</v>
      </c>
      <c r="J220" s="51">
        <f t="shared" si="35"/>
        <v>1882652.5956364423</v>
      </c>
    </row>
    <row r="221" spans="1:10" x14ac:dyDescent="0.25">
      <c r="A221" s="4" t="s">
        <v>9</v>
      </c>
      <c r="B221" s="5" t="s">
        <v>233</v>
      </c>
      <c r="C221" s="5" t="s">
        <v>234</v>
      </c>
      <c r="D221" s="5">
        <v>6</v>
      </c>
      <c r="E221" s="11">
        <v>582396</v>
      </c>
      <c r="F221" s="11">
        <v>0</v>
      </c>
      <c r="G221" s="27">
        <f t="shared" si="37"/>
        <v>28.741935483870961</v>
      </c>
      <c r="H221" s="13">
        <f t="shared" si="38"/>
        <v>1204894.6820516589</v>
      </c>
      <c r="I221" s="13">
        <f t="shared" si="39"/>
        <v>0</v>
      </c>
      <c r="J221" s="51">
        <f t="shared" si="35"/>
        <v>1204894.6820516589</v>
      </c>
    </row>
    <row r="222" spans="1:10" x14ac:dyDescent="0.25">
      <c r="A222" s="4" t="s">
        <v>9</v>
      </c>
      <c r="B222" s="5" t="s">
        <v>235</v>
      </c>
      <c r="C222" s="5" t="s">
        <v>236</v>
      </c>
      <c r="D222" s="5">
        <v>2</v>
      </c>
      <c r="E222" s="11">
        <v>13650</v>
      </c>
      <c r="F222" s="11">
        <v>5460</v>
      </c>
      <c r="G222" s="27">
        <f t="shared" si="37"/>
        <v>9.5806451612903203</v>
      </c>
      <c r="H222" s="13">
        <f t="shared" si="38"/>
        <v>28239.913066032637</v>
      </c>
      <c r="I222" s="13">
        <f t="shared" si="39"/>
        <v>11295.980761430144</v>
      </c>
      <c r="J222" s="51">
        <f t="shared" si="35"/>
        <v>39535.89382746278</v>
      </c>
    </row>
    <row r="223" spans="1:10" x14ac:dyDescent="0.25">
      <c r="A223" s="4" t="s">
        <v>9</v>
      </c>
      <c r="B223" s="5" t="s">
        <v>239</v>
      </c>
      <c r="C223" s="5" t="s">
        <v>236</v>
      </c>
      <c r="D223" s="5">
        <v>4</v>
      </c>
      <c r="E223" s="11">
        <v>27300</v>
      </c>
      <c r="F223" s="11">
        <v>10920</v>
      </c>
      <c r="G223" s="27">
        <f t="shared" si="37"/>
        <v>19.161290322580641</v>
      </c>
      <c r="H223" s="13">
        <f t="shared" si="38"/>
        <v>56479.826132065275</v>
      </c>
      <c r="I223" s="13">
        <f t="shared" si="39"/>
        <v>22591.961522860289</v>
      </c>
      <c r="J223" s="51">
        <f t="shared" si="35"/>
        <v>79071.78765492556</v>
      </c>
    </row>
    <row r="224" spans="1:10" x14ac:dyDescent="0.25">
      <c r="A224" s="4" t="s">
        <v>9</v>
      </c>
      <c r="B224" s="5" t="s">
        <v>241</v>
      </c>
      <c r="C224" s="5" t="s">
        <v>236</v>
      </c>
      <c r="D224" s="5">
        <v>5</v>
      </c>
      <c r="E224" s="11">
        <v>34125</v>
      </c>
      <c r="F224" s="11">
        <v>13650</v>
      </c>
      <c r="G224" s="27">
        <f t="shared" si="37"/>
        <v>23.951612903225801</v>
      </c>
      <c r="H224" s="13">
        <f t="shared" si="38"/>
        <v>70599.782665081599</v>
      </c>
      <c r="I224" s="13">
        <f t="shared" si="39"/>
        <v>28239.951903575362</v>
      </c>
      <c r="J224" s="51">
        <f t="shared" si="35"/>
        <v>98839.734568656961</v>
      </c>
    </row>
    <row r="225" spans="1:10" x14ac:dyDescent="0.25">
      <c r="A225" s="4" t="s">
        <v>9</v>
      </c>
      <c r="B225" s="5" t="s">
        <v>243</v>
      </c>
      <c r="C225" s="5" t="s">
        <v>244</v>
      </c>
      <c r="D225" s="5">
        <v>4</v>
      </c>
      <c r="E225" s="11">
        <v>13648</v>
      </c>
      <c r="F225" s="11">
        <v>5460</v>
      </c>
      <c r="G225" s="27">
        <f t="shared" si="37"/>
        <v>19.161290322580641</v>
      </c>
      <c r="H225" s="13">
        <f t="shared" si="38"/>
        <v>28235.775349832486</v>
      </c>
      <c r="I225" s="13">
        <f t="shared" si="39"/>
        <v>11295.980761430144</v>
      </c>
      <c r="J225" s="51">
        <f t="shared" si="35"/>
        <v>39531.756111262628</v>
      </c>
    </row>
    <row r="226" spans="1:10" x14ac:dyDescent="0.25">
      <c r="A226" s="4" t="s">
        <v>9</v>
      </c>
      <c r="B226" s="5" t="s">
        <v>249</v>
      </c>
      <c r="C226" s="5" t="s">
        <v>250</v>
      </c>
      <c r="D226" s="5">
        <v>3</v>
      </c>
      <c r="E226" s="11">
        <v>45498</v>
      </c>
      <c r="F226" s="11">
        <v>18198</v>
      </c>
      <c r="G226" s="27">
        <f t="shared" si="37"/>
        <v>14.37096774193548</v>
      </c>
      <c r="H226" s="13">
        <f t="shared" si="38"/>
        <v>94128.905837241982</v>
      </c>
      <c r="I226" s="13">
        <f t="shared" si="39"/>
        <v>37649.131482876517</v>
      </c>
      <c r="J226" s="51">
        <f t="shared" si="35"/>
        <v>131778.03732011851</v>
      </c>
    </row>
    <row r="227" spans="1:10" x14ac:dyDescent="0.25">
      <c r="A227" s="4" t="s">
        <v>9</v>
      </c>
      <c r="B227" s="5" t="s">
        <v>252</v>
      </c>
      <c r="C227" s="5" t="s">
        <v>212</v>
      </c>
      <c r="D227" s="5">
        <v>17</v>
      </c>
      <c r="E227" s="11">
        <v>24752</v>
      </c>
      <c r="F227" s="11">
        <v>0</v>
      </c>
      <c r="G227" s="27">
        <f t="shared" si="37"/>
        <v>81.435483870967715</v>
      </c>
      <c r="H227" s="13">
        <f t="shared" si="38"/>
        <v>51208.375693072514</v>
      </c>
      <c r="I227" s="13">
        <f t="shared" si="39"/>
        <v>0</v>
      </c>
      <c r="J227" s="51">
        <f t="shared" si="35"/>
        <v>51208.375693072514</v>
      </c>
    </row>
    <row r="228" spans="1:10" x14ac:dyDescent="0.25">
      <c r="A228" s="4" t="s">
        <v>9</v>
      </c>
      <c r="B228" s="5" t="s">
        <v>254</v>
      </c>
      <c r="C228" s="5" t="s">
        <v>212</v>
      </c>
      <c r="D228" s="5">
        <v>2</v>
      </c>
      <c r="E228" s="11">
        <v>2912</v>
      </c>
      <c r="F228" s="11">
        <v>0</v>
      </c>
      <c r="G228" s="27">
        <f t="shared" si="37"/>
        <v>9.5806451612903203</v>
      </c>
      <c r="H228" s="13">
        <f t="shared" si="38"/>
        <v>6024.5147874202958</v>
      </c>
      <c r="I228" s="13">
        <f t="shared" si="39"/>
        <v>0</v>
      </c>
      <c r="J228" s="51">
        <f t="shared" si="35"/>
        <v>6024.5147874202958</v>
      </c>
    </row>
    <row r="229" spans="1:10" x14ac:dyDescent="0.25">
      <c r="A229" s="15" t="s">
        <v>9</v>
      </c>
      <c r="B229" s="16" t="s">
        <v>256</v>
      </c>
      <c r="C229" s="16" t="s">
        <v>212</v>
      </c>
      <c r="D229" s="16">
        <v>1</v>
      </c>
      <c r="E229" s="18">
        <v>1456</v>
      </c>
      <c r="F229" s="18">
        <v>0</v>
      </c>
      <c r="G229" s="54">
        <f t="shared" si="37"/>
        <v>4.7903225806451601</v>
      </c>
      <c r="H229" s="19">
        <f t="shared" si="38"/>
        <v>3012.2573937101479</v>
      </c>
      <c r="I229" s="19">
        <f t="shared" si="39"/>
        <v>0</v>
      </c>
      <c r="J229" s="51">
        <f t="shared" si="35"/>
        <v>3012.2573937101479</v>
      </c>
    </row>
    <row r="230" spans="1:10" s="3" customFormat="1" x14ac:dyDescent="0.25">
      <c r="A230" s="4"/>
      <c r="B230" s="20" t="s">
        <v>436</v>
      </c>
      <c r="C230" s="21"/>
      <c r="D230" s="21"/>
      <c r="E230" s="29"/>
      <c r="F230" s="29"/>
      <c r="G230" s="48">
        <f>SUM(G209:G229)</f>
        <v>593.99999999999977</v>
      </c>
      <c r="H230" s="48">
        <f t="shared" ref="H230:J230" si="40">SUM(H209:H229)</f>
        <v>4785786</v>
      </c>
      <c r="I230" s="48">
        <f t="shared" si="40"/>
        <v>214214</v>
      </c>
      <c r="J230" s="47">
        <f t="shared" si="40"/>
        <v>5000000</v>
      </c>
    </row>
    <row r="231" spans="1:10" x14ac:dyDescent="0.25">
      <c r="A231" s="23" t="s">
        <v>10</v>
      </c>
      <c r="B231" s="24" t="s">
        <v>214</v>
      </c>
      <c r="C231" s="24" t="s">
        <v>210</v>
      </c>
      <c r="D231" s="24">
        <v>3</v>
      </c>
      <c r="E231" s="30">
        <v>2910</v>
      </c>
      <c r="F231" s="30">
        <v>0</v>
      </c>
      <c r="G231" s="26">
        <f t="shared" ref="G231:G238" si="41">+D231*4.81818181818182</f>
        <v>14.45454545454546</v>
      </c>
      <c r="H231" s="7">
        <f t="shared" ref="H231:H238" si="42">+E231*1566505/28342</f>
        <v>160840.08009314799</v>
      </c>
      <c r="I231" s="7">
        <f t="shared" ref="I231:I238" si="43">+F231*433495/7843</f>
        <v>0</v>
      </c>
      <c r="J231" s="51">
        <f t="shared" si="35"/>
        <v>160840.08009314799</v>
      </c>
    </row>
    <row r="232" spans="1:10" x14ac:dyDescent="0.25">
      <c r="A232" s="4" t="s">
        <v>10</v>
      </c>
      <c r="B232" s="5" t="s">
        <v>219</v>
      </c>
      <c r="C232" s="5" t="s">
        <v>220</v>
      </c>
      <c r="D232" s="5">
        <v>1</v>
      </c>
      <c r="E232" s="11">
        <v>3397</v>
      </c>
      <c r="F232" s="11">
        <v>1358</v>
      </c>
      <c r="G232" s="27">
        <f t="shared" si="41"/>
        <v>4.8181818181818201</v>
      </c>
      <c r="H232" s="13">
        <f t="shared" si="42"/>
        <v>187757.30311904594</v>
      </c>
      <c r="I232" s="13">
        <f t="shared" si="43"/>
        <v>75058.805304092821</v>
      </c>
      <c r="J232" s="51">
        <f t="shared" si="35"/>
        <v>262816.10842313874</v>
      </c>
    </row>
    <row r="233" spans="1:10" x14ac:dyDescent="0.25">
      <c r="A233" s="4" t="s">
        <v>10</v>
      </c>
      <c r="B233" s="5" t="s">
        <v>226</v>
      </c>
      <c r="C233" s="5" t="s">
        <v>210</v>
      </c>
      <c r="D233" s="5">
        <v>1</v>
      </c>
      <c r="E233" s="11">
        <v>970</v>
      </c>
      <c r="F233" s="11">
        <v>0</v>
      </c>
      <c r="G233" s="27">
        <f t="shared" si="41"/>
        <v>4.8181818181818201</v>
      </c>
      <c r="H233" s="13">
        <f t="shared" si="42"/>
        <v>53613.360031049328</v>
      </c>
      <c r="I233" s="13">
        <f t="shared" si="43"/>
        <v>0</v>
      </c>
      <c r="J233" s="51">
        <f t="shared" si="35"/>
        <v>53613.360031049328</v>
      </c>
    </row>
    <row r="234" spans="1:10" x14ac:dyDescent="0.25">
      <c r="A234" s="4" t="s">
        <v>10</v>
      </c>
      <c r="B234" s="5" t="s">
        <v>228</v>
      </c>
      <c r="C234" s="5" t="s">
        <v>229</v>
      </c>
      <c r="D234" s="5">
        <v>2</v>
      </c>
      <c r="E234" s="11">
        <v>3882</v>
      </c>
      <c r="F234" s="11">
        <v>0</v>
      </c>
      <c r="G234" s="27">
        <f t="shared" si="41"/>
        <v>9.6363636363636402</v>
      </c>
      <c r="H234" s="13">
        <f t="shared" si="42"/>
        <v>214563.98313457059</v>
      </c>
      <c r="I234" s="13">
        <f t="shared" si="43"/>
        <v>0</v>
      </c>
      <c r="J234" s="51">
        <f t="shared" si="35"/>
        <v>214563.98313457059</v>
      </c>
    </row>
    <row r="235" spans="1:10" x14ac:dyDescent="0.25">
      <c r="A235" s="4" t="s">
        <v>10</v>
      </c>
      <c r="B235" s="5" t="s">
        <v>235</v>
      </c>
      <c r="C235" s="5" t="s">
        <v>236</v>
      </c>
      <c r="D235" s="5">
        <v>1</v>
      </c>
      <c r="E235" s="11">
        <v>6825</v>
      </c>
      <c r="F235" s="11">
        <v>2730</v>
      </c>
      <c r="G235" s="27">
        <f t="shared" si="41"/>
        <v>4.8181818181818201</v>
      </c>
      <c r="H235" s="13">
        <f t="shared" si="42"/>
        <v>377228.02289887797</v>
      </c>
      <c r="I235" s="13">
        <f t="shared" si="43"/>
        <v>150891.41272472267</v>
      </c>
      <c r="J235" s="51">
        <f t="shared" si="35"/>
        <v>528119.43562360061</v>
      </c>
    </row>
    <row r="236" spans="1:10" x14ac:dyDescent="0.25">
      <c r="A236" s="4" t="s">
        <v>10</v>
      </c>
      <c r="B236" s="5" t="s">
        <v>241</v>
      </c>
      <c r="C236" s="5" t="s">
        <v>236</v>
      </c>
      <c r="D236" s="5">
        <v>1</v>
      </c>
      <c r="E236" s="11">
        <v>6825</v>
      </c>
      <c r="F236" s="11">
        <v>2730</v>
      </c>
      <c r="G236" s="27">
        <f t="shared" si="41"/>
        <v>4.8181818181818201</v>
      </c>
      <c r="H236" s="13">
        <f t="shared" si="42"/>
        <v>377228.02289887797</v>
      </c>
      <c r="I236" s="13">
        <f t="shared" si="43"/>
        <v>150891.41272472267</v>
      </c>
      <c r="J236" s="51">
        <f t="shared" si="35"/>
        <v>528119.43562360061</v>
      </c>
    </row>
    <row r="237" spans="1:10" x14ac:dyDescent="0.25">
      <c r="A237" s="4" t="s">
        <v>10</v>
      </c>
      <c r="B237" s="5" t="s">
        <v>248</v>
      </c>
      <c r="C237" s="5" t="s">
        <v>246</v>
      </c>
      <c r="D237" s="5">
        <v>1</v>
      </c>
      <c r="E237" s="11">
        <v>2563</v>
      </c>
      <c r="F237" s="11">
        <v>1025</v>
      </c>
      <c r="G237" s="27">
        <f t="shared" si="41"/>
        <v>4.8181818181818201</v>
      </c>
      <c r="H237" s="13">
        <f t="shared" si="42"/>
        <v>141660.86779338084</v>
      </c>
      <c r="I237" s="13">
        <f t="shared" si="43"/>
        <v>56653.369246461814</v>
      </c>
      <c r="J237" s="51">
        <f t="shared" si="35"/>
        <v>198314.23703984264</v>
      </c>
    </row>
    <row r="238" spans="1:10" x14ac:dyDescent="0.25">
      <c r="A238" s="15" t="s">
        <v>10</v>
      </c>
      <c r="B238" s="16" t="s">
        <v>253</v>
      </c>
      <c r="C238" s="16" t="s">
        <v>210</v>
      </c>
      <c r="D238" s="16">
        <v>1</v>
      </c>
      <c r="E238" s="18">
        <v>970</v>
      </c>
      <c r="F238" s="18">
        <v>0</v>
      </c>
      <c r="G238" s="54">
        <f t="shared" si="41"/>
        <v>4.8181818181818201</v>
      </c>
      <c r="H238" s="19">
        <f t="shared" si="42"/>
        <v>53613.360031049328</v>
      </c>
      <c r="I238" s="19">
        <f t="shared" si="43"/>
        <v>0</v>
      </c>
      <c r="J238" s="51">
        <f t="shared" si="35"/>
        <v>53613.360031049328</v>
      </c>
    </row>
    <row r="239" spans="1:10" s="3" customFormat="1" x14ac:dyDescent="0.25">
      <c r="A239" s="4"/>
      <c r="B239" s="20" t="s">
        <v>437</v>
      </c>
      <c r="C239" s="21"/>
      <c r="D239" s="21"/>
      <c r="E239" s="29"/>
      <c r="F239" s="29"/>
      <c r="G239" s="48">
        <f>SUM(G231:G238)</f>
        <v>53.000000000000021</v>
      </c>
      <c r="H239" s="48">
        <f t="shared" ref="H239:J239" si="44">SUM(H231:H238)</f>
        <v>1566504.9999999998</v>
      </c>
      <c r="I239" s="48">
        <f t="shared" si="44"/>
        <v>433495</v>
      </c>
      <c r="J239" s="47">
        <f t="shared" si="44"/>
        <v>1999999.9999999998</v>
      </c>
    </row>
    <row r="240" spans="1:10" x14ac:dyDescent="0.25">
      <c r="A240" s="23" t="s">
        <v>11</v>
      </c>
      <c r="B240" s="24" t="s">
        <v>209</v>
      </c>
      <c r="C240" s="24" t="s">
        <v>210</v>
      </c>
      <c r="D240" s="24">
        <v>3</v>
      </c>
      <c r="E240" s="30">
        <v>2910</v>
      </c>
      <c r="F240" s="30">
        <v>0</v>
      </c>
      <c r="G240" s="26">
        <f t="shared" ref="G240:G253" si="45">+D240*4.78048780487805</f>
        <v>14.341463414634152</v>
      </c>
      <c r="H240" s="7">
        <f t="shared" ref="H240:H253" si="46">+E240*4886592/527318</f>
        <v>26966.617335270177</v>
      </c>
      <c r="I240" s="7">
        <f t="shared" ref="I240:I253" si="47">+F240*113408/12238</f>
        <v>0</v>
      </c>
      <c r="J240" s="51">
        <f t="shared" si="35"/>
        <v>26966.617335270177</v>
      </c>
    </row>
    <row r="241" spans="1:10" x14ac:dyDescent="0.25">
      <c r="A241" s="4" t="s">
        <v>11</v>
      </c>
      <c r="B241" s="5" t="s">
        <v>214</v>
      </c>
      <c r="C241" s="5" t="s">
        <v>210</v>
      </c>
      <c r="D241" s="5">
        <v>5</v>
      </c>
      <c r="E241" s="11">
        <v>4850</v>
      </c>
      <c r="F241" s="11">
        <v>0</v>
      </c>
      <c r="G241" s="27">
        <f t="shared" si="45"/>
        <v>23.902439024390251</v>
      </c>
      <c r="H241" s="13">
        <f t="shared" si="46"/>
        <v>44944.362225450299</v>
      </c>
      <c r="I241" s="13">
        <f t="shared" si="47"/>
        <v>0</v>
      </c>
      <c r="J241" s="51">
        <f t="shared" si="35"/>
        <v>44944.362225450299</v>
      </c>
    </row>
    <row r="242" spans="1:10" x14ac:dyDescent="0.25">
      <c r="A242" s="4" t="s">
        <v>11</v>
      </c>
      <c r="B242" s="5" t="s">
        <v>217</v>
      </c>
      <c r="C242" s="5" t="s">
        <v>218</v>
      </c>
      <c r="D242" s="5">
        <v>1</v>
      </c>
      <c r="E242" s="11">
        <v>3313</v>
      </c>
      <c r="F242" s="11">
        <v>1325</v>
      </c>
      <c r="G242" s="27">
        <f t="shared" si="45"/>
        <v>4.7804878048780504</v>
      </c>
      <c r="H242" s="13">
        <f t="shared" si="46"/>
        <v>30701.169495446771</v>
      </c>
      <c r="I242" s="13">
        <f t="shared" si="47"/>
        <v>12278.607615623469</v>
      </c>
      <c r="J242" s="51">
        <f t="shared" si="35"/>
        <v>42979.777111070238</v>
      </c>
    </row>
    <row r="243" spans="1:10" x14ac:dyDescent="0.25">
      <c r="A243" s="4" t="s">
        <v>11</v>
      </c>
      <c r="B243" s="5" t="s">
        <v>219</v>
      </c>
      <c r="C243" s="5" t="s">
        <v>220</v>
      </c>
      <c r="D243" s="5">
        <v>1</v>
      </c>
      <c r="E243" s="11">
        <v>3397</v>
      </c>
      <c r="F243" s="11">
        <v>1358</v>
      </c>
      <c r="G243" s="27">
        <f t="shared" si="45"/>
        <v>4.7804878048780504</v>
      </c>
      <c r="H243" s="13">
        <f t="shared" si="46"/>
        <v>31479.58731543395</v>
      </c>
      <c r="I243" s="13">
        <f t="shared" si="47"/>
        <v>12584.414446805033</v>
      </c>
      <c r="J243" s="51">
        <f t="shared" si="35"/>
        <v>44064.001762238986</v>
      </c>
    </row>
    <row r="244" spans="1:10" x14ac:dyDescent="0.25">
      <c r="A244" s="4" t="s">
        <v>11</v>
      </c>
      <c r="B244" s="5" t="s">
        <v>223</v>
      </c>
      <c r="C244" s="5" t="s">
        <v>224</v>
      </c>
      <c r="D244" s="5">
        <v>2</v>
      </c>
      <c r="E244" s="11">
        <v>0</v>
      </c>
      <c r="F244" s="11">
        <v>0</v>
      </c>
      <c r="G244" s="27">
        <f t="shared" si="45"/>
        <v>9.5609756097561007</v>
      </c>
      <c r="H244" s="13">
        <f t="shared" si="46"/>
        <v>0</v>
      </c>
      <c r="I244" s="13">
        <f t="shared" si="47"/>
        <v>0</v>
      </c>
      <c r="J244" s="51">
        <f t="shared" si="35"/>
        <v>0</v>
      </c>
    </row>
    <row r="245" spans="1:10" x14ac:dyDescent="0.25">
      <c r="A245" s="4" t="s">
        <v>11</v>
      </c>
      <c r="B245" s="5" t="s">
        <v>226</v>
      </c>
      <c r="C245" s="5" t="s">
        <v>210</v>
      </c>
      <c r="D245" s="5">
        <v>3</v>
      </c>
      <c r="E245" s="11">
        <v>2910</v>
      </c>
      <c r="F245" s="11">
        <v>0</v>
      </c>
      <c r="G245" s="27">
        <f t="shared" si="45"/>
        <v>14.341463414634152</v>
      </c>
      <c r="H245" s="13">
        <f t="shared" si="46"/>
        <v>26966.617335270177</v>
      </c>
      <c r="I245" s="13">
        <f t="shared" si="47"/>
        <v>0</v>
      </c>
      <c r="J245" s="51">
        <f t="shared" si="35"/>
        <v>26966.617335270177</v>
      </c>
    </row>
    <row r="246" spans="1:10" x14ac:dyDescent="0.25">
      <c r="A246" s="4" t="s">
        <v>11</v>
      </c>
      <c r="B246" s="5" t="s">
        <v>228</v>
      </c>
      <c r="C246" s="5" t="s">
        <v>229</v>
      </c>
      <c r="D246" s="5">
        <v>13</v>
      </c>
      <c r="E246" s="11">
        <v>25233</v>
      </c>
      <c r="F246" s="11">
        <v>0</v>
      </c>
      <c r="G246" s="27">
        <f t="shared" si="45"/>
        <v>62.146341463414657</v>
      </c>
      <c r="H246" s="13">
        <f t="shared" si="46"/>
        <v>233831.15299686338</v>
      </c>
      <c r="I246" s="13">
        <f t="shared" si="47"/>
        <v>0</v>
      </c>
      <c r="J246" s="51">
        <f t="shared" si="35"/>
        <v>233831.15299686338</v>
      </c>
    </row>
    <row r="247" spans="1:10" x14ac:dyDescent="0.25">
      <c r="A247" s="4" t="s">
        <v>11</v>
      </c>
      <c r="B247" s="5" t="s">
        <v>262</v>
      </c>
      <c r="C247" s="5" t="s">
        <v>263</v>
      </c>
      <c r="D247" s="5">
        <v>3</v>
      </c>
      <c r="E247" s="11">
        <v>454998</v>
      </c>
      <c r="F247" s="11">
        <v>0</v>
      </c>
      <c r="G247" s="27">
        <f t="shared" si="45"/>
        <v>14.341463414634152</v>
      </c>
      <c r="H247" s="13">
        <f t="shared" si="46"/>
        <v>4216411.3245062754</v>
      </c>
      <c r="I247" s="13">
        <f t="shared" si="47"/>
        <v>0</v>
      </c>
      <c r="J247" s="51">
        <f t="shared" si="35"/>
        <v>4216411.3245062754</v>
      </c>
    </row>
    <row r="248" spans="1:10" x14ac:dyDescent="0.25">
      <c r="A248" s="4" t="s">
        <v>11</v>
      </c>
      <c r="B248" s="5" t="s">
        <v>235</v>
      </c>
      <c r="C248" s="5" t="s">
        <v>236</v>
      </c>
      <c r="D248" s="5">
        <v>1</v>
      </c>
      <c r="E248" s="11">
        <v>6825</v>
      </c>
      <c r="F248" s="11">
        <v>2730</v>
      </c>
      <c r="G248" s="27">
        <f t="shared" si="45"/>
        <v>4.7804878048780504</v>
      </c>
      <c r="H248" s="13">
        <f t="shared" si="46"/>
        <v>63246.447873958408</v>
      </c>
      <c r="I248" s="13">
        <f t="shared" si="47"/>
        <v>25298.565125020428</v>
      </c>
      <c r="J248" s="51">
        <f t="shared" si="35"/>
        <v>88545.01299897884</v>
      </c>
    </row>
    <row r="249" spans="1:10" x14ac:dyDescent="0.25">
      <c r="A249" s="4" t="s">
        <v>11</v>
      </c>
      <c r="B249" s="5" t="s">
        <v>239</v>
      </c>
      <c r="C249" s="5" t="s">
        <v>236</v>
      </c>
      <c r="D249" s="5">
        <v>1</v>
      </c>
      <c r="E249" s="11">
        <v>6825</v>
      </c>
      <c r="F249" s="11">
        <v>2730</v>
      </c>
      <c r="G249" s="27">
        <f t="shared" si="45"/>
        <v>4.7804878048780504</v>
      </c>
      <c r="H249" s="13">
        <f t="shared" si="46"/>
        <v>63246.447873958408</v>
      </c>
      <c r="I249" s="13">
        <f t="shared" si="47"/>
        <v>25298.565125020428</v>
      </c>
      <c r="J249" s="51">
        <f t="shared" si="35"/>
        <v>88545.01299897884</v>
      </c>
    </row>
    <row r="250" spans="1:10" x14ac:dyDescent="0.25">
      <c r="A250" s="4" t="s">
        <v>11</v>
      </c>
      <c r="B250" s="5" t="s">
        <v>241</v>
      </c>
      <c r="C250" s="5" t="s">
        <v>236</v>
      </c>
      <c r="D250" s="5">
        <v>1</v>
      </c>
      <c r="E250" s="11">
        <v>6825</v>
      </c>
      <c r="F250" s="11">
        <v>2730</v>
      </c>
      <c r="G250" s="27">
        <f t="shared" si="45"/>
        <v>4.7804878048780504</v>
      </c>
      <c r="H250" s="13">
        <f t="shared" si="46"/>
        <v>63246.447873958408</v>
      </c>
      <c r="I250" s="13">
        <f t="shared" si="47"/>
        <v>25298.565125020428</v>
      </c>
      <c r="J250" s="51">
        <f t="shared" si="35"/>
        <v>88545.01299897884</v>
      </c>
    </row>
    <row r="251" spans="1:10" x14ac:dyDescent="0.25">
      <c r="A251" s="4" t="s">
        <v>11</v>
      </c>
      <c r="B251" s="5" t="s">
        <v>247</v>
      </c>
      <c r="C251" s="5" t="s">
        <v>244</v>
      </c>
      <c r="D251" s="5">
        <v>1</v>
      </c>
      <c r="E251" s="11">
        <v>3412</v>
      </c>
      <c r="F251" s="11">
        <v>1365</v>
      </c>
      <c r="G251" s="27">
        <f t="shared" si="45"/>
        <v>4.7804878048780504</v>
      </c>
      <c r="H251" s="13">
        <f t="shared" si="46"/>
        <v>31618.590497574518</v>
      </c>
      <c r="I251" s="13">
        <f t="shared" si="47"/>
        <v>12649.282562510214</v>
      </c>
      <c r="J251" s="51">
        <f t="shared" si="35"/>
        <v>44267.873060084734</v>
      </c>
    </row>
    <row r="252" spans="1:10" x14ac:dyDescent="0.25">
      <c r="A252" s="4" t="s">
        <v>11</v>
      </c>
      <c r="B252" s="5" t="s">
        <v>253</v>
      </c>
      <c r="C252" s="5" t="s">
        <v>210</v>
      </c>
      <c r="D252" s="5">
        <v>4</v>
      </c>
      <c r="E252" s="11">
        <v>3880</v>
      </c>
      <c r="F252" s="11">
        <v>0</v>
      </c>
      <c r="G252" s="27">
        <f t="shared" si="45"/>
        <v>19.121951219512201</v>
      </c>
      <c r="H252" s="13">
        <f t="shared" si="46"/>
        <v>35955.489780360236</v>
      </c>
      <c r="I252" s="13">
        <f t="shared" si="47"/>
        <v>0</v>
      </c>
      <c r="J252" s="51">
        <f t="shared" si="35"/>
        <v>35955.489780360236</v>
      </c>
    </row>
    <row r="253" spans="1:10" x14ac:dyDescent="0.25">
      <c r="A253" s="15" t="s">
        <v>11</v>
      </c>
      <c r="B253" s="16" t="s">
        <v>255</v>
      </c>
      <c r="C253" s="16" t="s">
        <v>210</v>
      </c>
      <c r="D253" s="16">
        <v>2</v>
      </c>
      <c r="E253" s="18">
        <v>1940</v>
      </c>
      <c r="F253" s="18">
        <v>0</v>
      </c>
      <c r="G253" s="54">
        <f t="shared" si="45"/>
        <v>9.5609756097561007</v>
      </c>
      <c r="H253" s="19">
        <f t="shared" si="46"/>
        <v>17977.744890180118</v>
      </c>
      <c r="I253" s="19">
        <f t="shared" si="47"/>
        <v>0</v>
      </c>
      <c r="J253" s="51">
        <f t="shared" si="35"/>
        <v>17977.744890180118</v>
      </c>
    </row>
    <row r="254" spans="1:10" s="3" customFormat="1" x14ac:dyDescent="0.25">
      <c r="A254" s="4"/>
      <c r="B254" s="20" t="s">
        <v>438</v>
      </c>
      <c r="C254" s="21"/>
      <c r="D254" s="21"/>
      <c r="E254" s="29"/>
      <c r="F254" s="29"/>
      <c r="G254" s="48">
        <f>SUM(G240:G253)</f>
        <v>196.00000000000006</v>
      </c>
      <c r="H254" s="48">
        <f t="shared" ref="H254:J254" si="48">SUM(H240:H253)</f>
        <v>4886592</v>
      </c>
      <c r="I254" s="48">
        <f t="shared" si="48"/>
        <v>113407.99999999999</v>
      </c>
      <c r="J254" s="47">
        <f t="shared" si="48"/>
        <v>5000000</v>
      </c>
    </row>
    <row r="255" spans="1:10" x14ac:dyDescent="0.25">
      <c r="A255" s="23" t="s">
        <v>12</v>
      </c>
      <c r="B255" s="24" t="s">
        <v>214</v>
      </c>
      <c r="C255" s="24" t="s">
        <v>210</v>
      </c>
      <c r="D255" s="24">
        <v>1</v>
      </c>
      <c r="E255" s="30">
        <v>485</v>
      </c>
      <c r="F255" s="30">
        <v>0</v>
      </c>
      <c r="G255" s="26">
        <f t="shared" ref="G255:G265" si="49">+D255*4.75</f>
        <v>4.75</v>
      </c>
      <c r="H255" s="7">
        <f t="shared" ref="H255:H265" si="50">+E255*3363484/158619</f>
        <v>10284.327476531815</v>
      </c>
      <c r="I255" s="7">
        <f t="shared" ref="I255:I265" si="51">+F255*136516/6438</f>
        <v>0</v>
      </c>
      <c r="J255" s="51">
        <f t="shared" si="35"/>
        <v>10284.327476531815</v>
      </c>
    </row>
    <row r="256" spans="1:10" x14ac:dyDescent="0.25">
      <c r="A256" s="4" t="s">
        <v>12</v>
      </c>
      <c r="B256" s="5" t="s">
        <v>216</v>
      </c>
      <c r="C256" s="5" t="s">
        <v>210</v>
      </c>
      <c r="D256" s="5">
        <v>2</v>
      </c>
      <c r="E256" s="11">
        <v>970</v>
      </c>
      <c r="F256" s="11">
        <v>0</v>
      </c>
      <c r="G256" s="27">
        <f t="shared" si="49"/>
        <v>9.5</v>
      </c>
      <c r="H256" s="13">
        <f t="shared" si="50"/>
        <v>20568.654953063629</v>
      </c>
      <c r="I256" s="13">
        <f t="shared" si="51"/>
        <v>0</v>
      </c>
      <c r="J256" s="51">
        <f t="shared" si="35"/>
        <v>20568.654953063629</v>
      </c>
    </row>
    <row r="257" spans="1:10" x14ac:dyDescent="0.25">
      <c r="A257" s="4" t="s">
        <v>12</v>
      </c>
      <c r="B257" s="5" t="s">
        <v>217</v>
      </c>
      <c r="C257" s="5" t="s">
        <v>218</v>
      </c>
      <c r="D257" s="5">
        <v>1</v>
      </c>
      <c r="E257" s="11">
        <v>1656</v>
      </c>
      <c r="F257" s="11">
        <v>1325</v>
      </c>
      <c r="G257" s="27">
        <f t="shared" si="49"/>
        <v>4.75</v>
      </c>
      <c r="H257" s="13">
        <f t="shared" si="50"/>
        <v>35115.14701265296</v>
      </c>
      <c r="I257" s="13">
        <f t="shared" si="51"/>
        <v>28096.256601429017</v>
      </c>
      <c r="J257" s="51">
        <f t="shared" si="35"/>
        <v>63211.403614081981</v>
      </c>
    </row>
    <row r="258" spans="1:10" x14ac:dyDescent="0.25">
      <c r="A258" s="4" t="s">
        <v>12</v>
      </c>
      <c r="B258" s="5" t="s">
        <v>219</v>
      </c>
      <c r="C258" s="5" t="s">
        <v>220</v>
      </c>
      <c r="D258" s="5">
        <v>1</v>
      </c>
      <c r="E258" s="11">
        <v>1698</v>
      </c>
      <c r="F258" s="11">
        <v>1358</v>
      </c>
      <c r="G258" s="27">
        <f t="shared" si="49"/>
        <v>4.75</v>
      </c>
      <c r="H258" s="13">
        <f t="shared" si="50"/>
        <v>36005.748567321694</v>
      </c>
      <c r="I258" s="13">
        <f t="shared" si="51"/>
        <v>28796.012426219324</v>
      </c>
      <c r="J258" s="51">
        <f t="shared" si="35"/>
        <v>64801.760993541015</v>
      </c>
    </row>
    <row r="259" spans="1:10" x14ac:dyDescent="0.25">
      <c r="A259" s="4" t="s">
        <v>12</v>
      </c>
      <c r="B259" s="5" t="s">
        <v>260</v>
      </c>
      <c r="C259" s="5" t="s">
        <v>208</v>
      </c>
      <c r="D259" s="5">
        <v>1</v>
      </c>
      <c r="E259" s="11">
        <v>23296</v>
      </c>
      <c r="F259" s="11">
        <v>0</v>
      </c>
      <c r="G259" s="27">
        <f t="shared" si="49"/>
        <v>4.75</v>
      </c>
      <c r="H259" s="13">
        <f t="shared" si="50"/>
        <v>493986.99565625808</v>
      </c>
      <c r="I259" s="13">
        <f t="shared" si="51"/>
        <v>0</v>
      </c>
      <c r="J259" s="51">
        <f t="shared" si="35"/>
        <v>493986.99565625808</v>
      </c>
    </row>
    <row r="260" spans="1:10" x14ac:dyDescent="0.25">
      <c r="A260" s="4" t="s">
        <v>12</v>
      </c>
      <c r="B260" s="5" t="s">
        <v>228</v>
      </c>
      <c r="C260" s="5" t="s">
        <v>229</v>
      </c>
      <c r="D260" s="5">
        <v>1</v>
      </c>
      <c r="E260" s="11">
        <v>970</v>
      </c>
      <c r="F260" s="11">
        <v>0</v>
      </c>
      <c r="G260" s="27">
        <f t="shared" si="49"/>
        <v>4.75</v>
      </c>
      <c r="H260" s="13">
        <f t="shared" si="50"/>
        <v>20568.654953063629</v>
      </c>
      <c r="I260" s="13">
        <f t="shared" si="51"/>
        <v>0</v>
      </c>
      <c r="J260" s="51">
        <f t="shared" si="35"/>
        <v>20568.654953063629</v>
      </c>
    </row>
    <row r="261" spans="1:10" x14ac:dyDescent="0.25">
      <c r="A261" s="4" t="s">
        <v>12</v>
      </c>
      <c r="B261" s="5" t="s">
        <v>262</v>
      </c>
      <c r="C261" s="5" t="s">
        <v>263</v>
      </c>
      <c r="D261" s="5">
        <v>1</v>
      </c>
      <c r="E261" s="11">
        <v>75833</v>
      </c>
      <c r="F261" s="11">
        <v>0</v>
      </c>
      <c r="G261" s="27">
        <f t="shared" si="49"/>
        <v>4.75</v>
      </c>
      <c r="H261" s="13">
        <f t="shared" si="50"/>
        <v>1608023.5165522415</v>
      </c>
      <c r="I261" s="13">
        <f t="shared" si="51"/>
        <v>0</v>
      </c>
      <c r="J261" s="51">
        <f t="shared" ref="J261:J324" si="52">SUM(H261:I261)</f>
        <v>1608023.5165522415</v>
      </c>
    </row>
    <row r="262" spans="1:10" x14ac:dyDescent="0.25">
      <c r="A262" s="4" t="s">
        <v>12</v>
      </c>
      <c r="B262" s="5" t="s">
        <v>233</v>
      </c>
      <c r="C262" s="5" t="s">
        <v>234</v>
      </c>
      <c r="D262" s="5">
        <v>1</v>
      </c>
      <c r="E262" s="11">
        <v>48533</v>
      </c>
      <c r="F262" s="11">
        <v>0</v>
      </c>
      <c r="G262" s="27">
        <f t="shared" si="49"/>
        <v>4.75</v>
      </c>
      <c r="H262" s="13">
        <f t="shared" si="50"/>
        <v>1029132.5060175641</v>
      </c>
      <c r="I262" s="13">
        <f t="shared" si="51"/>
        <v>0</v>
      </c>
      <c r="J262" s="51">
        <f t="shared" si="52"/>
        <v>1029132.5060175641</v>
      </c>
    </row>
    <row r="263" spans="1:10" x14ac:dyDescent="0.25">
      <c r="A263" s="4" t="s">
        <v>12</v>
      </c>
      <c r="B263" s="5" t="s">
        <v>241</v>
      </c>
      <c r="C263" s="5" t="s">
        <v>236</v>
      </c>
      <c r="D263" s="5">
        <v>1</v>
      </c>
      <c r="E263" s="11">
        <v>3412</v>
      </c>
      <c r="F263" s="11">
        <v>2730</v>
      </c>
      <c r="G263" s="27">
        <f t="shared" si="49"/>
        <v>4.75</v>
      </c>
      <c r="H263" s="13">
        <f t="shared" si="50"/>
        <v>72350.773917374332</v>
      </c>
      <c r="I263" s="13">
        <f t="shared" si="51"/>
        <v>57888.89095992544</v>
      </c>
      <c r="J263" s="51">
        <f t="shared" si="52"/>
        <v>130239.66487729977</v>
      </c>
    </row>
    <row r="264" spans="1:10" x14ac:dyDescent="0.25">
      <c r="A264" s="4" t="s">
        <v>12</v>
      </c>
      <c r="B264" s="5" t="s">
        <v>245</v>
      </c>
      <c r="C264" s="5" t="s">
        <v>246</v>
      </c>
      <c r="D264" s="5">
        <v>1</v>
      </c>
      <c r="E264" s="11">
        <v>1281</v>
      </c>
      <c r="F264" s="11">
        <v>1025</v>
      </c>
      <c r="G264" s="27">
        <f t="shared" si="49"/>
        <v>4.75</v>
      </c>
      <c r="H264" s="13">
        <f t="shared" si="50"/>
        <v>27163.347417396402</v>
      </c>
      <c r="I264" s="13">
        <f t="shared" si="51"/>
        <v>21734.840012426219</v>
      </c>
      <c r="J264" s="51">
        <f t="shared" si="52"/>
        <v>48898.187429822618</v>
      </c>
    </row>
    <row r="265" spans="1:10" x14ac:dyDescent="0.25">
      <c r="A265" s="15" t="s">
        <v>12</v>
      </c>
      <c r="B265" s="16" t="s">
        <v>257</v>
      </c>
      <c r="C265" s="16" t="s">
        <v>210</v>
      </c>
      <c r="D265" s="16">
        <v>1</v>
      </c>
      <c r="E265" s="18">
        <v>485</v>
      </c>
      <c r="F265" s="18">
        <v>0</v>
      </c>
      <c r="G265" s="54">
        <f t="shared" si="49"/>
        <v>4.75</v>
      </c>
      <c r="H265" s="19">
        <f t="shared" si="50"/>
        <v>10284.327476531815</v>
      </c>
      <c r="I265" s="19">
        <f t="shared" si="51"/>
        <v>0</v>
      </c>
      <c r="J265" s="51">
        <f t="shared" si="52"/>
        <v>10284.327476531815</v>
      </c>
    </row>
    <row r="266" spans="1:10" s="3" customFormat="1" x14ac:dyDescent="0.25">
      <c r="A266" s="4"/>
      <c r="B266" s="20" t="s">
        <v>439</v>
      </c>
      <c r="C266" s="21"/>
      <c r="D266" s="21"/>
      <c r="E266" s="29"/>
      <c r="F266" s="29"/>
      <c r="G266" s="48">
        <f>SUM(G255:G265)</f>
        <v>57</v>
      </c>
      <c r="H266" s="48">
        <f t="shared" ref="H266:J266" si="53">SUM(H255:H265)</f>
        <v>3363483.9999999995</v>
      </c>
      <c r="I266" s="48">
        <f t="shared" si="53"/>
        <v>136516</v>
      </c>
      <c r="J266" s="47">
        <f t="shared" si="53"/>
        <v>3499999.9999999995</v>
      </c>
    </row>
    <row r="267" spans="1:10" x14ac:dyDescent="0.25">
      <c r="A267" s="23" t="s">
        <v>13</v>
      </c>
      <c r="B267" s="24" t="s">
        <v>213</v>
      </c>
      <c r="C267" s="24" t="s">
        <v>212</v>
      </c>
      <c r="D267" s="24">
        <v>1</v>
      </c>
      <c r="E267" s="30">
        <v>728</v>
      </c>
      <c r="F267" s="30">
        <v>0</v>
      </c>
      <c r="G267" s="26">
        <f>+D267*4.8</f>
        <v>4.8</v>
      </c>
      <c r="H267" s="7">
        <f>+E267*1000000/7521</f>
        <v>96795.6388778088</v>
      </c>
      <c r="I267" s="7">
        <v>0</v>
      </c>
      <c r="J267" s="51">
        <f t="shared" si="52"/>
        <v>96795.6388778088</v>
      </c>
    </row>
    <row r="268" spans="1:10" x14ac:dyDescent="0.25">
      <c r="A268" s="4" t="s">
        <v>13</v>
      </c>
      <c r="B268" s="5" t="s">
        <v>226</v>
      </c>
      <c r="C268" s="5" t="s">
        <v>210</v>
      </c>
      <c r="D268" s="5">
        <v>1</v>
      </c>
      <c r="E268" s="11">
        <v>485</v>
      </c>
      <c r="F268" s="11">
        <v>0</v>
      </c>
      <c r="G268" s="27">
        <f>+D268*4.8</f>
        <v>4.8</v>
      </c>
      <c r="H268" s="13">
        <f>+E268*1000000/7521</f>
        <v>64486.105571067674</v>
      </c>
      <c r="I268" s="13">
        <v>0</v>
      </c>
      <c r="J268" s="51">
        <f t="shared" si="52"/>
        <v>64486.105571067674</v>
      </c>
    </row>
    <row r="269" spans="1:10" x14ac:dyDescent="0.25">
      <c r="A269" s="4" t="s">
        <v>13</v>
      </c>
      <c r="B269" s="5" t="s">
        <v>228</v>
      </c>
      <c r="C269" s="5" t="s">
        <v>229</v>
      </c>
      <c r="D269" s="5">
        <v>2</v>
      </c>
      <c r="E269" s="11">
        <v>1940</v>
      </c>
      <c r="F269" s="11">
        <v>0</v>
      </c>
      <c r="G269" s="27">
        <f>+D269*4.8</f>
        <v>9.6</v>
      </c>
      <c r="H269" s="13">
        <f>+E269*1000000/7521</f>
        <v>257944.42228427069</v>
      </c>
      <c r="I269" s="13">
        <v>0</v>
      </c>
      <c r="J269" s="51">
        <f t="shared" si="52"/>
        <v>257944.42228427069</v>
      </c>
    </row>
    <row r="270" spans="1:10" x14ac:dyDescent="0.25">
      <c r="A270" s="15" t="s">
        <v>13</v>
      </c>
      <c r="B270" s="16" t="s">
        <v>252</v>
      </c>
      <c r="C270" s="16" t="s">
        <v>212</v>
      </c>
      <c r="D270" s="16">
        <v>6</v>
      </c>
      <c r="E270" s="18">
        <v>4368</v>
      </c>
      <c r="F270" s="18">
        <v>0</v>
      </c>
      <c r="G270" s="54">
        <f>+D270*4.8</f>
        <v>28.799999999999997</v>
      </c>
      <c r="H270" s="19">
        <f>+E270*1000000/7521</f>
        <v>580773.83326685277</v>
      </c>
      <c r="I270" s="19">
        <v>0</v>
      </c>
      <c r="J270" s="51">
        <f t="shared" si="52"/>
        <v>580773.83326685277</v>
      </c>
    </row>
    <row r="271" spans="1:10" s="3" customFormat="1" x14ac:dyDescent="0.25">
      <c r="A271" s="4"/>
      <c r="B271" s="20" t="s">
        <v>440</v>
      </c>
      <c r="C271" s="21"/>
      <c r="D271" s="21"/>
      <c r="E271" s="29"/>
      <c r="F271" s="29"/>
      <c r="G271" s="48">
        <f>SUM(G267:G270)</f>
        <v>48</v>
      </c>
      <c r="H271" s="48">
        <f t="shared" ref="H271:J271" si="54">SUM(H267:H270)</f>
        <v>1000000</v>
      </c>
      <c r="I271" s="48">
        <f t="shared" si="54"/>
        <v>0</v>
      </c>
      <c r="J271" s="47">
        <f t="shared" si="54"/>
        <v>1000000</v>
      </c>
    </row>
    <row r="272" spans="1:10" x14ac:dyDescent="0.25">
      <c r="A272" s="23" t="s">
        <v>14</v>
      </c>
      <c r="B272" s="24" t="s">
        <v>214</v>
      </c>
      <c r="C272" s="24" t="s">
        <v>210</v>
      </c>
      <c r="D272" s="24">
        <v>64</v>
      </c>
      <c r="E272" s="30">
        <v>62080</v>
      </c>
      <c r="F272" s="30">
        <v>0</v>
      </c>
      <c r="G272" s="26">
        <f t="shared" ref="G272:G294" si="55">+D272*4.78877005347594</f>
        <v>306.48128342246014</v>
      </c>
      <c r="H272" s="7">
        <f t="shared" ref="H272:H294" si="56">+E272*16091525/1931885</f>
        <v>517091.78962515882</v>
      </c>
      <c r="I272" s="7">
        <f t="shared" ref="I272:I294" si="57">+F272*1908475/229124</f>
        <v>0</v>
      </c>
      <c r="J272" s="51">
        <f t="shared" si="52"/>
        <v>517091.78962515882</v>
      </c>
    </row>
    <row r="273" spans="1:10" x14ac:dyDescent="0.25">
      <c r="A273" s="4" t="s">
        <v>14</v>
      </c>
      <c r="B273" s="5" t="s">
        <v>216</v>
      </c>
      <c r="C273" s="5" t="s">
        <v>210</v>
      </c>
      <c r="D273" s="5">
        <v>10</v>
      </c>
      <c r="E273" s="11">
        <v>9700</v>
      </c>
      <c r="F273" s="11">
        <v>0</v>
      </c>
      <c r="G273" s="27">
        <f t="shared" si="55"/>
        <v>47.887700534759396</v>
      </c>
      <c r="H273" s="13">
        <f t="shared" si="56"/>
        <v>80795.592128931065</v>
      </c>
      <c r="I273" s="13">
        <f t="shared" si="57"/>
        <v>0</v>
      </c>
      <c r="J273" s="51">
        <f t="shared" si="52"/>
        <v>80795.592128931065</v>
      </c>
    </row>
    <row r="274" spans="1:10" x14ac:dyDescent="0.25">
      <c r="A274" s="4" t="s">
        <v>14</v>
      </c>
      <c r="B274" s="5" t="s">
        <v>217</v>
      </c>
      <c r="C274" s="5" t="s">
        <v>218</v>
      </c>
      <c r="D274" s="5">
        <v>9</v>
      </c>
      <c r="E274" s="11">
        <v>29817</v>
      </c>
      <c r="F274" s="11">
        <v>11925</v>
      </c>
      <c r="G274" s="27">
        <f t="shared" si="55"/>
        <v>43.09893048128346</v>
      </c>
      <c r="H274" s="13">
        <f t="shared" si="56"/>
        <v>248358.9866503441</v>
      </c>
      <c r="I274" s="13">
        <f t="shared" si="57"/>
        <v>99328.592268815133</v>
      </c>
      <c r="J274" s="51">
        <f t="shared" si="52"/>
        <v>347687.57891915925</v>
      </c>
    </row>
    <row r="275" spans="1:10" x14ac:dyDescent="0.25">
      <c r="A275" s="4" t="s">
        <v>14</v>
      </c>
      <c r="B275" s="5" t="s">
        <v>219</v>
      </c>
      <c r="C275" s="5" t="s">
        <v>220</v>
      </c>
      <c r="D275" s="5">
        <v>1</v>
      </c>
      <c r="E275" s="11">
        <v>3397</v>
      </c>
      <c r="F275" s="11">
        <v>1358</v>
      </c>
      <c r="G275" s="27">
        <f t="shared" si="55"/>
        <v>4.7887700534759396</v>
      </c>
      <c r="H275" s="13">
        <f t="shared" si="56"/>
        <v>28295.116130100912</v>
      </c>
      <c r="I275" s="13">
        <f t="shared" si="57"/>
        <v>11311.381828180374</v>
      </c>
      <c r="J275" s="51">
        <f t="shared" si="52"/>
        <v>39606.497958281288</v>
      </c>
    </row>
    <row r="276" spans="1:10" x14ac:dyDescent="0.25">
      <c r="A276" s="4" t="s">
        <v>14</v>
      </c>
      <c r="B276" s="5" t="s">
        <v>223</v>
      </c>
      <c r="C276" s="5" t="s">
        <v>224</v>
      </c>
      <c r="D276" s="5">
        <v>23</v>
      </c>
      <c r="E276" s="11">
        <v>0</v>
      </c>
      <c r="F276" s="11">
        <v>0</v>
      </c>
      <c r="G276" s="27">
        <f t="shared" si="55"/>
        <v>110.14171122994661</v>
      </c>
      <c r="H276" s="13">
        <f t="shared" si="56"/>
        <v>0</v>
      </c>
      <c r="I276" s="13">
        <f t="shared" si="57"/>
        <v>0</v>
      </c>
      <c r="J276" s="51">
        <f t="shared" si="52"/>
        <v>0</v>
      </c>
    </row>
    <row r="277" spans="1:10" x14ac:dyDescent="0.25">
      <c r="A277" s="4" t="s">
        <v>14</v>
      </c>
      <c r="B277" s="5" t="s">
        <v>266</v>
      </c>
      <c r="C277" s="5" t="s">
        <v>210</v>
      </c>
      <c r="D277" s="5">
        <v>1</v>
      </c>
      <c r="E277" s="11">
        <v>970</v>
      </c>
      <c r="F277" s="11">
        <v>0</v>
      </c>
      <c r="G277" s="27">
        <f t="shared" si="55"/>
        <v>4.7887700534759396</v>
      </c>
      <c r="H277" s="13">
        <f t="shared" si="56"/>
        <v>8079.5592128931066</v>
      </c>
      <c r="I277" s="13">
        <f t="shared" si="57"/>
        <v>0</v>
      </c>
      <c r="J277" s="51">
        <f t="shared" si="52"/>
        <v>8079.5592128931066</v>
      </c>
    </row>
    <row r="278" spans="1:10" x14ac:dyDescent="0.25">
      <c r="A278" s="4" t="s">
        <v>14</v>
      </c>
      <c r="B278" s="5" t="s">
        <v>225</v>
      </c>
      <c r="C278" s="5" t="s">
        <v>210</v>
      </c>
      <c r="D278" s="5">
        <v>1</v>
      </c>
      <c r="E278" s="11">
        <v>970</v>
      </c>
      <c r="F278" s="11">
        <v>0</v>
      </c>
      <c r="G278" s="27">
        <f t="shared" si="55"/>
        <v>4.7887700534759396</v>
      </c>
      <c r="H278" s="13">
        <f t="shared" si="56"/>
        <v>8079.5592128931066</v>
      </c>
      <c r="I278" s="13">
        <f t="shared" si="57"/>
        <v>0</v>
      </c>
      <c r="J278" s="51">
        <f t="shared" si="52"/>
        <v>8079.5592128931066</v>
      </c>
    </row>
    <row r="279" spans="1:10" x14ac:dyDescent="0.25">
      <c r="A279" s="4" t="s">
        <v>14</v>
      </c>
      <c r="B279" s="5" t="s">
        <v>226</v>
      </c>
      <c r="C279" s="5" t="s">
        <v>210</v>
      </c>
      <c r="D279" s="5">
        <v>2</v>
      </c>
      <c r="E279" s="11">
        <v>1940</v>
      </c>
      <c r="F279" s="11">
        <v>0</v>
      </c>
      <c r="G279" s="27">
        <f t="shared" si="55"/>
        <v>9.5775401069518793</v>
      </c>
      <c r="H279" s="13">
        <f t="shared" si="56"/>
        <v>16159.118425786213</v>
      </c>
      <c r="I279" s="13">
        <f t="shared" si="57"/>
        <v>0</v>
      </c>
      <c r="J279" s="51">
        <f t="shared" si="52"/>
        <v>16159.118425786213</v>
      </c>
    </row>
    <row r="280" spans="1:10" x14ac:dyDescent="0.25">
      <c r="A280" s="4" t="s">
        <v>14</v>
      </c>
      <c r="B280" s="5" t="s">
        <v>228</v>
      </c>
      <c r="C280" s="5" t="s">
        <v>229</v>
      </c>
      <c r="D280" s="5">
        <v>145</v>
      </c>
      <c r="E280" s="11">
        <v>281445</v>
      </c>
      <c r="F280" s="11">
        <v>0</v>
      </c>
      <c r="G280" s="27">
        <f t="shared" si="55"/>
        <v>694.37165775401127</v>
      </c>
      <c r="H280" s="13">
        <f t="shared" si="56"/>
        <v>2344279.9408996911</v>
      </c>
      <c r="I280" s="13">
        <f t="shared" si="57"/>
        <v>0</v>
      </c>
      <c r="J280" s="51">
        <f t="shared" si="52"/>
        <v>2344279.9408996911</v>
      </c>
    </row>
    <row r="281" spans="1:10" x14ac:dyDescent="0.25">
      <c r="A281" s="4" t="s">
        <v>14</v>
      </c>
      <c r="B281" s="5" t="s">
        <v>230</v>
      </c>
      <c r="C281" s="5" t="s">
        <v>229</v>
      </c>
      <c r="D281" s="5">
        <v>4</v>
      </c>
      <c r="E281" s="11">
        <v>7764</v>
      </c>
      <c r="F281" s="11">
        <v>0</v>
      </c>
      <c r="G281" s="27">
        <f t="shared" si="55"/>
        <v>19.155080213903759</v>
      </c>
      <c r="H281" s="13">
        <f t="shared" si="56"/>
        <v>64669.791473094934</v>
      </c>
      <c r="I281" s="13">
        <f t="shared" si="57"/>
        <v>0</v>
      </c>
      <c r="J281" s="51">
        <f t="shared" si="52"/>
        <v>64669.791473094934</v>
      </c>
    </row>
    <row r="282" spans="1:10" x14ac:dyDescent="0.25">
      <c r="A282" s="4" t="s">
        <v>14</v>
      </c>
      <c r="B282" s="5" t="s">
        <v>262</v>
      </c>
      <c r="C282" s="5" t="s">
        <v>263</v>
      </c>
      <c r="D282" s="5">
        <v>5</v>
      </c>
      <c r="E282" s="11">
        <v>758330</v>
      </c>
      <c r="F282" s="11">
        <v>0</v>
      </c>
      <c r="G282" s="27">
        <f t="shared" si="55"/>
        <v>23.943850267379698</v>
      </c>
      <c r="H282" s="13">
        <f t="shared" si="56"/>
        <v>6316466.1215600306</v>
      </c>
      <c r="I282" s="13">
        <f t="shared" si="57"/>
        <v>0</v>
      </c>
      <c r="J282" s="51">
        <f t="shared" si="52"/>
        <v>6316466.1215600306</v>
      </c>
    </row>
    <row r="283" spans="1:10" x14ac:dyDescent="0.25">
      <c r="A283" s="4" t="s">
        <v>14</v>
      </c>
      <c r="B283" s="5" t="s">
        <v>233</v>
      </c>
      <c r="C283" s="5" t="s">
        <v>234</v>
      </c>
      <c r="D283" s="5">
        <v>2</v>
      </c>
      <c r="E283" s="11">
        <v>194132</v>
      </c>
      <c r="F283" s="11">
        <v>0</v>
      </c>
      <c r="G283" s="27">
        <f t="shared" si="55"/>
        <v>9.5775401069518793</v>
      </c>
      <c r="H283" s="13">
        <f t="shared" si="56"/>
        <v>1617011.328986974</v>
      </c>
      <c r="I283" s="13">
        <f t="shared" si="57"/>
        <v>0</v>
      </c>
      <c r="J283" s="51">
        <f t="shared" si="52"/>
        <v>1617011.328986974</v>
      </c>
    </row>
    <row r="284" spans="1:10" x14ac:dyDescent="0.25">
      <c r="A284" s="4" t="s">
        <v>14</v>
      </c>
      <c r="B284" s="5" t="s">
        <v>235</v>
      </c>
      <c r="C284" s="5" t="s">
        <v>236</v>
      </c>
      <c r="D284" s="5">
        <v>6</v>
      </c>
      <c r="E284" s="11">
        <v>40950</v>
      </c>
      <c r="F284" s="11">
        <v>16380</v>
      </c>
      <c r="G284" s="27">
        <f t="shared" si="55"/>
        <v>28.732620320855638</v>
      </c>
      <c r="H284" s="13">
        <f t="shared" si="56"/>
        <v>341090.6698638894</v>
      </c>
      <c r="I284" s="13">
        <f t="shared" si="57"/>
        <v>136436.25504093853</v>
      </c>
      <c r="J284" s="51">
        <f t="shared" si="52"/>
        <v>477526.92490482796</v>
      </c>
    </row>
    <row r="285" spans="1:10" x14ac:dyDescent="0.25">
      <c r="A285" s="4" t="s">
        <v>14</v>
      </c>
      <c r="B285" s="5" t="s">
        <v>237</v>
      </c>
      <c r="C285" s="5" t="s">
        <v>238</v>
      </c>
      <c r="D285" s="5">
        <v>2</v>
      </c>
      <c r="E285" s="11">
        <v>10252</v>
      </c>
      <c r="F285" s="11">
        <v>4100</v>
      </c>
      <c r="G285" s="27">
        <f t="shared" si="55"/>
        <v>9.5775401069518793</v>
      </c>
      <c r="H285" s="13">
        <f t="shared" si="56"/>
        <v>85393.444382041373</v>
      </c>
      <c r="I285" s="13">
        <f t="shared" si="57"/>
        <v>34150.710968733089</v>
      </c>
      <c r="J285" s="51">
        <f t="shared" si="52"/>
        <v>119544.15535077447</v>
      </c>
    </row>
    <row r="286" spans="1:10" x14ac:dyDescent="0.25">
      <c r="A286" s="4" t="s">
        <v>14</v>
      </c>
      <c r="B286" s="5" t="s">
        <v>240</v>
      </c>
      <c r="C286" s="5" t="s">
        <v>238</v>
      </c>
      <c r="D286" s="5">
        <v>8</v>
      </c>
      <c r="E286" s="11">
        <v>41008</v>
      </c>
      <c r="F286" s="11">
        <v>16400</v>
      </c>
      <c r="G286" s="27">
        <f t="shared" si="55"/>
        <v>38.310160427807517</v>
      </c>
      <c r="H286" s="13">
        <f t="shared" si="56"/>
        <v>341573.77752816549</v>
      </c>
      <c r="I286" s="13">
        <f t="shared" si="57"/>
        <v>136602.84387493235</v>
      </c>
      <c r="J286" s="51">
        <f t="shared" si="52"/>
        <v>478176.62140309787</v>
      </c>
    </row>
    <row r="287" spans="1:10" x14ac:dyDescent="0.25">
      <c r="A287" s="4" t="s">
        <v>14</v>
      </c>
      <c r="B287" s="5" t="s">
        <v>241</v>
      </c>
      <c r="C287" s="5" t="s">
        <v>236</v>
      </c>
      <c r="D287" s="5">
        <v>28</v>
      </c>
      <c r="E287" s="11">
        <v>191100</v>
      </c>
      <c r="F287" s="11">
        <v>76440</v>
      </c>
      <c r="G287" s="57">
        <f t="shared" si="55"/>
        <v>134.0855614973263</v>
      </c>
      <c r="H287" s="13">
        <f t="shared" si="56"/>
        <v>1591756.4593648172</v>
      </c>
      <c r="I287" s="13">
        <f t="shared" si="57"/>
        <v>636702.52352437982</v>
      </c>
      <c r="J287" s="51">
        <f t="shared" si="52"/>
        <v>2228458.9828891968</v>
      </c>
    </row>
    <row r="288" spans="1:10" x14ac:dyDescent="0.25">
      <c r="A288" s="4" t="s">
        <v>14</v>
      </c>
      <c r="B288" s="5" t="s">
        <v>242</v>
      </c>
      <c r="C288" s="5" t="s">
        <v>238</v>
      </c>
      <c r="D288" s="5">
        <v>1</v>
      </c>
      <c r="E288" s="11">
        <v>5126</v>
      </c>
      <c r="F288" s="11">
        <v>2050</v>
      </c>
      <c r="G288" s="27">
        <f t="shared" si="55"/>
        <v>4.7887700534759396</v>
      </c>
      <c r="H288" s="13">
        <f t="shared" si="56"/>
        <v>42696.722191020686</v>
      </c>
      <c r="I288" s="13">
        <f t="shared" si="57"/>
        <v>17075.355484366544</v>
      </c>
      <c r="J288" s="51">
        <f t="shared" si="52"/>
        <v>59772.077675387234</v>
      </c>
    </row>
    <row r="289" spans="1:10" x14ac:dyDescent="0.25">
      <c r="A289" s="4" t="s">
        <v>14</v>
      </c>
      <c r="B289" s="5" t="s">
        <v>243</v>
      </c>
      <c r="C289" s="5" t="s">
        <v>244</v>
      </c>
      <c r="D289" s="5">
        <v>1</v>
      </c>
      <c r="E289" s="11">
        <v>3412</v>
      </c>
      <c r="F289" s="11">
        <v>1365</v>
      </c>
      <c r="G289" s="27">
        <f t="shared" si="55"/>
        <v>4.7887700534759396</v>
      </c>
      <c r="H289" s="13">
        <f t="shared" si="56"/>
        <v>28420.057767413691</v>
      </c>
      <c r="I289" s="13">
        <f t="shared" si="57"/>
        <v>11369.687920078211</v>
      </c>
      <c r="J289" s="51">
        <f t="shared" si="52"/>
        <v>39789.745687491901</v>
      </c>
    </row>
    <row r="290" spans="1:10" x14ac:dyDescent="0.25">
      <c r="A290" s="4" t="s">
        <v>14</v>
      </c>
      <c r="B290" s="5" t="s">
        <v>245</v>
      </c>
      <c r="C290" s="5" t="s">
        <v>246</v>
      </c>
      <c r="D290" s="5">
        <v>2</v>
      </c>
      <c r="E290" s="11">
        <v>5126</v>
      </c>
      <c r="F290" s="11">
        <v>2050</v>
      </c>
      <c r="G290" s="27">
        <f t="shared" si="55"/>
        <v>9.5775401069518793</v>
      </c>
      <c r="H290" s="13">
        <f t="shared" si="56"/>
        <v>42696.722191020686</v>
      </c>
      <c r="I290" s="13">
        <f t="shared" si="57"/>
        <v>17075.355484366544</v>
      </c>
      <c r="J290" s="51">
        <f t="shared" si="52"/>
        <v>59772.077675387234</v>
      </c>
    </row>
    <row r="291" spans="1:10" x14ac:dyDescent="0.25">
      <c r="A291" s="4" t="s">
        <v>14</v>
      </c>
      <c r="B291" s="5" t="s">
        <v>249</v>
      </c>
      <c r="C291" s="5" t="s">
        <v>250</v>
      </c>
      <c r="D291" s="5">
        <v>16</v>
      </c>
      <c r="E291" s="11">
        <v>242656</v>
      </c>
      <c r="F291" s="11">
        <v>97056</v>
      </c>
      <c r="G291" s="27">
        <f t="shared" si="55"/>
        <v>76.620320855615034</v>
      </c>
      <c r="H291" s="13">
        <f t="shared" si="56"/>
        <v>2021189.1962513297</v>
      </c>
      <c r="I291" s="13">
        <f t="shared" si="57"/>
        <v>808422.29360520944</v>
      </c>
      <c r="J291" s="51">
        <f t="shared" si="52"/>
        <v>2829611.4898565393</v>
      </c>
    </row>
    <row r="292" spans="1:10" x14ac:dyDescent="0.25">
      <c r="A292" s="4" t="s">
        <v>14</v>
      </c>
      <c r="B292" s="5" t="s">
        <v>253</v>
      </c>
      <c r="C292" s="5" t="s">
        <v>210</v>
      </c>
      <c r="D292" s="5">
        <v>33</v>
      </c>
      <c r="E292" s="11">
        <v>32010</v>
      </c>
      <c r="F292" s="11">
        <v>0</v>
      </c>
      <c r="G292" s="27">
        <f t="shared" si="55"/>
        <v>158.029411764706</v>
      </c>
      <c r="H292" s="13">
        <f t="shared" si="56"/>
        <v>266625.45402547251</v>
      </c>
      <c r="I292" s="13">
        <f t="shared" si="57"/>
        <v>0</v>
      </c>
      <c r="J292" s="51">
        <f t="shared" si="52"/>
        <v>266625.45402547251</v>
      </c>
    </row>
    <row r="293" spans="1:10" x14ac:dyDescent="0.25">
      <c r="A293" s="4" t="s">
        <v>14</v>
      </c>
      <c r="B293" s="5" t="s">
        <v>255</v>
      </c>
      <c r="C293" s="5" t="s">
        <v>210</v>
      </c>
      <c r="D293" s="5">
        <v>4</v>
      </c>
      <c r="E293" s="11">
        <v>3880</v>
      </c>
      <c r="F293" s="11">
        <v>0</v>
      </c>
      <c r="G293" s="27">
        <f t="shared" si="55"/>
        <v>19.155080213903759</v>
      </c>
      <c r="H293" s="13">
        <f t="shared" si="56"/>
        <v>32318.236851572427</v>
      </c>
      <c r="I293" s="13">
        <f t="shared" si="57"/>
        <v>0</v>
      </c>
      <c r="J293" s="51">
        <f t="shared" si="52"/>
        <v>32318.236851572427</v>
      </c>
    </row>
    <row r="294" spans="1:10" x14ac:dyDescent="0.25">
      <c r="A294" s="15" t="s">
        <v>14</v>
      </c>
      <c r="B294" s="16" t="s">
        <v>257</v>
      </c>
      <c r="C294" s="16" t="s">
        <v>210</v>
      </c>
      <c r="D294" s="16">
        <v>6</v>
      </c>
      <c r="E294" s="18">
        <v>5820</v>
      </c>
      <c r="F294" s="18">
        <v>0</v>
      </c>
      <c r="G294" s="54">
        <f t="shared" si="55"/>
        <v>28.732620320855638</v>
      </c>
      <c r="H294" s="19">
        <f t="shared" si="56"/>
        <v>48477.355277358642</v>
      </c>
      <c r="I294" s="19">
        <f t="shared" si="57"/>
        <v>0</v>
      </c>
      <c r="J294" s="51">
        <f t="shared" si="52"/>
        <v>48477.355277358642</v>
      </c>
    </row>
    <row r="295" spans="1:10" s="3" customFormat="1" x14ac:dyDescent="0.25">
      <c r="A295" s="4"/>
      <c r="B295" s="20" t="s">
        <v>441</v>
      </c>
      <c r="C295" s="21"/>
      <c r="D295" s="21"/>
      <c r="E295" s="29"/>
      <c r="F295" s="29"/>
      <c r="G295" s="48">
        <f>SUM(G272:G294)</f>
        <v>1791.0000000000014</v>
      </c>
      <c r="H295" s="48">
        <f t="shared" ref="H295:J295" si="58">SUM(H272:H294)</f>
        <v>16091525</v>
      </c>
      <c r="I295" s="48">
        <f t="shared" si="58"/>
        <v>1908475</v>
      </c>
      <c r="J295" s="47">
        <f t="shared" si="58"/>
        <v>18000000.000000004</v>
      </c>
    </row>
    <row r="296" spans="1:10" x14ac:dyDescent="0.25">
      <c r="A296" s="23" t="s">
        <v>15</v>
      </c>
      <c r="B296" s="24" t="s">
        <v>214</v>
      </c>
      <c r="C296" s="24" t="s">
        <v>210</v>
      </c>
      <c r="D296" s="24">
        <v>1</v>
      </c>
      <c r="E296" s="30">
        <v>485</v>
      </c>
      <c r="F296" s="30">
        <v>0</v>
      </c>
      <c r="G296" s="26">
        <f t="shared" ref="G296:G306" si="59">+D296*4.79166666666667</f>
        <v>4.7916666666666696</v>
      </c>
      <c r="H296" s="7">
        <f t="shared" ref="H296:H306" si="60">+E296*2998876/107502</f>
        <v>13529.560938401146</v>
      </c>
      <c r="I296" s="7">
        <f t="shared" ref="I296:I306" si="61">+F296*501124/17964</f>
        <v>0</v>
      </c>
      <c r="J296" s="51">
        <f t="shared" si="52"/>
        <v>13529.560938401146</v>
      </c>
    </row>
    <row r="297" spans="1:10" x14ac:dyDescent="0.25">
      <c r="A297" s="4" t="s">
        <v>15</v>
      </c>
      <c r="B297" s="5" t="s">
        <v>216</v>
      </c>
      <c r="C297" s="5" t="s">
        <v>210</v>
      </c>
      <c r="D297" s="5">
        <v>6</v>
      </c>
      <c r="E297" s="11">
        <v>2910</v>
      </c>
      <c r="F297" s="11">
        <v>0</v>
      </c>
      <c r="G297" s="27">
        <f t="shared" si="59"/>
        <v>28.750000000000018</v>
      </c>
      <c r="H297" s="13">
        <f t="shared" si="60"/>
        <v>81177.365630406872</v>
      </c>
      <c r="I297" s="13">
        <f t="shared" si="61"/>
        <v>0</v>
      </c>
      <c r="J297" s="51">
        <f t="shared" si="52"/>
        <v>81177.365630406872</v>
      </c>
    </row>
    <row r="298" spans="1:10" x14ac:dyDescent="0.25">
      <c r="A298" s="4" t="s">
        <v>15</v>
      </c>
      <c r="B298" s="5" t="s">
        <v>217</v>
      </c>
      <c r="C298" s="5" t="s">
        <v>218</v>
      </c>
      <c r="D298" s="5">
        <v>1</v>
      </c>
      <c r="E298" s="11">
        <v>1656</v>
      </c>
      <c r="F298" s="11">
        <v>1325</v>
      </c>
      <c r="G298" s="27">
        <f t="shared" si="59"/>
        <v>4.7916666666666696</v>
      </c>
      <c r="H298" s="13">
        <f t="shared" si="60"/>
        <v>46195.779204107828</v>
      </c>
      <c r="I298" s="13">
        <f t="shared" si="61"/>
        <v>36962.218882208865</v>
      </c>
      <c r="J298" s="51">
        <f t="shared" si="52"/>
        <v>83157.998086316686</v>
      </c>
    </row>
    <row r="299" spans="1:10" x14ac:dyDescent="0.25">
      <c r="A299" s="4" t="s">
        <v>15</v>
      </c>
      <c r="B299" s="5" t="s">
        <v>219</v>
      </c>
      <c r="C299" s="5" t="s">
        <v>220</v>
      </c>
      <c r="D299" s="5">
        <v>1</v>
      </c>
      <c r="E299" s="11">
        <v>1698</v>
      </c>
      <c r="F299" s="11">
        <v>1358</v>
      </c>
      <c r="G299" s="27">
        <f t="shared" si="59"/>
        <v>4.7916666666666696</v>
      </c>
      <c r="H299" s="13">
        <f t="shared" si="60"/>
        <v>47367.411285371432</v>
      </c>
      <c r="I299" s="13">
        <f t="shared" si="61"/>
        <v>37882.787352482745</v>
      </c>
      <c r="J299" s="51">
        <f t="shared" si="52"/>
        <v>85250.198637854177</v>
      </c>
    </row>
    <row r="300" spans="1:10" x14ac:dyDescent="0.25">
      <c r="A300" s="4" t="s">
        <v>15</v>
      </c>
      <c r="B300" s="5" t="s">
        <v>226</v>
      </c>
      <c r="C300" s="5" t="s">
        <v>210</v>
      </c>
      <c r="D300" s="5">
        <v>1</v>
      </c>
      <c r="E300" s="11">
        <v>485</v>
      </c>
      <c r="F300" s="11">
        <v>0</v>
      </c>
      <c r="G300" s="27">
        <f t="shared" si="59"/>
        <v>4.7916666666666696</v>
      </c>
      <c r="H300" s="13">
        <f t="shared" si="60"/>
        <v>13529.560938401146</v>
      </c>
      <c r="I300" s="13">
        <f t="shared" si="61"/>
        <v>0</v>
      </c>
      <c r="J300" s="51">
        <f t="shared" si="52"/>
        <v>13529.560938401146</v>
      </c>
    </row>
    <row r="301" spans="1:10" x14ac:dyDescent="0.25">
      <c r="A301" s="4" t="s">
        <v>15</v>
      </c>
      <c r="B301" s="5" t="s">
        <v>228</v>
      </c>
      <c r="C301" s="5" t="s">
        <v>229</v>
      </c>
      <c r="D301" s="5">
        <v>3</v>
      </c>
      <c r="E301" s="11">
        <v>2910</v>
      </c>
      <c r="F301" s="11">
        <v>0</v>
      </c>
      <c r="G301" s="27">
        <f t="shared" si="59"/>
        <v>14.375000000000009</v>
      </c>
      <c r="H301" s="13">
        <f t="shared" si="60"/>
        <v>81177.365630406872</v>
      </c>
      <c r="I301" s="13">
        <f t="shared" si="61"/>
        <v>0</v>
      </c>
      <c r="J301" s="51">
        <f t="shared" si="52"/>
        <v>81177.365630406872</v>
      </c>
    </row>
    <row r="302" spans="1:10" x14ac:dyDescent="0.25">
      <c r="A302" s="4" t="s">
        <v>15</v>
      </c>
      <c r="B302" s="5" t="s">
        <v>262</v>
      </c>
      <c r="C302" s="5" t="s">
        <v>263</v>
      </c>
      <c r="D302" s="5">
        <v>1</v>
      </c>
      <c r="E302" s="11">
        <v>75833</v>
      </c>
      <c r="F302" s="11">
        <v>0</v>
      </c>
      <c r="G302" s="27">
        <f t="shared" si="59"/>
        <v>4.7916666666666696</v>
      </c>
      <c r="H302" s="13">
        <f t="shared" si="60"/>
        <v>2115437.5147253075</v>
      </c>
      <c r="I302" s="13">
        <f t="shared" si="61"/>
        <v>0</v>
      </c>
      <c r="J302" s="51">
        <f t="shared" si="52"/>
        <v>2115437.5147253075</v>
      </c>
    </row>
    <row r="303" spans="1:10" x14ac:dyDescent="0.25">
      <c r="A303" s="4" t="s">
        <v>15</v>
      </c>
      <c r="B303" s="5" t="s">
        <v>241</v>
      </c>
      <c r="C303" s="5" t="s">
        <v>236</v>
      </c>
      <c r="D303" s="5">
        <v>3</v>
      </c>
      <c r="E303" s="11">
        <v>10236</v>
      </c>
      <c r="F303" s="11">
        <v>8190</v>
      </c>
      <c r="G303" s="27">
        <f t="shared" si="59"/>
        <v>14.375000000000009</v>
      </c>
      <c r="H303" s="13">
        <f t="shared" si="60"/>
        <v>285543.47580510128</v>
      </c>
      <c r="I303" s="13">
        <f t="shared" si="61"/>
        <v>228468.35671342685</v>
      </c>
      <c r="J303" s="51">
        <f t="shared" si="52"/>
        <v>514011.8325185281</v>
      </c>
    </row>
    <row r="304" spans="1:10" x14ac:dyDescent="0.25">
      <c r="A304" s="4" t="s">
        <v>15</v>
      </c>
      <c r="B304" s="5" t="s">
        <v>245</v>
      </c>
      <c r="C304" s="5" t="s">
        <v>246</v>
      </c>
      <c r="D304" s="5">
        <v>1</v>
      </c>
      <c r="E304" s="11">
        <v>1281</v>
      </c>
      <c r="F304" s="11">
        <v>1025</v>
      </c>
      <c r="G304" s="27">
        <f t="shared" si="59"/>
        <v>4.7916666666666696</v>
      </c>
      <c r="H304" s="13">
        <f t="shared" si="60"/>
        <v>35734.778478539934</v>
      </c>
      <c r="I304" s="13">
        <f t="shared" si="61"/>
        <v>28593.414606991762</v>
      </c>
      <c r="J304" s="51">
        <f t="shared" si="52"/>
        <v>64328.193085531697</v>
      </c>
    </row>
    <row r="305" spans="1:10" x14ac:dyDescent="0.25">
      <c r="A305" s="4" t="s">
        <v>15</v>
      </c>
      <c r="B305" s="5" t="s">
        <v>249</v>
      </c>
      <c r="C305" s="5" t="s">
        <v>250</v>
      </c>
      <c r="D305" s="5">
        <v>1</v>
      </c>
      <c r="E305" s="11">
        <v>7583</v>
      </c>
      <c r="F305" s="11">
        <v>6066</v>
      </c>
      <c r="G305" s="27">
        <f t="shared" si="59"/>
        <v>4.7916666666666696</v>
      </c>
      <c r="H305" s="13">
        <f t="shared" si="60"/>
        <v>211535.3826719503</v>
      </c>
      <c r="I305" s="13">
        <f t="shared" si="61"/>
        <v>169217.22244488978</v>
      </c>
      <c r="J305" s="51">
        <f t="shared" si="52"/>
        <v>380752.6051168401</v>
      </c>
    </row>
    <row r="306" spans="1:10" x14ac:dyDescent="0.25">
      <c r="A306" s="15" t="s">
        <v>15</v>
      </c>
      <c r="B306" s="16" t="s">
        <v>253</v>
      </c>
      <c r="C306" s="16" t="s">
        <v>210</v>
      </c>
      <c r="D306" s="16">
        <v>5</v>
      </c>
      <c r="E306" s="18">
        <v>2425</v>
      </c>
      <c r="F306" s="18">
        <v>0</v>
      </c>
      <c r="G306" s="54">
        <f t="shared" si="59"/>
        <v>23.95833333333335</v>
      </c>
      <c r="H306" s="19">
        <f t="shared" si="60"/>
        <v>67647.804692005724</v>
      </c>
      <c r="I306" s="19">
        <f t="shared" si="61"/>
        <v>0</v>
      </c>
      <c r="J306" s="51">
        <f t="shared" si="52"/>
        <v>67647.804692005724</v>
      </c>
    </row>
    <row r="307" spans="1:10" s="3" customFormat="1" x14ac:dyDescent="0.25">
      <c r="A307" s="4"/>
      <c r="B307" s="20" t="s">
        <v>442</v>
      </c>
      <c r="C307" s="21"/>
      <c r="D307" s="21"/>
      <c r="E307" s="29"/>
      <c r="F307" s="29"/>
      <c r="G307" s="48">
        <f>SUM(G296:G306)</f>
        <v>115.00000000000009</v>
      </c>
      <c r="H307" s="48">
        <f t="shared" ref="H307:J307" si="62">SUM(H296:H306)</f>
        <v>2998876.0000000005</v>
      </c>
      <c r="I307" s="48">
        <f t="shared" si="62"/>
        <v>501124</v>
      </c>
      <c r="J307" s="47">
        <f t="shared" si="62"/>
        <v>3500000</v>
      </c>
    </row>
    <row r="308" spans="1:10" x14ac:dyDescent="0.25">
      <c r="A308" s="23" t="s">
        <v>16</v>
      </c>
      <c r="B308" s="24" t="s">
        <v>217</v>
      </c>
      <c r="C308" s="24" t="s">
        <v>218</v>
      </c>
      <c r="D308" s="24">
        <v>3</v>
      </c>
      <c r="E308" s="30">
        <v>4968</v>
      </c>
      <c r="F308" s="30">
        <v>3975</v>
      </c>
      <c r="G308" s="26">
        <f>+D308*4.77777777777778</f>
        <v>14.333333333333341</v>
      </c>
      <c r="H308" s="7">
        <f>+E308*1515637/123813</f>
        <v>60814.975939521697</v>
      </c>
      <c r="I308" s="7">
        <f>+F308*984363/80413</f>
        <v>48659.332757141259</v>
      </c>
      <c r="J308" s="51">
        <f t="shared" si="52"/>
        <v>109474.30869666295</v>
      </c>
    </row>
    <row r="309" spans="1:10" x14ac:dyDescent="0.25">
      <c r="A309" s="4" t="s">
        <v>16</v>
      </c>
      <c r="B309" s="5" t="s">
        <v>221</v>
      </c>
      <c r="C309" s="5" t="s">
        <v>222</v>
      </c>
      <c r="D309" s="5">
        <v>2</v>
      </c>
      <c r="E309" s="11">
        <v>72800</v>
      </c>
      <c r="F309" s="11">
        <v>58240</v>
      </c>
      <c r="G309" s="27">
        <f>+D309*4.77777777777778</f>
        <v>9.5555555555555607</v>
      </c>
      <c r="H309" s="13">
        <f>+E309*1515637/123813</f>
        <v>891169.5347015257</v>
      </c>
      <c r="I309" s="13">
        <f>+F309*984363/80413</f>
        <v>712935.73327695776</v>
      </c>
      <c r="J309" s="51">
        <f t="shared" si="52"/>
        <v>1604105.2679784833</v>
      </c>
    </row>
    <row r="310" spans="1:10" x14ac:dyDescent="0.25">
      <c r="A310" s="4" t="s">
        <v>16</v>
      </c>
      <c r="B310" s="5" t="s">
        <v>260</v>
      </c>
      <c r="C310" s="5" t="s">
        <v>208</v>
      </c>
      <c r="D310" s="5">
        <v>1</v>
      </c>
      <c r="E310" s="11">
        <v>23296</v>
      </c>
      <c r="F310" s="11">
        <v>0</v>
      </c>
      <c r="G310" s="27">
        <f>+D310*4.77777777777778</f>
        <v>4.7777777777777803</v>
      </c>
      <c r="H310" s="13">
        <f>+E310*1515637/123813</f>
        <v>285174.25110448821</v>
      </c>
      <c r="I310" s="13">
        <f>+F310*984363/80413</f>
        <v>0</v>
      </c>
      <c r="J310" s="51">
        <f t="shared" si="52"/>
        <v>285174.25110448821</v>
      </c>
    </row>
    <row r="311" spans="1:10" x14ac:dyDescent="0.25">
      <c r="A311" s="15" t="s">
        <v>16</v>
      </c>
      <c r="B311" s="16" t="s">
        <v>249</v>
      </c>
      <c r="C311" s="16" t="s">
        <v>250</v>
      </c>
      <c r="D311" s="16">
        <v>3</v>
      </c>
      <c r="E311" s="18">
        <v>22749</v>
      </c>
      <c r="F311" s="18">
        <v>18198</v>
      </c>
      <c r="G311" s="54">
        <f>+D311*4.77777777777778</f>
        <v>14.333333333333341</v>
      </c>
      <c r="H311" s="19">
        <f>+E311*1515637/123813</f>
        <v>278478.23825446441</v>
      </c>
      <c r="I311" s="19">
        <f>+F311*984363/80413</f>
        <v>222767.93396590103</v>
      </c>
      <c r="J311" s="51">
        <f t="shared" si="52"/>
        <v>501246.17222036544</v>
      </c>
    </row>
    <row r="312" spans="1:10" s="3" customFormat="1" x14ac:dyDescent="0.25">
      <c r="A312" s="4"/>
      <c r="B312" s="20" t="s">
        <v>443</v>
      </c>
      <c r="C312" s="21"/>
      <c r="D312" s="21"/>
      <c r="E312" s="29"/>
      <c r="F312" s="29"/>
      <c r="G312" s="48">
        <f>SUM(G308:G311)</f>
        <v>43.000000000000021</v>
      </c>
      <c r="H312" s="48">
        <f t="shared" ref="H312:J312" si="63">SUM(H308:H311)</f>
        <v>1515637</v>
      </c>
      <c r="I312" s="48">
        <f t="shared" si="63"/>
        <v>984363</v>
      </c>
      <c r="J312" s="47">
        <f t="shared" si="63"/>
        <v>2500000</v>
      </c>
    </row>
    <row r="313" spans="1:10" x14ac:dyDescent="0.25">
      <c r="A313" s="23" t="s">
        <v>17</v>
      </c>
      <c r="B313" s="24" t="s">
        <v>217</v>
      </c>
      <c r="C313" s="24" t="s">
        <v>218</v>
      </c>
      <c r="D313" s="24">
        <v>1</v>
      </c>
      <c r="E313" s="30">
        <v>1656</v>
      </c>
      <c r="F313" s="30">
        <v>1325</v>
      </c>
      <c r="G313" s="26">
        <f>+D313*4.8</f>
        <v>4.8</v>
      </c>
      <c r="H313" s="7">
        <f>+E313*2223643/59470</f>
        <v>61919.502404573737</v>
      </c>
      <c r="I313" s="7">
        <f>+F313*276357/7391</f>
        <v>49543.096333378431</v>
      </c>
      <c r="J313" s="51">
        <f t="shared" si="52"/>
        <v>111462.59873795217</v>
      </c>
    </row>
    <row r="314" spans="1:10" x14ac:dyDescent="0.25">
      <c r="A314" s="4" t="s">
        <v>17</v>
      </c>
      <c r="B314" s="5" t="s">
        <v>230</v>
      </c>
      <c r="C314" s="5" t="s">
        <v>229</v>
      </c>
      <c r="D314" s="5">
        <v>1</v>
      </c>
      <c r="E314" s="11">
        <v>970</v>
      </c>
      <c r="F314" s="11">
        <v>0</v>
      </c>
      <c r="G314" s="27">
        <f>+D314*4.8</f>
        <v>4.8</v>
      </c>
      <c r="H314" s="13">
        <f>+E314*2223643/59470</f>
        <v>36269.27375147133</v>
      </c>
      <c r="I314" s="13">
        <f>+F314*276357/7391</f>
        <v>0</v>
      </c>
      <c r="J314" s="51">
        <f t="shared" si="52"/>
        <v>36269.27375147133</v>
      </c>
    </row>
    <row r="315" spans="1:10" x14ac:dyDescent="0.25">
      <c r="A315" s="4" t="s">
        <v>17</v>
      </c>
      <c r="B315" s="5" t="s">
        <v>233</v>
      </c>
      <c r="C315" s="5" t="s">
        <v>234</v>
      </c>
      <c r="D315" s="5">
        <v>1</v>
      </c>
      <c r="E315" s="11">
        <v>48533</v>
      </c>
      <c r="F315" s="11">
        <v>0</v>
      </c>
      <c r="G315" s="27">
        <f>+D315*4.8</f>
        <v>4.8</v>
      </c>
      <c r="H315" s="13">
        <f>+E315*2223643/59470</f>
        <v>1814697.5907011938</v>
      </c>
      <c r="I315" s="13">
        <f>+F315*276357/7391</f>
        <v>0</v>
      </c>
      <c r="J315" s="51">
        <f t="shared" si="52"/>
        <v>1814697.5907011938</v>
      </c>
    </row>
    <row r="316" spans="1:10" x14ac:dyDescent="0.25">
      <c r="A316" s="4" t="s">
        <v>17</v>
      </c>
      <c r="B316" s="5" t="s">
        <v>249</v>
      </c>
      <c r="C316" s="5" t="s">
        <v>250</v>
      </c>
      <c r="D316" s="5">
        <v>1</v>
      </c>
      <c r="E316" s="11">
        <v>7583</v>
      </c>
      <c r="F316" s="11">
        <v>6066</v>
      </c>
      <c r="G316" s="27">
        <f>+D316*4.8</f>
        <v>4.8</v>
      </c>
      <c r="H316" s="13">
        <f>+E316*2223643/59470</f>
        <v>283535.98232722381</v>
      </c>
      <c r="I316" s="13">
        <f>+F316*276357/7391</f>
        <v>226813.90366662157</v>
      </c>
      <c r="J316" s="51">
        <f t="shared" si="52"/>
        <v>510349.88599384541</v>
      </c>
    </row>
    <row r="317" spans="1:10" x14ac:dyDescent="0.25">
      <c r="A317" s="15" t="s">
        <v>17</v>
      </c>
      <c r="B317" s="16" t="s">
        <v>256</v>
      </c>
      <c r="C317" s="16" t="s">
        <v>212</v>
      </c>
      <c r="D317" s="16">
        <v>1</v>
      </c>
      <c r="E317" s="18">
        <v>728</v>
      </c>
      <c r="F317" s="18">
        <v>0</v>
      </c>
      <c r="G317" s="54">
        <f>+D317*4.8</f>
        <v>4.8</v>
      </c>
      <c r="H317" s="19">
        <f>+E317*2223643/59470</f>
        <v>27220.650815537247</v>
      </c>
      <c r="I317" s="19">
        <f>+F317*276357/7391</f>
        <v>0</v>
      </c>
      <c r="J317" s="51">
        <f t="shared" si="52"/>
        <v>27220.650815537247</v>
      </c>
    </row>
    <row r="318" spans="1:10" s="3" customFormat="1" x14ac:dyDescent="0.25">
      <c r="A318" s="4"/>
      <c r="B318" s="20" t="s">
        <v>444</v>
      </c>
      <c r="C318" s="21"/>
      <c r="D318" s="21"/>
      <c r="E318" s="29"/>
      <c r="F318" s="29"/>
      <c r="G318" s="48">
        <f>SUM(G313:G317)</f>
        <v>24</v>
      </c>
      <c r="H318" s="48">
        <f t="shared" ref="H318:J318" si="64">SUM(H313:H317)</f>
        <v>2223643</v>
      </c>
      <c r="I318" s="48">
        <f t="shared" si="64"/>
        <v>276357</v>
      </c>
      <c r="J318" s="47">
        <f t="shared" si="64"/>
        <v>2500000</v>
      </c>
    </row>
    <row r="319" spans="1:10" x14ac:dyDescent="0.25">
      <c r="A319" s="23" t="s">
        <v>18</v>
      </c>
      <c r="B319" s="24" t="s">
        <v>209</v>
      </c>
      <c r="C319" s="24" t="s">
        <v>210</v>
      </c>
      <c r="D319" s="24">
        <v>5</v>
      </c>
      <c r="E319" s="30">
        <v>9705</v>
      </c>
      <c r="F319" s="30">
        <v>0</v>
      </c>
      <c r="G319" s="26">
        <f t="shared" ref="G319:G334" si="65">+D319*4.78651685393258</f>
        <v>23.932584269662904</v>
      </c>
      <c r="H319" s="7">
        <f t="shared" ref="H319:H334" si="66">+E319*13930198/1689148</f>
        <v>80035.953977981801</v>
      </c>
      <c r="I319" s="7">
        <f t="shared" ref="I319:I334" si="67">+F319*1069802/129722</f>
        <v>0</v>
      </c>
      <c r="J319" s="51">
        <f t="shared" si="52"/>
        <v>80035.953977981801</v>
      </c>
    </row>
    <row r="320" spans="1:10" x14ac:dyDescent="0.25">
      <c r="A320" s="4" t="s">
        <v>18</v>
      </c>
      <c r="B320" s="5" t="s">
        <v>214</v>
      </c>
      <c r="C320" s="5" t="s">
        <v>210</v>
      </c>
      <c r="D320" s="5">
        <v>27</v>
      </c>
      <c r="E320" s="11">
        <v>52407</v>
      </c>
      <c r="F320" s="11">
        <v>0</v>
      </c>
      <c r="G320" s="27">
        <f t="shared" si="65"/>
        <v>129.23595505617968</v>
      </c>
      <c r="H320" s="13">
        <f t="shared" si="66"/>
        <v>432194.1514811017</v>
      </c>
      <c r="I320" s="13">
        <f t="shared" si="67"/>
        <v>0</v>
      </c>
      <c r="J320" s="51">
        <f t="shared" si="52"/>
        <v>432194.1514811017</v>
      </c>
    </row>
    <row r="321" spans="1:10" x14ac:dyDescent="0.25">
      <c r="A321" s="4" t="s">
        <v>18</v>
      </c>
      <c r="B321" s="5" t="s">
        <v>216</v>
      </c>
      <c r="C321" s="5" t="s">
        <v>210</v>
      </c>
      <c r="D321" s="5">
        <v>10</v>
      </c>
      <c r="E321" s="11">
        <v>19410</v>
      </c>
      <c r="F321" s="11">
        <v>0</v>
      </c>
      <c r="G321" s="27">
        <f t="shared" si="65"/>
        <v>47.865168539325808</v>
      </c>
      <c r="H321" s="13">
        <f t="shared" si="66"/>
        <v>160071.9079559636</v>
      </c>
      <c r="I321" s="13">
        <f t="shared" si="67"/>
        <v>0</v>
      </c>
      <c r="J321" s="51">
        <f t="shared" si="52"/>
        <v>160071.9079559636</v>
      </c>
    </row>
    <row r="322" spans="1:10" x14ac:dyDescent="0.25">
      <c r="A322" s="4" t="s">
        <v>18</v>
      </c>
      <c r="B322" s="5" t="s">
        <v>217</v>
      </c>
      <c r="C322" s="5" t="s">
        <v>218</v>
      </c>
      <c r="D322" s="5">
        <v>10</v>
      </c>
      <c r="E322" s="11">
        <v>66260</v>
      </c>
      <c r="F322" s="11">
        <v>13250</v>
      </c>
      <c r="G322" s="27">
        <f t="shared" si="65"/>
        <v>47.865168539325808</v>
      </c>
      <c r="H322" s="13">
        <f t="shared" si="66"/>
        <v>546438.15668017254</v>
      </c>
      <c r="I322" s="13">
        <f t="shared" si="67"/>
        <v>109271.18376219916</v>
      </c>
      <c r="J322" s="51">
        <f t="shared" si="52"/>
        <v>655709.34044237167</v>
      </c>
    </row>
    <row r="323" spans="1:10" x14ac:dyDescent="0.25">
      <c r="A323" s="4" t="s">
        <v>18</v>
      </c>
      <c r="B323" s="5" t="s">
        <v>260</v>
      </c>
      <c r="C323" s="5" t="s">
        <v>208</v>
      </c>
      <c r="D323" s="5">
        <v>1</v>
      </c>
      <c r="E323" s="11">
        <v>69888</v>
      </c>
      <c r="F323" s="11">
        <v>0</v>
      </c>
      <c r="G323" s="27">
        <f t="shared" si="65"/>
        <v>4.7865168539325804</v>
      </c>
      <c r="H323" s="13">
        <f t="shared" si="66"/>
        <v>576357.83118116355</v>
      </c>
      <c r="I323" s="13">
        <f t="shared" si="67"/>
        <v>0</v>
      </c>
      <c r="J323" s="51">
        <f t="shared" si="52"/>
        <v>576357.83118116355</v>
      </c>
    </row>
    <row r="324" spans="1:10" x14ac:dyDescent="0.25">
      <c r="A324" s="4" t="s">
        <v>18</v>
      </c>
      <c r="B324" s="5" t="s">
        <v>225</v>
      </c>
      <c r="C324" s="5" t="s">
        <v>210</v>
      </c>
      <c r="D324" s="5">
        <v>1</v>
      </c>
      <c r="E324" s="11">
        <v>1941</v>
      </c>
      <c r="F324" s="11">
        <v>0</v>
      </c>
      <c r="G324" s="27">
        <f t="shared" si="65"/>
        <v>4.7865168539325804</v>
      </c>
      <c r="H324" s="13">
        <f t="shared" si="66"/>
        <v>16007.19079559636</v>
      </c>
      <c r="I324" s="13">
        <f t="shared" si="67"/>
        <v>0</v>
      </c>
      <c r="J324" s="51">
        <f t="shared" si="52"/>
        <v>16007.19079559636</v>
      </c>
    </row>
    <row r="325" spans="1:10" x14ac:dyDescent="0.25">
      <c r="A325" s="4" t="s">
        <v>18</v>
      </c>
      <c r="B325" s="5" t="s">
        <v>226</v>
      </c>
      <c r="C325" s="5" t="s">
        <v>210</v>
      </c>
      <c r="D325" s="5">
        <v>3</v>
      </c>
      <c r="E325" s="11">
        <v>5823</v>
      </c>
      <c r="F325" s="11">
        <v>0</v>
      </c>
      <c r="G325" s="27">
        <f t="shared" si="65"/>
        <v>14.359550561797741</v>
      </c>
      <c r="H325" s="13">
        <f t="shared" si="66"/>
        <v>48021.572386789077</v>
      </c>
      <c r="I325" s="13">
        <f t="shared" si="67"/>
        <v>0</v>
      </c>
      <c r="J325" s="51">
        <f t="shared" ref="J325:J392" si="68">SUM(H325:I325)</f>
        <v>48021.572386789077</v>
      </c>
    </row>
    <row r="326" spans="1:10" x14ac:dyDescent="0.25">
      <c r="A326" s="4" t="s">
        <v>18</v>
      </c>
      <c r="B326" s="5" t="s">
        <v>228</v>
      </c>
      <c r="C326" s="5" t="s">
        <v>229</v>
      </c>
      <c r="D326" s="5">
        <v>49</v>
      </c>
      <c r="E326" s="11">
        <v>190218</v>
      </c>
      <c r="F326" s="11">
        <v>0</v>
      </c>
      <c r="G326" s="27">
        <f t="shared" si="65"/>
        <v>234.53932584269643</v>
      </c>
      <c r="H326" s="13">
        <f t="shared" si="66"/>
        <v>1568704.6979684432</v>
      </c>
      <c r="I326" s="13">
        <f t="shared" si="67"/>
        <v>0</v>
      </c>
      <c r="J326" s="51">
        <f t="shared" si="68"/>
        <v>1568704.6979684432</v>
      </c>
    </row>
    <row r="327" spans="1:10" x14ac:dyDescent="0.25">
      <c r="A327" s="4" t="s">
        <v>18</v>
      </c>
      <c r="B327" s="5" t="s">
        <v>230</v>
      </c>
      <c r="C327" s="5" t="s">
        <v>229</v>
      </c>
      <c r="D327" s="5">
        <v>1</v>
      </c>
      <c r="E327" s="11">
        <v>3882</v>
      </c>
      <c r="F327" s="11">
        <v>0</v>
      </c>
      <c r="G327" s="27">
        <f t="shared" si="65"/>
        <v>4.7865168539325804</v>
      </c>
      <c r="H327" s="13">
        <f t="shared" si="66"/>
        <v>32014.381591192719</v>
      </c>
      <c r="I327" s="13">
        <f t="shared" si="67"/>
        <v>0</v>
      </c>
      <c r="J327" s="51">
        <f t="shared" si="68"/>
        <v>32014.381591192719</v>
      </c>
    </row>
    <row r="328" spans="1:10" x14ac:dyDescent="0.25">
      <c r="A328" s="4" t="s">
        <v>18</v>
      </c>
      <c r="B328" s="5" t="s">
        <v>262</v>
      </c>
      <c r="C328" s="5" t="s">
        <v>263</v>
      </c>
      <c r="D328" s="5">
        <v>2</v>
      </c>
      <c r="E328" s="11">
        <v>606666</v>
      </c>
      <c r="F328" s="11">
        <v>0</v>
      </c>
      <c r="G328" s="27">
        <f t="shared" si="65"/>
        <v>9.5730337078651608</v>
      </c>
      <c r="H328" s="13">
        <f t="shared" si="66"/>
        <v>5003100.6755287284</v>
      </c>
      <c r="I328" s="13">
        <f t="shared" si="67"/>
        <v>0</v>
      </c>
      <c r="J328" s="51">
        <f t="shared" si="68"/>
        <v>5003100.6755287284</v>
      </c>
    </row>
    <row r="329" spans="1:10" x14ac:dyDescent="0.25">
      <c r="A329" s="4" t="s">
        <v>18</v>
      </c>
      <c r="B329" s="5" t="s">
        <v>241</v>
      </c>
      <c r="C329" s="5" t="s">
        <v>236</v>
      </c>
      <c r="D329" s="5">
        <v>16</v>
      </c>
      <c r="E329" s="11">
        <v>218400</v>
      </c>
      <c r="F329" s="11">
        <v>43680</v>
      </c>
      <c r="G329" s="27">
        <f t="shared" si="65"/>
        <v>76.584269662921287</v>
      </c>
      <c r="H329" s="13">
        <f t="shared" si="66"/>
        <v>1801118.2224411359</v>
      </c>
      <c r="I329" s="13">
        <f t="shared" si="67"/>
        <v>360223.79673455545</v>
      </c>
      <c r="J329" s="51">
        <f t="shared" si="68"/>
        <v>2161342.0191756915</v>
      </c>
    </row>
    <row r="330" spans="1:10" x14ac:dyDescent="0.25">
      <c r="A330" s="4" t="s">
        <v>18</v>
      </c>
      <c r="B330" s="5" t="s">
        <v>249</v>
      </c>
      <c r="C330" s="5" t="s">
        <v>250</v>
      </c>
      <c r="D330" s="5">
        <v>12</v>
      </c>
      <c r="E330" s="11">
        <v>363996</v>
      </c>
      <c r="F330" s="11">
        <v>72792</v>
      </c>
      <c r="G330" s="27">
        <f t="shared" si="65"/>
        <v>57.438202247190965</v>
      </c>
      <c r="H330" s="13">
        <f t="shared" si="66"/>
        <v>3001830.7165553286</v>
      </c>
      <c r="I330" s="13">
        <f t="shared" si="67"/>
        <v>600307.01950324536</v>
      </c>
      <c r="J330" s="51">
        <f t="shared" si="68"/>
        <v>3602137.7360585742</v>
      </c>
    </row>
    <row r="331" spans="1:10" x14ac:dyDescent="0.25">
      <c r="A331" s="4" t="s">
        <v>18</v>
      </c>
      <c r="B331" s="5" t="s">
        <v>252</v>
      </c>
      <c r="C331" s="5" t="s">
        <v>212</v>
      </c>
      <c r="D331" s="5">
        <v>1</v>
      </c>
      <c r="E331" s="11">
        <v>2912</v>
      </c>
      <c r="F331" s="11">
        <v>0</v>
      </c>
      <c r="G331" s="27">
        <f t="shared" si="65"/>
        <v>4.7865168539325804</v>
      </c>
      <c r="H331" s="13">
        <f t="shared" si="66"/>
        <v>24014.909632548479</v>
      </c>
      <c r="I331" s="13">
        <f t="shared" si="67"/>
        <v>0</v>
      </c>
      <c r="J331" s="51">
        <f t="shared" si="68"/>
        <v>24014.909632548479</v>
      </c>
    </row>
    <row r="332" spans="1:10" x14ac:dyDescent="0.25">
      <c r="A332" s="4" t="s">
        <v>18</v>
      </c>
      <c r="B332" s="5" t="s">
        <v>253</v>
      </c>
      <c r="C332" s="5" t="s">
        <v>210</v>
      </c>
      <c r="D332" s="5">
        <v>22</v>
      </c>
      <c r="E332" s="11">
        <v>42702</v>
      </c>
      <c r="F332" s="11">
        <v>0</v>
      </c>
      <c r="G332" s="27">
        <f t="shared" si="65"/>
        <v>105.30337078651677</v>
      </c>
      <c r="H332" s="13">
        <f t="shared" si="66"/>
        <v>352158.19750311994</v>
      </c>
      <c r="I332" s="13">
        <f t="shared" si="67"/>
        <v>0</v>
      </c>
      <c r="J332" s="51">
        <f t="shared" si="68"/>
        <v>352158.19750311994</v>
      </c>
    </row>
    <row r="333" spans="1:10" x14ac:dyDescent="0.25">
      <c r="A333" s="4" t="s">
        <v>18</v>
      </c>
      <c r="B333" s="5" t="s">
        <v>255</v>
      </c>
      <c r="C333" s="5" t="s">
        <v>210</v>
      </c>
      <c r="D333" s="5">
        <v>15</v>
      </c>
      <c r="E333" s="11">
        <v>29115</v>
      </c>
      <c r="F333" s="11">
        <v>0</v>
      </c>
      <c r="G333" s="27">
        <f t="shared" si="65"/>
        <v>71.797752808988704</v>
      </c>
      <c r="H333" s="13">
        <f t="shared" si="66"/>
        <v>240107.86193394539</v>
      </c>
      <c r="I333" s="13">
        <f t="shared" si="67"/>
        <v>0</v>
      </c>
      <c r="J333" s="51">
        <f t="shared" si="68"/>
        <v>240107.86193394539</v>
      </c>
    </row>
    <row r="334" spans="1:10" x14ac:dyDescent="0.25">
      <c r="A334" s="15" t="s">
        <v>18</v>
      </c>
      <c r="B334" s="16" t="s">
        <v>257</v>
      </c>
      <c r="C334" s="16" t="s">
        <v>210</v>
      </c>
      <c r="D334" s="16">
        <v>3</v>
      </c>
      <c r="E334" s="18">
        <v>5823</v>
      </c>
      <c r="F334" s="18">
        <v>0</v>
      </c>
      <c r="G334" s="54">
        <f t="shared" si="65"/>
        <v>14.359550561797741</v>
      </c>
      <c r="H334" s="19">
        <f t="shared" si="66"/>
        <v>48021.572386789077</v>
      </c>
      <c r="I334" s="19">
        <f t="shared" si="67"/>
        <v>0</v>
      </c>
      <c r="J334" s="51">
        <f t="shared" si="68"/>
        <v>48021.572386789077</v>
      </c>
    </row>
    <row r="335" spans="1:10" s="3" customFormat="1" x14ac:dyDescent="0.25">
      <c r="A335" s="4"/>
      <c r="B335" s="20" t="s">
        <v>445</v>
      </c>
      <c r="C335" s="21"/>
      <c r="D335" s="21"/>
      <c r="E335" s="29"/>
      <c r="F335" s="29"/>
      <c r="G335" s="48">
        <f>SUM(G319:G334)</f>
        <v>851.9999999999992</v>
      </c>
      <c r="H335" s="48">
        <f t="shared" ref="H335:J335" si="69">SUM(H319:H334)</f>
        <v>13930197.999999998</v>
      </c>
      <c r="I335" s="48">
        <f t="shared" si="69"/>
        <v>1069802</v>
      </c>
      <c r="J335" s="47">
        <f t="shared" si="69"/>
        <v>15000000</v>
      </c>
    </row>
    <row r="336" spans="1:10" x14ac:dyDescent="0.25">
      <c r="A336" s="23" t="s">
        <v>19</v>
      </c>
      <c r="B336" s="24" t="s">
        <v>240</v>
      </c>
      <c r="C336" s="24" t="s">
        <v>238</v>
      </c>
      <c r="D336" s="24">
        <v>1</v>
      </c>
      <c r="E336" s="30">
        <v>2563</v>
      </c>
      <c r="F336" s="30">
        <v>2050</v>
      </c>
      <c r="G336" s="26">
        <f>+D336*5</f>
        <v>5</v>
      </c>
      <c r="H336" s="7">
        <f>+E336*833394/3048</f>
        <v>700783.73425196845</v>
      </c>
      <c r="I336" s="7">
        <f>+F336*666606/2438</f>
        <v>560517.76045939291</v>
      </c>
      <c r="J336" s="51">
        <f t="shared" si="68"/>
        <v>1261301.4947113614</v>
      </c>
    </row>
    <row r="337" spans="1:10" x14ac:dyDescent="0.25">
      <c r="A337" s="15" t="s">
        <v>19</v>
      </c>
      <c r="B337" s="16" t="s">
        <v>249</v>
      </c>
      <c r="C337" s="16" t="s">
        <v>250</v>
      </c>
      <c r="D337" s="16">
        <v>1</v>
      </c>
      <c r="E337" s="18">
        <v>485</v>
      </c>
      <c r="F337" s="18">
        <v>388</v>
      </c>
      <c r="G337" s="54">
        <f>+D337*5</f>
        <v>5</v>
      </c>
      <c r="H337" s="19">
        <f>+E337*833394/3048</f>
        <v>132610.2657480315</v>
      </c>
      <c r="I337" s="19">
        <f>+F337*666606/2438</f>
        <v>106088.23954060706</v>
      </c>
      <c r="J337" s="51">
        <f t="shared" si="68"/>
        <v>238698.50528863855</v>
      </c>
    </row>
    <row r="338" spans="1:10" s="3" customFormat="1" x14ac:dyDescent="0.25">
      <c r="A338" s="4"/>
      <c r="B338" s="20" t="s">
        <v>446</v>
      </c>
      <c r="C338" s="21"/>
      <c r="D338" s="21"/>
      <c r="E338" s="29"/>
      <c r="F338" s="29"/>
      <c r="G338" s="48">
        <f>SUM(G336:G337)</f>
        <v>10</v>
      </c>
      <c r="H338" s="48">
        <f t="shared" ref="H338:J338" si="70">SUM(H336:H337)</f>
        <v>833394</v>
      </c>
      <c r="I338" s="48">
        <f t="shared" si="70"/>
        <v>666606</v>
      </c>
      <c r="J338" s="47">
        <f t="shared" si="70"/>
        <v>1500000</v>
      </c>
    </row>
    <row r="339" spans="1:10" x14ac:dyDescent="0.25">
      <c r="A339" s="23" t="s">
        <v>20</v>
      </c>
      <c r="B339" s="24" t="s">
        <v>217</v>
      </c>
      <c r="C339" s="24" t="s">
        <v>218</v>
      </c>
      <c r="D339" s="24">
        <v>1</v>
      </c>
      <c r="E339" s="30">
        <v>1656</v>
      </c>
      <c r="F339" s="30">
        <v>1325</v>
      </c>
      <c r="G339" s="26">
        <f>+D339*4.85714285714286</f>
        <v>4.8571428571428603</v>
      </c>
      <c r="H339" s="7">
        <f>+E339*1753144/15288</f>
        <v>189900.99843014128</v>
      </c>
      <c r="I339" s="7">
        <f>+F339*1246856/10873</f>
        <v>151943.73218063093</v>
      </c>
      <c r="J339" s="51">
        <f t="shared" si="68"/>
        <v>341844.73061077221</v>
      </c>
    </row>
    <row r="340" spans="1:10" x14ac:dyDescent="0.25">
      <c r="A340" s="4" t="s">
        <v>20</v>
      </c>
      <c r="B340" s="5" t="s">
        <v>219</v>
      </c>
      <c r="C340" s="5" t="s">
        <v>220</v>
      </c>
      <c r="D340" s="5">
        <v>1</v>
      </c>
      <c r="E340" s="11">
        <v>1698</v>
      </c>
      <c r="F340" s="11">
        <v>1358</v>
      </c>
      <c r="G340" s="27">
        <f>+D340*4.85714285714286</f>
        <v>4.8571428571428603</v>
      </c>
      <c r="H340" s="13">
        <f t="shared" ref="H340:H343" si="71">+E340*1753144/15288</f>
        <v>194717.32810047097</v>
      </c>
      <c r="I340" s="13">
        <f t="shared" ref="I340:I343" si="72">+F340*1246856/10873</f>
        <v>155727.99117079002</v>
      </c>
      <c r="J340" s="51">
        <f t="shared" si="68"/>
        <v>350445.31927126099</v>
      </c>
    </row>
    <row r="341" spans="1:10" x14ac:dyDescent="0.25">
      <c r="A341" s="4" t="s">
        <v>20</v>
      </c>
      <c r="B341" s="5" t="s">
        <v>228</v>
      </c>
      <c r="C341" s="5" t="s">
        <v>229</v>
      </c>
      <c r="D341" s="5">
        <v>1</v>
      </c>
      <c r="E341" s="11">
        <v>970</v>
      </c>
      <c r="F341" s="11">
        <v>0</v>
      </c>
      <c r="G341" s="27">
        <f>+D341*4.85714285714286</f>
        <v>4.8571428571428603</v>
      </c>
      <c r="H341" s="13">
        <f t="shared" si="71"/>
        <v>111234.28048142334</v>
      </c>
      <c r="I341" s="13">
        <f t="shared" si="72"/>
        <v>0</v>
      </c>
      <c r="J341" s="51">
        <f t="shared" si="68"/>
        <v>111234.28048142334</v>
      </c>
    </row>
    <row r="342" spans="1:10" x14ac:dyDescent="0.25">
      <c r="A342" s="4" t="s">
        <v>20</v>
      </c>
      <c r="B342" s="5" t="s">
        <v>241</v>
      </c>
      <c r="C342" s="5" t="s">
        <v>236</v>
      </c>
      <c r="D342" s="5">
        <v>3</v>
      </c>
      <c r="E342" s="11">
        <v>10236</v>
      </c>
      <c r="F342" s="11">
        <v>8190</v>
      </c>
      <c r="G342" s="27">
        <f>+D342*4.85714285714286</f>
        <v>14.57142857142858</v>
      </c>
      <c r="H342" s="13">
        <f t="shared" si="71"/>
        <v>1173808.3453689169</v>
      </c>
      <c r="I342" s="13">
        <f t="shared" si="72"/>
        <v>939184.27664857905</v>
      </c>
      <c r="J342" s="51">
        <f t="shared" si="68"/>
        <v>2112992.6220174958</v>
      </c>
    </row>
    <row r="343" spans="1:10" x14ac:dyDescent="0.25">
      <c r="A343" s="15" t="s">
        <v>20</v>
      </c>
      <c r="B343" s="16" t="s">
        <v>252</v>
      </c>
      <c r="C343" s="16" t="s">
        <v>212</v>
      </c>
      <c r="D343" s="16">
        <v>1</v>
      </c>
      <c r="E343" s="18">
        <v>728</v>
      </c>
      <c r="F343" s="18">
        <v>0</v>
      </c>
      <c r="G343" s="54">
        <f>+D343*4.85714285714286</f>
        <v>4.8571428571428603</v>
      </c>
      <c r="H343" s="19">
        <f t="shared" si="71"/>
        <v>83483.047619047618</v>
      </c>
      <c r="I343" s="19">
        <f t="shared" si="72"/>
        <v>0</v>
      </c>
      <c r="J343" s="51">
        <f t="shared" si="68"/>
        <v>83483.047619047618</v>
      </c>
    </row>
    <row r="344" spans="1:10" s="3" customFormat="1" x14ac:dyDescent="0.25">
      <c r="A344" s="4"/>
      <c r="B344" s="20" t="s">
        <v>447</v>
      </c>
      <c r="C344" s="21"/>
      <c r="D344" s="21"/>
      <c r="E344" s="29"/>
      <c r="F344" s="29"/>
      <c r="G344" s="48">
        <f>SUM(G339:G343)</f>
        <v>34.000000000000021</v>
      </c>
      <c r="H344" s="48">
        <f t="shared" ref="H344:J344" si="73">SUM(H339:H343)</f>
        <v>1753144</v>
      </c>
      <c r="I344" s="48">
        <f t="shared" si="73"/>
        <v>1246856</v>
      </c>
      <c r="J344" s="47">
        <f t="shared" si="73"/>
        <v>3000000</v>
      </c>
    </row>
    <row r="345" spans="1:10" x14ac:dyDescent="0.25">
      <c r="A345" s="23" t="s">
        <v>21</v>
      </c>
      <c r="B345" s="24" t="s">
        <v>214</v>
      </c>
      <c r="C345" s="24" t="s">
        <v>210</v>
      </c>
      <c r="D345" s="24">
        <v>1</v>
      </c>
      <c r="E345" s="30">
        <v>970</v>
      </c>
      <c r="F345" s="30">
        <v>0</v>
      </c>
      <c r="G345" s="26">
        <f t="shared" ref="G345:G357" si="74">+D345*4.79245283018868</f>
        <v>4.7924528301886804</v>
      </c>
      <c r="H345" s="7">
        <f t="shared" ref="H345:H357" si="75">+E345*2328139/203789</f>
        <v>11081.534479289854</v>
      </c>
      <c r="I345" s="7">
        <f t="shared" ref="I345:I357" si="76">+F345*671861/58810</f>
        <v>0</v>
      </c>
      <c r="J345" s="51">
        <f t="shared" si="68"/>
        <v>11081.534479289854</v>
      </c>
    </row>
    <row r="346" spans="1:10" x14ac:dyDescent="0.25">
      <c r="A346" s="4" t="s">
        <v>21</v>
      </c>
      <c r="B346" s="5" t="s">
        <v>216</v>
      </c>
      <c r="C346" s="5" t="s">
        <v>210</v>
      </c>
      <c r="D346" s="5">
        <v>1</v>
      </c>
      <c r="E346" s="11">
        <v>970</v>
      </c>
      <c r="F346" s="11">
        <v>0</v>
      </c>
      <c r="G346" s="27">
        <f t="shared" si="74"/>
        <v>4.7924528301886804</v>
      </c>
      <c r="H346" s="13">
        <f t="shared" si="75"/>
        <v>11081.534479289854</v>
      </c>
      <c r="I346" s="13">
        <f t="shared" si="76"/>
        <v>0</v>
      </c>
      <c r="J346" s="51">
        <f t="shared" si="68"/>
        <v>11081.534479289854</v>
      </c>
    </row>
    <row r="347" spans="1:10" x14ac:dyDescent="0.25">
      <c r="A347" s="4" t="s">
        <v>21</v>
      </c>
      <c r="B347" s="5" t="s">
        <v>221</v>
      </c>
      <c r="C347" s="5" t="s">
        <v>222</v>
      </c>
      <c r="D347" s="5">
        <v>1</v>
      </c>
      <c r="E347" s="11">
        <v>72800</v>
      </c>
      <c r="F347" s="11">
        <v>29120</v>
      </c>
      <c r="G347" s="27">
        <f t="shared" si="74"/>
        <v>4.7924528301886804</v>
      </c>
      <c r="H347" s="13">
        <f t="shared" si="75"/>
        <v>831686.29906422819</v>
      </c>
      <c r="I347" s="13">
        <f t="shared" si="76"/>
        <v>332674.58459445671</v>
      </c>
      <c r="J347" s="51">
        <f t="shared" si="68"/>
        <v>1164360.8836586848</v>
      </c>
    </row>
    <row r="348" spans="1:10" x14ac:dyDescent="0.25">
      <c r="A348" s="4" t="s">
        <v>21</v>
      </c>
      <c r="B348" s="5" t="s">
        <v>226</v>
      </c>
      <c r="C348" s="5" t="s">
        <v>210</v>
      </c>
      <c r="D348" s="5">
        <v>9</v>
      </c>
      <c r="E348" s="11">
        <v>8730</v>
      </c>
      <c r="F348" s="11">
        <v>0</v>
      </c>
      <c r="G348" s="27">
        <f t="shared" si="74"/>
        <v>43.132075471698123</v>
      </c>
      <c r="H348" s="13">
        <f t="shared" si="75"/>
        <v>99733.810313608687</v>
      </c>
      <c r="I348" s="13">
        <f t="shared" si="76"/>
        <v>0</v>
      </c>
      <c r="J348" s="51">
        <f t="shared" si="68"/>
        <v>99733.810313608687</v>
      </c>
    </row>
    <row r="349" spans="1:10" x14ac:dyDescent="0.25">
      <c r="A349" s="4" t="s">
        <v>21</v>
      </c>
      <c r="B349" s="5" t="s">
        <v>227</v>
      </c>
      <c r="C349" s="5" t="s">
        <v>210</v>
      </c>
      <c r="D349" s="5">
        <v>1</v>
      </c>
      <c r="E349" s="11">
        <v>970</v>
      </c>
      <c r="F349" s="11">
        <v>0</v>
      </c>
      <c r="G349" s="27">
        <f t="shared" si="74"/>
        <v>4.7924528301886804</v>
      </c>
      <c r="H349" s="13">
        <f t="shared" si="75"/>
        <v>11081.534479289854</v>
      </c>
      <c r="I349" s="13">
        <f t="shared" si="76"/>
        <v>0</v>
      </c>
      <c r="J349" s="51">
        <f t="shared" si="68"/>
        <v>11081.534479289854</v>
      </c>
    </row>
    <row r="350" spans="1:10" x14ac:dyDescent="0.25">
      <c r="A350" s="4" t="s">
        <v>21</v>
      </c>
      <c r="B350" s="5" t="s">
        <v>228</v>
      </c>
      <c r="C350" s="5" t="s">
        <v>229</v>
      </c>
      <c r="D350" s="5">
        <v>16</v>
      </c>
      <c r="E350" s="11">
        <v>31056</v>
      </c>
      <c r="F350" s="11">
        <v>0</v>
      </c>
      <c r="G350" s="27">
        <f t="shared" si="74"/>
        <v>76.679245283018886</v>
      </c>
      <c r="H350" s="13">
        <f t="shared" si="75"/>
        <v>354791.89153487183</v>
      </c>
      <c r="I350" s="13">
        <f t="shared" si="76"/>
        <v>0</v>
      </c>
      <c r="J350" s="51">
        <f t="shared" si="68"/>
        <v>354791.89153487183</v>
      </c>
    </row>
    <row r="351" spans="1:10" x14ac:dyDescent="0.25">
      <c r="A351" s="4" t="s">
        <v>21</v>
      </c>
      <c r="B351" s="5" t="s">
        <v>230</v>
      </c>
      <c r="C351" s="5" t="s">
        <v>229</v>
      </c>
      <c r="D351" s="5">
        <v>2</v>
      </c>
      <c r="E351" s="11">
        <v>3882</v>
      </c>
      <c r="F351" s="11">
        <v>0</v>
      </c>
      <c r="G351" s="27">
        <f t="shared" si="74"/>
        <v>9.5849056603773608</v>
      </c>
      <c r="H351" s="13">
        <f t="shared" si="75"/>
        <v>44348.986441858979</v>
      </c>
      <c r="I351" s="13">
        <f t="shared" si="76"/>
        <v>0</v>
      </c>
      <c r="J351" s="51">
        <f t="shared" si="68"/>
        <v>44348.986441858979</v>
      </c>
    </row>
    <row r="352" spans="1:10" x14ac:dyDescent="0.25">
      <c r="A352" s="4" t="s">
        <v>21</v>
      </c>
      <c r="B352" s="5" t="s">
        <v>241</v>
      </c>
      <c r="C352" s="5" t="s">
        <v>236</v>
      </c>
      <c r="D352" s="5">
        <v>10</v>
      </c>
      <c r="E352" s="11">
        <v>68250</v>
      </c>
      <c r="F352" s="11">
        <v>27300</v>
      </c>
      <c r="G352" s="27">
        <f t="shared" si="74"/>
        <v>47.924528301886802</v>
      </c>
      <c r="H352" s="13">
        <f t="shared" si="75"/>
        <v>779705.90537271393</v>
      </c>
      <c r="I352" s="13">
        <f t="shared" si="76"/>
        <v>311882.42305730318</v>
      </c>
      <c r="J352" s="51">
        <f t="shared" si="68"/>
        <v>1091588.328430017</v>
      </c>
    </row>
    <row r="353" spans="1:10" x14ac:dyDescent="0.25">
      <c r="A353" s="4" t="s">
        <v>21</v>
      </c>
      <c r="B353" s="5" t="s">
        <v>243</v>
      </c>
      <c r="C353" s="5" t="s">
        <v>244</v>
      </c>
      <c r="D353" s="5">
        <v>1</v>
      </c>
      <c r="E353" s="11">
        <v>3412</v>
      </c>
      <c r="F353" s="11">
        <v>1365</v>
      </c>
      <c r="G353" s="27">
        <f t="shared" si="74"/>
        <v>4.7924528301886804</v>
      </c>
      <c r="H353" s="13">
        <f t="shared" si="75"/>
        <v>38979.583137460802</v>
      </c>
      <c r="I353" s="13">
        <f t="shared" si="76"/>
        <v>15594.121152865158</v>
      </c>
      <c r="J353" s="51">
        <f t="shared" si="68"/>
        <v>54573.704290325957</v>
      </c>
    </row>
    <row r="354" spans="1:10" x14ac:dyDescent="0.25">
      <c r="A354" s="4" t="s">
        <v>21</v>
      </c>
      <c r="B354" s="5" t="s">
        <v>248</v>
      </c>
      <c r="C354" s="5" t="s">
        <v>246</v>
      </c>
      <c r="D354" s="5">
        <v>1</v>
      </c>
      <c r="E354" s="11">
        <v>2563</v>
      </c>
      <c r="F354" s="11">
        <v>1025</v>
      </c>
      <c r="G354" s="27">
        <f t="shared" si="74"/>
        <v>4.7924528301886804</v>
      </c>
      <c r="H354" s="13">
        <f t="shared" si="75"/>
        <v>29280.384402494736</v>
      </c>
      <c r="I354" s="13">
        <f t="shared" si="76"/>
        <v>11709.871195374937</v>
      </c>
      <c r="J354" s="51">
        <f t="shared" si="68"/>
        <v>40990.255597869676</v>
      </c>
    </row>
    <row r="355" spans="1:10" x14ac:dyDescent="0.25">
      <c r="A355" s="4" t="s">
        <v>21</v>
      </c>
      <c r="B355" s="5" t="s">
        <v>253</v>
      </c>
      <c r="C355" s="5" t="s">
        <v>210</v>
      </c>
      <c r="D355" s="5">
        <v>8</v>
      </c>
      <c r="E355" s="11">
        <v>7760</v>
      </c>
      <c r="F355" s="11">
        <v>0</v>
      </c>
      <c r="G355" s="27">
        <f t="shared" si="74"/>
        <v>38.339622641509443</v>
      </c>
      <c r="H355" s="13">
        <f t="shared" si="75"/>
        <v>88652.275834318832</v>
      </c>
      <c r="I355" s="13">
        <f t="shared" si="76"/>
        <v>0</v>
      </c>
      <c r="J355" s="51">
        <f t="shared" si="68"/>
        <v>88652.275834318832</v>
      </c>
    </row>
    <row r="356" spans="1:10" x14ac:dyDescent="0.25">
      <c r="A356" s="4" t="s">
        <v>21</v>
      </c>
      <c r="B356" s="5" t="s">
        <v>254</v>
      </c>
      <c r="C356" s="5" t="s">
        <v>212</v>
      </c>
      <c r="D356" s="5">
        <v>1</v>
      </c>
      <c r="E356" s="11">
        <v>1456</v>
      </c>
      <c r="F356" s="11">
        <v>0</v>
      </c>
      <c r="G356" s="27">
        <f t="shared" si="74"/>
        <v>4.7924528301886804</v>
      </c>
      <c r="H356" s="13">
        <f t="shared" si="75"/>
        <v>16633.725981284562</v>
      </c>
      <c r="I356" s="13">
        <f t="shared" si="76"/>
        <v>0</v>
      </c>
      <c r="J356" s="51">
        <f t="shared" si="68"/>
        <v>16633.725981284562</v>
      </c>
    </row>
    <row r="357" spans="1:10" x14ac:dyDescent="0.25">
      <c r="A357" s="15" t="s">
        <v>21</v>
      </c>
      <c r="B357" s="16" t="s">
        <v>255</v>
      </c>
      <c r="C357" s="16" t="s">
        <v>210</v>
      </c>
      <c r="D357" s="16">
        <v>1</v>
      </c>
      <c r="E357" s="18">
        <v>970</v>
      </c>
      <c r="F357" s="18">
        <v>0</v>
      </c>
      <c r="G357" s="54">
        <f t="shared" si="74"/>
        <v>4.7924528301886804</v>
      </c>
      <c r="H357" s="19">
        <f t="shared" si="75"/>
        <v>11081.534479289854</v>
      </c>
      <c r="I357" s="19">
        <f t="shared" si="76"/>
        <v>0</v>
      </c>
      <c r="J357" s="51">
        <f t="shared" si="68"/>
        <v>11081.534479289854</v>
      </c>
    </row>
    <row r="358" spans="1:10" s="3" customFormat="1" x14ac:dyDescent="0.25">
      <c r="A358" s="4"/>
      <c r="B358" s="21" t="s">
        <v>448</v>
      </c>
      <c r="C358" s="21"/>
      <c r="D358" s="21"/>
      <c r="E358" s="29"/>
      <c r="F358" s="29"/>
      <c r="G358" s="48">
        <f>SUM(G345:G357)</f>
        <v>254.00000000000011</v>
      </c>
      <c r="H358" s="48">
        <f t="shared" ref="H358:J358" si="77">SUM(H345:H357)</f>
        <v>2328139</v>
      </c>
      <c r="I358" s="48">
        <f t="shared" si="77"/>
        <v>671861</v>
      </c>
      <c r="J358" s="47">
        <f t="shared" si="77"/>
        <v>2999999.9999999995</v>
      </c>
    </row>
    <row r="359" spans="1:10" s="3" customFormat="1" x14ac:dyDescent="0.25">
      <c r="A359" s="34" t="s">
        <v>22</v>
      </c>
      <c r="B359" s="34" t="s">
        <v>214</v>
      </c>
      <c r="C359" s="34" t="s">
        <v>210</v>
      </c>
      <c r="D359" s="1"/>
      <c r="E359" s="2"/>
      <c r="F359" s="2"/>
      <c r="G359" s="47">
        <v>4</v>
      </c>
      <c r="H359" s="35">
        <v>2030150</v>
      </c>
      <c r="I359" s="35">
        <v>469850</v>
      </c>
      <c r="J359" s="63">
        <f t="shared" si="68"/>
        <v>2500000</v>
      </c>
    </row>
    <row r="360" spans="1:10" s="3" customFormat="1" x14ac:dyDescent="0.25">
      <c r="A360" s="36"/>
      <c r="B360" s="1" t="s">
        <v>475</v>
      </c>
      <c r="C360" s="1"/>
      <c r="D360" s="1"/>
      <c r="E360" s="2"/>
      <c r="F360" s="2"/>
      <c r="G360" s="47">
        <f>SUM(G359:G359)</f>
        <v>4</v>
      </c>
      <c r="H360" s="47">
        <f>SUM(H359:H359)</f>
        <v>2030150</v>
      </c>
      <c r="I360" s="47">
        <f>SUM(I359:I359)</f>
        <v>469850</v>
      </c>
      <c r="J360" s="47">
        <f>SUM(J359:J359)</f>
        <v>2500000</v>
      </c>
    </row>
    <row r="361" spans="1:10" x14ac:dyDescent="0.25">
      <c r="A361" s="4" t="s">
        <v>23</v>
      </c>
      <c r="B361" s="5" t="s">
        <v>217</v>
      </c>
      <c r="C361" s="5" t="s">
        <v>218</v>
      </c>
      <c r="D361" s="5">
        <v>1</v>
      </c>
      <c r="E361" s="11">
        <v>3313</v>
      </c>
      <c r="F361" s="11">
        <v>1325</v>
      </c>
      <c r="G361" s="27">
        <f t="shared" ref="G361:G368" si="78">+D361*4.78125</f>
        <v>4.78125</v>
      </c>
      <c r="H361" s="13">
        <f>+E361*2322620/231832</f>
        <v>33191.449239104179</v>
      </c>
      <c r="I361" s="13">
        <f t="shared" ref="I361:I368" si="79">+F361*177379/17705</f>
        <v>13274.621575826039</v>
      </c>
      <c r="J361" s="51">
        <f t="shared" si="68"/>
        <v>46466.070814930215</v>
      </c>
    </row>
    <row r="362" spans="1:10" x14ac:dyDescent="0.25">
      <c r="A362" s="4" t="s">
        <v>23</v>
      </c>
      <c r="B362" s="5" t="s">
        <v>226</v>
      </c>
      <c r="C362" s="5" t="s">
        <v>210</v>
      </c>
      <c r="D362" s="5">
        <v>7</v>
      </c>
      <c r="E362" s="11">
        <v>6790</v>
      </c>
      <c r="F362" s="11">
        <v>0</v>
      </c>
      <c r="G362" s="27">
        <f t="shared" si="78"/>
        <v>33.46875</v>
      </c>
      <c r="H362" s="13">
        <f>+E362*2322620/231832</f>
        <v>68025.940336105457</v>
      </c>
      <c r="I362" s="13">
        <f t="shared" si="79"/>
        <v>0</v>
      </c>
      <c r="J362" s="51">
        <f t="shared" si="68"/>
        <v>68025.940336105457</v>
      </c>
    </row>
    <row r="363" spans="1:10" x14ac:dyDescent="0.25">
      <c r="A363" s="4" t="s">
        <v>23</v>
      </c>
      <c r="B363" s="5" t="s">
        <v>227</v>
      </c>
      <c r="C363" s="5" t="s">
        <v>210</v>
      </c>
      <c r="D363" s="5">
        <v>4</v>
      </c>
      <c r="E363" s="11">
        <v>3880</v>
      </c>
      <c r="F363" s="11">
        <v>0</v>
      </c>
      <c r="G363" s="27">
        <f t="shared" si="78"/>
        <v>19.125</v>
      </c>
      <c r="H363" s="13">
        <f>+E363*2322620/231832</f>
        <v>38871.965906345977</v>
      </c>
      <c r="I363" s="13">
        <f t="shared" si="79"/>
        <v>0</v>
      </c>
      <c r="J363" s="51">
        <f t="shared" si="68"/>
        <v>38871.965906345977</v>
      </c>
    </row>
    <row r="364" spans="1:10" x14ac:dyDescent="0.25">
      <c r="A364" s="4" t="s">
        <v>23</v>
      </c>
      <c r="B364" s="5" t="s">
        <v>228</v>
      </c>
      <c r="C364" s="5" t="s">
        <v>229</v>
      </c>
      <c r="D364" s="5">
        <v>8</v>
      </c>
      <c r="E364" s="11">
        <v>15528</v>
      </c>
      <c r="F364" s="11">
        <v>0</v>
      </c>
      <c r="G364" s="27">
        <f t="shared" si="78"/>
        <v>38.25</v>
      </c>
      <c r="H364" s="13">
        <f>+E364*2322620/231832</f>
        <v>155568.01200869595</v>
      </c>
      <c r="I364" s="13">
        <f t="shared" si="79"/>
        <v>0</v>
      </c>
      <c r="J364" s="51">
        <f t="shared" si="68"/>
        <v>155568.01200869595</v>
      </c>
    </row>
    <row r="365" spans="1:10" x14ac:dyDescent="0.25">
      <c r="A365" s="4" t="s">
        <v>23</v>
      </c>
      <c r="B365" s="5" t="s">
        <v>230</v>
      </c>
      <c r="C365" s="5" t="s">
        <v>229</v>
      </c>
      <c r="D365" s="5">
        <v>5</v>
      </c>
      <c r="E365" s="11">
        <v>9705</v>
      </c>
      <c r="F365" s="11">
        <v>0</v>
      </c>
      <c r="G365" s="27">
        <f t="shared" si="78"/>
        <v>23.90625</v>
      </c>
      <c r="H365" s="13">
        <f>+E365*2322620/231832</f>
        <v>97230.007505434973</v>
      </c>
      <c r="I365" s="13">
        <f t="shared" si="79"/>
        <v>0</v>
      </c>
      <c r="J365" s="51">
        <f t="shared" si="68"/>
        <v>97230.007505434973</v>
      </c>
    </row>
    <row r="366" spans="1:10" x14ac:dyDescent="0.25">
      <c r="A366" s="4" t="s">
        <v>23</v>
      </c>
      <c r="B366" s="5" t="s">
        <v>262</v>
      </c>
      <c r="C366" s="5" t="s">
        <v>263</v>
      </c>
      <c r="D366" s="5">
        <v>1</v>
      </c>
      <c r="E366" s="11">
        <v>151666</v>
      </c>
      <c r="F366" s="11">
        <v>0</v>
      </c>
      <c r="G366" s="27">
        <f t="shared" si="78"/>
        <v>4.78125</v>
      </c>
      <c r="H366" s="13">
        <f>+E366*2322620/231832+1</f>
        <v>1519474.0879257394</v>
      </c>
      <c r="I366" s="13">
        <f t="shared" si="79"/>
        <v>0</v>
      </c>
      <c r="J366" s="51">
        <f t="shared" si="68"/>
        <v>1519474.0879257394</v>
      </c>
    </row>
    <row r="367" spans="1:10" x14ac:dyDescent="0.25">
      <c r="A367" s="4" t="s">
        <v>23</v>
      </c>
      <c r="B367" s="5" t="s">
        <v>239</v>
      </c>
      <c r="C367" s="5" t="s">
        <v>236</v>
      </c>
      <c r="D367" s="5">
        <v>3</v>
      </c>
      <c r="E367" s="11">
        <v>20475</v>
      </c>
      <c r="F367" s="11">
        <v>8190</v>
      </c>
      <c r="G367" s="27">
        <f t="shared" si="78"/>
        <v>14.34375</v>
      </c>
      <c r="H367" s="13">
        <f>+E367*2322620/231832</f>
        <v>205129.76853928706</v>
      </c>
      <c r="I367" s="13">
        <f t="shared" si="79"/>
        <v>82052.189212086974</v>
      </c>
      <c r="J367" s="51">
        <f t="shared" si="68"/>
        <v>287181.95775137405</v>
      </c>
    </row>
    <row r="368" spans="1:10" x14ac:dyDescent="0.25">
      <c r="A368" s="4" t="s">
        <v>23</v>
      </c>
      <c r="B368" s="5" t="s">
        <v>241</v>
      </c>
      <c r="C368" s="5" t="s">
        <v>236</v>
      </c>
      <c r="D368" s="5">
        <v>3</v>
      </c>
      <c r="E368" s="11">
        <v>20475</v>
      </c>
      <c r="F368" s="11">
        <v>8190</v>
      </c>
      <c r="G368" s="27">
        <f t="shared" si="78"/>
        <v>14.34375</v>
      </c>
      <c r="H368" s="13">
        <f>+E368*2322620/231832</f>
        <v>205129.76853928706</v>
      </c>
      <c r="I368" s="13">
        <f t="shared" si="79"/>
        <v>82052.189212086974</v>
      </c>
      <c r="J368" s="51">
        <f t="shared" si="68"/>
        <v>287181.95775137405</v>
      </c>
    </row>
    <row r="369" spans="1:10" s="3" customFormat="1" x14ac:dyDescent="0.25">
      <c r="A369" s="36"/>
      <c r="B369" s="1" t="s">
        <v>449</v>
      </c>
      <c r="C369" s="1"/>
      <c r="D369" s="1"/>
      <c r="E369" s="2"/>
      <c r="F369" s="2"/>
      <c r="G369" s="47">
        <f>SUM(G361:G368)</f>
        <v>153</v>
      </c>
      <c r="H369" s="47">
        <f t="shared" ref="H369:J369" si="80">SUM(H361:H368)</f>
        <v>2322621</v>
      </c>
      <c r="I369" s="47">
        <f t="shared" si="80"/>
        <v>177379</v>
      </c>
      <c r="J369" s="47">
        <f t="shared" si="80"/>
        <v>2500000.0000000005</v>
      </c>
    </row>
    <row r="370" spans="1:10" s="3" customFormat="1" x14ac:dyDescent="0.25">
      <c r="A370" s="16" t="s">
        <v>24</v>
      </c>
      <c r="B370" s="5" t="s">
        <v>214</v>
      </c>
      <c r="C370" s="5" t="s">
        <v>210</v>
      </c>
      <c r="D370" s="21"/>
      <c r="E370" s="29"/>
      <c r="F370" s="29"/>
      <c r="G370" s="48">
        <v>4</v>
      </c>
      <c r="H370" s="17">
        <v>1459723</v>
      </c>
      <c r="I370" s="17">
        <v>1040277</v>
      </c>
      <c r="J370" s="51">
        <f t="shared" si="68"/>
        <v>2500000</v>
      </c>
    </row>
    <row r="371" spans="1:10" s="3" customFormat="1" x14ac:dyDescent="0.25">
      <c r="A371" s="36"/>
      <c r="B371" s="1" t="s">
        <v>474</v>
      </c>
      <c r="C371" s="1"/>
      <c r="D371" s="1"/>
      <c r="E371" s="2"/>
      <c r="F371" s="2"/>
      <c r="G371" s="47">
        <f>SUM(G370:G370)</f>
        <v>4</v>
      </c>
      <c r="H371" s="47">
        <f>SUM(H370:H370)</f>
        <v>1459723</v>
      </c>
      <c r="I371" s="47">
        <f>SUM(I370:I370)</f>
        <v>1040277</v>
      </c>
      <c r="J371" s="47">
        <f>SUM(J370:J370)</f>
        <v>2500000</v>
      </c>
    </row>
    <row r="372" spans="1:10" x14ac:dyDescent="0.25">
      <c r="A372" s="4" t="s">
        <v>25</v>
      </c>
      <c r="B372" s="5" t="s">
        <v>225</v>
      </c>
      <c r="C372" s="5" t="s">
        <v>210</v>
      </c>
      <c r="D372" s="5">
        <v>1</v>
      </c>
      <c r="E372" s="11">
        <v>970</v>
      </c>
      <c r="F372" s="11">
        <v>0</v>
      </c>
      <c r="G372" s="27">
        <f>+D372*4.75</f>
        <v>4.75</v>
      </c>
      <c r="H372" s="13">
        <f>+E372*2000000/394086</f>
        <v>4922.7833518572088</v>
      </c>
      <c r="I372" s="13">
        <v>0</v>
      </c>
      <c r="J372" s="51">
        <f t="shared" si="68"/>
        <v>4922.7833518572088</v>
      </c>
    </row>
    <row r="373" spans="1:10" x14ac:dyDescent="0.25">
      <c r="A373" s="4" t="s">
        <v>25</v>
      </c>
      <c r="B373" s="5" t="s">
        <v>226</v>
      </c>
      <c r="C373" s="5" t="s">
        <v>210</v>
      </c>
      <c r="D373" s="5">
        <v>1</v>
      </c>
      <c r="E373" s="11">
        <v>970</v>
      </c>
      <c r="F373" s="11">
        <v>0</v>
      </c>
      <c r="G373" s="27">
        <f>+D373*4.75</f>
        <v>4.75</v>
      </c>
      <c r="H373" s="13">
        <f>+E373*2000000/394086</f>
        <v>4922.7833518572088</v>
      </c>
      <c r="I373" s="13">
        <v>0</v>
      </c>
      <c r="J373" s="51">
        <f t="shared" si="68"/>
        <v>4922.7833518572088</v>
      </c>
    </row>
    <row r="374" spans="1:10" x14ac:dyDescent="0.25">
      <c r="A374" s="4" t="s">
        <v>25</v>
      </c>
      <c r="B374" s="5" t="s">
        <v>228</v>
      </c>
      <c r="C374" s="5" t="s">
        <v>229</v>
      </c>
      <c r="D374" s="5">
        <v>2</v>
      </c>
      <c r="E374" s="11">
        <v>3882</v>
      </c>
      <c r="F374" s="11">
        <v>0</v>
      </c>
      <c r="G374" s="27">
        <f>+D374*4.75</f>
        <v>9.5</v>
      </c>
      <c r="H374" s="13">
        <f>+E374*2000000/394086</f>
        <v>19701.283476195553</v>
      </c>
      <c r="I374" s="13">
        <v>0</v>
      </c>
      <c r="J374" s="51">
        <f t="shared" si="68"/>
        <v>19701.283476195553</v>
      </c>
    </row>
    <row r="375" spans="1:10" x14ac:dyDescent="0.25">
      <c r="A375" s="15" t="s">
        <v>25</v>
      </c>
      <c r="B375" s="16" t="s">
        <v>233</v>
      </c>
      <c r="C375" s="16" t="s">
        <v>234</v>
      </c>
      <c r="D375" s="16">
        <v>4</v>
      </c>
      <c r="E375" s="18">
        <v>388264</v>
      </c>
      <c r="F375" s="18">
        <v>0</v>
      </c>
      <c r="G375" s="54">
        <f>+D375*4.75</f>
        <v>19</v>
      </c>
      <c r="H375" s="19">
        <f>+E375*2000000/394086</f>
        <v>1970453.14982009</v>
      </c>
      <c r="I375" s="19">
        <v>0</v>
      </c>
      <c r="J375" s="51">
        <f t="shared" si="68"/>
        <v>1970453.14982009</v>
      </c>
    </row>
    <row r="376" spans="1:10" s="3" customFormat="1" x14ac:dyDescent="0.25">
      <c r="A376" s="4"/>
      <c r="B376" s="20" t="s">
        <v>450</v>
      </c>
      <c r="C376" s="21"/>
      <c r="D376" s="21"/>
      <c r="E376" s="29"/>
      <c r="F376" s="29"/>
      <c r="G376" s="48">
        <f>SUM(G372:G375)</f>
        <v>38</v>
      </c>
      <c r="H376" s="48">
        <f t="shared" ref="H376:J376" si="81">SUM(H372:H375)</f>
        <v>2000000</v>
      </c>
      <c r="I376" s="48">
        <f t="shared" si="81"/>
        <v>0</v>
      </c>
      <c r="J376" s="47">
        <f t="shared" si="81"/>
        <v>2000000</v>
      </c>
    </row>
    <row r="377" spans="1:10" x14ac:dyDescent="0.25">
      <c r="A377" s="23" t="s">
        <v>26</v>
      </c>
      <c r="B377" s="24" t="s">
        <v>213</v>
      </c>
      <c r="C377" s="24" t="s">
        <v>212</v>
      </c>
      <c r="D377" s="24">
        <v>1</v>
      </c>
      <c r="E377" s="30">
        <v>1456</v>
      </c>
      <c r="F377" s="30">
        <v>0</v>
      </c>
      <c r="G377" s="26">
        <f t="shared" ref="G377:G387" si="82">+D377*4.80952380952381</f>
        <v>4.8095238095238102</v>
      </c>
      <c r="H377" s="7">
        <f t="shared" ref="H377:H387" si="83">+E377*4811342/519520</f>
        <v>13484.204558053589</v>
      </c>
      <c r="I377" s="7">
        <f t="shared" ref="I377:I387" si="84">+F377*188658/20371</f>
        <v>0</v>
      </c>
      <c r="J377" s="51">
        <f t="shared" si="68"/>
        <v>13484.204558053589</v>
      </c>
    </row>
    <row r="378" spans="1:10" x14ac:dyDescent="0.25">
      <c r="A378" s="4" t="s">
        <v>26</v>
      </c>
      <c r="B378" s="5" t="s">
        <v>217</v>
      </c>
      <c r="C378" s="5" t="s">
        <v>218</v>
      </c>
      <c r="D378" s="5">
        <v>1</v>
      </c>
      <c r="E378" s="11">
        <v>3313</v>
      </c>
      <c r="F378" s="11">
        <v>1325</v>
      </c>
      <c r="G378" s="27">
        <f t="shared" si="82"/>
        <v>4.8095238095238102</v>
      </c>
      <c r="H378" s="13">
        <f t="shared" si="83"/>
        <v>30682.122047274406</v>
      </c>
      <c r="I378" s="13">
        <f t="shared" si="84"/>
        <v>12270.966079230278</v>
      </c>
      <c r="J378" s="51">
        <f t="shared" si="68"/>
        <v>42953.088126504685</v>
      </c>
    </row>
    <row r="379" spans="1:10" x14ac:dyDescent="0.25">
      <c r="A379" s="4" t="s">
        <v>26</v>
      </c>
      <c r="B379" s="5" t="s">
        <v>227</v>
      </c>
      <c r="C379" s="5" t="s">
        <v>210</v>
      </c>
      <c r="D379" s="5">
        <v>1</v>
      </c>
      <c r="E379" s="11">
        <v>970</v>
      </c>
      <c r="F379" s="11">
        <v>0</v>
      </c>
      <c r="G379" s="27">
        <f t="shared" si="82"/>
        <v>4.8095238095238102</v>
      </c>
      <c r="H379" s="13">
        <f t="shared" si="83"/>
        <v>8983.2956190329533</v>
      </c>
      <c r="I379" s="13">
        <f t="shared" si="84"/>
        <v>0</v>
      </c>
      <c r="J379" s="51">
        <f t="shared" si="68"/>
        <v>8983.2956190329533</v>
      </c>
    </row>
    <row r="380" spans="1:10" x14ac:dyDescent="0.25">
      <c r="A380" s="4" t="s">
        <v>26</v>
      </c>
      <c r="B380" s="5" t="s">
        <v>262</v>
      </c>
      <c r="C380" s="5" t="s">
        <v>263</v>
      </c>
      <c r="D380" s="5">
        <v>3</v>
      </c>
      <c r="E380" s="11">
        <v>454998</v>
      </c>
      <c r="F380" s="11">
        <v>0</v>
      </c>
      <c r="G380" s="27">
        <f t="shared" si="82"/>
        <v>14.428571428571431</v>
      </c>
      <c r="H380" s="13">
        <f t="shared" si="83"/>
        <v>4213795.4021327375</v>
      </c>
      <c r="I380" s="13">
        <f t="shared" si="84"/>
        <v>0</v>
      </c>
      <c r="J380" s="51">
        <f t="shared" si="68"/>
        <v>4213795.4021327375</v>
      </c>
    </row>
    <row r="381" spans="1:10" x14ac:dyDescent="0.25">
      <c r="A381" s="4" t="s">
        <v>26</v>
      </c>
      <c r="B381" s="5" t="s">
        <v>239</v>
      </c>
      <c r="C381" s="5" t="s">
        <v>236</v>
      </c>
      <c r="D381" s="5">
        <v>1</v>
      </c>
      <c r="E381" s="11">
        <v>6825</v>
      </c>
      <c r="F381" s="11">
        <v>2730</v>
      </c>
      <c r="G381" s="27">
        <f t="shared" si="82"/>
        <v>4.8095238095238102</v>
      </c>
      <c r="H381" s="13">
        <f t="shared" si="83"/>
        <v>63207.208865876193</v>
      </c>
      <c r="I381" s="13">
        <f t="shared" si="84"/>
        <v>25282.820676451818</v>
      </c>
      <c r="J381" s="51">
        <f t="shared" si="68"/>
        <v>88490.029542328004</v>
      </c>
    </row>
    <row r="382" spans="1:10" x14ac:dyDescent="0.25">
      <c r="A382" s="4" t="s">
        <v>26</v>
      </c>
      <c r="B382" s="5" t="s">
        <v>240</v>
      </c>
      <c r="C382" s="5" t="s">
        <v>238</v>
      </c>
      <c r="D382" s="5">
        <v>5</v>
      </c>
      <c r="E382" s="11">
        <v>25630</v>
      </c>
      <c r="F382" s="11">
        <v>10250</v>
      </c>
      <c r="G382" s="27">
        <f t="shared" si="82"/>
        <v>24.047619047619051</v>
      </c>
      <c r="H382" s="13">
        <f t="shared" si="83"/>
        <v>237362.74919156145</v>
      </c>
      <c r="I382" s="13">
        <f t="shared" si="84"/>
        <v>94926.341367630448</v>
      </c>
      <c r="J382" s="51">
        <f t="shared" si="68"/>
        <v>332289.09055919189</v>
      </c>
    </row>
    <row r="383" spans="1:10" x14ac:dyDescent="0.25">
      <c r="A383" s="4" t="s">
        <v>26</v>
      </c>
      <c r="B383" s="5" t="s">
        <v>249</v>
      </c>
      <c r="C383" s="5" t="s">
        <v>250</v>
      </c>
      <c r="D383" s="5">
        <v>1</v>
      </c>
      <c r="E383" s="11">
        <v>15166</v>
      </c>
      <c r="F383" s="11">
        <v>6066</v>
      </c>
      <c r="G383" s="27">
        <f t="shared" si="82"/>
        <v>4.8095238095238102</v>
      </c>
      <c r="H383" s="13">
        <f t="shared" si="83"/>
        <v>140454.29006005544</v>
      </c>
      <c r="I383" s="13">
        <f t="shared" si="84"/>
        <v>56177.871876687444</v>
      </c>
      <c r="J383" s="51">
        <f t="shared" si="68"/>
        <v>196632.16193674289</v>
      </c>
    </row>
    <row r="384" spans="1:10" x14ac:dyDescent="0.25">
      <c r="A384" s="4" t="s">
        <v>26</v>
      </c>
      <c r="B384" s="5" t="s">
        <v>252</v>
      </c>
      <c r="C384" s="5" t="s">
        <v>212</v>
      </c>
      <c r="D384" s="5">
        <v>2</v>
      </c>
      <c r="E384" s="11">
        <v>2912</v>
      </c>
      <c r="F384" s="11">
        <v>0</v>
      </c>
      <c r="G384" s="27">
        <f t="shared" si="82"/>
        <v>9.6190476190476204</v>
      </c>
      <c r="H384" s="13">
        <f t="shared" si="83"/>
        <v>26968.409116107177</v>
      </c>
      <c r="I384" s="13">
        <f t="shared" si="84"/>
        <v>0</v>
      </c>
      <c r="J384" s="51">
        <f t="shared" si="68"/>
        <v>26968.409116107177</v>
      </c>
    </row>
    <row r="385" spans="1:10" x14ac:dyDescent="0.25">
      <c r="A385" s="4" t="s">
        <v>26</v>
      </c>
      <c r="B385" s="5" t="s">
        <v>254</v>
      </c>
      <c r="C385" s="5" t="s">
        <v>212</v>
      </c>
      <c r="D385" s="5">
        <v>4</v>
      </c>
      <c r="E385" s="11">
        <v>5824</v>
      </c>
      <c r="F385" s="11">
        <v>0</v>
      </c>
      <c r="G385" s="27">
        <f t="shared" si="82"/>
        <v>19.238095238095241</v>
      </c>
      <c r="H385" s="13">
        <f t="shared" si="83"/>
        <v>53936.818232214355</v>
      </c>
      <c r="I385" s="13">
        <f t="shared" si="84"/>
        <v>0</v>
      </c>
      <c r="J385" s="51">
        <f t="shared" si="68"/>
        <v>53936.818232214355</v>
      </c>
    </row>
    <row r="386" spans="1:10" x14ac:dyDescent="0.25">
      <c r="A386" s="4" t="s">
        <v>26</v>
      </c>
      <c r="B386" s="5" t="s">
        <v>256</v>
      </c>
      <c r="C386" s="5" t="s">
        <v>212</v>
      </c>
      <c r="D386" s="5">
        <v>1</v>
      </c>
      <c r="E386" s="11">
        <v>1456</v>
      </c>
      <c r="F386" s="11">
        <v>0</v>
      </c>
      <c r="G386" s="27">
        <f t="shared" si="82"/>
        <v>4.8095238095238102</v>
      </c>
      <c r="H386" s="13">
        <f t="shared" si="83"/>
        <v>13484.204558053589</v>
      </c>
      <c r="I386" s="13">
        <f t="shared" si="84"/>
        <v>0</v>
      </c>
      <c r="J386" s="51">
        <f t="shared" si="68"/>
        <v>13484.204558053589</v>
      </c>
    </row>
    <row r="387" spans="1:10" x14ac:dyDescent="0.25">
      <c r="A387" s="15" t="s">
        <v>26</v>
      </c>
      <c r="B387" s="16" t="s">
        <v>257</v>
      </c>
      <c r="C387" s="16" t="s">
        <v>210</v>
      </c>
      <c r="D387" s="16">
        <v>1</v>
      </c>
      <c r="E387" s="18">
        <v>970</v>
      </c>
      <c r="F387" s="18">
        <v>0</v>
      </c>
      <c r="G387" s="54">
        <f t="shared" si="82"/>
        <v>4.8095238095238102</v>
      </c>
      <c r="H387" s="19">
        <f t="shared" si="83"/>
        <v>8983.2956190329533</v>
      </c>
      <c r="I387" s="19">
        <f t="shared" si="84"/>
        <v>0</v>
      </c>
      <c r="J387" s="51">
        <f t="shared" si="68"/>
        <v>8983.2956190329533</v>
      </c>
    </row>
    <row r="388" spans="1:10" s="3" customFormat="1" x14ac:dyDescent="0.25">
      <c r="A388" s="4"/>
      <c r="B388" s="20" t="s">
        <v>451</v>
      </c>
      <c r="C388" s="21"/>
      <c r="D388" s="21"/>
      <c r="E388" s="29"/>
      <c r="F388" s="29"/>
      <c r="G388" s="48">
        <f>SUM(G377:G387)</f>
        <v>101.00000000000001</v>
      </c>
      <c r="H388" s="48">
        <f t="shared" ref="H388:J388" si="85">SUM(H377:H387)</f>
        <v>4811342</v>
      </c>
      <c r="I388" s="48">
        <f t="shared" si="85"/>
        <v>188658</v>
      </c>
      <c r="J388" s="47">
        <f t="shared" si="85"/>
        <v>5000000</v>
      </c>
    </row>
    <row r="389" spans="1:10" x14ac:dyDescent="0.25">
      <c r="A389" s="23" t="s">
        <v>27</v>
      </c>
      <c r="B389" s="24" t="s">
        <v>215</v>
      </c>
      <c r="C389" s="24" t="s">
        <v>212</v>
      </c>
      <c r="D389" s="24">
        <v>1</v>
      </c>
      <c r="E389" s="30">
        <v>728</v>
      </c>
      <c r="F389" s="30">
        <v>0</v>
      </c>
      <c r="G389" s="26">
        <f>+D389*4.85714285714286</f>
        <v>4.8571428571428603</v>
      </c>
      <c r="H389" s="7">
        <f>+E389*1242781/11190</f>
        <v>80852.95513851654</v>
      </c>
      <c r="I389" s="7">
        <f>+F389*757219/6818</f>
        <v>0</v>
      </c>
      <c r="J389" s="51">
        <f t="shared" si="68"/>
        <v>80852.95513851654</v>
      </c>
    </row>
    <row r="390" spans="1:10" x14ac:dyDescent="0.25">
      <c r="A390" s="4" t="s">
        <v>27</v>
      </c>
      <c r="B390" s="5" t="s">
        <v>219</v>
      </c>
      <c r="C390" s="5" t="s">
        <v>220</v>
      </c>
      <c r="D390" s="5">
        <v>1</v>
      </c>
      <c r="E390" s="11">
        <v>1698</v>
      </c>
      <c r="F390" s="11">
        <v>1358</v>
      </c>
      <c r="G390" s="27">
        <f>+D390*4.85714285714286</f>
        <v>4.8571428571428603</v>
      </c>
      <c r="H390" s="13">
        <f>+E390*1242781/11190</f>
        <v>188582.85415549597</v>
      </c>
      <c r="I390" s="13">
        <f>+F390*757219/6818</f>
        <v>150821.85420944559</v>
      </c>
      <c r="J390" s="51">
        <f t="shared" si="68"/>
        <v>339404.70836494153</v>
      </c>
    </row>
    <row r="391" spans="1:10" x14ac:dyDescent="0.25">
      <c r="A391" s="4" t="s">
        <v>27</v>
      </c>
      <c r="B391" s="5" t="s">
        <v>230</v>
      </c>
      <c r="C391" s="5" t="s">
        <v>229</v>
      </c>
      <c r="D391" s="5">
        <v>1</v>
      </c>
      <c r="E391" s="11">
        <v>970</v>
      </c>
      <c r="F391" s="11">
        <v>0</v>
      </c>
      <c r="G391" s="27">
        <f>+D391*4.85714285714286</f>
        <v>4.8571428571428603</v>
      </c>
      <c r="H391" s="13">
        <f>+E391*1242781/11190</f>
        <v>107729.89901697944</v>
      </c>
      <c r="I391" s="13">
        <f>+F391*757219/6818</f>
        <v>0</v>
      </c>
      <c r="J391" s="51">
        <f t="shared" si="68"/>
        <v>107729.89901697944</v>
      </c>
    </row>
    <row r="392" spans="1:10" x14ac:dyDescent="0.25">
      <c r="A392" s="4" t="s">
        <v>27</v>
      </c>
      <c r="B392" s="5" t="s">
        <v>241</v>
      </c>
      <c r="C392" s="5" t="s">
        <v>236</v>
      </c>
      <c r="D392" s="5">
        <v>2</v>
      </c>
      <c r="E392" s="11">
        <v>6824</v>
      </c>
      <c r="F392" s="11">
        <v>5460</v>
      </c>
      <c r="G392" s="27">
        <f>+D392*4.85714285714286</f>
        <v>9.7142857142857206</v>
      </c>
      <c r="H392" s="13">
        <f>+E392*1242781/11190</f>
        <v>757885.39267202863</v>
      </c>
      <c r="I392" s="13">
        <f>+F392*757219/6818</f>
        <v>606397.14579055447</v>
      </c>
      <c r="J392" s="51">
        <f t="shared" si="68"/>
        <v>1364282.538462583</v>
      </c>
    </row>
    <row r="393" spans="1:10" x14ac:dyDescent="0.25">
      <c r="A393" s="15" t="s">
        <v>27</v>
      </c>
      <c r="B393" s="16" t="s">
        <v>257</v>
      </c>
      <c r="C393" s="16" t="s">
        <v>210</v>
      </c>
      <c r="D393" s="16">
        <v>2</v>
      </c>
      <c r="E393" s="18">
        <v>970</v>
      </c>
      <c r="F393" s="18">
        <v>0</v>
      </c>
      <c r="G393" s="27">
        <f>+D393*4.85714285714286</f>
        <v>9.7142857142857206</v>
      </c>
      <c r="H393" s="13">
        <f>+E393*1242781/11190</f>
        <v>107729.89901697944</v>
      </c>
      <c r="I393" s="13">
        <f>+F393*757219/6818</f>
        <v>0</v>
      </c>
      <c r="J393" s="51">
        <f t="shared" ref="J393" si="86">SUM(H393:I393)</f>
        <v>107729.89901697944</v>
      </c>
    </row>
    <row r="394" spans="1:10" s="3" customFormat="1" x14ac:dyDescent="0.25">
      <c r="A394" s="4"/>
      <c r="B394" s="20" t="s">
        <v>452</v>
      </c>
      <c r="C394" s="21"/>
      <c r="D394" s="21"/>
      <c r="E394" s="29"/>
      <c r="F394" s="29"/>
      <c r="G394" s="47">
        <f>SUM(G389:G393)</f>
        <v>34.000000000000021</v>
      </c>
      <c r="H394" s="47">
        <f t="shared" ref="H394:J394" si="87">SUM(H389:H393)</f>
        <v>1242781</v>
      </c>
      <c r="I394" s="47">
        <f t="shared" si="87"/>
        <v>757219</v>
      </c>
      <c r="J394" s="47">
        <f t="shared" si="87"/>
        <v>1999999.9999999998</v>
      </c>
    </row>
    <row r="395" spans="1:10" x14ac:dyDescent="0.25">
      <c r="A395" s="23" t="s">
        <v>472</v>
      </c>
      <c r="B395" s="24" t="s">
        <v>217</v>
      </c>
      <c r="C395" s="24" t="s">
        <v>218</v>
      </c>
      <c r="D395" s="24">
        <v>1</v>
      </c>
      <c r="E395" s="30">
        <v>3313</v>
      </c>
      <c r="F395" s="30">
        <v>1325</v>
      </c>
      <c r="G395" s="27">
        <f>+D395*4.76470588235294</f>
        <v>4.7647058823529402</v>
      </c>
      <c r="H395" s="13">
        <f>+E395*3095689/52191</f>
        <v>196509.31495851776</v>
      </c>
      <c r="I395" s="13">
        <f>+F395*904311/15246</f>
        <v>78591.897874852424</v>
      </c>
      <c r="J395" s="51">
        <f>SUM(H395:I395)</f>
        <v>275101.2128333702</v>
      </c>
    </row>
    <row r="396" spans="1:10" x14ac:dyDescent="0.25">
      <c r="A396" s="4" t="s">
        <v>472</v>
      </c>
      <c r="B396" s="5" t="s">
        <v>223</v>
      </c>
      <c r="C396" s="5" t="s">
        <v>224</v>
      </c>
      <c r="D396" s="5">
        <v>2</v>
      </c>
      <c r="E396" s="11">
        <v>0</v>
      </c>
      <c r="F396" s="11">
        <v>0</v>
      </c>
      <c r="G396" s="27">
        <f t="shared" ref="G396:G405" si="88">+D396*4.76470588235294</f>
        <v>9.5294117647058805</v>
      </c>
      <c r="H396" s="13">
        <f t="shared" ref="H396:H405" si="89">+E396*3095689/52191</f>
        <v>0</v>
      </c>
      <c r="I396" s="13">
        <f t="shared" ref="I396:I405" si="90">+F396*904311/15246</f>
        <v>0</v>
      </c>
      <c r="J396" s="51">
        <f t="shared" ref="J396:J407" si="91">SUM(H396:I396)</f>
        <v>0</v>
      </c>
    </row>
    <row r="397" spans="1:10" x14ac:dyDescent="0.25">
      <c r="A397" s="4" t="s">
        <v>472</v>
      </c>
      <c r="B397" s="5" t="s">
        <v>226</v>
      </c>
      <c r="C397" s="5" t="s">
        <v>210</v>
      </c>
      <c r="D397" s="5">
        <v>1</v>
      </c>
      <c r="E397" s="11">
        <v>970</v>
      </c>
      <c r="F397" s="11">
        <v>0</v>
      </c>
      <c r="G397" s="27">
        <f t="shared" si="88"/>
        <v>4.7647058823529402</v>
      </c>
      <c r="H397" s="13">
        <f t="shared" si="89"/>
        <v>57535.17522178153</v>
      </c>
      <c r="I397" s="13">
        <f t="shared" si="90"/>
        <v>0</v>
      </c>
      <c r="J397" s="51">
        <f t="shared" si="91"/>
        <v>57535.17522178153</v>
      </c>
    </row>
    <row r="398" spans="1:10" x14ac:dyDescent="0.25">
      <c r="A398" s="4" t="s">
        <v>472</v>
      </c>
      <c r="B398" s="5" t="s">
        <v>227</v>
      </c>
      <c r="C398" s="5" t="s">
        <v>210</v>
      </c>
      <c r="D398" s="5">
        <v>1</v>
      </c>
      <c r="E398" s="11">
        <v>970</v>
      </c>
      <c r="F398" s="11">
        <v>0</v>
      </c>
      <c r="G398" s="27">
        <f t="shared" si="88"/>
        <v>4.7647058823529402</v>
      </c>
      <c r="H398" s="13">
        <f t="shared" si="89"/>
        <v>57535.17522178153</v>
      </c>
      <c r="I398" s="13">
        <f t="shared" si="90"/>
        <v>0</v>
      </c>
      <c r="J398" s="51">
        <f t="shared" si="91"/>
        <v>57535.17522178153</v>
      </c>
    </row>
    <row r="399" spans="1:10" x14ac:dyDescent="0.25">
      <c r="A399" s="4" t="s">
        <v>472</v>
      </c>
      <c r="B399" s="5" t="s">
        <v>228</v>
      </c>
      <c r="C399" s="5" t="s">
        <v>229</v>
      </c>
      <c r="D399" s="5">
        <v>2</v>
      </c>
      <c r="E399" s="11">
        <v>3882</v>
      </c>
      <c r="F399" s="11">
        <v>0</v>
      </c>
      <c r="G399" s="27">
        <f t="shared" si="88"/>
        <v>9.5294117647058805</v>
      </c>
      <c r="H399" s="13">
        <f t="shared" si="89"/>
        <v>230259.33011438753</v>
      </c>
      <c r="I399" s="13">
        <f t="shared" si="90"/>
        <v>0</v>
      </c>
      <c r="J399" s="51">
        <f t="shared" si="91"/>
        <v>230259.33011438753</v>
      </c>
    </row>
    <row r="400" spans="1:10" x14ac:dyDescent="0.25">
      <c r="A400" s="4" t="s">
        <v>472</v>
      </c>
      <c r="B400" s="5" t="s">
        <v>230</v>
      </c>
      <c r="C400" s="5" t="s">
        <v>229</v>
      </c>
      <c r="D400" s="5">
        <v>2</v>
      </c>
      <c r="E400" s="11">
        <v>3882</v>
      </c>
      <c r="F400" s="11">
        <v>0</v>
      </c>
      <c r="G400" s="27">
        <f t="shared" si="88"/>
        <v>9.5294117647058805</v>
      </c>
      <c r="H400" s="13">
        <f t="shared" si="89"/>
        <v>230259.33011438753</v>
      </c>
      <c r="I400" s="13">
        <f t="shared" si="90"/>
        <v>0</v>
      </c>
      <c r="J400" s="51">
        <f t="shared" si="91"/>
        <v>230259.33011438753</v>
      </c>
    </row>
    <row r="401" spans="1:10" x14ac:dyDescent="0.25">
      <c r="A401" s="4" t="s">
        <v>472</v>
      </c>
      <c r="B401" s="5" t="s">
        <v>237</v>
      </c>
      <c r="C401" s="5" t="s">
        <v>238</v>
      </c>
      <c r="D401" s="5">
        <v>2</v>
      </c>
      <c r="E401" s="11">
        <v>10252</v>
      </c>
      <c r="F401" s="11">
        <v>4100</v>
      </c>
      <c r="G401" s="27">
        <f t="shared" si="88"/>
        <v>9.5294117647058805</v>
      </c>
      <c r="H401" s="13">
        <f t="shared" si="89"/>
        <v>608093.41894196323</v>
      </c>
      <c r="I401" s="13">
        <f t="shared" si="90"/>
        <v>243190.0236127509</v>
      </c>
      <c r="J401" s="51">
        <f t="shared" si="91"/>
        <v>851283.44255471416</v>
      </c>
    </row>
    <row r="402" spans="1:10" x14ac:dyDescent="0.25">
      <c r="A402" s="4" t="s">
        <v>472</v>
      </c>
      <c r="B402" s="5" t="s">
        <v>241</v>
      </c>
      <c r="C402" s="5" t="s">
        <v>236</v>
      </c>
      <c r="D402" s="5">
        <v>1</v>
      </c>
      <c r="E402" s="11">
        <v>6825</v>
      </c>
      <c r="F402" s="11">
        <v>2730</v>
      </c>
      <c r="G402" s="27">
        <f t="shared" si="88"/>
        <v>4.7647058823529402</v>
      </c>
      <c r="H402" s="13">
        <f t="shared" si="89"/>
        <v>404822.23802954535</v>
      </c>
      <c r="I402" s="13">
        <f t="shared" si="90"/>
        <v>161928.96694214875</v>
      </c>
      <c r="J402" s="51">
        <f t="shared" si="91"/>
        <v>566751.20497169415</v>
      </c>
    </row>
    <row r="403" spans="1:10" x14ac:dyDescent="0.25">
      <c r="A403" s="4" t="s">
        <v>472</v>
      </c>
      <c r="B403" s="5" t="s">
        <v>248</v>
      </c>
      <c r="C403" s="5" t="s">
        <v>246</v>
      </c>
      <c r="D403" s="5">
        <v>1</v>
      </c>
      <c r="E403" s="11">
        <v>2563</v>
      </c>
      <c r="F403" s="11">
        <v>1025</v>
      </c>
      <c r="G403" s="27">
        <f t="shared" si="88"/>
        <v>4.7647058823529402</v>
      </c>
      <c r="H403" s="13">
        <f t="shared" si="89"/>
        <v>152023.35473549081</v>
      </c>
      <c r="I403" s="13">
        <f t="shared" si="90"/>
        <v>60797.505903187724</v>
      </c>
      <c r="J403" s="51">
        <f t="shared" si="91"/>
        <v>212820.86063867854</v>
      </c>
    </row>
    <row r="404" spans="1:10" x14ac:dyDescent="0.25">
      <c r="A404" s="4" t="s">
        <v>472</v>
      </c>
      <c r="B404" s="5" t="s">
        <v>249</v>
      </c>
      <c r="C404" s="5" t="s">
        <v>250</v>
      </c>
      <c r="D404" s="5">
        <v>1</v>
      </c>
      <c r="E404" s="11">
        <v>15166</v>
      </c>
      <c r="F404" s="11">
        <v>6066</v>
      </c>
      <c r="G404" s="27">
        <f t="shared" si="88"/>
        <v>4.7647058823529402</v>
      </c>
      <c r="H404" s="13">
        <f t="shared" si="89"/>
        <v>899565.43032323581</v>
      </c>
      <c r="I404" s="13">
        <f t="shared" si="90"/>
        <v>359802.60566706024</v>
      </c>
      <c r="J404" s="51">
        <f t="shared" si="91"/>
        <v>1259368.0359902959</v>
      </c>
    </row>
    <row r="405" spans="1:10" x14ac:dyDescent="0.25">
      <c r="A405" s="4" t="s">
        <v>472</v>
      </c>
      <c r="B405" s="5" t="s">
        <v>252</v>
      </c>
      <c r="C405" s="5" t="s">
        <v>212</v>
      </c>
      <c r="D405" s="5">
        <v>3</v>
      </c>
      <c r="E405" s="11">
        <v>4368</v>
      </c>
      <c r="F405" s="11">
        <v>0</v>
      </c>
      <c r="G405" s="27">
        <f t="shared" si="88"/>
        <v>14.294117647058821</v>
      </c>
      <c r="H405" s="13">
        <f t="shared" si="89"/>
        <v>259086.232338909</v>
      </c>
      <c r="I405" s="13">
        <f t="shared" si="90"/>
        <v>0</v>
      </c>
      <c r="J405" s="51">
        <f t="shared" si="91"/>
        <v>259086.232338909</v>
      </c>
    </row>
    <row r="406" spans="1:10" s="3" customFormat="1" x14ac:dyDescent="0.25">
      <c r="A406" s="36"/>
      <c r="B406" s="1" t="s">
        <v>478</v>
      </c>
      <c r="C406" s="1"/>
      <c r="D406" s="1"/>
      <c r="E406" s="1"/>
      <c r="F406" s="1"/>
      <c r="G406" s="47">
        <f>SUM(G395:G405)</f>
        <v>81</v>
      </c>
      <c r="H406" s="47">
        <f t="shared" ref="H406:J406" si="92">SUM(H395:H405)</f>
        <v>3095689.0000000005</v>
      </c>
      <c r="I406" s="47">
        <f t="shared" si="92"/>
        <v>904311</v>
      </c>
      <c r="J406" s="49">
        <f t="shared" si="92"/>
        <v>4000000.0000000005</v>
      </c>
    </row>
    <row r="407" spans="1:10" s="3" customFormat="1" x14ac:dyDescent="0.25">
      <c r="A407" s="16" t="s">
        <v>28</v>
      </c>
      <c r="B407" s="5" t="s">
        <v>214</v>
      </c>
      <c r="C407" s="5" t="s">
        <v>210</v>
      </c>
      <c r="D407" s="21"/>
      <c r="E407" s="21"/>
      <c r="F407" s="21"/>
      <c r="G407" s="48">
        <v>4</v>
      </c>
      <c r="H407" s="17">
        <v>2850000</v>
      </c>
      <c r="I407" s="17">
        <v>1150000</v>
      </c>
      <c r="J407" s="50">
        <f t="shared" si="91"/>
        <v>4000000</v>
      </c>
    </row>
    <row r="408" spans="1:10" s="3" customFormat="1" x14ac:dyDescent="0.25">
      <c r="A408" s="36"/>
      <c r="B408" s="1" t="s">
        <v>473</v>
      </c>
      <c r="C408" s="1"/>
      <c r="D408" s="1"/>
      <c r="E408" s="1"/>
      <c r="F408" s="1"/>
      <c r="G408" s="47">
        <f>SUM(G407:G407)</f>
        <v>4</v>
      </c>
      <c r="H408" s="47">
        <f>SUM(H407:H407)</f>
        <v>2850000</v>
      </c>
      <c r="I408" s="47">
        <f>SUM(I407:I407)</f>
        <v>1150000</v>
      </c>
      <c r="J408" s="47">
        <f>SUM(J407:J407)</f>
        <v>4000000</v>
      </c>
    </row>
    <row r="409" spans="1:10" x14ac:dyDescent="0.25">
      <c r="A409" s="4" t="s">
        <v>29</v>
      </c>
      <c r="B409" s="5" t="s">
        <v>207</v>
      </c>
      <c r="C409" s="5" t="s">
        <v>208</v>
      </c>
      <c r="D409" s="5">
        <v>1</v>
      </c>
      <c r="E409" s="11">
        <v>11648</v>
      </c>
      <c r="F409" s="11">
        <v>4659</v>
      </c>
      <c r="G409" s="27">
        <f>+D409*4.78869047619048</f>
        <v>4.7886904761904798</v>
      </c>
      <c r="H409" s="13">
        <f>+E409*8434585/1272897</f>
        <v>77183.029011773935</v>
      </c>
      <c r="I409" s="13">
        <f>+F409*1565415/236243</f>
        <v>30871.892437024588</v>
      </c>
      <c r="J409" s="51">
        <f>SUM(H409:I409)</f>
        <v>108054.92144879853</v>
      </c>
    </row>
    <row r="410" spans="1:10" x14ac:dyDescent="0.25">
      <c r="A410" s="4" t="s">
        <v>29</v>
      </c>
      <c r="B410" s="5" t="s">
        <v>209</v>
      </c>
      <c r="C410" s="5" t="s">
        <v>210</v>
      </c>
      <c r="D410" s="5">
        <v>7</v>
      </c>
      <c r="E410" s="11">
        <v>6790</v>
      </c>
      <c r="F410" s="11">
        <v>0</v>
      </c>
      <c r="G410" s="27">
        <f t="shared" ref="G410:G430" si="93">+D410*4.78869047619048</f>
        <v>33.520833333333357</v>
      </c>
      <c r="H410" s="13">
        <f t="shared" ref="H410:H430" si="94">+E410*8434585/1272897</f>
        <v>44992.510902296104</v>
      </c>
      <c r="I410" s="13">
        <f t="shared" ref="I410:I430" si="95">+F410*1565415/236243</f>
        <v>0</v>
      </c>
      <c r="J410" s="51">
        <f t="shared" ref="J410:J430" si="96">SUM(H410:I410)</f>
        <v>44992.510902296104</v>
      </c>
    </row>
    <row r="411" spans="1:10" x14ac:dyDescent="0.25">
      <c r="A411" s="4" t="s">
        <v>29</v>
      </c>
      <c r="B411" s="5" t="s">
        <v>213</v>
      </c>
      <c r="C411" s="5" t="s">
        <v>212</v>
      </c>
      <c r="D411" s="5">
        <v>1</v>
      </c>
      <c r="E411" s="11">
        <v>1456</v>
      </c>
      <c r="F411" s="11">
        <v>0</v>
      </c>
      <c r="G411" s="27">
        <f t="shared" si="93"/>
        <v>4.7886904761904798</v>
      </c>
      <c r="H411" s="13">
        <f t="shared" si="94"/>
        <v>9647.8786264717419</v>
      </c>
      <c r="I411" s="13">
        <f t="shared" si="95"/>
        <v>0</v>
      </c>
      <c r="J411" s="51">
        <f t="shared" si="96"/>
        <v>9647.8786264717419</v>
      </c>
    </row>
    <row r="412" spans="1:10" x14ac:dyDescent="0.25">
      <c r="A412" s="4" t="s">
        <v>29</v>
      </c>
      <c r="B412" s="5" t="s">
        <v>214</v>
      </c>
      <c r="C412" s="5" t="s">
        <v>210</v>
      </c>
      <c r="D412" s="5">
        <v>59</v>
      </c>
      <c r="E412" s="11">
        <v>57230</v>
      </c>
      <c r="F412" s="11">
        <v>0</v>
      </c>
      <c r="G412" s="27">
        <f t="shared" si="93"/>
        <v>282.5327380952383</v>
      </c>
      <c r="H412" s="13">
        <f t="shared" si="94"/>
        <v>379222.59189078142</v>
      </c>
      <c r="I412" s="13">
        <f t="shared" si="95"/>
        <v>0</v>
      </c>
      <c r="J412" s="51">
        <f t="shared" si="96"/>
        <v>379222.59189078142</v>
      </c>
    </row>
    <row r="413" spans="1:10" x14ac:dyDescent="0.25">
      <c r="A413" s="4" t="s">
        <v>29</v>
      </c>
      <c r="B413" s="5" t="s">
        <v>216</v>
      </c>
      <c r="C413" s="5" t="s">
        <v>210</v>
      </c>
      <c r="D413" s="5">
        <v>20</v>
      </c>
      <c r="E413" s="11">
        <v>19400</v>
      </c>
      <c r="F413" s="11">
        <v>0</v>
      </c>
      <c r="G413" s="27">
        <f t="shared" si="93"/>
        <v>95.773809523809604</v>
      </c>
      <c r="H413" s="13">
        <f t="shared" si="94"/>
        <v>128550.03114941744</v>
      </c>
      <c r="I413" s="13">
        <f t="shared" si="95"/>
        <v>0</v>
      </c>
      <c r="J413" s="51">
        <f t="shared" si="96"/>
        <v>128550.03114941744</v>
      </c>
    </row>
    <row r="414" spans="1:10" x14ac:dyDescent="0.25">
      <c r="A414" s="4" t="s">
        <v>29</v>
      </c>
      <c r="B414" s="5" t="s">
        <v>217</v>
      </c>
      <c r="C414" s="5" t="s">
        <v>218</v>
      </c>
      <c r="D414" s="5">
        <v>15</v>
      </c>
      <c r="E414" s="11">
        <v>49695</v>
      </c>
      <c r="F414" s="11">
        <v>19875</v>
      </c>
      <c r="G414" s="27">
        <f t="shared" si="93"/>
        <v>71.830357142857196</v>
      </c>
      <c r="H414" s="13">
        <f t="shared" si="94"/>
        <v>329293.49474073708</v>
      </c>
      <c r="I414" s="13">
        <f t="shared" si="95"/>
        <v>131697.54500662454</v>
      </c>
      <c r="J414" s="51">
        <f t="shared" si="96"/>
        <v>460991.03974736162</v>
      </c>
    </row>
    <row r="415" spans="1:10" x14ac:dyDescent="0.25">
      <c r="A415" s="4" t="s">
        <v>29</v>
      </c>
      <c r="B415" s="5" t="s">
        <v>219</v>
      </c>
      <c r="C415" s="5" t="s">
        <v>220</v>
      </c>
      <c r="D415" s="5">
        <v>3</v>
      </c>
      <c r="E415" s="11">
        <v>10191</v>
      </c>
      <c r="F415" s="11">
        <v>4074</v>
      </c>
      <c r="G415" s="27">
        <f t="shared" si="93"/>
        <v>14.366071428571439</v>
      </c>
      <c r="H415" s="13">
        <f t="shared" si="94"/>
        <v>67528.524095036759</v>
      </c>
      <c r="I415" s="13">
        <f t="shared" si="95"/>
        <v>26995.511867018282</v>
      </c>
      <c r="J415" s="51">
        <f t="shared" si="96"/>
        <v>94524.035962055044</v>
      </c>
    </row>
    <row r="416" spans="1:10" x14ac:dyDescent="0.25">
      <c r="A416" s="4" t="s">
        <v>29</v>
      </c>
      <c r="B416" s="5" t="s">
        <v>223</v>
      </c>
      <c r="C416" s="5" t="s">
        <v>224</v>
      </c>
      <c r="D416" s="5">
        <v>10</v>
      </c>
      <c r="E416" s="11">
        <v>8730</v>
      </c>
      <c r="F416" s="11">
        <v>0</v>
      </c>
      <c r="G416" s="27">
        <f t="shared" si="93"/>
        <v>47.886904761904802</v>
      </c>
      <c r="H416" s="13">
        <f t="shared" si="94"/>
        <v>57847.514017237845</v>
      </c>
      <c r="I416" s="13">
        <f t="shared" si="95"/>
        <v>0</v>
      </c>
      <c r="J416" s="51">
        <f t="shared" si="96"/>
        <v>57847.514017237845</v>
      </c>
    </row>
    <row r="417" spans="1:10" x14ac:dyDescent="0.25">
      <c r="A417" s="4" t="s">
        <v>29</v>
      </c>
      <c r="B417" s="5" t="s">
        <v>266</v>
      </c>
      <c r="C417" s="5" t="s">
        <v>210</v>
      </c>
      <c r="D417" s="5">
        <v>3</v>
      </c>
      <c r="E417" s="11">
        <v>2910</v>
      </c>
      <c r="F417" s="11">
        <v>0</v>
      </c>
      <c r="G417" s="27">
        <f t="shared" si="93"/>
        <v>14.366071428571439</v>
      </c>
      <c r="H417" s="13">
        <f t="shared" si="94"/>
        <v>19282.504672412615</v>
      </c>
      <c r="I417" s="13">
        <f t="shared" si="95"/>
        <v>0</v>
      </c>
      <c r="J417" s="51">
        <f t="shared" si="96"/>
        <v>19282.504672412615</v>
      </c>
    </row>
    <row r="418" spans="1:10" x14ac:dyDescent="0.25">
      <c r="A418" s="4" t="s">
        <v>29</v>
      </c>
      <c r="B418" s="5" t="s">
        <v>226</v>
      </c>
      <c r="C418" s="5" t="s">
        <v>210</v>
      </c>
      <c r="D418" s="5">
        <v>10</v>
      </c>
      <c r="E418" s="11">
        <v>9700</v>
      </c>
      <c r="F418" s="11">
        <v>0</v>
      </c>
      <c r="G418" s="27">
        <f t="shared" si="93"/>
        <v>47.886904761904802</v>
      </c>
      <c r="H418" s="13">
        <f t="shared" si="94"/>
        <v>64275.015574708719</v>
      </c>
      <c r="I418" s="13">
        <f t="shared" si="95"/>
        <v>0</v>
      </c>
      <c r="J418" s="51">
        <f t="shared" si="96"/>
        <v>64275.015574708719</v>
      </c>
    </row>
    <row r="419" spans="1:10" x14ac:dyDescent="0.25">
      <c r="A419" s="4" t="s">
        <v>29</v>
      </c>
      <c r="B419" s="5" t="s">
        <v>228</v>
      </c>
      <c r="C419" s="5" t="s">
        <v>229</v>
      </c>
      <c r="D419" s="5">
        <v>121</v>
      </c>
      <c r="E419" s="11">
        <v>234861</v>
      </c>
      <c r="F419" s="11">
        <v>0</v>
      </c>
      <c r="G419" s="27">
        <f t="shared" si="93"/>
        <v>579.43154761904805</v>
      </c>
      <c r="H419" s="13">
        <f t="shared" si="94"/>
        <v>1556257.1580300685</v>
      </c>
      <c r="I419" s="13">
        <f t="shared" si="95"/>
        <v>0</v>
      </c>
      <c r="J419" s="51">
        <f t="shared" si="96"/>
        <v>1556257.1580300685</v>
      </c>
    </row>
    <row r="420" spans="1:10" x14ac:dyDescent="0.25">
      <c r="A420" s="4" t="s">
        <v>29</v>
      </c>
      <c r="B420" s="5" t="s">
        <v>230</v>
      </c>
      <c r="C420" s="5" t="s">
        <v>229</v>
      </c>
      <c r="D420" s="5">
        <v>5</v>
      </c>
      <c r="E420" s="11">
        <v>9705</v>
      </c>
      <c r="F420" s="11">
        <v>0</v>
      </c>
      <c r="G420" s="27">
        <f t="shared" si="93"/>
        <v>23.943452380952401</v>
      </c>
      <c r="H420" s="13">
        <f t="shared" si="94"/>
        <v>64308.147026035884</v>
      </c>
      <c r="I420" s="13">
        <f t="shared" si="95"/>
        <v>0</v>
      </c>
      <c r="J420" s="51">
        <f t="shared" si="96"/>
        <v>64308.147026035884</v>
      </c>
    </row>
    <row r="421" spans="1:10" x14ac:dyDescent="0.25">
      <c r="A421" s="4" t="s">
        <v>29</v>
      </c>
      <c r="B421" s="5" t="s">
        <v>262</v>
      </c>
      <c r="C421" s="5" t="s">
        <v>263</v>
      </c>
      <c r="D421" s="5">
        <v>2</v>
      </c>
      <c r="E421" s="11">
        <v>303332</v>
      </c>
      <c r="F421" s="11">
        <v>0</v>
      </c>
      <c r="G421" s="27">
        <f t="shared" si="93"/>
        <v>9.5773809523809597</v>
      </c>
      <c r="H421" s="13">
        <f t="shared" si="94"/>
        <v>2009965.8787945921</v>
      </c>
      <c r="I421" s="13">
        <f t="shared" si="95"/>
        <v>0</v>
      </c>
      <c r="J421" s="51">
        <f t="shared" si="96"/>
        <v>2009965.8787945921</v>
      </c>
    </row>
    <row r="422" spans="1:10" x14ac:dyDescent="0.25">
      <c r="A422" s="4" t="s">
        <v>29</v>
      </c>
      <c r="B422" s="5" t="s">
        <v>235</v>
      </c>
      <c r="C422" s="5" t="s">
        <v>236</v>
      </c>
      <c r="D422" s="5">
        <v>1</v>
      </c>
      <c r="E422" s="11">
        <v>6825</v>
      </c>
      <c r="F422" s="11">
        <v>2730</v>
      </c>
      <c r="G422" s="27">
        <f t="shared" si="93"/>
        <v>4.7886904761904798</v>
      </c>
      <c r="H422" s="13">
        <f t="shared" si="94"/>
        <v>45224.431061586285</v>
      </c>
      <c r="I422" s="13">
        <f t="shared" si="95"/>
        <v>18089.775993362768</v>
      </c>
      <c r="J422" s="51">
        <f t="shared" si="96"/>
        <v>63314.207054949053</v>
      </c>
    </row>
    <row r="423" spans="1:10" x14ac:dyDescent="0.25">
      <c r="A423" s="4" t="s">
        <v>29</v>
      </c>
      <c r="B423" s="5" t="s">
        <v>237</v>
      </c>
      <c r="C423" s="5" t="s">
        <v>238</v>
      </c>
      <c r="D423" s="5">
        <v>7</v>
      </c>
      <c r="E423" s="11">
        <v>35882</v>
      </c>
      <c r="F423" s="11">
        <v>14350</v>
      </c>
      <c r="G423" s="27">
        <f t="shared" si="93"/>
        <v>33.520833333333357</v>
      </c>
      <c r="H423" s="13">
        <f t="shared" si="94"/>
        <v>237764.54730429879</v>
      </c>
      <c r="I423" s="13">
        <f t="shared" si="95"/>
        <v>95087.284067676082</v>
      </c>
      <c r="J423" s="51">
        <f t="shared" si="96"/>
        <v>332851.8313719749</v>
      </c>
    </row>
    <row r="424" spans="1:10" x14ac:dyDescent="0.25">
      <c r="A424" s="4" t="s">
        <v>29</v>
      </c>
      <c r="B424" s="5" t="s">
        <v>241</v>
      </c>
      <c r="C424" s="5" t="s">
        <v>236</v>
      </c>
      <c r="D424" s="5">
        <v>12</v>
      </c>
      <c r="E424" s="11">
        <v>81900</v>
      </c>
      <c r="F424" s="11">
        <v>32760</v>
      </c>
      <c r="G424" s="27">
        <f t="shared" si="93"/>
        <v>57.464285714285758</v>
      </c>
      <c r="H424" s="13">
        <f t="shared" si="94"/>
        <v>542693.17273903545</v>
      </c>
      <c r="I424" s="13">
        <f t="shared" si="95"/>
        <v>217077.31192035318</v>
      </c>
      <c r="J424" s="51">
        <f t="shared" si="96"/>
        <v>759770.48465938866</v>
      </c>
    </row>
    <row r="425" spans="1:10" x14ac:dyDescent="0.25">
      <c r="A425" s="4" t="s">
        <v>29</v>
      </c>
      <c r="B425" s="5" t="s">
        <v>243</v>
      </c>
      <c r="C425" s="5" t="s">
        <v>244</v>
      </c>
      <c r="D425" s="5">
        <v>3</v>
      </c>
      <c r="E425" s="11">
        <v>10236</v>
      </c>
      <c r="F425" s="11">
        <v>4095</v>
      </c>
      <c r="G425" s="27">
        <f t="shared" si="93"/>
        <v>14.366071428571439</v>
      </c>
      <c r="H425" s="13">
        <f t="shared" si="94"/>
        <v>67826.707156981283</v>
      </c>
      <c r="I425" s="13">
        <f t="shared" si="95"/>
        <v>27134.663990044148</v>
      </c>
      <c r="J425" s="51">
        <f t="shared" si="96"/>
        <v>94961.371147025435</v>
      </c>
    </row>
    <row r="426" spans="1:10" x14ac:dyDescent="0.25">
      <c r="A426" s="4" t="s">
        <v>29</v>
      </c>
      <c r="B426" s="5" t="s">
        <v>245</v>
      </c>
      <c r="C426" s="5" t="s">
        <v>246</v>
      </c>
      <c r="D426" s="5">
        <v>2</v>
      </c>
      <c r="E426" s="11">
        <v>5126</v>
      </c>
      <c r="F426" s="11">
        <v>2050</v>
      </c>
      <c r="G426" s="27">
        <f t="shared" si="93"/>
        <v>9.5773809523809597</v>
      </c>
      <c r="H426" s="13">
        <f t="shared" si="94"/>
        <v>33966.363900614109</v>
      </c>
      <c r="I426" s="13">
        <f t="shared" si="95"/>
        <v>13583.897723953725</v>
      </c>
      <c r="J426" s="51">
        <f t="shared" si="96"/>
        <v>47550.261624567836</v>
      </c>
    </row>
    <row r="427" spans="1:10" x14ac:dyDescent="0.25">
      <c r="A427" s="4" t="s">
        <v>29</v>
      </c>
      <c r="B427" s="5" t="s">
        <v>249</v>
      </c>
      <c r="C427" s="5" t="s">
        <v>250</v>
      </c>
      <c r="D427" s="5">
        <v>25</v>
      </c>
      <c r="E427" s="11">
        <v>379150</v>
      </c>
      <c r="F427" s="11">
        <v>151650</v>
      </c>
      <c r="G427" s="27">
        <f t="shared" si="93"/>
        <v>119.717261904762</v>
      </c>
      <c r="H427" s="13">
        <f t="shared" si="94"/>
        <v>2512357.9541392587</v>
      </c>
      <c r="I427" s="13">
        <f t="shared" si="95"/>
        <v>1004877.1169939426</v>
      </c>
      <c r="J427" s="51">
        <f t="shared" si="96"/>
        <v>3517235.0711332015</v>
      </c>
    </row>
    <row r="428" spans="1:10" x14ac:dyDescent="0.25">
      <c r="A428" s="4" t="s">
        <v>29</v>
      </c>
      <c r="B428" s="5" t="s">
        <v>253</v>
      </c>
      <c r="C428" s="5" t="s">
        <v>210</v>
      </c>
      <c r="D428" s="5">
        <v>16</v>
      </c>
      <c r="E428" s="11">
        <v>15520</v>
      </c>
      <c r="F428" s="11">
        <v>0</v>
      </c>
      <c r="G428" s="27">
        <f t="shared" si="93"/>
        <v>76.619047619047677</v>
      </c>
      <c r="H428" s="13">
        <f t="shared" si="94"/>
        <v>102840.02491953394</v>
      </c>
      <c r="I428" s="13">
        <f t="shared" si="95"/>
        <v>0</v>
      </c>
      <c r="J428" s="51">
        <f t="shared" si="96"/>
        <v>102840.02491953394</v>
      </c>
    </row>
    <row r="429" spans="1:10" x14ac:dyDescent="0.25">
      <c r="A429" s="4" t="s">
        <v>29</v>
      </c>
      <c r="B429" s="5" t="s">
        <v>255</v>
      </c>
      <c r="C429" s="5" t="s">
        <v>210</v>
      </c>
      <c r="D429" s="5">
        <v>9</v>
      </c>
      <c r="E429" s="11">
        <v>8730</v>
      </c>
      <c r="F429" s="11">
        <v>0</v>
      </c>
      <c r="G429" s="27">
        <f t="shared" si="93"/>
        <v>43.09821428571432</v>
      </c>
      <c r="H429" s="13">
        <f t="shared" si="94"/>
        <v>57847.514017237845</v>
      </c>
      <c r="I429" s="13">
        <f t="shared" si="95"/>
        <v>0</v>
      </c>
      <c r="J429" s="51">
        <f t="shared" si="96"/>
        <v>57847.514017237845</v>
      </c>
    </row>
    <row r="430" spans="1:10" x14ac:dyDescent="0.25">
      <c r="A430" s="15" t="s">
        <v>29</v>
      </c>
      <c r="B430" s="16" t="s">
        <v>257</v>
      </c>
      <c r="C430" s="16" t="s">
        <v>210</v>
      </c>
      <c r="D430" s="16">
        <v>4</v>
      </c>
      <c r="E430" s="18">
        <v>3880</v>
      </c>
      <c r="F430" s="18">
        <v>0</v>
      </c>
      <c r="G430" s="27">
        <f t="shared" si="93"/>
        <v>19.154761904761919</v>
      </c>
      <c r="H430" s="13">
        <f t="shared" si="94"/>
        <v>25710.006229883486</v>
      </c>
      <c r="I430" s="13">
        <f t="shared" si="95"/>
        <v>0</v>
      </c>
      <c r="J430" s="51">
        <f t="shared" si="96"/>
        <v>25710.006229883486</v>
      </c>
    </row>
    <row r="431" spans="1:10" s="3" customFormat="1" x14ac:dyDescent="0.25">
      <c r="A431" s="4"/>
      <c r="B431" s="21" t="s">
        <v>273</v>
      </c>
      <c r="C431" s="21"/>
      <c r="D431" s="21"/>
      <c r="E431" s="29"/>
      <c r="F431" s="29"/>
      <c r="G431" s="47">
        <f>SUM(G409:G430)</f>
        <v>1609.0000000000009</v>
      </c>
      <c r="H431" s="47">
        <f t="shared" ref="H431:I431" si="97">SUM(H409:H430)</f>
        <v>8434585</v>
      </c>
      <c r="I431" s="47">
        <f t="shared" si="97"/>
        <v>1565415</v>
      </c>
      <c r="J431" s="52">
        <f>SUM(H431:I431)</f>
        <v>10000000</v>
      </c>
    </row>
    <row r="432" spans="1:10" x14ac:dyDescent="0.25">
      <c r="A432" s="23" t="s">
        <v>30</v>
      </c>
      <c r="B432" s="24" t="s">
        <v>216</v>
      </c>
      <c r="C432" s="24" t="s">
        <v>210</v>
      </c>
      <c r="D432" s="24">
        <v>2</v>
      </c>
      <c r="E432" s="30">
        <v>1940</v>
      </c>
      <c r="F432" s="30">
        <v>0</v>
      </c>
      <c r="G432" s="27">
        <f>+D432*4.78260869565217</f>
        <v>9.5652173913043406</v>
      </c>
      <c r="H432" s="13">
        <f>+E432*3903527/84744</f>
        <v>89361.398801095056</v>
      </c>
      <c r="I432" s="13">
        <f>+F432*1096473/23804</f>
        <v>0</v>
      </c>
      <c r="J432" s="51">
        <f>SUM(H432:I432)</f>
        <v>89361.398801095056</v>
      </c>
    </row>
    <row r="433" spans="1:10" x14ac:dyDescent="0.25">
      <c r="A433" s="4" t="s">
        <v>30</v>
      </c>
      <c r="B433" s="5" t="s">
        <v>219</v>
      </c>
      <c r="C433" s="5" t="s">
        <v>220</v>
      </c>
      <c r="D433" s="5">
        <v>1</v>
      </c>
      <c r="E433" s="11">
        <v>3397</v>
      </c>
      <c r="F433" s="11">
        <v>1358</v>
      </c>
      <c r="G433" s="27">
        <f t="shared" ref="G433:G438" si="98">+D433*4.78260869565217</f>
        <v>4.7826086956521703</v>
      </c>
      <c r="H433" s="13">
        <f t="shared" ref="H433:H438" si="99">+E433*3903527/84744</f>
        <v>156474.57305531955</v>
      </c>
      <c r="I433" s="13">
        <f t="shared" ref="I433:I438" si="100">+F433*1096473/23804</f>
        <v>62552.946311544278</v>
      </c>
      <c r="J433" s="51">
        <f t="shared" ref="J433:J496" si="101">SUM(H433:I433)</f>
        <v>219027.51936686382</v>
      </c>
    </row>
    <row r="434" spans="1:10" x14ac:dyDescent="0.25">
      <c r="A434" s="4" t="s">
        <v>30</v>
      </c>
      <c r="B434" s="5" t="s">
        <v>228</v>
      </c>
      <c r="C434" s="5" t="s">
        <v>229</v>
      </c>
      <c r="D434" s="5">
        <v>3</v>
      </c>
      <c r="E434" s="11">
        <v>5823</v>
      </c>
      <c r="F434" s="11">
        <v>0</v>
      </c>
      <c r="G434" s="27">
        <f t="shared" si="98"/>
        <v>14.347826086956511</v>
      </c>
      <c r="H434" s="13">
        <f t="shared" si="99"/>
        <v>268222.38413338998</v>
      </c>
      <c r="I434" s="13">
        <f t="shared" si="100"/>
        <v>0</v>
      </c>
      <c r="J434" s="51">
        <f t="shared" si="101"/>
        <v>268222.38413338998</v>
      </c>
    </row>
    <row r="435" spans="1:10" x14ac:dyDescent="0.25">
      <c r="A435" s="4" t="s">
        <v>30</v>
      </c>
      <c r="B435" s="5" t="s">
        <v>230</v>
      </c>
      <c r="C435" s="5" t="s">
        <v>229</v>
      </c>
      <c r="D435" s="5">
        <v>9</v>
      </c>
      <c r="E435" s="11">
        <v>17469</v>
      </c>
      <c r="F435" s="11">
        <v>0</v>
      </c>
      <c r="G435" s="27">
        <f t="shared" si="98"/>
        <v>43.043478260869534</v>
      </c>
      <c r="H435" s="13">
        <f t="shared" si="99"/>
        <v>804667.15240016987</v>
      </c>
      <c r="I435" s="13">
        <f t="shared" si="100"/>
        <v>0</v>
      </c>
      <c r="J435" s="51">
        <f t="shared" si="101"/>
        <v>804667.15240016987</v>
      </c>
    </row>
    <row r="436" spans="1:10" x14ac:dyDescent="0.25">
      <c r="A436" s="4" t="s">
        <v>30</v>
      </c>
      <c r="B436" s="5" t="s">
        <v>241</v>
      </c>
      <c r="C436" s="5" t="s">
        <v>236</v>
      </c>
      <c r="D436" s="5">
        <v>5</v>
      </c>
      <c r="E436" s="11">
        <v>34125</v>
      </c>
      <c r="F436" s="11">
        <v>13650</v>
      </c>
      <c r="G436" s="27">
        <f t="shared" si="98"/>
        <v>23.913043478260853</v>
      </c>
      <c r="H436" s="13">
        <f t="shared" si="99"/>
        <v>1571885.4299419427</v>
      </c>
      <c r="I436" s="13">
        <f t="shared" si="100"/>
        <v>628753.84179129556</v>
      </c>
      <c r="J436" s="51">
        <f t="shared" si="101"/>
        <v>2200639.2717332384</v>
      </c>
    </row>
    <row r="437" spans="1:10" x14ac:dyDescent="0.25">
      <c r="A437" s="4" t="s">
        <v>30</v>
      </c>
      <c r="B437" s="5" t="s">
        <v>243</v>
      </c>
      <c r="C437" s="5" t="s">
        <v>244</v>
      </c>
      <c r="D437" s="5">
        <v>2</v>
      </c>
      <c r="E437" s="11">
        <v>6824</v>
      </c>
      <c r="F437" s="11">
        <v>2730</v>
      </c>
      <c r="G437" s="27">
        <f t="shared" si="98"/>
        <v>9.5652173913043406</v>
      </c>
      <c r="H437" s="13">
        <f t="shared" si="99"/>
        <v>314331.02341168694</v>
      </c>
      <c r="I437" s="13">
        <f t="shared" si="100"/>
        <v>125750.76835825911</v>
      </c>
      <c r="J437" s="51">
        <f t="shared" si="101"/>
        <v>440081.79176994605</v>
      </c>
    </row>
    <row r="438" spans="1:10" x14ac:dyDescent="0.25">
      <c r="A438" s="15" t="s">
        <v>30</v>
      </c>
      <c r="B438" s="16" t="s">
        <v>249</v>
      </c>
      <c r="C438" s="16" t="s">
        <v>250</v>
      </c>
      <c r="D438" s="16">
        <v>1</v>
      </c>
      <c r="E438" s="18">
        <v>15166</v>
      </c>
      <c r="F438" s="18">
        <v>6066</v>
      </c>
      <c r="G438" s="27">
        <f t="shared" si="98"/>
        <v>4.7826086956521703</v>
      </c>
      <c r="H438" s="13">
        <f t="shared" si="99"/>
        <v>698585.03825639572</v>
      </c>
      <c r="I438" s="13">
        <f t="shared" si="100"/>
        <v>279415.44353890105</v>
      </c>
      <c r="J438" s="51">
        <f t="shared" si="101"/>
        <v>978000.48179529677</v>
      </c>
    </row>
    <row r="439" spans="1:10" s="3" customFormat="1" x14ac:dyDescent="0.25">
      <c r="A439" s="4"/>
      <c r="B439" s="21" t="s">
        <v>274</v>
      </c>
      <c r="C439" s="21"/>
      <c r="D439" s="21"/>
      <c r="E439" s="29"/>
      <c r="F439" s="29"/>
      <c r="G439" s="47">
        <f>SUM(G432:G438)</f>
        <v>109.99999999999993</v>
      </c>
      <c r="H439" s="47">
        <f t="shared" ref="H439:I439" si="102">SUM(H432:H438)</f>
        <v>3903526.9999999995</v>
      </c>
      <c r="I439" s="47">
        <f t="shared" si="102"/>
        <v>1096473</v>
      </c>
      <c r="J439" s="52">
        <f t="shared" si="101"/>
        <v>5000000</v>
      </c>
    </row>
    <row r="440" spans="1:10" x14ac:dyDescent="0.25">
      <c r="A440" s="23" t="s">
        <v>31</v>
      </c>
      <c r="B440" s="24" t="s">
        <v>216</v>
      </c>
      <c r="C440" s="24" t="s">
        <v>210</v>
      </c>
      <c r="D440" s="24">
        <v>1</v>
      </c>
      <c r="E440" s="30">
        <v>970</v>
      </c>
      <c r="F440" s="30">
        <v>0</v>
      </c>
      <c r="G440" s="27">
        <f>+D440*4.8125</f>
        <v>4.8125</v>
      </c>
      <c r="H440" s="13">
        <f>+E440*4680485/358147</f>
        <v>12676.555855556517</v>
      </c>
      <c r="I440" s="13">
        <f>+F440*319515/24449</f>
        <v>0</v>
      </c>
      <c r="J440" s="51">
        <f t="shared" si="101"/>
        <v>12676.555855556517</v>
      </c>
    </row>
    <row r="441" spans="1:10" x14ac:dyDescent="0.25">
      <c r="A441" s="4" t="s">
        <v>31</v>
      </c>
      <c r="B441" s="5" t="s">
        <v>217</v>
      </c>
      <c r="C441" s="5" t="s">
        <v>218</v>
      </c>
      <c r="D441" s="5">
        <v>1</v>
      </c>
      <c r="E441" s="11">
        <v>3313</v>
      </c>
      <c r="F441" s="11">
        <v>1325</v>
      </c>
      <c r="G441" s="27">
        <f t="shared" ref="G441:G448" si="103">+D441*4.8125</f>
        <v>4.8125</v>
      </c>
      <c r="H441" s="13">
        <f t="shared" ref="H441:H448" si="104">+E441*4680485/358147</f>
        <v>43296.319123153342</v>
      </c>
      <c r="I441" s="13">
        <f t="shared" ref="I441:I448" si="105">+F441*319515/24449</f>
        <v>17315.93827968424</v>
      </c>
      <c r="J441" s="51">
        <f t="shared" si="101"/>
        <v>60612.257402837582</v>
      </c>
    </row>
    <row r="442" spans="1:10" x14ac:dyDescent="0.25">
      <c r="A442" s="4" t="s">
        <v>31</v>
      </c>
      <c r="B442" s="5" t="s">
        <v>219</v>
      </c>
      <c r="C442" s="5" t="s">
        <v>220</v>
      </c>
      <c r="D442" s="5">
        <v>1</v>
      </c>
      <c r="E442" s="11">
        <v>3397</v>
      </c>
      <c r="F442" s="11">
        <v>1358</v>
      </c>
      <c r="G442" s="27">
        <f t="shared" si="103"/>
        <v>4.8125</v>
      </c>
      <c r="H442" s="13">
        <f t="shared" si="104"/>
        <v>44394.08272301597</v>
      </c>
      <c r="I442" s="13">
        <f t="shared" si="105"/>
        <v>17747.203157593358</v>
      </c>
      <c r="J442" s="51">
        <f t="shared" si="101"/>
        <v>62141.285880609328</v>
      </c>
    </row>
    <row r="443" spans="1:10" x14ac:dyDescent="0.25">
      <c r="A443" s="4" t="s">
        <v>31</v>
      </c>
      <c r="B443" s="5" t="s">
        <v>226</v>
      </c>
      <c r="C443" s="5" t="s">
        <v>210</v>
      </c>
      <c r="D443" s="5">
        <v>1</v>
      </c>
      <c r="E443" s="11">
        <v>970</v>
      </c>
      <c r="F443" s="11">
        <v>0</v>
      </c>
      <c r="G443" s="27">
        <f t="shared" si="103"/>
        <v>4.8125</v>
      </c>
      <c r="H443" s="13">
        <f t="shared" si="104"/>
        <v>12676.555855556517</v>
      </c>
      <c r="I443" s="13">
        <f t="shared" si="105"/>
        <v>0</v>
      </c>
      <c r="J443" s="51">
        <f t="shared" si="101"/>
        <v>12676.555855556517</v>
      </c>
    </row>
    <row r="444" spans="1:10" x14ac:dyDescent="0.25">
      <c r="A444" s="4" t="s">
        <v>31</v>
      </c>
      <c r="B444" s="5" t="s">
        <v>228</v>
      </c>
      <c r="C444" s="5" t="s">
        <v>229</v>
      </c>
      <c r="D444" s="5">
        <v>2</v>
      </c>
      <c r="E444" s="11">
        <v>3882</v>
      </c>
      <c r="F444" s="11">
        <v>0</v>
      </c>
      <c r="G444" s="27">
        <f t="shared" si="103"/>
        <v>9.625</v>
      </c>
      <c r="H444" s="13">
        <f t="shared" si="104"/>
        <v>50732.360650794224</v>
      </c>
      <c r="I444" s="13">
        <f t="shared" si="105"/>
        <v>0</v>
      </c>
      <c r="J444" s="51">
        <f t="shared" si="101"/>
        <v>50732.360650794224</v>
      </c>
    </row>
    <row r="445" spans="1:10" x14ac:dyDescent="0.25">
      <c r="A445" s="4" t="s">
        <v>31</v>
      </c>
      <c r="B445" s="5" t="s">
        <v>233</v>
      </c>
      <c r="C445" s="5" t="s">
        <v>234</v>
      </c>
      <c r="D445" s="5">
        <v>3</v>
      </c>
      <c r="E445" s="11">
        <v>291198</v>
      </c>
      <c r="F445" s="11">
        <v>0</v>
      </c>
      <c r="G445" s="27">
        <f t="shared" si="103"/>
        <v>14.4375</v>
      </c>
      <c r="H445" s="13">
        <f t="shared" si="104"/>
        <v>3805554.3422952029</v>
      </c>
      <c r="I445" s="13">
        <f t="shared" si="105"/>
        <v>0</v>
      </c>
      <c r="J445" s="51">
        <f t="shared" si="101"/>
        <v>3805554.3422952029</v>
      </c>
    </row>
    <row r="446" spans="1:10" x14ac:dyDescent="0.25">
      <c r="A446" s="4" t="s">
        <v>31</v>
      </c>
      <c r="B446" s="5" t="s">
        <v>240</v>
      </c>
      <c r="C446" s="5" t="s">
        <v>238</v>
      </c>
      <c r="D446" s="5">
        <v>1</v>
      </c>
      <c r="E446" s="11">
        <v>5126</v>
      </c>
      <c r="F446" s="11">
        <v>2050</v>
      </c>
      <c r="G446" s="27">
        <f t="shared" si="103"/>
        <v>4.8125</v>
      </c>
      <c r="H446" s="13">
        <f t="shared" si="104"/>
        <v>66989.716820188361</v>
      </c>
      <c r="I446" s="13">
        <f t="shared" si="105"/>
        <v>26790.696961020902</v>
      </c>
      <c r="J446" s="51">
        <f t="shared" si="101"/>
        <v>93780.413781209267</v>
      </c>
    </row>
    <row r="447" spans="1:10" x14ac:dyDescent="0.25">
      <c r="A447" s="4" t="s">
        <v>31</v>
      </c>
      <c r="B447" s="5" t="s">
        <v>241</v>
      </c>
      <c r="C447" s="5" t="s">
        <v>236</v>
      </c>
      <c r="D447" s="5">
        <v>5</v>
      </c>
      <c r="E447" s="11">
        <v>34125</v>
      </c>
      <c r="F447" s="11">
        <v>13650</v>
      </c>
      <c r="G447" s="27">
        <f t="shared" si="103"/>
        <v>24.0625</v>
      </c>
      <c r="H447" s="13">
        <f t="shared" si="104"/>
        <v>445966.46244419191</v>
      </c>
      <c r="I447" s="13">
        <f t="shared" si="105"/>
        <v>178386.83586240746</v>
      </c>
      <c r="J447" s="51">
        <f t="shared" si="101"/>
        <v>624353.29830659938</v>
      </c>
    </row>
    <row r="448" spans="1:10" x14ac:dyDescent="0.25">
      <c r="A448" s="15" t="s">
        <v>31</v>
      </c>
      <c r="B448" s="16" t="s">
        <v>249</v>
      </c>
      <c r="C448" s="16" t="s">
        <v>250</v>
      </c>
      <c r="D448" s="16">
        <v>1</v>
      </c>
      <c r="E448" s="18">
        <v>15166</v>
      </c>
      <c r="F448" s="18">
        <v>6066</v>
      </c>
      <c r="G448" s="27">
        <f t="shared" si="103"/>
        <v>4.8125</v>
      </c>
      <c r="H448" s="13">
        <f t="shared" si="104"/>
        <v>198198.60423234035</v>
      </c>
      <c r="I448" s="13">
        <f t="shared" si="105"/>
        <v>79274.325739294043</v>
      </c>
      <c r="J448" s="51">
        <f t="shared" si="101"/>
        <v>277472.92997163441</v>
      </c>
    </row>
    <row r="449" spans="1:10" s="3" customFormat="1" x14ac:dyDescent="0.25">
      <c r="A449" s="4"/>
      <c r="B449" s="21" t="s">
        <v>275</v>
      </c>
      <c r="C449" s="21"/>
      <c r="D449" s="21"/>
      <c r="E449" s="29"/>
      <c r="F449" s="29"/>
      <c r="G449" s="47">
        <f>SUM(G440:G448)</f>
        <v>77</v>
      </c>
      <c r="H449" s="47">
        <f t="shared" ref="H449:J449" si="106">SUM(H440:H448)</f>
        <v>4680485</v>
      </c>
      <c r="I449" s="47">
        <f t="shared" si="106"/>
        <v>319515</v>
      </c>
      <c r="J449" s="47">
        <f t="shared" si="106"/>
        <v>5000000</v>
      </c>
    </row>
    <row r="450" spans="1:10" x14ac:dyDescent="0.25">
      <c r="A450" s="23" t="s">
        <v>32</v>
      </c>
      <c r="B450" s="24" t="s">
        <v>217</v>
      </c>
      <c r="C450" s="24" t="s">
        <v>218</v>
      </c>
      <c r="D450" s="24">
        <v>1</v>
      </c>
      <c r="E450" s="30">
        <v>1656</v>
      </c>
      <c r="F450" s="30">
        <v>1325</v>
      </c>
      <c r="G450" s="27">
        <f>+D450*4.8</f>
        <v>4.8</v>
      </c>
      <c r="H450" s="13">
        <f>+E450*1568052/4810</f>
        <v>539853.24573804578</v>
      </c>
      <c r="I450" s="13">
        <f>+F450*431948/1325</f>
        <v>431948</v>
      </c>
      <c r="J450" s="51">
        <f t="shared" si="101"/>
        <v>971801.24573804578</v>
      </c>
    </row>
    <row r="451" spans="1:10" x14ac:dyDescent="0.25">
      <c r="A451" s="4" t="s">
        <v>32</v>
      </c>
      <c r="B451" s="5" t="s">
        <v>223</v>
      </c>
      <c r="C451" s="5" t="s">
        <v>224</v>
      </c>
      <c r="D451" s="5">
        <v>4</v>
      </c>
      <c r="E451" s="11">
        <v>0</v>
      </c>
      <c r="F451" s="11">
        <v>0</v>
      </c>
      <c r="G451" s="27">
        <f t="shared" ref="G451:G455" si="107">+D451*4.8</f>
        <v>19.2</v>
      </c>
      <c r="H451" s="13">
        <f t="shared" ref="H451:H455" si="108">+E451*1568052/4810</f>
        <v>0</v>
      </c>
      <c r="I451" s="13">
        <f t="shared" ref="I451:I455" si="109">+F451*431948/1325</f>
        <v>0</v>
      </c>
      <c r="J451" s="51">
        <f t="shared" si="101"/>
        <v>0</v>
      </c>
    </row>
    <row r="452" spans="1:10" x14ac:dyDescent="0.25">
      <c r="A452" s="4" t="s">
        <v>32</v>
      </c>
      <c r="B452" s="5" t="s">
        <v>252</v>
      </c>
      <c r="C452" s="5" t="s">
        <v>212</v>
      </c>
      <c r="D452" s="5">
        <v>1</v>
      </c>
      <c r="E452" s="11">
        <v>728</v>
      </c>
      <c r="F452" s="11">
        <v>0</v>
      </c>
      <c r="G452" s="27">
        <f t="shared" si="107"/>
        <v>4.8</v>
      </c>
      <c r="H452" s="13">
        <f t="shared" si="108"/>
        <v>237326.78918918918</v>
      </c>
      <c r="I452" s="13">
        <f t="shared" si="109"/>
        <v>0</v>
      </c>
      <c r="J452" s="51">
        <f t="shared" si="101"/>
        <v>237326.78918918918</v>
      </c>
    </row>
    <row r="453" spans="1:10" x14ac:dyDescent="0.25">
      <c r="A453" s="4" t="s">
        <v>32</v>
      </c>
      <c r="B453" s="5" t="s">
        <v>254</v>
      </c>
      <c r="C453" s="5" t="s">
        <v>212</v>
      </c>
      <c r="D453" s="5">
        <v>1</v>
      </c>
      <c r="E453" s="11">
        <v>728</v>
      </c>
      <c r="F453" s="11">
        <v>0</v>
      </c>
      <c r="G453" s="27">
        <f t="shared" si="107"/>
        <v>4.8</v>
      </c>
      <c r="H453" s="13">
        <f t="shared" si="108"/>
        <v>237326.78918918918</v>
      </c>
      <c r="I453" s="13">
        <f t="shared" si="109"/>
        <v>0</v>
      </c>
      <c r="J453" s="51">
        <f t="shared" si="101"/>
        <v>237326.78918918918</v>
      </c>
    </row>
    <row r="454" spans="1:10" x14ac:dyDescent="0.25">
      <c r="A454" s="4" t="s">
        <v>32</v>
      </c>
      <c r="B454" s="5" t="s">
        <v>255</v>
      </c>
      <c r="C454" s="5" t="s">
        <v>210</v>
      </c>
      <c r="D454" s="5">
        <v>2</v>
      </c>
      <c r="E454" s="11">
        <v>970</v>
      </c>
      <c r="F454" s="11">
        <v>0</v>
      </c>
      <c r="G454" s="27">
        <f t="shared" si="107"/>
        <v>9.6</v>
      </c>
      <c r="H454" s="13">
        <f t="shared" si="108"/>
        <v>316218.38669438672</v>
      </c>
      <c r="I454" s="13">
        <f t="shared" si="109"/>
        <v>0</v>
      </c>
      <c r="J454" s="51">
        <f t="shared" si="101"/>
        <v>316218.38669438672</v>
      </c>
    </row>
    <row r="455" spans="1:10" x14ac:dyDescent="0.25">
      <c r="A455" s="15" t="s">
        <v>32</v>
      </c>
      <c r="B455" s="16" t="s">
        <v>256</v>
      </c>
      <c r="C455" s="16" t="s">
        <v>212</v>
      </c>
      <c r="D455" s="16">
        <v>1</v>
      </c>
      <c r="E455" s="18">
        <v>728</v>
      </c>
      <c r="F455" s="18">
        <v>0</v>
      </c>
      <c r="G455" s="27">
        <f t="shared" si="107"/>
        <v>4.8</v>
      </c>
      <c r="H455" s="13">
        <f t="shared" si="108"/>
        <v>237326.78918918918</v>
      </c>
      <c r="I455" s="13">
        <f t="shared" si="109"/>
        <v>0</v>
      </c>
      <c r="J455" s="51">
        <f t="shared" si="101"/>
        <v>237326.78918918918</v>
      </c>
    </row>
    <row r="456" spans="1:10" s="3" customFormat="1" x14ac:dyDescent="0.25">
      <c r="A456" s="4"/>
      <c r="B456" s="21" t="s">
        <v>277</v>
      </c>
      <c r="C456" s="21"/>
      <c r="D456" s="21"/>
      <c r="E456" s="29"/>
      <c r="F456" s="29"/>
      <c r="G456" s="47">
        <f>SUM(G450:G455)</f>
        <v>48</v>
      </c>
      <c r="H456" s="47">
        <f t="shared" ref="H456:J456" si="110">SUM(H450:H455)</f>
        <v>1568052</v>
      </c>
      <c r="I456" s="47">
        <f t="shared" si="110"/>
        <v>431948</v>
      </c>
      <c r="J456" s="47">
        <f t="shared" si="110"/>
        <v>2000000</v>
      </c>
    </row>
    <row r="457" spans="1:10" x14ac:dyDescent="0.25">
      <c r="A457" s="23" t="s">
        <v>33</v>
      </c>
      <c r="B457" s="24" t="s">
        <v>209</v>
      </c>
      <c r="C457" s="24" t="s">
        <v>210</v>
      </c>
      <c r="D457" s="24">
        <v>4</v>
      </c>
      <c r="E457" s="30">
        <v>3880</v>
      </c>
      <c r="F457" s="30">
        <v>0</v>
      </c>
      <c r="G457" s="27">
        <f>+D457*4.78756476683938</f>
        <v>19.150259067357521</v>
      </c>
      <c r="H457" s="13">
        <f>+E457*16825365/3345379</f>
        <v>19514.206372431941</v>
      </c>
      <c r="I457" s="13">
        <f>+F457*1174635/233552</f>
        <v>0</v>
      </c>
      <c r="J457" s="51">
        <f t="shared" si="101"/>
        <v>19514.206372431941</v>
      </c>
    </row>
    <row r="458" spans="1:10" x14ac:dyDescent="0.25">
      <c r="A458" s="4" t="s">
        <v>33</v>
      </c>
      <c r="B458" s="5" t="s">
        <v>211</v>
      </c>
      <c r="C458" s="5" t="s">
        <v>212</v>
      </c>
      <c r="D458" s="5">
        <v>2</v>
      </c>
      <c r="E458" s="11">
        <v>2912</v>
      </c>
      <c r="F458" s="11">
        <v>0</v>
      </c>
      <c r="G458" s="27">
        <f t="shared" ref="G458:G485" si="111">+D458*4.78756476683938</f>
        <v>9.5751295336787603</v>
      </c>
      <c r="H458" s="13">
        <f t="shared" ref="H458:H485" si="112">+E458*16825365/3345379</f>
        <v>14645.713648588096</v>
      </c>
      <c r="I458" s="13">
        <f t="shared" ref="I458:I485" si="113">+F458*1174635/233552</f>
        <v>0</v>
      </c>
      <c r="J458" s="51">
        <f t="shared" si="101"/>
        <v>14645.713648588096</v>
      </c>
    </row>
    <row r="459" spans="1:10" x14ac:dyDescent="0.25">
      <c r="A459" s="4" t="s">
        <v>33</v>
      </c>
      <c r="B459" s="5" t="s">
        <v>213</v>
      </c>
      <c r="C459" s="5" t="s">
        <v>212</v>
      </c>
      <c r="D459" s="5">
        <v>2</v>
      </c>
      <c r="E459" s="11">
        <v>2912</v>
      </c>
      <c r="F459" s="11">
        <v>0</v>
      </c>
      <c r="G459" s="27">
        <f t="shared" si="111"/>
        <v>9.5751295336787603</v>
      </c>
      <c r="H459" s="13">
        <f t="shared" si="112"/>
        <v>14645.713648588096</v>
      </c>
      <c r="I459" s="13">
        <f t="shared" si="113"/>
        <v>0</v>
      </c>
      <c r="J459" s="51">
        <f t="shared" si="101"/>
        <v>14645.713648588096</v>
      </c>
    </row>
    <row r="460" spans="1:10" x14ac:dyDescent="0.25">
      <c r="A460" s="4" t="s">
        <v>33</v>
      </c>
      <c r="B460" s="5" t="s">
        <v>214</v>
      </c>
      <c r="C460" s="5" t="s">
        <v>210</v>
      </c>
      <c r="D460" s="5">
        <v>5</v>
      </c>
      <c r="E460" s="11">
        <v>4850</v>
      </c>
      <c r="F460" s="11">
        <v>0</v>
      </c>
      <c r="G460" s="27">
        <f t="shared" si="111"/>
        <v>23.937823834196902</v>
      </c>
      <c r="H460" s="13">
        <f t="shared" si="112"/>
        <v>24392.757965539928</v>
      </c>
      <c r="I460" s="13">
        <f t="shared" si="113"/>
        <v>0</v>
      </c>
      <c r="J460" s="51">
        <f t="shared" si="101"/>
        <v>24392.757965539928</v>
      </c>
    </row>
    <row r="461" spans="1:10" x14ac:dyDescent="0.25">
      <c r="A461" s="4" t="s">
        <v>33</v>
      </c>
      <c r="B461" s="5" t="s">
        <v>216</v>
      </c>
      <c r="C461" s="5" t="s">
        <v>210</v>
      </c>
      <c r="D461" s="5">
        <v>2</v>
      </c>
      <c r="E461" s="11">
        <v>1940</v>
      </c>
      <c r="F461" s="11">
        <v>0</v>
      </c>
      <c r="G461" s="27">
        <f t="shared" si="111"/>
        <v>9.5751295336787603</v>
      </c>
      <c r="H461" s="13">
        <f t="shared" si="112"/>
        <v>9757.1031862159707</v>
      </c>
      <c r="I461" s="13">
        <f t="shared" si="113"/>
        <v>0</v>
      </c>
      <c r="J461" s="51">
        <f t="shared" si="101"/>
        <v>9757.1031862159707</v>
      </c>
    </row>
    <row r="462" spans="1:10" x14ac:dyDescent="0.25">
      <c r="A462" s="4" t="s">
        <v>33</v>
      </c>
      <c r="B462" s="5" t="s">
        <v>217</v>
      </c>
      <c r="C462" s="5" t="s">
        <v>218</v>
      </c>
      <c r="D462" s="5">
        <v>19</v>
      </c>
      <c r="E462" s="11">
        <v>62947</v>
      </c>
      <c r="F462" s="11">
        <v>25175</v>
      </c>
      <c r="G462" s="27">
        <f t="shared" si="111"/>
        <v>90.963730569948225</v>
      </c>
      <c r="H462" s="13">
        <f t="shared" si="112"/>
        <v>316587.82178491587</v>
      </c>
      <c r="I462" s="13">
        <f t="shared" si="113"/>
        <v>126616.06890542577</v>
      </c>
      <c r="J462" s="51">
        <f t="shared" si="101"/>
        <v>443203.89069034165</v>
      </c>
    </row>
    <row r="463" spans="1:10" x14ac:dyDescent="0.25">
      <c r="A463" s="4" t="s">
        <v>33</v>
      </c>
      <c r="B463" s="5" t="s">
        <v>219</v>
      </c>
      <c r="C463" s="5" t="s">
        <v>220</v>
      </c>
      <c r="D463" s="5">
        <v>2</v>
      </c>
      <c r="E463" s="11">
        <v>6794</v>
      </c>
      <c r="F463" s="11">
        <v>2716</v>
      </c>
      <c r="G463" s="27">
        <f t="shared" si="111"/>
        <v>9.5751295336787603</v>
      </c>
      <c r="H463" s="13">
        <f t="shared" si="112"/>
        <v>34169.978890284183</v>
      </c>
      <c r="I463" s="13">
        <f t="shared" si="113"/>
        <v>13659.95007535795</v>
      </c>
      <c r="J463" s="51">
        <f t="shared" si="101"/>
        <v>47829.928965642132</v>
      </c>
    </row>
    <row r="464" spans="1:10" x14ac:dyDescent="0.25">
      <c r="A464" s="4" t="s">
        <v>33</v>
      </c>
      <c r="B464" s="5" t="s">
        <v>221</v>
      </c>
      <c r="C464" s="5" t="s">
        <v>222</v>
      </c>
      <c r="D464" s="5">
        <v>3</v>
      </c>
      <c r="E464" s="11">
        <v>218400</v>
      </c>
      <c r="F464" s="11">
        <v>87360</v>
      </c>
      <c r="G464" s="27">
        <f t="shared" si="111"/>
        <v>14.36269430051814</v>
      </c>
      <c r="H464" s="13">
        <f t="shared" si="112"/>
        <v>1098428.5236441074</v>
      </c>
      <c r="I464" s="13">
        <f t="shared" si="113"/>
        <v>439371.59005275054</v>
      </c>
      <c r="J464" s="51">
        <f t="shared" si="101"/>
        <v>1537800.1136968578</v>
      </c>
    </row>
    <row r="465" spans="1:10" x14ac:dyDescent="0.25">
      <c r="A465" s="4" t="s">
        <v>33</v>
      </c>
      <c r="B465" s="5" t="s">
        <v>260</v>
      </c>
      <c r="C465" s="5" t="s">
        <v>208</v>
      </c>
      <c r="D465" s="5">
        <v>2</v>
      </c>
      <c r="E465" s="11">
        <v>93184</v>
      </c>
      <c r="F465" s="11">
        <v>0</v>
      </c>
      <c r="G465" s="27">
        <f t="shared" si="111"/>
        <v>9.5751295336787603</v>
      </c>
      <c r="H465" s="13">
        <f t="shared" si="112"/>
        <v>468662.83675481909</v>
      </c>
      <c r="I465" s="13">
        <f t="shared" si="113"/>
        <v>0</v>
      </c>
      <c r="J465" s="51">
        <f t="shared" si="101"/>
        <v>468662.83675481909</v>
      </c>
    </row>
    <row r="466" spans="1:10" x14ac:dyDescent="0.25">
      <c r="A466" s="4" t="s">
        <v>33</v>
      </c>
      <c r="B466" s="5" t="s">
        <v>223</v>
      </c>
      <c r="C466" s="5" t="s">
        <v>224</v>
      </c>
      <c r="D466" s="5">
        <v>2</v>
      </c>
      <c r="E466" s="11">
        <v>0</v>
      </c>
      <c r="F466" s="11">
        <v>0</v>
      </c>
      <c r="G466" s="27">
        <f t="shared" si="111"/>
        <v>9.5751295336787603</v>
      </c>
      <c r="H466" s="13">
        <f t="shared" si="112"/>
        <v>0</v>
      </c>
      <c r="I466" s="13">
        <f t="shared" si="113"/>
        <v>0</v>
      </c>
      <c r="J466" s="51">
        <f t="shared" si="101"/>
        <v>0</v>
      </c>
    </row>
    <row r="467" spans="1:10" x14ac:dyDescent="0.25">
      <c r="A467" s="4" t="s">
        <v>33</v>
      </c>
      <c r="B467" s="5" t="s">
        <v>266</v>
      </c>
      <c r="C467" s="5" t="s">
        <v>210</v>
      </c>
      <c r="D467" s="5">
        <v>1</v>
      </c>
      <c r="E467" s="11">
        <v>970</v>
      </c>
      <c r="F467" s="11">
        <v>0</v>
      </c>
      <c r="G467" s="27">
        <f t="shared" si="111"/>
        <v>4.7875647668393801</v>
      </c>
      <c r="H467" s="13">
        <f t="shared" si="112"/>
        <v>4878.5515931079854</v>
      </c>
      <c r="I467" s="13">
        <f t="shared" si="113"/>
        <v>0</v>
      </c>
      <c r="J467" s="51">
        <f t="shared" si="101"/>
        <v>4878.5515931079854</v>
      </c>
    </row>
    <row r="468" spans="1:10" x14ac:dyDescent="0.25">
      <c r="A468" s="4" t="s">
        <v>33</v>
      </c>
      <c r="B468" s="5" t="s">
        <v>226</v>
      </c>
      <c r="C468" s="5" t="s">
        <v>210</v>
      </c>
      <c r="D468" s="5">
        <v>25</v>
      </c>
      <c r="E468" s="11">
        <v>24250</v>
      </c>
      <c r="F468" s="11">
        <v>0</v>
      </c>
      <c r="G468" s="27">
        <f t="shared" si="111"/>
        <v>119.6891191709845</v>
      </c>
      <c r="H468" s="13">
        <f t="shared" si="112"/>
        <v>121963.78982769964</v>
      </c>
      <c r="I468" s="13">
        <f t="shared" si="113"/>
        <v>0</v>
      </c>
      <c r="J468" s="51">
        <f t="shared" si="101"/>
        <v>121963.78982769964</v>
      </c>
    </row>
    <row r="469" spans="1:10" x14ac:dyDescent="0.25">
      <c r="A469" s="4" t="s">
        <v>33</v>
      </c>
      <c r="B469" s="5" t="s">
        <v>227</v>
      </c>
      <c r="C469" s="5" t="s">
        <v>210</v>
      </c>
      <c r="D469" s="5">
        <v>20</v>
      </c>
      <c r="E469" s="11">
        <v>19400</v>
      </c>
      <c r="F469" s="11">
        <v>0</v>
      </c>
      <c r="G469" s="27">
        <f t="shared" si="111"/>
        <v>95.751295336787607</v>
      </c>
      <c r="H469" s="13">
        <f t="shared" si="112"/>
        <v>97571.031862159711</v>
      </c>
      <c r="I469" s="13">
        <f t="shared" si="113"/>
        <v>0</v>
      </c>
      <c r="J469" s="51">
        <f t="shared" si="101"/>
        <v>97571.031862159711</v>
      </c>
    </row>
    <row r="470" spans="1:10" x14ac:dyDescent="0.25">
      <c r="A470" s="4" t="s">
        <v>33</v>
      </c>
      <c r="B470" s="5" t="s">
        <v>228</v>
      </c>
      <c r="C470" s="5" t="s">
        <v>229</v>
      </c>
      <c r="D470" s="5">
        <v>12</v>
      </c>
      <c r="E470" s="11">
        <v>23292</v>
      </c>
      <c r="F470" s="11">
        <v>0</v>
      </c>
      <c r="G470" s="27">
        <f t="shared" si="111"/>
        <v>57.450777202072558</v>
      </c>
      <c r="H470" s="13">
        <f t="shared" si="112"/>
        <v>117145.59145017649</v>
      </c>
      <c r="I470" s="13">
        <f t="shared" si="113"/>
        <v>0</v>
      </c>
      <c r="J470" s="51">
        <f t="shared" si="101"/>
        <v>117145.59145017649</v>
      </c>
    </row>
    <row r="471" spans="1:10" x14ac:dyDescent="0.25">
      <c r="A471" s="4" t="s">
        <v>33</v>
      </c>
      <c r="B471" s="5" t="s">
        <v>230</v>
      </c>
      <c r="C471" s="5" t="s">
        <v>229</v>
      </c>
      <c r="D471" s="5">
        <v>17</v>
      </c>
      <c r="E471" s="11">
        <v>32997</v>
      </c>
      <c r="F471" s="11">
        <v>0</v>
      </c>
      <c r="G471" s="27">
        <f t="shared" si="111"/>
        <v>81.388601036269463</v>
      </c>
      <c r="H471" s="13">
        <f t="shared" si="112"/>
        <v>165956.25455441669</v>
      </c>
      <c r="I471" s="13">
        <f t="shared" si="113"/>
        <v>0</v>
      </c>
      <c r="J471" s="51">
        <f t="shared" si="101"/>
        <v>165956.25455441669</v>
      </c>
    </row>
    <row r="472" spans="1:10" x14ac:dyDescent="0.25">
      <c r="A472" s="4" t="s">
        <v>33</v>
      </c>
      <c r="B472" s="5" t="s">
        <v>262</v>
      </c>
      <c r="C472" s="5" t="s">
        <v>263</v>
      </c>
      <c r="D472" s="5">
        <v>2</v>
      </c>
      <c r="E472" s="11">
        <v>303332</v>
      </c>
      <c r="F472" s="11">
        <v>0</v>
      </c>
      <c r="G472" s="27">
        <f t="shared" si="111"/>
        <v>9.5751295336787603</v>
      </c>
      <c r="H472" s="13">
        <f t="shared" si="112"/>
        <v>1525588.4658150841</v>
      </c>
      <c r="I472" s="13">
        <f t="shared" si="113"/>
        <v>0</v>
      </c>
      <c r="J472" s="51">
        <f t="shared" si="101"/>
        <v>1525588.4658150841</v>
      </c>
    </row>
    <row r="473" spans="1:10" x14ac:dyDescent="0.25">
      <c r="A473" s="4" t="s">
        <v>33</v>
      </c>
      <c r="B473" s="5" t="s">
        <v>233</v>
      </c>
      <c r="C473" s="5" t="s">
        <v>234</v>
      </c>
      <c r="D473" s="5">
        <v>23</v>
      </c>
      <c r="E473" s="11">
        <v>2232518</v>
      </c>
      <c r="F473" s="11">
        <v>0</v>
      </c>
      <c r="G473" s="27">
        <f t="shared" si="111"/>
        <v>110.11398963730575</v>
      </c>
      <c r="H473" s="13">
        <f t="shared" si="112"/>
        <v>11228303.345919849</v>
      </c>
      <c r="I473" s="13">
        <f t="shared" si="113"/>
        <v>0</v>
      </c>
      <c r="J473" s="51">
        <f t="shared" si="101"/>
        <v>11228303.345919849</v>
      </c>
    </row>
    <row r="474" spans="1:10" x14ac:dyDescent="0.25">
      <c r="A474" s="4" t="s">
        <v>33</v>
      </c>
      <c r="B474" s="5" t="s">
        <v>235</v>
      </c>
      <c r="C474" s="5" t="s">
        <v>236</v>
      </c>
      <c r="D474" s="5">
        <v>5</v>
      </c>
      <c r="E474" s="11">
        <v>34125</v>
      </c>
      <c r="F474" s="11">
        <v>13650</v>
      </c>
      <c r="G474" s="27">
        <f t="shared" si="111"/>
        <v>23.937823834196902</v>
      </c>
      <c r="H474" s="13">
        <f t="shared" si="112"/>
        <v>171629.45681939175</v>
      </c>
      <c r="I474" s="13">
        <f t="shared" si="113"/>
        <v>68651.810945742269</v>
      </c>
      <c r="J474" s="51">
        <f t="shared" si="101"/>
        <v>240281.26776513402</v>
      </c>
    </row>
    <row r="475" spans="1:10" x14ac:dyDescent="0.25">
      <c r="A475" s="4" t="s">
        <v>33</v>
      </c>
      <c r="B475" s="5" t="s">
        <v>237</v>
      </c>
      <c r="C475" s="5" t="s">
        <v>238</v>
      </c>
      <c r="D475" s="5">
        <v>1</v>
      </c>
      <c r="E475" s="11">
        <v>5126</v>
      </c>
      <c r="F475" s="11">
        <v>2050</v>
      </c>
      <c r="G475" s="27">
        <f t="shared" si="111"/>
        <v>4.7875647668393801</v>
      </c>
      <c r="H475" s="13">
        <f t="shared" si="112"/>
        <v>25780.881923991274</v>
      </c>
      <c r="I475" s="13">
        <f t="shared" si="113"/>
        <v>10310.345233609645</v>
      </c>
      <c r="J475" s="51">
        <f t="shared" si="101"/>
        <v>36091.227157600923</v>
      </c>
    </row>
    <row r="476" spans="1:10" x14ac:dyDescent="0.25">
      <c r="A476" s="4" t="s">
        <v>33</v>
      </c>
      <c r="B476" s="5" t="s">
        <v>239</v>
      </c>
      <c r="C476" s="5" t="s">
        <v>236</v>
      </c>
      <c r="D476" s="5">
        <v>3</v>
      </c>
      <c r="E476" s="11">
        <v>20475</v>
      </c>
      <c r="F476" s="11">
        <v>8190</v>
      </c>
      <c r="G476" s="27">
        <f t="shared" si="111"/>
        <v>14.36269430051814</v>
      </c>
      <c r="H476" s="13">
        <f t="shared" si="112"/>
        <v>102977.67409163505</v>
      </c>
      <c r="I476" s="13">
        <f t="shared" si="113"/>
        <v>41191.086567445367</v>
      </c>
      <c r="J476" s="51">
        <f t="shared" si="101"/>
        <v>144168.76065908041</v>
      </c>
    </row>
    <row r="477" spans="1:10" x14ac:dyDescent="0.25">
      <c r="A477" s="4" t="s">
        <v>33</v>
      </c>
      <c r="B477" s="5" t="s">
        <v>240</v>
      </c>
      <c r="C477" s="5" t="s">
        <v>238</v>
      </c>
      <c r="D477" s="5">
        <v>1</v>
      </c>
      <c r="E477" s="11">
        <v>5126</v>
      </c>
      <c r="F477" s="11">
        <v>2050</v>
      </c>
      <c r="G477" s="27">
        <f t="shared" si="111"/>
        <v>4.7875647668393801</v>
      </c>
      <c r="H477" s="13">
        <f t="shared" si="112"/>
        <v>25780.881923991274</v>
      </c>
      <c r="I477" s="13">
        <f t="shared" si="113"/>
        <v>10310.345233609645</v>
      </c>
      <c r="J477" s="51">
        <f t="shared" si="101"/>
        <v>36091.227157600923</v>
      </c>
    </row>
    <row r="478" spans="1:10" x14ac:dyDescent="0.25">
      <c r="A478" s="4" t="s">
        <v>33</v>
      </c>
      <c r="B478" s="5" t="s">
        <v>241</v>
      </c>
      <c r="C478" s="5" t="s">
        <v>236</v>
      </c>
      <c r="D478" s="5">
        <v>19</v>
      </c>
      <c r="E478" s="11">
        <v>129675</v>
      </c>
      <c r="F478" s="11">
        <v>51870</v>
      </c>
      <c r="G478" s="27">
        <f t="shared" si="111"/>
        <v>90.963730569948225</v>
      </c>
      <c r="H478" s="13">
        <f t="shared" si="112"/>
        <v>652191.93591368874</v>
      </c>
      <c r="I478" s="13">
        <f t="shared" si="113"/>
        <v>260876.88159382064</v>
      </c>
      <c r="J478" s="51">
        <f t="shared" si="101"/>
        <v>913068.81750750937</v>
      </c>
    </row>
    <row r="479" spans="1:10" x14ac:dyDescent="0.25">
      <c r="A479" s="4" t="s">
        <v>33</v>
      </c>
      <c r="B479" s="5" t="s">
        <v>243</v>
      </c>
      <c r="C479" s="5" t="s">
        <v>244</v>
      </c>
      <c r="D479" s="5">
        <v>2</v>
      </c>
      <c r="E479" s="11">
        <v>6824</v>
      </c>
      <c r="F479" s="11">
        <v>2730</v>
      </c>
      <c r="G479" s="27">
        <f t="shared" si="111"/>
        <v>9.5751295336787603</v>
      </c>
      <c r="H479" s="13">
        <f t="shared" si="112"/>
        <v>34320.861929246283</v>
      </c>
      <c r="I479" s="13">
        <f t="shared" si="113"/>
        <v>13730.362189148454</v>
      </c>
      <c r="J479" s="51">
        <f t="shared" si="101"/>
        <v>48051.224118394734</v>
      </c>
    </row>
    <row r="480" spans="1:10" x14ac:dyDescent="0.25">
      <c r="A480" s="4" t="s">
        <v>33</v>
      </c>
      <c r="B480" s="5" t="s">
        <v>247</v>
      </c>
      <c r="C480" s="5" t="s">
        <v>244</v>
      </c>
      <c r="D480" s="5">
        <v>1</v>
      </c>
      <c r="E480" s="11">
        <v>3412</v>
      </c>
      <c r="F480" s="11">
        <v>1365</v>
      </c>
      <c r="G480" s="27">
        <f t="shared" si="111"/>
        <v>4.7875647668393801</v>
      </c>
      <c r="H480" s="13">
        <f t="shared" si="112"/>
        <v>17160.430964623141</v>
      </c>
      <c r="I480" s="13">
        <f t="shared" si="113"/>
        <v>6865.1810945742272</v>
      </c>
      <c r="J480" s="51">
        <f t="shared" si="101"/>
        <v>24025.612059197367</v>
      </c>
    </row>
    <row r="481" spans="1:10" x14ac:dyDescent="0.25">
      <c r="A481" s="4" t="s">
        <v>33</v>
      </c>
      <c r="B481" s="5" t="s">
        <v>249</v>
      </c>
      <c r="C481" s="5" t="s">
        <v>250</v>
      </c>
      <c r="D481" s="5">
        <v>6</v>
      </c>
      <c r="E481" s="11">
        <v>90996</v>
      </c>
      <c r="F481" s="11">
        <v>36396</v>
      </c>
      <c r="G481" s="27">
        <f t="shared" si="111"/>
        <v>28.725388601036279</v>
      </c>
      <c r="H481" s="13">
        <f t="shared" si="112"/>
        <v>457658.43377984973</v>
      </c>
      <c r="I481" s="13">
        <f t="shared" si="113"/>
        <v>183051.37810851546</v>
      </c>
      <c r="J481" s="51">
        <f t="shared" si="101"/>
        <v>640709.81188836519</v>
      </c>
    </row>
    <row r="482" spans="1:10" x14ac:dyDescent="0.25">
      <c r="A482" s="4" t="s">
        <v>33</v>
      </c>
      <c r="B482" s="5" t="s">
        <v>252</v>
      </c>
      <c r="C482" s="5" t="s">
        <v>212</v>
      </c>
      <c r="D482" s="5">
        <v>4</v>
      </c>
      <c r="E482" s="11">
        <v>5824</v>
      </c>
      <c r="F482" s="11">
        <v>0</v>
      </c>
      <c r="G482" s="27">
        <f t="shared" si="111"/>
        <v>19.150259067357521</v>
      </c>
      <c r="H482" s="13">
        <f t="shared" si="112"/>
        <v>29291.427297176193</v>
      </c>
      <c r="I482" s="13">
        <f t="shared" si="113"/>
        <v>0</v>
      </c>
      <c r="J482" s="51">
        <f t="shared" si="101"/>
        <v>29291.427297176193</v>
      </c>
    </row>
    <row r="483" spans="1:10" x14ac:dyDescent="0.25">
      <c r="A483" s="4" t="s">
        <v>33</v>
      </c>
      <c r="B483" s="5" t="s">
        <v>253</v>
      </c>
      <c r="C483" s="5" t="s">
        <v>210</v>
      </c>
      <c r="D483" s="5">
        <v>3</v>
      </c>
      <c r="E483" s="11">
        <v>2910</v>
      </c>
      <c r="F483" s="11">
        <v>0</v>
      </c>
      <c r="G483" s="27">
        <f t="shared" si="111"/>
        <v>14.36269430051814</v>
      </c>
      <c r="H483" s="13">
        <f t="shared" si="112"/>
        <v>14635.654779323957</v>
      </c>
      <c r="I483" s="13">
        <f t="shared" si="113"/>
        <v>0</v>
      </c>
      <c r="J483" s="51">
        <f t="shared" si="101"/>
        <v>14635.654779323957</v>
      </c>
    </row>
    <row r="484" spans="1:10" x14ac:dyDescent="0.25">
      <c r="A484" s="4" t="s">
        <v>33</v>
      </c>
      <c r="B484" s="5" t="s">
        <v>254</v>
      </c>
      <c r="C484" s="5" t="s">
        <v>212</v>
      </c>
      <c r="D484" s="5">
        <v>3</v>
      </c>
      <c r="E484" s="11">
        <v>4368</v>
      </c>
      <c r="F484" s="11">
        <v>0</v>
      </c>
      <c r="G484" s="27">
        <f t="shared" si="111"/>
        <v>14.36269430051814</v>
      </c>
      <c r="H484" s="13">
        <f t="shared" si="112"/>
        <v>21968.570472882147</v>
      </c>
      <c r="I484" s="13">
        <f t="shared" si="113"/>
        <v>0</v>
      </c>
      <c r="J484" s="51">
        <f t="shared" si="101"/>
        <v>21968.570472882147</v>
      </c>
    </row>
    <row r="485" spans="1:10" x14ac:dyDescent="0.25">
      <c r="A485" s="15" t="s">
        <v>33</v>
      </c>
      <c r="B485" s="16" t="s">
        <v>255</v>
      </c>
      <c r="C485" s="16" t="s">
        <v>210</v>
      </c>
      <c r="D485" s="16">
        <v>2</v>
      </c>
      <c r="E485" s="18">
        <v>1940</v>
      </c>
      <c r="F485" s="18">
        <v>0</v>
      </c>
      <c r="G485" s="27">
        <f t="shared" si="111"/>
        <v>9.5751295336787603</v>
      </c>
      <c r="H485" s="13">
        <f t="shared" si="112"/>
        <v>9757.1031862159707</v>
      </c>
      <c r="I485" s="13">
        <f t="shared" si="113"/>
        <v>0</v>
      </c>
      <c r="J485" s="51">
        <f t="shared" si="101"/>
        <v>9757.1031862159707</v>
      </c>
    </row>
    <row r="486" spans="1:10" s="3" customFormat="1" x14ac:dyDescent="0.25">
      <c r="A486" s="4"/>
      <c r="B486" s="21" t="s">
        <v>278</v>
      </c>
      <c r="C486" s="21"/>
      <c r="D486" s="21"/>
      <c r="E486" s="29"/>
      <c r="F486" s="29"/>
      <c r="G486" s="47">
        <f>SUM(G457:G485)</f>
        <v>924.00000000000023</v>
      </c>
      <c r="H486" s="47">
        <f t="shared" ref="H486:J486" si="114">SUM(H457:H485)</f>
        <v>16825365</v>
      </c>
      <c r="I486" s="47">
        <f t="shared" si="114"/>
        <v>1174635.0000000002</v>
      </c>
      <c r="J486" s="47">
        <f t="shared" si="114"/>
        <v>17999999.999999996</v>
      </c>
    </row>
    <row r="487" spans="1:10" x14ac:dyDescent="0.25">
      <c r="A487" s="23" t="s">
        <v>34</v>
      </c>
      <c r="B487" s="24" t="s">
        <v>207</v>
      </c>
      <c r="C487" s="24" t="s">
        <v>208</v>
      </c>
      <c r="D487" s="24">
        <v>1</v>
      </c>
      <c r="E487" s="30">
        <v>11648</v>
      </c>
      <c r="F487" s="30">
        <v>4659</v>
      </c>
      <c r="G487" s="27">
        <f>+D487*4.79452054794521</f>
        <v>4.7945205479452104</v>
      </c>
      <c r="H487" s="13">
        <f>+E487*3064006/242346</f>
        <v>147266.890676966</v>
      </c>
      <c r="I487" s="13">
        <f>+F487*935994/74032</f>
        <v>58904.204208990705</v>
      </c>
      <c r="J487" s="51">
        <f t="shared" si="101"/>
        <v>206171.0948859567</v>
      </c>
    </row>
    <row r="488" spans="1:10" x14ac:dyDescent="0.25">
      <c r="A488" s="4" t="s">
        <v>34</v>
      </c>
      <c r="B488" s="5" t="s">
        <v>209</v>
      </c>
      <c r="C488" s="5" t="s">
        <v>210</v>
      </c>
      <c r="D488" s="5">
        <v>1</v>
      </c>
      <c r="E488" s="11">
        <v>970</v>
      </c>
      <c r="F488" s="11">
        <v>0</v>
      </c>
      <c r="G488" s="27">
        <f t="shared" ref="G488:G503" si="115">+D488*4.79452054794521</f>
        <v>4.7945205479452104</v>
      </c>
      <c r="H488" s="13">
        <f t="shared" ref="H488:H503" si="116">+E488*3064006/242346</f>
        <v>12263.81215287234</v>
      </c>
      <c r="I488" s="13">
        <f t="shared" ref="I488:I503" si="117">+F488*935994/74032</f>
        <v>0</v>
      </c>
      <c r="J488" s="51">
        <f t="shared" si="101"/>
        <v>12263.81215287234</v>
      </c>
    </row>
    <row r="489" spans="1:10" x14ac:dyDescent="0.25">
      <c r="A489" s="4" t="s">
        <v>34</v>
      </c>
      <c r="B489" s="5" t="s">
        <v>214</v>
      </c>
      <c r="C489" s="5" t="s">
        <v>210</v>
      </c>
      <c r="D489" s="5">
        <v>4</v>
      </c>
      <c r="E489" s="11">
        <v>3880</v>
      </c>
      <c r="F489" s="11">
        <v>0</v>
      </c>
      <c r="G489" s="27">
        <f t="shared" si="115"/>
        <v>19.178082191780842</v>
      </c>
      <c r="H489" s="13">
        <f t="shared" si="116"/>
        <v>49055.248611489362</v>
      </c>
      <c r="I489" s="13">
        <f t="shared" si="117"/>
        <v>0</v>
      </c>
      <c r="J489" s="51">
        <f t="shared" si="101"/>
        <v>49055.248611489362</v>
      </c>
    </row>
    <row r="490" spans="1:10" x14ac:dyDescent="0.25">
      <c r="A490" s="4" t="s">
        <v>34</v>
      </c>
      <c r="B490" s="5" t="s">
        <v>216</v>
      </c>
      <c r="C490" s="5" t="s">
        <v>210</v>
      </c>
      <c r="D490" s="5">
        <v>8</v>
      </c>
      <c r="E490" s="11">
        <v>7760</v>
      </c>
      <c r="F490" s="11">
        <v>0</v>
      </c>
      <c r="G490" s="27">
        <f t="shared" si="115"/>
        <v>38.356164383561683</v>
      </c>
      <c r="H490" s="13">
        <f t="shared" si="116"/>
        <v>98110.497222978724</v>
      </c>
      <c r="I490" s="13">
        <f t="shared" si="117"/>
        <v>0</v>
      </c>
      <c r="J490" s="51">
        <f t="shared" si="101"/>
        <v>98110.497222978724</v>
      </c>
    </row>
    <row r="491" spans="1:10" x14ac:dyDescent="0.25">
      <c r="A491" s="4" t="s">
        <v>34</v>
      </c>
      <c r="B491" s="5" t="s">
        <v>217</v>
      </c>
      <c r="C491" s="5" t="s">
        <v>218</v>
      </c>
      <c r="D491" s="5">
        <v>11</v>
      </c>
      <c r="E491" s="11">
        <v>36443</v>
      </c>
      <c r="F491" s="11">
        <v>14575</v>
      </c>
      <c r="G491" s="27">
        <f t="shared" si="115"/>
        <v>52.739726027397317</v>
      </c>
      <c r="H491" s="13">
        <f t="shared" si="116"/>
        <v>460752.68689394504</v>
      </c>
      <c r="I491" s="13">
        <f t="shared" si="117"/>
        <v>184273.18659498595</v>
      </c>
      <c r="J491" s="51">
        <f t="shared" si="101"/>
        <v>645025.87348893099</v>
      </c>
    </row>
    <row r="492" spans="1:10" x14ac:dyDescent="0.25">
      <c r="A492" s="4" t="s">
        <v>34</v>
      </c>
      <c r="B492" s="5" t="s">
        <v>219</v>
      </c>
      <c r="C492" s="5" t="s">
        <v>220</v>
      </c>
      <c r="D492" s="5">
        <v>4</v>
      </c>
      <c r="E492" s="11">
        <v>13588</v>
      </c>
      <c r="F492" s="11">
        <v>5432</v>
      </c>
      <c r="G492" s="27">
        <f t="shared" si="115"/>
        <v>19.178082191780842</v>
      </c>
      <c r="H492" s="13">
        <f t="shared" si="116"/>
        <v>171794.51498271068</v>
      </c>
      <c r="I492" s="13">
        <f t="shared" si="117"/>
        <v>68677.32072617246</v>
      </c>
      <c r="J492" s="51">
        <f t="shared" si="101"/>
        <v>240471.83570888313</v>
      </c>
    </row>
    <row r="493" spans="1:10" x14ac:dyDescent="0.25">
      <c r="A493" s="4" t="s">
        <v>34</v>
      </c>
      <c r="B493" s="5" t="s">
        <v>223</v>
      </c>
      <c r="C493" s="5" t="s">
        <v>224</v>
      </c>
      <c r="D493" s="5">
        <v>1</v>
      </c>
      <c r="E493" s="11">
        <v>0</v>
      </c>
      <c r="F493" s="11">
        <v>0</v>
      </c>
      <c r="G493" s="27">
        <f t="shared" si="115"/>
        <v>4.7945205479452104</v>
      </c>
      <c r="H493" s="13">
        <f t="shared" si="116"/>
        <v>0</v>
      </c>
      <c r="I493" s="13">
        <f t="shared" si="117"/>
        <v>0</v>
      </c>
      <c r="J493" s="51">
        <f t="shared" si="101"/>
        <v>0</v>
      </c>
    </row>
    <row r="494" spans="1:10" x14ac:dyDescent="0.25">
      <c r="A494" s="4" t="s">
        <v>34</v>
      </c>
      <c r="B494" s="5" t="s">
        <v>225</v>
      </c>
      <c r="C494" s="5" t="s">
        <v>210</v>
      </c>
      <c r="D494" s="5">
        <v>1</v>
      </c>
      <c r="E494" s="11">
        <v>970</v>
      </c>
      <c r="F494" s="11">
        <v>0</v>
      </c>
      <c r="G494" s="27">
        <f t="shared" si="115"/>
        <v>4.7945205479452104</v>
      </c>
      <c r="H494" s="13">
        <f t="shared" si="116"/>
        <v>12263.81215287234</v>
      </c>
      <c r="I494" s="13">
        <f t="shared" si="117"/>
        <v>0</v>
      </c>
      <c r="J494" s="51">
        <f t="shared" si="101"/>
        <v>12263.81215287234</v>
      </c>
    </row>
    <row r="495" spans="1:10" x14ac:dyDescent="0.25">
      <c r="A495" s="4" t="s">
        <v>34</v>
      </c>
      <c r="B495" s="5" t="s">
        <v>226</v>
      </c>
      <c r="C495" s="5" t="s">
        <v>210</v>
      </c>
      <c r="D495" s="5">
        <v>4</v>
      </c>
      <c r="E495" s="11">
        <v>3880</v>
      </c>
      <c r="F495" s="11">
        <v>0</v>
      </c>
      <c r="G495" s="27">
        <f t="shared" si="115"/>
        <v>19.178082191780842</v>
      </c>
      <c r="H495" s="13">
        <f t="shared" si="116"/>
        <v>49055.248611489362</v>
      </c>
      <c r="I495" s="13">
        <f t="shared" si="117"/>
        <v>0</v>
      </c>
      <c r="J495" s="51">
        <f t="shared" si="101"/>
        <v>49055.248611489362</v>
      </c>
    </row>
    <row r="496" spans="1:10" x14ac:dyDescent="0.25">
      <c r="A496" s="4" t="s">
        <v>34</v>
      </c>
      <c r="B496" s="5" t="s">
        <v>228</v>
      </c>
      <c r="C496" s="5" t="s">
        <v>229</v>
      </c>
      <c r="D496" s="5">
        <v>14</v>
      </c>
      <c r="E496" s="11">
        <v>27174</v>
      </c>
      <c r="F496" s="11">
        <v>0</v>
      </c>
      <c r="G496" s="27">
        <f t="shared" si="115"/>
        <v>67.123287671232944</v>
      </c>
      <c r="H496" s="13">
        <f t="shared" si="116"/>
        <v>343563.74375479686</v>
      </c>
      <c r="I496" s="13">
        <f t="shared" si="117"/>
        <v>0</v>
      </c>
      <c r="J496" s="51">
        <f t="shared" si="101"/>
        <v>343563.74375479686</v>
      </c>
    </row>
    <row r="497" spans="1:10" x14ac:dyDescent="0.25">
      <c r="A497" s="4" t="s">
        <v>34</v>
      </c>
      <c r="B497" s="5" t="s">
        <v>230</v>
      </c>
      <c r="C497" s="5" t="s">
        <v>229</v>
      </c>
      <c r="D497" s="5">
        <v>1</v>
      </c>
      <c r="E497" s="11">
        <v>1941</v>
      </c>
      <c r="F497" s="11">
        <v>0</v>
      </c>
      <c r="G497" s="27">
        <f t="shared" si="115"/>
        <v>4.7945205479452104</v>
      </c>
      <c r="H497" s="13">
        <f t="shared" si="116"/>
        <v>24540.267411056917</v>
      </c>
      <c r="I497" s="13">
        <f t="shared" si="117"/>
        <v>0</v>
      </c>
      <c r="J497" s="51">
        <f t="shared" ref="J497:J560" si="118">SUM(H497:I497)</f>
        <v>24540.267411056917</v>
      </c>
    </row>
    <row r="498" spans="1:10" x14ac:dyDescent="0.25">
      <c r="A498" s="4" t="s">
        <v>34</v>
      </c>
      <c r="B498" s="5" t="s">
        <v>235</v>
      </c>
      <c r="C498" s="5" t="s">
        <v>236</v>
      </c>
      <c r="D498" s="5">
        <v>1</v>
      </c>
      <c r="E498" s="11">
        <v>6825</v>
      </c>
      <c r="F498" s="11">
        <v>2730</v>
      </c>
      <c r="G498" s="27">
        <f t="shared" si="115"/>
        <v>4.7945205479452104</v>
      </c>
      <c r="H498" s="13">
        <f t="shared" si="116"/>
        <v>86289.193756034758</v>
      </c>
      <c r="I498" s="13">
        <f t="shared" si="117"/>
        <v>34515.663767019665</v>
      </c>
      <c r="J498" s="51">
        <f t="shared" si="118"/>
        <v>120804.85752305442</v>
      </c>
    </row>
    <row r="499" spans="1:10" x14ac:dyDescent="0.25">
      <c r="A499" s="4" t="s">
        <v>34</v>
      </c>
      <c r="B499" s="5" t="s">
        <v>241</v>
      </c>
      <c r="C499" s="5" t="s">
        <v>236</v>
      </c>
      <c r="D499" s="5">
        <v>3</v>
      </c>
      <c r="E499" s="11">
        <v>20475</v>
      </c>
      <c r="F499" s="11">
        <v>8190</v>
      </c>
      <c r="G499" s="27">
        <f t="shared" si="115"/>
        <v>14.38356164383563</v>
      </c>
      <c r="H499" s="13">
        <f t="shared" si="116"/>
        <v>258867.58126810429</v>
      </c>
      <c r="I499" s="13">
        <f t="shared" si="117"/>
        <v>103546.991301059</v>
      </c>
      <c r="J499" s="51">
        <f t="shared" si="118"/>
        <v>362414.57256916328</v>
      </c>
    </row>
    <row r="500" spans="1:10" x14ac:dyDescent="0.25">
      <c r="A500" s="4" t="s">
        <v>34</v>
      </c>
      <c r="B500" s="5" t="s">
        <v>248</v>
      </c>
      <c r="C500" s="5" t="s">
        <v>246</v>
      </c>
      <c r="D500" s="5">
        <v>2</v>
      </c>
      <c r="E500" s="11">
        <v>5126</v>
      </c>
      <c r="F500" s="11">
        <v>2050</v>
      </c>
      <c r="G500" s="27">
        <f t="shared" si="115"/>
        <v>9.5890410958904209</v>
      </c>
      <c r="H500" s="13">
        <f t="shared" si="116"/>
        <v>64808.557830539808</v>
      </c>
      <c r="I500" s="13">
        <f t="shared" si="117"/>
        <v>25918.355575967151</v>
      </c>
      <c r="J500" s="51">
        <f t="shared" si="118"/>
        <v>90726.913406506967</v>
      </c>
    </row>
    <row r="501" spans="1:10" x14ac:dyDescent="0.25">
      <c r="A501" s="4" t="s">
        <v>34</v>
      </c>
      <c r="B501" s="5" t="s">
        <v>249</v>
      </c>
      <c r="C501" s="5" t="s">
        <v>250</v>
      </c>
      <c r="D501" s="5">
        <v>6</v>
      </c>
      <c r="E501" s="11">
        <v>90996</v>
      </c>
      <c r="F501" s="11">
        <v>36396</v>
      </c>
      <c r="G501" s="27">
        <f t="shared" si="115"/>
        <v>28.767123287671261</v>
      </c>
      <c r="H501" s="13">
        <f t="shared" si="116"/>
        <v>1150472.0109925477</v>
      </c>
      <c r="I501" s="13">
        <f t="shared" si="117"/>
        <v>460158.27782580507</v>
      </c>
      <c r="J501" s="51">
        <f t="shared" si="118"/>
        <v>1610630.2888183529</v>
      </c>
    </row>
    <row r="502" spans="1:10" x14ac:dyDescent="0.25">
      <c r="A502" s="4" t="s">
        <v>34</v>
      </c>
      <c r="B502" s="5" t="s">
        <v>253</v>
      </c>
      <c r="C502" s="5" t="s">
        <v>210</v>
      </c>
      <c r="D502" s="5">
        <v>5</v>
      </c>
      <c r="E502" s="11">
        <v>4850</v>
      </c>
      <c r="F502" s="11">
        <v>0</v>
      </c>
      <c r="G502" s="27">
        <f t="shared" si="115"/>
        <v>23.972602739726053</v>
      </c>
      <c r="H502" s="13">
        <f t="shared" si="116"/>
        <v>61319.060764361697</v>
      </c>
      <c r="I502" s="13">
        <f t="shared" si="117"/>
        <v>0</v>
      </c>
      <c r="J502" s="51">
        <f t="shared" si="118"/>
        <v>61319.060764361697</v>
      </c>
    </row>
    <row r="503" spans="1:10" x14ac:dyDescent="0.25">
      <c r="A503" s="15" t="s">
        <v>34</v>
      </c>
      <c r="B503" s="16" t="s">
        <v>255</v>
      </c>
      <c r="C503" s="16" t="s">
        <v>210</v>
      </c>
      <c r="D503" s="16">
        <v>6</v>
      </c>
      <c r="E503" s="18">
        <v>5820</v>
      </c>
      <c r="F503" s="18">
        <v>0</v>
      </c>
      <c r="G503" s="27">
        <f t="shared" si="115"/>
        <v>28.767123287671261</v>
      </c>
      <c r="H503" s="13">
        <f t="shared" si="116"/>
        <v>73582.872917234039</v>
      </c>
      <c r="I503" s="13">
        <f t="shared" si="117"/>
        <v>0</v>
      </c>
      <c r="J503" s="51">
        <f t="shared" si="118"/>
        <v>73582.872917234039</v>
      </c>
    </row>
    <row r="504" spans="1:10" s="3" customFormat="1" x14ac:dyDescent="0.25">
      <c r="A504" s="4"/>
      <c r="B504" s="21" t="s">
        <v>279</v>
      </c>
      <c r="C504" s="21"/>
      <c r="D504" s="21"/>
      <c r="E504" s="29"/>
      <c r="F504" s="29"/>
      <c r="G504" s="47">
        <f>SUM(G487:G503)</f>
        <v>350.00000000000034</v>
      </c>
      <c r="H504" s="47">
        <f t="shared" ref="H504:J504" si="119">SUM(H487:H503)</f>
        <v>3064005.9999999995</v>
      </c>
      <c r="I504" s="47">
        <f t="shared" si="119"/>
        <v>935994</v>
      </c>
      <c r="J504" s="47">
        <f t="shared" si="119"/>
        <v>4000000</v>
      </c>
    </row>
    <row r="505" spans="1:10" x14ac:dyDescent="0.25">
      <c r="A505" s="23" t="s">
        <v>35</v>
      </c>
      <c r="B505" s="24" t="s">
        <v>214</v>
      </c>
      <c r="C505" s="24" t="s">
        <v>210</v>
      </c>
      <c r="D505" s="24">
        <v>1</v>
      </c>
      <c r="E505" s="30">
        <v>970</v>
      </c>
      <c r="F505" s="30">
        <v>0</v>
      </c>
      <c r="G505" s="27">
        <f>+D505*5</f>
        <v>5</v>
      </c>
      <c r="H505" s="13">
        <f>+E505*1500000/1940</f>
        <v>750000</v>
      </c>
      <c r="I505" s="13">
        <v>0</v>
      </c>
      <c r="J505" s="51">
        <f t="shared" si="118"/>
        <v>750000</v>
      </c>
    </row>
    <row r="506" spans="1:10" x14ac:dyDescent="0.25">
      <c r="A506" s="15" t="s">
        <v>35</v>
      </c>
      <c r="B506" s="16" t="s">
        <v>253</v>
      </c>
      <c r="C506" s="16" t="s">
        <v>210</v>
      </c>
      <c r="D506" s="16">
        <v>1</v>
      </c>
      <c r="E506" s="18">
        <v>970</v>
      </c>
      <c r="F506" s="18">
        <v>0</v>
      </c>
      <c r="G506" s="27">
        <f>+D506*5</f>
        <v>5</v>
      </c>
      <c r="H506" s="13">
        <f>+E506*1500000/1940</f>
        <v>750000</v>
      </c>
      <c r="I506" s="13">
        <v>0</v>
      </c>
      <c r="J506" s="51">
        <f t="shared" si="118"/>
        <v>750000</v>
      </c>
    </row>
    <row r="507" spans="1:10" s="3" customFormat="1" x14ac:dyDescent="0.25">
      <c r="A507" s="4"/>
      <c r="B507" s="21" t="s">
        <v>280</v>
      </c>
      <c r="C507" s="21"/>
      <c r="D507" s="21"/>
      <c r="E507" s="29"/>
      <c r="F507" s="29"/>
      <c r="G507" s="47">
        <f>SUM(G505:G506)</f>
        <v>10</v>
      </c>
      <c r="H507" s="47">
        <f t="shared" ref="H507:J507" si="120">SUM(H505:H506)</f>
        <v>1500000</v>
      </c>
      <c r="I507" s="47">
        <f t="shared" si="120"/>
        <v>0</v>
      </c>
      <c r="J507" s="47">
        <f t="shared" si="120"/>
        <v>1500000</v>
      </c>
    </row>
    <row r="508" spans="1:10" x14ac:dyDescent="0.25">
      <c r="A508" s="23" t="s">
        <v>36</v>
      </c>
      <c r="B508" s="24" t="s">
        <v>216</v>
      </c>
      <c r="C508" s="24" t="s">
        <v>210</v>
      </c>
      <c r="D508" s="24">
        <v>1</v>
      </c>
      <c r="E508" s="30">
        <v>970</v>
      </c>
      <c r="F508" s="30">
        <v>0</v>
      </c>
      <c r="G508" s="27">
        <f>+D508*4.79166666666667</f>
        <v>4.7916666666666696</v>
      </c>
      <c r="H508" s="13">
        <f>+E508*5410663/209417</f>
        <v>25061.686061781038</v>
      </c>
      <c r="I508" s="13">
        <f>+F508*589337/22810</f>
        <v>0</v>
      </c>
      <c r="J508" s="51">
        <f t="shared" si="118"/>
        <v>25061.686061781038</v>
      </c>
    </row>
    <row r="509" spans="1:10" x14ac:dyDescent="0.25">
      <c r="A509" s="4" t="s">
        <v>36</v>
      </c>
      <c r="B509" s="5" t="s">
        <v>217</v>
      </c>
      <c r="C509" s="5" t="s">
        <v>218</v>
      </c>
      <c r="D509" s="5">
        <v>5</v>
      </c>
      <c r="E509" s="11">
        <v>16565</v>
      </c>
      <c r="F509" s="11">
        <v>6625</v>
      </c>
      <c r="G509" s="27">
        <f t="shared" ref="G509:G518" si="121">+D509*4.79166666666667</f>
        <v>23.95833333333335</v>
      </c>
      <c r="H509" s="13">
        <f t="shared" ref="H509:H518" si="122">+E509*5410663/209417</f>
        <v>427986.42228185869</v>
      </c>
      <c r="I509" s="13">
        <f t="shared" ref="I509:I518" si="123">+F509*589337/22810</f>
        <v>171168.68149934241</v>
      </c>
      <c r="J509" s="51">
        <f t="shared" si="118"/>
        <v>599155.10378120106</v>
      </c>
    </row>
    <row r="510" spans="1:10" x14ac:dyDescent="0.25">
      <c r="A510" s="4" t="s">
        <v>36</v>
      </c>
      <c r="B510" s="5" t="s">
        <v>223</v>
      </c>
      <c r="C510" s="5" t="s">
        <v>224</v>
      </c>
      <c r="D510" s="5">
        <v>1</v>
      </c>
      <c r="E510" s="11">
        <v>0</v>
      </c>
      <c r="F510" s="11">
        <v>0</v>
      </c>
      <c r="G510" s="27">
        <f t="shared" si="121"/>
        <v>4.7916666666666696</v>
      </c>
      <c r="H510" s="13">
        <f t="shared" si="122"/>
        <v>0</v>
      </c>
      <c r="I510" s="13">
        <f t="shared" si="123"/>
        <v>0</v>
      </c>
      <c r="J510" s="51">
        <f t="shared" si="118"/>
        <v>0</v>
      </c>
    </row>
    <row r="511" spans="1:10" x14ac:dyDescent="0.25">
      <c r="A511" s="4" t="s">
        <v>36</v>
      </c>
      <c r="B511" s="5" t="s">
        <v>226</v>
      </c>
      <c r="C511" s="5" t="s">
        <v>210</v>
      </c>
      <c r="D511" s="5">
        <v>2</v>
      </c>
      <c r="E511" s="11">
        <v>1940</v>
      </c>
      <c r="F511" s="11">
        <v>0</v>
      </c>
      <c r="G511" s="27">
        <f t="shared" si="121"/>
        <v>9.5833333333333393</v>
      </c>
      <c r="H511" s="13">
        <f t="shared" si="122"/>
        <v>50123.372123562076</v>
      </c>
      <c r="I511" s="13">
        <f t="shared" si="123"/>
        <v>0</v>
      </c>
      <c r="J511" s="51">
        <f t="shared" si="118"/>
        <v>50123.372123562076</v>
      </c>
    </row>
    <row r="512" spans="1:10" x14ac:dyDescent="0.25">
      <c r="A512" s="4" t="s">
        <v>36</v>
      </c>
      <c r="B512" s="5" t="s">
        <v>227</v>
      </c>
      <c r="C512" s="5" t="s">
        <v>210</v>
      </c>
      <c r="D512" s="5">
        <v>2</v>
      </c>
      <c r="E512" s="11">
        <v>1940</v>
      </c>
      <c r="F512" s="11">
        <v>0</v>
      </c>
      <c r="G512" s="27">
        <f t="shared" si="121"/>
        <v>9.5833333333333393</v>
      </c>
      <c r="H512" s="13">
        <f t="shared" si="122"/>
        <v>50123.372123562076</v>
      </c>
      <c r="I512" s="13">
        <f t="shared" si="123"/>
        <v>0</v>
      </c>
      <c r="J512" s="51">
        <f t="shared" si="118"/>
        <v>50123.372123562076</v>
      </c>
    </row>
    <row r="513" spans="1:10" x14ac:dyDescent="0.25">
      <c r="A513" s="4" t="s">
        <v>36</v>
      </c>
      <c r="B513" s="5" t="s">
        <v>228</v>
      </c>
      <c r="C513" s="5" t="s">
        <v>229</v>
      </c>
      <c r="D513" s="5">
        <v>6</v>
      </c>
      <c r="E513" s="11">
        <v>11646</v>
      </c>
      <c r="F513" s="11">
        <v>0</v>
      </c>
      <c r="G513" s="27">
        <f t="shared" si="121"/>
        <v>28.750000000000018</v>
      </c>
      <c r="H513" s="13">
        <f t="shared" si="122"/>
        <v>300895.25347989897</v>
      </c>
      <c r="I513" s="13">
        <f t="shared" si="123"/>
        <v>0</v>
      </c>
      <c r="J513" s="51">
        <f t="shared" si="118"/>
        <v>300895.25347989897</v>
      </c>
    </row>
    <row r="514" spans="1:10" x14ac:dyDescent="0.25">
      <c r="A514" s="4" t="s">
        <v>36</v>
      </c>
      <c r="B514" s="5" t="s">
        <v>230</v>
      </c>
      <c r="C514" s="5" t="s">
        <v>229</v>
      </c>
      <c r="D514" s="5">
        <v>2</v>
      </c>
      <c r="E514" s="11">
        <v>3882</v>
      </c>
      <c r="F514" s="11">
        <v>0</v>
      </c>
      <c r="G514" s="27">
        <f t="shared" si="121"/>
        <v>9.5833333333333393</v>
      </c>
      <c r="H514" s="13">
        <f t="shared" si="122"/>
        <v>100298.41782663298</v>
      </c>
      <c r="I514" s="13">
        <f t="shared" si="123"/>
        <v>0</v>
      </c>
      <c r="J514" s="51">
        <f t="shared" si="118"/>
        <v>100298.41782663298</v>
      </c>
    </row>
    <row r="515" spans="1:10" x14ac:dyDescent="0.25">
      <c r="A515" s="4" t="s">
        <v>36</v>
      </c>
      <c r="B515" s="5" t="s">
        <v>233</v>
      </c>
      <c r="C515" s="5" t="s">
        <v>234</v>
      </c>
      <c r="D515" s="5">
        <v>1</v>
      </c>
      <c r="E515" s="11">
        <v>97066</v>
      </c>
      <c r="F515" s="11">
        <v>0</v>
      </c>
      <c r="G515" s="27">
        <f t="shared" si="121"/>
        <v>4.7916666666666696</v>
      </c>
      <c r="H515" s="13">
        <f t="shared" si="122"/>
        <v>2507873.8343018955</v>
      </c>
      <c r="I515" s="13">
        <f t="shared" si="123"/>
        <v>0</v>
      </c>
      <c r="J515" s="51">
        <f t="shared" si="118"/>
        <v>2507873.8343018955</v>
      </c>
    </row>
    <row r="516" spans="1:10" x14ac:dyDescent="0.25">
      <c r="A516" s="4" t="s">
        <v>36</v>
      </c>
      <c r="B516" s="5" t="s">
        <v>241</v>
      </c>
      <c r="C516" s="5" t="s">
        <v>236</v>
      </c>
      <c r="D516" s="5">
        <v>2</v>
      </c>
      <c r="E516" s="11">
        <v>13650</v>
      </c>
      <c r="F516" s="11">
        <v>5460</v>
      </c>
      <c r="G516" s="27">
        <f t="shared" si="121"/>
        <v>9.5833333333333393</v>
      </c>
      <c r="H516" s="13">
        <f t="shared" si="122"/>
        <v>352672.18014774349</v>
      </c>
      <c r="I516" s="13">
        <f t="shared" si="123"/>
        <v>141068.83033757124</v>
      </c>
      <c r="J516" s="51">
        <f t="shared" si="118"/>
        <v>493741.01048531476</v>
      </c>
    </row>
    <row r="517" spans="1:10" x14ac:dyDescent="0.25">
      <c r="A517" s="4" t="s">
        <v>36</v>
      </c>
      <c r="B517" s="5" t="s">
        <v>265</v>
      </c>
      <c r="C517" s="5" t="s">
        <v>208</v>
      </c>
      <c r="D517" s="5">
        <v>1</v>
      </c>
      <c r="E517" s="11">
        <v>46592</v>
      </c>
      <c r="F517" s="11">
        <v>4659</v>
      </c>
      <c r="G517" s="27">
        <f t="shared" si="121"/>
        <v>4.7916666666666696</v>
      </c>
      <c r="H517" s="13">
        <f t="shared" si="122"/>
        <v>1203787.7082376312</v>
      </c>
      <c r="I517" s="13">
        <f t="shared" si="123"/>
        <v>120373.5678649715</v>
      </c>
      <c r="J517" s="51">
        <f t="shared" si="118"/>
        <v>1324161.2761026027</v>
      </c>
    </row>
    <row r="518" spans="1:10" x14ac:dyDescent="0.25">
      <c r="A518" s="15" t="s">
        <v>36</v>
      </c>
      <c r="B518" s="16" t="s">
        <v>249</v>
      </c>
      <c r="C518" s="16" t="s">
        <v>250</v>
      </c>
      <c r="D518" s="16">
        <v>1</v>
      </c>
      <c r="E518" s="18">
        <v>15166</v>
      </c>
      <c r="F518" s="18">
        <v>6066</v>
      </c>
      <c r="G518" s="27">
        <f t="shared" si="121"/>
        <v>4.7916666666666696</v>
      </c>
      <c r="H518" s="13">
        <f t="shared" si="122"/>
        <v>391840.75341543427</v>
      </c>
      <c r="I518" s="13">
        <f t="shared" si="123"/>
        <v>156725.92029811486</v>
      </c>
      <c r="J518" s="51">
        <f t="shared" si="118"/>
        <v>548566.67371354916</v>
      </c>
    </row>
    <row r="519" spans="1:10" s="3" customFormat="1" x14ac:dyDescent="0.25">
      <c r="A519" s="4"/>
      <c r="B519" s="20" t="s">
        <v>477</v>
      </c>
      <c r="C519" s="21"/>
      <c r="D519" s="21"/>
      <c r="E519" s="29"/>
      <c r="F519" s="29"/>
      <c r="G519" s="47">
        <f>SUM(G508:G518)</f>
        <v>115.00000000000009</v>
      </c>
      <c r="H519" s="47">
        <f t="shared" ref="H519:J519" si="124">SUM(H508:H518)</f>
        <v>5410663.0000000009</v>
      </c>
      <c r="I519" s="47">
        <f t="shared" si="124"/>
        <v>589337</v>
      </c>
      <c r="J519" s="47">
        <f t="shared" si="124"/>
        <v>6000000</v>
      </c>
    </row>
    <row r="520" spans="1:10" x14ac:dyDescent="0.25">
      <c r="A520" s="23" t="s">
        <v>37</v>
      </c>
      <c r="B520" s="24" t="s">
        <v>214</v>
      </c>
      <c r="C520" s="24" t="s">
        <v>210</v>
      </c>
      <c r="D520" s="24">
        <v>2</v>
      </c>
      <c r="E520" s="30">
        <v>1940</v>
      </c>
      <c r="F520" s="30">
        <v>0</v>
      </c>
      <c r="G520" s="27">
        <f>+D520*4.8</f>
        <v>9.6</v>
      </c>
      <c r="H520" s="13">
        <f>+E520*5903876/507202</f>
        <v>22581.771049798699</v>
      </c>
      <c r="I520" s="13">
        <f>+F520*1096124/94168</f>
        <v>0</v>
      </c>
      <c r="J520" s="51">
        <f t="shared" si="118"/>
        <v>22581.771049798699</v>
      </c>
    </row>
    <row r="521" spans="1:10" x14ac:dyDescent="0.25">
      <c r="A521" s="4" t="s">
        <v>37</v>
      </c>
      <c r="B521" s="5" t="s">
        <v>216</v>
      </c>
      <c r="C521" s="5" t="s">
        <v>210</v>
      </c>
      <c r="D521" s="5">
        <v>1</v>
      </c>
      <c r="E521" s="11">
        <v>970</v>
      </c>
      <c r="F521" s="11">
        <v>0</v>
      </c>
      <c r="G521" s="27">
        <f t="shared" ref="G521:G534" si="125">+D521*4.8</f>
        <v>4.8</v>
      </c>
      <c r="H521" s="13">
        <f t="shared" ref="H521:H534" si="126">+E521*5903876/507202</f>
        <v>11290.88552489935</v>
      </c>
      <c r="I521" s="13">
        <f t="shared" ref="I521:I534" si="127">+F521*1096124/94168</f>
        <v>0</v>
      </c>
      <c r="J521" s="51">
        <f t="shared" si="118"/>
        <v>11290.88552489935</v>
      </c>
    </row>
    <row r="522" spans="1:10" x14ac:dyDescent="0.25">
      <c r="A522" s="4" t="s">
        <v>37</v>
      </c>
      <c r="B522" s="5" t="s">
        <v>217</v>
      </c>
      <c r="C522" s="5" t="s">
        <v>218</v>
      </c>
      <c r="D522" s="5">
        <v>2</v>
      </c>
      <c r="E522" s="11">
        <v>6626</v>
      </c>
      <c r="F522" s="11">
        <v>2650</v>
      </c>
      <c r="G522" s="27">
        <f t="shared" si="125"/>
        <v>9.6</v>
      </c>
      <c r="H522" s="13">
        <f t="shared" si="126"/>
        <v>77127.224214415561</v>
      </c>
      <c r="I522" s="13">
        <f t="shared" si="127"/>
        <v>30846.238637329028</v>
      </c>
      <c r="J522" s="51">
        <f t="shared" si="118"/>
        <v>107973.46285174458</v>
      </c>
    </row>
    <row r="523" spans="1:10" x14ac:dyDescent="0.25">
      <c r="A523" s="4" t="s">
        <v>37</v>
      </c>
      <c r="B523" s="5" t="s">
        <v>219</v>
      </c>
      <c r="C523" s="5" t="s">
        <v>220</v>
      </c>
      <c r="D523" s="5">
        <v>2</v>
      </c>
      <c r="E523" s="11">
        <v>6794</v>
      </c>
      <c r="F523" s="11">
        <v>2716</v>
      </c>
      <c r="G523" s="27">
        <f t="shared" si="125"/>
        <v>9.6</v>
      </c>
      <c r="H523" s="13">
        <f t="shared" si="126"/>
        <v>79082.759026975444</v>
      </c>
      <c r="I523" s="13">
        <f t="shared" si="127"/>
        <v>31614.4845807493</v>
      </c>
      <c r="J523" s="51">
        <f t="shared" si="118"/>
        <v>110697.24360772474</v>
      </c>
    </row>
    <row r="524" spans="1:10" x14ac:dyDescent="0.25">
      <c r="A524" s="4" t="s">
        <v>37</v>
      </c>
      <c r="B524" s="5" t="s">
        <v>221</v>
      </c>
      <c r="C524" s="5" t="s">
        <v>222</v>
      </c>
      <c r="D524" s="5">
        <v>2</v>
      </c>
      <c r="E524" s="11">
        <v>145600</v>
      </c>
      <c r="F524" s="11">
        <v>58240</v>
      </c>
      <c r="G524" s="27">
        <f t="shared" si="125"/>
        <v>9.6</v>
      </c>
      <c r="H524" s="13">
        <f t="shared" si="126"/>
        <v>1694796.8375519025</v>
      </c>
      <c r="I524" s="13">
        <f t="shared" si="127"/>
        <v>677918.84461812931</v>
      </c>
      <c r="J524" s="51">
        <f t="shared" si="118"/>
        <v>2372715.6821700316</v>
      </c>
    </row>
    <row r="525" spans="1:10" x14ac:dyDescent="0.25">
      <c r="A525" s="4" t="s">
        <v>37</v>
      </c>
      <c r="B525" s="5" t="s">
        <v>260</v>
      </c>
      <c r="C525" s="5" t="s">
        <v>208</v>
      </c>
      <c r="D525" s="5">
        <v>1</v>
      </c>
      <c r="E525" s="11">
        <v>46592</v>
      </c>
      <c r="F525" s="11">
        <v>0</v>
      </c>
      <c r="G525" s="27">
        <f t="shared" si="125"/>
        <v>4.8</v>
      </c>
      <c r="H525" s="13">
        <f t="shared" si="126"/>
        <v>542334.98801660875</v>
      </c>
      <c r="I525" s="13">
        <f t="shared" si="127"/>
        <v>0</v>
      </c>
      <c r="J525" s="51">
        <f t="shared" si="118"/>
        <v>542334.98801660875</v>
      </c>
    </row>
    <row r="526" spans="1:10" x14ac:dyDescent="0.25">
      <c r="A526" s="4" t="s">
        <v>37</v>
      </c>
      <c r="B526" s="5" t="s">
        <v>226</v>
      </c>
      <c r="C526" s="5" t="s">
        <v>210</v>
      </c>
      <c r="D526" s="5">
        <v>3</v>
      </c>
      <c r="E526" s="11">
        <v>2910</v>
      </c>
      <c r="F526" s="11">
        <v>0</v>
      </c>
      <c r="G526" s="27">
        <f t="shared" si="125"/>
        <v>14.399999999999999</v>
      </c>
      <c r="H526" s="13">
        <f t="shared" si="126"/>
        <v>33872.656574698049</v>
      </c>
      <c r="I526" s="13">
        <f t="shared" si="127"/>
        <v>0</v>
      </c>
      <c r="J526" s="51">
        <f t="shared" si="118"/>
        <v>33872.656574698049</v>
      </c>
    </row>
    <row r="527" spans="1:10" x14ac:dyDescent="0.25">
      <c r="A527" s="4" t="s">
        <v>37</v>
      </c>
      <c r="B527" s="5" t="s">
        <v>227</v>
      </c>
      <c r="C527" s="5" t="s">
        <v>210</v>
      </c>
      <c r="D527" s="5">
        <v>2</v>
      </c>
      <c r="E527" s="11">
        <v>1940</v>
      </c>
      <c r="F527" s="11">
        <v>0</v>
      </c>
      <c r="G527" s="27">
        <f t="shared" si="125"/>
        <v>9.6</v>
      </c>
      <c r="H527" s="13">
        <f t="shared" si="126"/>
        <v>22581.771049798699</v>
      </c>
      <c r="I527" s="13">
        <f t="shared" si="127"/>
        <v>0</v>
      </c>
      <c r="J527" s="51">
        <f t="shared" si="118"/>
        <v>22581.771049798699</v>
      </c>
    </row>
    <row r="528" spans="1:10" x14ac:dyDescent="0.25">
      <c r="A528" s="4" t="s">
        <v>37</v>
      </c>
      <c r="B528" s="5" t="s">
        <v>228</v>
      </c>
      <c r="C528" s="5" t="s">
        <v>229</v>
      </c>
      <c r="D528" s="5">
        <v>7</v>
      </c>
      <c r="E528" s="11">
        <v>13587</v>
      </c>
      <c r="F528" s="11">
        <v>0</v>
      </c>
      <c r="G528" s="27">
        <f t="shared" si="125"/>
        <v>33.6</v>
      </c>
      <c r="H528" s="13">
        <f t="shared" si="126"/>
        <v>158153.87796578091</v>
      </c>
      <c r="I528" s="13">
        <f t="shared" si="127"/>
        <v>0</v>
      </c>
      <c r="J528" s="51">
        <f t="shared" si="118"/>
        <v>158153.87796578091</v>
      </c>
    </row>
    <row r="529" spans="1:10" x14ac:dyDescent="0.25">
      <c r="A529" s="4" t="s">
        <v>37</v>
      </c>
      <c r="B529" s="5" t="s">
        <v>230</v>
      </c>
      <c r="C529" s="5" t="s">
        <v>229</v>
      </c>
      <c r="D529" s="5">
        <v>3</v>
      </c>
      <c r="E529" s="11">
        <v>5823</v>
      </c>
      <c r="F529" s="11">
        <v>0</v>
      </c>
      <c r="G529" s="27">
        <f t="shared" si="125"/>
        <v>14.399999999999999</v>
      </c>
      <c r="H529" s="13">
        <f t="shared" si="126"/>
        <v>67780.233413906099</v>
      </c>
      <c r="I529" s="13">
        <f t="shared" si="127"/>
        <v>0</v>
      </c>
      <c r="J529" s="51">
        <f t="shared" si="118"/>
        <v>67780.233413906099</v>
      </c>
    </row>
    <row r="530" spans="1:10" x14ac:dyDescent="0.25">
      <c r="A530" s="4" t="s">
        <v>37</v>
      </c>
      <c r="B530" s="5" t="s">
        <v>233</v>
      </c>
      <c r="C530" s="5" t="s">
        <v>234</v>
      </c>
      <c r="D530" s="5">
        <v>2</v>
      </c>
      <c r="E530" s="11">
        <v>194132</v>
      </c>
      <c r="F530" s="11">
        <v>0</v>
      </c>
      <c r="G530" s="27">
        <f t="shared" si="125"/>
        <v>9.6</v>
      </c>
      <c r="H530" s="13">
        <f t="shared" si="126"/>
        <v>2259713.5966183101</v>
      </c>
      <c r="I530" s="13">
        <f t="shared" si="127"/>
        <v>0</v>
      </c>
      <c r="J530" s="51">
        <f t="shared" si="118"/>
        <v>2259713.5966183101</v>
      </c>
    </row>
    <row r="531" spans="1:10" x14ac:dyDescent="0.25">
      <c r="A531" s="4" t="s">
        <v>37</v>
      </c>
      <c r="B531" s="5" t="s">
        <v>237</v>
      </c>
      <c r="C531" s="5" t="s">
        <v>238</v>
      </c>
      <c r="D531" s="5">
        <v>1</v>
      </c>
      <c r="E531" s="11">
        <v>5126</v>
      </c>
      <c r="F531" s="11">
        <v>2050</v>
      </c>
      <c r="G531" s="27">
        <f t="shared" si="125"/>
        <v>4.8</v>
      </c>
      <c r="H531" s="13">
        <f t="shared" si="126"/>
        <v>59667.091959416561</v>
      </c>
      <c r="I531" s="13">
        <f t="shared" si="127"/>
        <v>23862.184606235664</v>
      </c>
      <c r="J531" s="51">
        <f t="shared" si="118"/>
        <v>83529.276565652224</v>
      </c>
    </row>
    <row r="532" spans="1:10" x14ac:dyDescent="0.25">
      <c r="A532" s="4" t="s">
        <v>37</v>
      </c>
      <c r="B532" s="5" t="s">
        <v>241</v>
      </c>
      <c r="C532" s="5" t="s">
        <v>236</v>
      </c>
      <c r="D532" s="5">
        <v>6</v>
      </c>
      <c r="E532" s="11">
        <v>40950</v>
      </c>
      <c r="F532" s="11">
        <v>16380</v>
      </c>
      <c r="G532" s="27">
        <f t="shared" si="125"/>
        <v>28.799999999999997</v>
      </c>
      <c r="H532" s="13">
        <f t="shared" si="126"/>
        <v>476661.61056147254</v>
      </c>
      <c r="I532" s="13">
        <f t="shared" si="127"/>
        <v>190664.67504884888</v>
      </c>
      <c r="J532" s="51">
        <f t="shared" si="118"/>
        <v>667326.28561032144</v>
      </c>
    </row>
    <row r="533" spans="1:10" x14ac:dyDescent="0.25">
      <c r="A533" s="4" t="s">
        <v>37</v>
      </c>
      <c r="B533" s="5" t="s">
        <v>249</v>
      </c>
      <c r="C533" s="5" t="s">
        <v>250</v>
      </c>
      <c r="D533" s="5">
        <v>2</v>
      </c>
      <c r="E533" s="11">
        <v>30332</v>
      </c>
      <c r="F533" s="11">
        <v>12132</v>
      </c>
      <c r="G533" s="27">
        <f t="shared" si="125"/>
        <v>9.6</v>
      </c>
      <c r="H533" s="13">
        <f t="shared" si="126"/>
        <v>353067.15437241964</v>
      </c>
      <c r="I533" s="13">
        <f t="shared" si="127"/>
        <v>141217.57250870785</v>
      </c>
      <c r="J533" s="51">
        <f t="shared" si="118"/>
        <v>494284.72688112746</v>
      </c>
    </row>
    <row r="534" spans="1:10" x14ac:dyDescent="0.25">
      <c r="A534" s="4" t="s">
        <v>37</v>
      </c>
      <c r="B534" s="5" t="s">
        <v>253</v>
      </c>
      <c r="C534" s="5" t="s">
        <v>210</v>
      </c>
      <c r="D534" s="5">
        <v>4</v>
      </c>
      <c r="E534" s="11">
        <v>3880</v>
      </c>
      <c r="F534" s="11">
        <v>0</v>
      </c>
      <c r="G534" s="27">
        <f t="shared" si="125"/>
        <v>19.2</v>
      </c>
      <c r="H534" s="13">
        <f t="shared" si="126"/>
        <v>45163.542099597398</v>
      </c>
      <c r="I534" s="13">
        <f t="shared" si="127"/>
        <v>0</v>
      </c>
      <c r="J534" s="51">
        <f t="shared" si="118"/>
        <v>45163.542099597398</v>
      </c>
    </row>
    <row r="535" spans="1:10" s="3" customFormat="1" x14ac:dyDescent="0.25">
      <c r="A535" s="36"/>
      <c r="B535" s="1" t="s">
        <v>281</v>
      </c>
      <c r="C535" s="1"/>
      <c r="D535" s="1"/>
      <c r="E535" s="2"/>
      <c r="F535" s="2"/>
      <c r="G535" s="47">
        <f>SUM(G520:G534)</f>
        <v>191.99999999999997</v>
      </c>
      <c r="H535" s="47">
        <f t="shared" ref="H535:J535" si="128">SUM(H520:H534)</f>
        <v>5903876</v>
      </c>
      <c r="I535" s="47">
        <f t="shared" si="128"/>
        <v>1096124</v>
      </c>
      <c r="J535" s="47">
        <f t="shared" si="128"/>
        <v>7000000</v>
      </c>
    </row>
    <row r="536" spans="1:10" x14ac:dyDescent="0.25">
      <c r="A536" s="15" t="s">
        <v>38</v>
      </c>
      <c r="B536" s="16" t="s">
        <v>241</v>
      </c>
      <c r="C536" s="16" t="s">
        <v>236</v>
      </c>
      <c r="D536" s="16">
        <v>3</v>
      </c>
      <c r="E536" s="18">
        <v>20475</v>
      </c>
      <c r="F536" s="18">
        <v>8190</v>
      </c>
      <c r="G536" s="27">
        <f>+D536*4.66666666666667</f>
        <v>14.000000000000009</v>
      </c>
      <c r="H536" s="13">
        <f>+E536*714286/20475</f>
        <v>714286</v>
      </c>
      <c r="I536" s="13">
        <v>285714</v>
      </c>
      <c r="J536" s="51">
        <f t="shared" si="118"/>
        <v>1000000</v>
      </c>
    </row>
    <row r="537" spans="1:10" s="3" customFormat="1" x14ac:dyDescent="0.25">
      <c r="A537" s="23"/>
      <c r="B537" s="37" t="s">
        <v>282</v>
      </c>
      <c r="C537" s="37"/>
      <c r="D537" s="37"/>
      <c r="E537" s="38"/>
      <c r="F537" s="38"/>
      <c r="G537" s="47">
        <f>SUM(G536)</f>
        <v>14.000000000000009</v>
      </c>
      <c r="H537" s="47">
        <f t="shared" ref="H537:J537" si="129">SUM(H536)</f>
        <v>714286</v>
      </c>
      <c r="I537" s="47">
        <f t="shared" si="129"/>
        <v>285714</v>
      </c>
      <c r="J537" s="47">
        <f t="shared" si="129"/>
        <v>1000000</v>
      </c>
    </row>
    <row r="538" spans="1:10" x14ac:dyDescent="0.25">
      <c r="A538" s="23" t="s">
        <v>39</v>
      </c>
      <c r="B538" s="24" t="s">
        <v>214</v>
      </c>
      <c r="C538" s="24" t="s">
        <v>210</v>
      </c>
      <c r="D538" s="24">
        <v>2</v>
      </c>
      <c r="E538" s="30">
        <v>970</v>
      </c>
      <c r="F538" s="30">
        <v>0</v>
      </c>
      <c r="G538" s="27">
        <f>+D538*4.83333333333333</f>
        <v>9.6666666666666607</v>
      </c>
      <c r="H538" s="13">
        <f>+E538*1500000/2910</f>
        <v>500000</v>
      </c>
      <c r="I538" s="13">
        <v>0</v>
      </c>
      <c r="J538" s="51">
        <f t="shared" si="118"/>
        <v>500000</v>
      </c>
    </row>
    <row r="539" spans="1:10" x14ac:dyDescent="0.25">
      <c r="A539" s="4" t="s">
        <v>39</v>
      </c>
      <c r="B539" s="5" t="s">
        <v>216</v>
      </c>
      <c r="C539" s="5" t="s">
        <v>210</v>
      </c>
      <c r="D539" s="5">
        <v>1</v>
      </c>
      <c r="E539" s="11">
        <v>485</v>
      </c>
      <c r="F539" s="11">
        <v>0</v>
      </c>
      <c r="G539" s="27">
        <f t="shared" ref="G539:G541" si="130">+D539*4.83333333333333</f>
        <v>4.8333333333333304</v>
      </c>
      <c r="H539" s="13">
        <f t="shared" ref="H539:H541" si="131">+E539*1500000/2910</f>
        <v>250000</v>
      </c>
      <c r="I539" s="13">
        <v>0</v>
      </c>
      <c r="J539" s="51">
        <f t="shared" si="118"/>
        <v>250000</v>
      </c>
    </row>
    <row r="540" spans="1:10" x14ac:dyDescent="0.25">
      <c r="A540" s="4" t="s">
        <v>39</v>
      </c>
      <c r="B540" s="5" t="s">
        <v>226</v>
      </c>
      <c r="C540" s="5" t="s">
        <v>210</v>
      </c>
      <c r="D540" s="5">
        <v>1</v>
      </c>
      <c r="E540" s="11">
        <v>485</v>
      </c>
      <c r="F540" s="11">
        <v>0</v>
      </c>
      <c r="G540" s="27">
        <f t="shared" si="130"/>
        <v>4.8333333333333304</v>
      </c>
      <c r="H540" s="13">
        <f t="shared" si="131"/>
        <v>250000</v>
      </c>
      <c r="I540" s="13">
        <v>0</v>
      </c>
      <c r="J540" s="51">
        <f t="shared" si="118"/>
        <v>250000</v>
      </c>
    </row>
    <row r="541" spans="1:10" x14ac:dyDescent="0.25">
      <c r="A541" s="15" t="s">
        <v>39</v>
      </c>
      <c r="B541" s="16" t="s">
        <v>253</v>
      </c>
      <c r="C541" s="16" t="s">
        <v>210</v>
      </c>
      <c r="D541" s="16">
        <v>2</v>
      </c>
      <c r="E541" s="18">
        <v>970</v>
      </c>
      <c r="F541" s="18">
        <v>0</v>
      </c>
      <c r="G541" s="27">
        <f t="shared" si="130"/>
        <v>9.6666666666666607</v>
      </c>
      <c r="H541" s="13">
        <f t="shared" si="131"/>
        <v>500000</v>
      </c>
      <c r="I541" s="13">
        <v>0</v>
      </c>
      <c r="J541" s="51">
        <f t="shared" si="118"/>
        <v>500000</v>
      </c>
    </row>
    <row r="542" spans="1:10" s="3" customFormat="1" x14ac:dyDescent="0.25">
      <c r="A542" s="4"/>
      <c r="B542" s="21" t="s">
        <v>283</v>
      </c>
      <c r="C542" s="21"/>
      <c r="D542" s="21"/>
      <c r="E542" s="29"/>
      <c r="F542" s="29"/>
      <c r="G542" s="47">
        <f>SUM(G538:G541)</f>
        <v>28.999999999999982</v>
      </c>
      <c r="H542" s="47">
        <f t="shared" ref="H542:J542" si="132">SUM(H538:H541)</f>
        <v>1500000</v>
      </c>
      <c r="I542" s="47">
        <f t="shared" si="132"/>
        <v>0</v>
      </c>
      <c r="J542" s="47">
        <f t="shared" si="132"/>
        <v>1500000</v>
      </c>
    </row>
    <row r="543" spans="1:10" x14ac:dyDescent="0.25">
      <c r="A543" s="23" t="s">
        <v>40</v>
      </c>
      <c r="B543" s="24" t="s">
        <v>211</v>
      </c>
      <c r="C543" s="24" t="s">
        <v>212</v>
      </c>
      <c r="D543" s="24">
        <v>1</v>
      </c>
      <c r="E543" s="30">
        <v>728</v>
      </c>
      <c r="F543" s="30">
        <v>0</v>
      </c>
      <c r="G543" s="27">
        <f>+D543*4.83333333333333</f>
        <v>4.8333333333333304</v>
      </c>
      <c r="H543" s="13">
        <f>+E543*1172622/14391</f>
        <v>59319.631436314361</v>
      </c>
      <c r="I543" s="13">
        <f>+F543*827378/10154</f>
        <v>0</v>
      </c>
      <c r="J543" s="51">
        <f t="shared" si="118"/>
        <v>59319.631436314361</v>
      </c>
    </row>
    <row r="544" spans="1:10" x14ac:dyDescent="0.25">
      <c r="A544" s="4" t="s">
        <v>40</v>
      </c>
      <c r="B544" s="5" t="s">
        <v>214</v>
      </c>
      <c r="C544" s="5" t="s">
        <v>210</v>
      </c>
      <c r="D544" s="5">
        <v>1</v>
      </c>
      <c r="E544" s="11">
        <v>485</v>
      </c>
      <c r="F544" s="11">
        <v>0</v>
      </c>
      <c r="G544" s="27">
        <f t="shared" ref="G544:G548" si="133">+D544*4.83333333333333</f>
        <v>4.8333333333333304</v>
      </c>
      <c r="H544" s="13">
        <f t="shared" ref="H544:H548" si="134">+E544*1172622/14391</f>
        <v>39519.259954138004</v>
      </c>
      <c r="I544" s="13">
        <f t="shared" ref="I544:I548" si="135">+F544*827378/10154</f>
        <v>0</v>
      </c>
      <c r="J544" s="51">
        <f t="shared" si="118"/>
        <v>39519.259954138004</v>
      </c>
    </row>
    <row r="545" spans="1:10" x14ac:dyDescent="0.25">
      <c r="A545" s="4" t="s">
        <v>40</v>
      </c>
      <c r="B545" s="5" t="s">
        <v>219</v>
      </c>
      <c r="C545" s="5" t="s">
        <v>220</v>
      </c>
      <c r="D545" s="5">
        <v>1</v>
      </c>
      <c r="E545" s="11">
        <v>1698</v>
      </c>
      <c r="F545" s="11">
        <v>1358</v>
      </c>
      <c r="G545" s="27">
        <f t="shared" si="133"/>
        <v>4.8333333333333304</v>
      </c>
      <c r="H545" s="13">
        <f t="shared" si="134"/>
        <v>138358.15134459035</v>
      </c>
      <c r="I545" s="13">
        <f t="shared" si="135"/>
        <v>110653.86291116801</v>
      </c>
      <c r="J545" s="51">
        <f t="shared" si="118"/>
        <v>249012.01425575837</v>
      </c>
    </row>
    <row r="546" spans="1:10" x14ac:dyDescent="0.25">
      <c r="A546" s="4" t="s">
        <v>40</v>
      </c>
      <c r="B546" s="5" t="s">
        <v>239</v>
      </c>
      <c r="C546" s="5" t="s">
        <v>236</v>
      </c>
      <c r="D546" s="5">
        <v>1</v>
      </c>
      <c r="E546" s="11">
        <v>3412</v>
      </c>
      <c r="F546" s="11">
        <v>2730</v>
      </c>
      <c r="G546" s="27">
        <f t="shared" si="133"/>
        <v>4.8333333333333304</v>
      </c>
      <c r="H546" s="13">
        <f t="shared" si="134"/>
        <v>278020.03085261624</v>
      </c>
      <c r="I546" s="13">
        <f t="shared" si="135"/>
        <v>222448.48729564704</v>
      </c>
      <c r="J546" s="51">
        <f t="shared" si="118"/>
        <v>500468.51814826328</v>
      </c>
    </row>
    <row r="547" spans="1:10" x14ac:dyDescent="0.25">
      <c r="A547" s="4" t="s">
        <v>40</v>
      </c>
      <c r="B547" s="5" t="s">
        <v>249</v>
      </c>
      <c r="C547" s="5" t="s">
        <v>250</v>
      </c>
      <c r="D547" s="5">
        <v>1</v>
      </c>
      <c r="E547" s="11">
        <v>7583</v>
      </c>
      <c r="F547" s="11">
        <v>6066</v>
      </c>
      <c r="G547" s="27">
        <f t="shared" si="133"/>
        <v>4.8333333333333304</v>
      </c>
      <c r="H547" s="13">
        <f t="shared" si="134"/>
        <v>617885.66645820299</v>
      </c>
      <c r="I547" s="13">
        <f t="shared" si="135"/>
        <v>494275.64979318494</v>
      </c>
      <c r="J547" s="51">
        <f t="shared" si="118"/>
        <v>1112161.3162513878</v>
      </c>
    </row>
    <row r="548" spans="1:10" x14ac:dyDescent="0.25">
      <c r="A548" s="15" t="s">
        <v>40</v>
      </c>
      <c r="B548" s="16" t="s">
        <v>253</v>
      </c>
      <c r="C548" s="16" t="s">
        <v>210</v>
      </c>
      <c r="D548" s="16">
        <v>1</v>
      </c>
      <c r="E548" s="18">
        <v>485</v>
      </c>
      <c r="F548" s="18">
        <v>0</v>
      </c>
      <c r="G548" s="27">
        <f t="shared" si="133"/>
        <v>4.8333333333333304</v>
      </c>
      <c r="H548" s="13">
        <f t="shared" si="134"/>
        <v>39519.259954138004</v>
      </c>
      <c r="I548" s="13">
        <f t="shared" si="135"/>
        <v>0</v>
      </c>
      <c r="J548" s="51">
        <f t="shared" si="118"/>
        <v>39519.259954138004</v>
      </c>
    </row>
    <row r="549" spans="1:10" s="3" customFormat="1" x14ac:dyDescent="0.25">
      <c r="A549" s="4"/>
      <c r="B549" s="21" t="s">
        <v>284</v>
      </c>
      <c r="C549" s="21"/>
      <c r="D549" s="21"/>
      <c r="E549" s="29"/>
      <c r="F549" s="29"/>
      <c r="G549" s="47">
        <f>SUM(G543:G548)</f>
        <v>28.999999999999979</v>
      </c>
      <c r="H549" s="47">
        <f t="shared" ref="H549:J549" si="136">SUM(H543:H548)</f>
        <v>1172621.9999999998</v>
      </c>
      <c r="I549" s="47">
        <f t="shared" si="136"/>
        <v>827378</v>
      </c>
      <c r="J549" s="47">
        <f t="shared" si="136"/>
        <v>1999999.9999999998</v>
      </c>
    </row>
    <row r="550" spans="1:10" x14ac:dyDescent="0.25">
      <c r="A550" s="23" t="s">
        <v>41</v>
      </c>
      <c r="B550" s="24" t="s">
        <v>213</v>
      </c>
      <c r="C550" s="24" t="s">
        <v>212</v>
      </c>
      <c r="D550" s="24">
        <v>2</v>
      </c>
      <c r="E550" s="30">
        <v>2912</v>
      </c>
      <c r="F550" s="30">
        <v>0</v>
      </c>
      <c r="G550" s="27">
        <f>+D550*4.78787878787879</f>
        <v>9.5757575757575797</v>
      </c>
      <c r="H550" s="13">
        <f>+E550*21564209/333117</f>
        <v>188507.27104290685</v>
      </c>
      <c r="I550" s="13">
        <f>+F550*3435791/53075</f>
        <v>0</v>
      </c>
      <c r="J550" s="51">
        <f t="shared" si="118"/>
        <v>188507.27104290685</v>
      </c>
    </row>
    <row r="551" spans="1:10" x14ac:dyDescent="0.25">
      <c r="A551" s="4" t="s">
        <v>41</v>
      </c>
      <c r="B551" s="5" t="s">
        <v>214</v>
      </c>
      <c r="C551" s="5" t="s">
        <v>210</v>
      </c>
      <c r="D551" s="5">
        <v>4</v>
      </c>
      <c r="E551" s="11">
        <v>3880</v>
      </c>
      <c r="F551" s="11">
        <v>0</v>
      </c>
      <c r="G551" s="27">
        <f t="shared" ref="G551:G569" si="137">+D551*4.78787878787879</f>
        <v>19.151515151515159</v>
      </c>
      <c r="H551" s="13">
        <f t="shared" ref="H551:H569" si="138">+E551*21564209/333117</f>
        <v>251170.40235112587</v>
      </c>
      <c r="I551" s="13">
        <f t="shared" ref="I551:I569" si="139">+F551*3435791/53075</f>
        <v>0</v>
      </c>
      <c r="J551" s="51">
        <f t="shared" si="118"/>
        <v>251170.40235112587</v>
      </c>
    </row>
    <row r="552" spans="1:10" x14ac:dyDescent="0.25">
      <c r="A552" s="4" t="s">
        <v>41</v>
      </c>
      <c r="B552" s="5" t="s">
        <v>215</v>
      </c>
      <c r="C552" s="5" t="s">
        <v>212</v>
      </c>
      <c r="D552" s="5">
        <v>1</v>
      </c>
      <c r="E552" s="11">
        <v>1456</v>
      </c>
      <c r="F552" s="11">
        <v>0</v>
      </c>
      <c r="G552" s="27">
        <f t="shared" si="137"/>
        <v>4.7878787878787898</v>
      </c>
      <c r="H552" s="13">
        <f t="shared" si="138"/>
        <v>94253.635521453427</v>
      </c>
      <c r="I552" s="13">
        <f t="shared" si="139"/>
        <v>0</v>
      </c>
      <c r="J552" s="51">
        <f t="shared" si="118"/>
        <v>94253.635521453427</v>
      </c>
    </row>
    <row r="553" spans="1:10" x14ac:dyDescent="0.25">
      <c r="A553" s="4" t="s">
        <v>41</v>
      </c>
      <c r="B553" s="5" t="s">
        <v>216</v>
      </c>
      <c r="C553" s="5" t="s">
        <v>210</v>
      </c>
      <c r="D553" s="5">
        <v>1</v>
      </c>
      <c r="E553" s="11">
        <v>970</v>
      </c>
      <c r="F553" s="11">
        <v>0</v>
      </c>
      <c r="G553" s="27">
        <f t="shared" si="137"/>
        <v>4.7878787878787898</v>
      </c>
      <c r="H553" s="13">
        <f t="shared" si="138"/>
        <v>62792.600587781468</v>
      </c>
      <c r="I553" s="13">
        <f t="shared" si="139"/>
        <v>0</v>
      </c>
      <c r="J553" s="51">
        <f t="shared" si="118"/>
        <v>62792.600587781468</v>
      </c>
    </row>
    <row r="554" spans="1:10" x14ac:dyDescent="0.25">
      <c r="A554" s="4" t="s">
        <v>41</v>
      </c>
      <c r="B554" s="5" t="s">
        <v>217</v>
      </c>
      <c r="C554" s="5" t="s">
        <v>218</v>
      </c>
      <c r="D554" s="5">
        <v>4</v>
      </c>
      <c r="E554" s="11">
        <v>13252</v>
      </c>
      <c r="F554" s="11">
        <v>5300</v>
      </c>
      <c r="G554" s="27">
        <f t="shared" si="137"/>
        <v>19.151515151515159</v>
      </c>
      <c r="H554" s="13">
        <f t="shared" si="138"/>
        <v>857863.44638070103</v>
      </c>
      <c r="I554" s="13">
        <f t="shared" si="139"/>
        <v>343093.59020254359</v>
      </c>
      <c r="J554" s="51">
        <f t="shared" si="118"/>
        <v>1200957.0365832446</v>
      </c>
    </row>
    <row r="555" spans="1:10" x14ac:dyDescent="0.25">
      <c r="A555" s="4" t="s">
        <v>41</v>
      </c>
      <c r="B555" s="5" t="s">
        <v>260</v>
      </c>
      <c r="C555" s="5" t="s">
        <v>208</v>
      </c>
      <c r="D555" s="5">
        <v>1</v>
      </c>
      <c r="E555" s="11">
        <v>46592</v>
      </c>
      <c r="F555" s="11">
        <v>0</v>
      </c>
      <c r="G555" s="27">
        <f t="shared" si="137"/>
        <v>4.7878787878787898</v>
      </c>
      <c r="H555" s="13">
        <f t="shared" si="138"/>
        <v>3016116.3366865097</v>
      </c>
      <c r="I555" s="13">
        <f t="shared" si="139"/>
        <v>0</v>
      </c>
      <c r="J555" s="51">
        <f t="shared" si="118"/>
        <v>3016116.3366865097</v>
      </c>
    </row>
    <row r="556" spans="1:10" x14ac:dyDescent="0.25">
      <c r="A556" s="4" t="s">
        <v>41</v>
      </c>
      <c r="B556" s="5" t="s">
        <v>223</v>
      </c>
      <c r="C556" s="5" t="s">
        <v>224</v>
      </c>
      <c r="D556" s="5">
        <v>2</v>
      </c>
      <c r="E556" s="11">
        <v>0</v>
      </c>
      <c r="F556" s="11">
        <v>0</v>
      </c>
      <c r="G556" s="27">
        <f t="shared" si="137"/>
        <v>9.5757575757575797</v>
      </c>
      <c r="H556" s="13">
        <f t="shared" si="138"/>
        <v>0</v>
      </c>
      <c r="I556" s="13">
        <f t="shared" si="139"/>
        <v>0</v>
      </c>
      <c r="J556" s="51">
        <f t="shared" si="118"/>
        <v>0</v>
      </c>
    </row>
    <row r="557" spans="1:10" x14ac:dyDescent="0.25">
      <c r="A557" s="4" t="s">
        <v>41</v>
      </c>
      <c r="B557" s="5" t="s">
        <v>268</v>
      </c>
      <c r="C557" s="5" t="s">
        <v>210</v>
      </c>
      <c r="D557" s="5">
        <v>1</v>
      </c>
      <c r="E557" s="11">
        <v>970</v>
      </c>
      <c r="F557" s="11">
        <v>0</v>
      </c>
      <c r="G557" s="27">
        <f t="shared" si="137"/>
        <v>4.7878787878787898</v>
      </c>
      <c r="H557" s="13">
        <f t="shared" si="138"/>
        <v>62792.600587781468</v>
      </c>
      <c r="I557" s="13">
        <f t="shared" si="139"/>
        <v>0</v>
      </c>
      <c r="J557" s="51">
        <f t="shared" si="118"/>
        <v>62792.600587781468</v>
      </c>
    </row>
    <row r="558" spans="1:10" x14ac:dyDescent="0.25">
      <c r="A558" s="4" t="s">
        <v>41</v>
      </c>
      <c r="B558" s="5" t="s">
        <v>226</v>
      </c>
      <c r="C558" s="5" t="s">
        <v>210</v>
      </c>
      <c r="D558" s="5">
        <v>6</v>
      </c>
      <c r="E558" s="11">
        <v>5820</v>
      </c>
      <c r="F558" s="11">
        <v>0</v>
      </c>
      <c r="G558" s="27">
        <f t="shared" si="137"/>
        <v>28.727272727272741</v>
      </c>
      <c r="H558" s="13">
        <f t="shared" si="138"/>
        <v>376755.60352668882</v>
      </c>
      <c r="I558" s="13">
        <f t="shared" si="139"/>
        <v>0</v>
      </c>
      <c r="J558" s="51">
        <f t="shared" si="118"/>
        <v>376755.60352668882</v>
      </c>
    </row>
    <row r="559" spans="1:10" x14ac:dyDescent="0.25">
      <c r="A559" s="4" t="s">
        <v>41</v>
      </c>
      <c r="B559" s="5" t="s">
        <v>227</v>
      </c>
      <c r="C559" s="5" t="s">
        <v>210</v>
      </c>
      <c r="D559" s="5">
        <v>1</v>
      </c>
      <c r="E559" s="11">
        <v>970</v>
      </c>
      <c r="F559" s="11">
        <v>0</v>
      </c>
      <c r="G559" s="27">
        <f t="shared" si="137"/>
        <v>4.7878787878787898</v>
      </c>
      <c r="H559" s="13">
        <f t="shared" si="138"/>
        <v>62792.600587781468</v>
      </c>
      <c r="I559" s="13">
        <f t="shared" si="139"/>
        <v>0</v>
      </c>
      <c r="J559" s="51">
        <f t="shared" si="118"/>
        <v>62792.600587781468</v>
      </c>
    </row>
    <row r="560" spans="1:10" x14ac:dyDescent="0.25">
      <c r="A560" s="4" t="s">
        <v>41</v>
      </c>
      <c r="B560" s="5" t="s">
        <v>228</v>
      </c>
      <c r="C560" s="5" t="s">
        <v>229</v>
      </c>
      <c r="D560" s="5">
        <v>10</v>
      </c>
      <c r="E560" s="11">
        <v>19410</v>
      </c>
      <c r="F560" s="11">
        <v>0</v>
      </c>
      <c r="G560" s="27">
        <f t="shared" si="137"/>
        <v>47.878787878787897</v>
      </c>
      <c r="H560" s="13">
        <f t="shared" si="138"/>
        <v>1256499.3581534417</v>
      </c>
      <c r="I560" s="13">
        <f t="shared" si="139"/>
        <v>0</v>
      </c>
      <c r="J560" s="51">
        <f t="shared" si="118"/>
        <v>1256499.3581534417</v>
      </c>
    </row>
    <row r="561" spans="1:10" x14ac:dyDescent="0.25">
      <c r="A561" s="4" t="s">
        <v>41</v>
      </c>
      <c r="B561" s="5" t="s">
        <v>230</v>
      </c>
      <c r="C561" s="5" t="s">
        <v>229</v>
      </c>
      <c r="D561" s="5">
        <v>3</v>
      </c>
      <c r="E561" s="11">
        <v>5823</v>
      </c>
      <c r="F561" s="11">
        <v>0</v>
      </c>
      <c r="G561" s="27">
        <f t="shared" si="137"/>
        <v>14.36363636363637</v>
      </c>
      <c r="H561" s="13">
        <f t="shared" si="138"/>
        <v>376949.80744603247</v>
      </c>
      <c r="I561" s="13">
        <f t="shared" si="139"/>
        <v>0</v>
      </c>
      <c r="J561" s="51">
        <f t="shared" ref="J561:J624" si="140">SUM(H561:I561)</f>
        <v>376949.80744603247</v>
      </c>
    </row>
    <row r="562" spans="1:10" x14ac:dyDescent="0.25">
      <c r="A562" s="4" t="s">
        <v>41</v>
      </c>
      <c r="B562" s="5" t="s">
        <v>233</v>
      </c>
      <c r="C562" s="5" t="s">
        <v>234</v>
      </c>
      <c r="D562" s="5">
        <v>1</v>
      </c>
      <c r="E562" s="11">
        <v>97066</v>
      </c>
      <c r="F562" s="11">
        <v>0</v>
      </c>
      <c r="G562" s="27">
        <f t="shared" si="137"/>
        <v>4.7878787878787898</v>
      </c>
      <c r="H562" s="13">
        <f t="shared" si="138"/>
        <v>6283532.5450037075</v>
      </c>
      <c r="I562" s="13">
        <f t="shared" si="139"/>
        <v>0</v>
      </c>
      <c r="J562" s="51">
        <f t="shared" si="140"/>
        <v>6283532.5450037075</v>
      </c>
    </row>
    <row r="563" spans="1:10" x14ac:dyDescent="0.25">
      <c r="A563" s="4" t="s">
        <v>41</v>
      </c>
      <c r="B563" s="5" t="s">
        <v>235</v>
      </c>
      <c r="C563" s="5" t="s">
        <v>236</v>
      </c>
      <c r="D563" s="5">
        <v>3</v>
      </c>
      <c r="E563" s="11">
        <v>20475</v>
      </c>
      <c r="F563" s="11">
        <v>8190</v>
      </c>
      <c r="G563" s="27">
        <f t="shared" si="137"/>
        <v>14.36363636363637</v>
      </c>
      <c r="H563" s="13">
        <f t="shared" si="138"/>
        <v>1325441.7495204387</v>
      </c>
      <c r="I563" s="13">
        <f t="shared" si="139"/>
        <v>530176.69882242114</v>
      </c>
      <c r="J563" s="51">
        <f t="shared" si="140"/>
        <v>1855618.4483428597</v>
      </c>
    </row>
    <row r="564" spans="1:10" x14ac:dyDescent="0.25">
      <c r="A564" s="4" t="s">
        <v>41</v>
      </c>
      <c r="B564" s="5" t="s">
        <v>239</v>
      </c>
      <c r="C564" s="5" t="s">
        <v>236</v>
      </c>
      <c r="D564" s="5">
        <v>2</v>
      </c>
      <c r="E564" s="11">
        <v>13650</v>
      </c>
      <c r="F564" s="11">
        <v>5460</v>
      </c>
      <c r="G564" s="27">
        <f t="shared" si="137"/>
        <v>9.5757575757575797</v>
      </c>
      <c r="H564" s="13">
        <f t="shared" si="138"/>
        <v>883627.83301362582</v>
      </c>
      <c r="I564" s="13">
        <f t="shared" si="139"/>
        <v>353451.13254828076</v>
      </c>
      <c r="J564" s="51">
        <f t="shared" si="140"/>
        <v>1237078.9655619066</v>
      </c>
    </row>
    <row r="565" spans="1:10" x14ac:dyDescent="0.25">
      <c r="A565" s="4" t="s">
        <v>41</v>
      </c>
      <c r="B565" s="5" t="s">
        <v>241</v>
      </c>
      <c r="C565" s="5" t="s">
        <v>236</v>
      </c>
      <c r="D565" s="5">
        <v>11</v>
      </c>
      <c r="E565" s="11">
        <v>75075</v>
      </c>
      <c r="F565" s="11">
        <v>30030</v>
      </c>
      <c r="G565" s="27">
        <f t="shared" si="137"/>
        <v>52.666666666666686</v>
      </c>
      <c r="H565" s="13">
        <f t="shared" si="138"/>
        <v>4859953.081574942</v>
      </c>
      <c r="I565" s="13">
        <f t="shared" si="139"/>
        <v>1943981.2290155441</v>
      </c>
      <c r="J565" s="51">
        <f t="shared" si="140"/>
        <v>6803934.310590486</v>
      </c>
    </row>
    <row r="566" spans="1:10" x14ac:dyDescent="0.25">
      <c r="A566" s="4" t="s">
        <v>41</v>
      </c>
      <c r="B566" s="5" t="s">
        <v>243</v>
      </c>
      <c r="C566" s="5" t="s">
        <v>244</v>
      </c>
      <c r="D566" s="5">
        <v>3</v>
      </c>
      <c r="E566" s="11">
        <v>10236</v>
      </c>
      <c r="F566" s="11">
        <v>4095</v>
      </c>
      <c r="G566" s="27">
        <f t="shared" si="137"/>
        <v>14.36363636363637</v>
      </c>
      <c r="H566" s="13">
        <f t="shared" si="138"/>
        <v>662623.77280054754</v>
      </c>
      <c r="I566" s="13">
        <f t="shared" si="139"/>
        <v>265088.34941121057</v>
      </c>
      <c r="J566" s="51">
        <f t="shared" si="140"/>
        <v>927712.12221175805</v>
      </c>
    </row>
    <row r="567" spans="1:10" x14ac:dyDescent="0.25">
      <c r="A567" s="4" t="s">
        <v>41</v>
      </c>
      <c r="B567" s="5" t="s">
        <v>252</v>
      </c>
      <c r="C567" s="5" t="s">
        <v>212</v>
      </c>
      <c r="D567" s="5">
        <v>7</v>
      </c>
      <c r="E567" s="11">
        <v>10192</v>
      </c>
      <c r="F567" s="11">
        <v>0</v>
      </c>
      <c r="G567" s="27">
        <f t="shared" si="137"/>
        <v>33.51515151515153</v>
      </c>
      <c r="H567" s="13">
        <f t="shared" si="138"/>
        <v>659775.44865017396</v>
      </c>
      <c r="I567" s="13">
        <f t="shared" si="139"/>
        <v>0</v>
      </c>
      <c r="J567" s="51">
        <f t="shared" si="140"/>
        <v>659775.44865017396</v>
      </c>
    </row>
    <row r="568" spans="1:10" x14ac:dyDescent="0.25">
      <c r="A568" s="4" t="s">
        <v>41</v>
      </c>
      <c r="B568" s="5" t="s">
        <v>254</v>
      </c>
      <c r="C568" s="5" t="s">
        <v>212</v>
      </c>
      <c r="D568" s="5">
        <v>2</v>
      </c>
      <c r="E568" s="11">
        <v>2912</v>
      </c>
      <c r="F568" s="11">
        <v>0</v>
      </c>
      <c r="G568" s="27">
        <f t="shared" si="137"/>
        <v>9.5757575757575797</v>
      </c>
      <c r="H568" s="13">
        <f t="shared" si="138"/>
        <v>188507.27104290685</v>
      </c>
      <c r="I568" s="13">
        <f t="shared" si="139"/>
        <v>0</v>
      </c>
      <c r="J568" s="51">
        <f t="shared" si="140"/>
        <v>188507.27104290685</v>
      </c>
    </row>
    <row r="569" spans="1:10" x14ac:dyDescent="0.25">
      <c r="A569" s="15" t="s">
        <v>41</v>
      </c>
      <c r="B569" s="16" t="s">
        <v>256</v>
      </c>
      <c r="C569" s="16" t="s">
        <v>212</v>
      </c>
      <c r="D569" s="16">
        <v>1</v>
      </c>
      <c r="E569" s="18">
        <v>1456</v>
      </c>
      <c r="F569" s="18">
        <v>0</v>
      </c>
      <c r="G569" s="27">
        <f t="shared" si="137"/>
        <v>4.7878787878787898</v>
      </c>
      <c r="H569" s="13">
        <f t="shared" si="138"/>
        <v>94253.635521453427</v>
      </c>
      <c r="I569" s="13">
        <f t="shared" si="139"/>
        <v>0</v>
      </c>
      <c r="J569" s="51">
        <f t="shared" si="140"/>
        <v>94253.635521453427</v>
      </c>
    </row>
    <row r="570" spans="1:10" s="3" customFormat="1" x14ac:dyDescent="0.25">
      <c r="A570" s="4"/>
      <c r="B570" s="21" t="s">
        <v>285</v>
      </c>
      <c r="C570" s="21"/>
      <c r="D570" s="21"/>
      <c r="E570" s="29"/>
      <c r="F570" s="29"/>
      <c r="G570" s="47">
        <f>SUM(G550:G569)</f>
        <v>316.00000000000011</v>
      </c>
      <c r="H570" s="47">
        <f t="shared" ref="H570:J570" si="141">SUM(H550:H569)</f>
        <v>21564208.999999996</v>
      </c>
      <c r="I570" s="47">
        <f t="shared" si="141"/>
        <v>3435791</v>
      </c>
      <c r="J570" s="47">
        <f t="shared" si="141"/>
        <v>24999999.999999996</v>
      </c>
    </row>
    <row r="571" spans="1:10" x14ac:dyDescent="0.25">
      <c r="A571" s="23" t="s">
        <v>42</v>
      </c>
      <c r="B571" s="24" t="s">
        <v>207</v>
      </c>
      <c r="C571" s="24" t="s">
        <v>208</v>
      </c>
      <c r="D571" s="24">
        <v>1</v>
      </c>
      <c r="E571" s="30">
        <v>23296</v>
      </c>
      <c r="F571" s="30">
        <v>4659</v>
      </c>
      <c r="G571" s="27">
        <f>+D571*4.78761061946903</f>
        <v>4.7876106194690298</v>
      </c>
      <c r="H571" s="13">
        <f>+E571*83397227/4559167</f>
        <v>426135.25676773849</v>
      </c>
      <c r="I571" s="13">
        <f>+F571*6602773/360961</f>
        <v>85223.388141655189</v>
      </c>
      <c r="J571" s="51">
        <f t="shared" si="140"/>
        <v>511358.64490939368</v>
      </c>
    </row>
    <row r="572" spans="1:10" x14ac:dyDescent="0.25">
      <c r="A572" s="4" t="s">
        <v>42</v>
      </c>
      <c r="B572" s="5" t="s">
        <v>209</v>
      </c>
      <c r="C572" s="5" t="s">
        <v>210</v>
      </c>
      <c r="D572" s="5">
        <v>19</v>
      </c>
      <c r="E572" s="11">
        <v>36879</v>
      </c>
      <c r="F572" s="11">
        <v>0</v>
      </c>
      <c r="G572" s="27">
        <f t="shared" ref="G572:G594" si="142">+D572*4.78761061946903</f>
        <v>90.964601769911567</v>
      </c>
      <c r="H572" s="13">
        <f t="shared" ref="H572:H594" si="143">+E572*83397227/4559167</f>
        <v>674598.3059039074</v>
      </c>
      <c r="I572" s="13">
        <f t="shared" ref="I572:I594" si="144">+F572*6602773/360961</f>
        <v>0</v>
      </c>
      <c r="J572" s="51">
        <f t="shared" si="140"/>
        <v>674598.3059039074</v>
      </c>
    </row>
    <row r="573" spans="1:10" x14ac:dyDescent="0.25">
      <c r="A573" s="4" t="s">
        <v>42</v>
      </c>
      <c r="B573" s="5" t="s">
        <v>214</v>
      </c>
      <c r="C573" s="5" t="s">
        <v>210</v>
      </c>
      <c r="D573" s="5">
        <v>37</v>
      </c>
      <c r="E573" s="11">
        <v>71817</v>
      </c>
      <c r="F573" s="11">
        <v>0</v>
      </c>
      <c r="G573" s="27">
        <f t="shared" si="142"/>
        <v>177.1415929203541</v>
      </c>
      <c r="H573" s="13">
        <f t="shared" si="143"/>
        <v>1313691.4378128725</v>
      </c>
      <c r="I573" s="13">
        <f t="shared" si="144"/>
        <v>0</v>
      </c>
      <c r="J573" s="51">
        <f t="shared" si="140"/>
        <v>1313691.4378128725</v>
      </c>
    </row>
    <row r="574" spans="1:10" x14ac:dyDescent="0.25">
      <c r="A574" s="4" t="s">
        <v>42</v>
      </c>
      <c r="B574" s="5" t="s">
        <v>216</v>
      </c>
      <c r="C574" s="5" t="s">
        <v>210</v>
      </c>
      <c r="D574" s="5">
        <v>14</v>
      </c>
      <c r="E574" s="11">
        <v>27174</v>
      </c>
      <c r="F574" s="11">
        <v>0</v>
      </c>
      <c r="G574" s="27">
        <f t="shared" si="142"/>
        <v>67.02654867256642</v>
      </c>
      <c r="H574" s="13">
        <f t="shared" si="143"/>
        <v>497072.43592919497</v>
      </c>
      <c r="I574" s="13">
        <f t="shared" si="144"/>
        <v>0</v>
      </c>
      <c r="J574" s="51">
        <f t="shared" si="140"/>
        <v>497072.43592919497</v>
      </c>
    </row>
    <row r="575" spans="1:10" x14ac:dyDescent="0.25">
      <c r="A575" s="4" t="s">
        <v>42</v>
      </c>
      <c r="B575" s="5" t="s">
        <v>217</v>
      </c>
      <c r="C575" s="5" t="s">
        <v>218</v>
      </c>
      <c r="D575" s="5">
        <v>40</v>
      </c>
      <c r="E575" s="11">
        <v>265040</v>
      </c>
      <c r="F575" s="11">
        <v>53000</v>
      </c>
      <c r="G575" s="27">
        <f t="shared" si="142"/>
        <v>191.50442477876118</v>
      </c>
      <c r="H575" s="13">
        <f t="shared" si="143"/>
        <v>4848166.5716741681</v>
      </c>
      <c r="I575" s="13">
        <f t="shared" si="144"/>
        <v>969486.92240990023</v>
      </c>
      <c r="J575" s="51">
        <f t="shared" si="140"/>
        <v>5817653.4940840686</v>
      </c>
    </row>
    <row r="576" spans="1:10" x14ac:dyDescent="0.25">
      <c r="A576" s="4" t="s">
        <v>42</v>
      </c>
      <c r="B576" s="5" t="s">
        <v>219</v>
      </c>
      <c r="C576" s="5" t="s">
        <v>220</v>
      </c>
      <c r="D576" s="5">
        <v>12</v>
      </c>
      <c r="E576" s="11">
        <v>81528</v>
      </c>
      <c r="F576" s="11">
        <v>16296</v>
      </c>
      <c r="G576" s="27">
        <f t="shared" si="142"/>
        <v>57.451327433628357</v>
      </c>
      <c r="H576" s="13">
        <f t="shared" si="143"/>
        <v>1491327.0610302277</v>
      </c>
      <c r="I576" s="13">
        <f t="shared" si="144"/>
        <v>298089.7903319195</v>
      </c>
      <c r="J576" s="51">
        <f t="shared" si="140"/>
        <v>1789416.8513621471</v>
      </c>
    </row>
    <row r="577" spans="1:10" x14ac:dyDescent="0.25">
      <c r="A577" s="4" t="s">
        <v>42</v>
      </c>
      <c r="B577" s="5" t="s">
        <v>260</v>
      </c>
      <c r="C577" s="5" t="s">
        <v>208</v>
      </c>
      <c r="D577" s="5">
        <v>4</v>
      </c>
      <c r="E577" s="11">
        <v>279552</v>
      </c>
      <c r="F577" s="11">
        <v>0</v>
      </c>
      <c r="G577" s="27">
        <f t="shared" si="142"/>
        <v>19.150442477876119</v>
      </c>
      <c r="H577" s="13">
        <f t="shared" si="143"/>
        <v>5113623.0812128615</v>
      </c>
      <c r="I577" s="13">
        <f t="shared" si="144"/>
        <v>0</v>
      </c>
      <c r="J577" s="51">
        <f t="shared" si="140"/>
        <v>5113623.0812128615</v>
      </c>
    </row>
    <row r="578" spans="1:10" x14ac:dyDescent="0.25">
      <c r="A578" s="4" t="s">
        <v>42</v>
      </c>
      <c r="B578" s="5" t="s">
        <v>223</v>
      </c>
      <c r="C578" s="5" t="s">
        <v>224</v>
      </c>
      <c r="D578" s="5">
        <v>11</v>
      </c>
      <c r="E578" s="11">
        <v>3882</v>
      </c>
      <c r="F578" s="11">
        <v>0</v>
      </c>
      <c r="G578" s="27">
        <f t="shared" si="142"/>
        <v>52.663716814159329</v>
      </c>
      <c r="H578" s="13">
        <f t="shared" si="143"/>
        <v>71010.347989884991</v>
      </c>
      <c r="I578" s="13">
        <f t="shared" si="144"/>
        <v>0</v>
      </c>
      <c r="J578" s="51">
        <f t="shared" si="140"/>
        <v>71010.347989884991</v>
      </c>
    </row>
    <row r="579" spans="1:10" x14ac:dyDescent="0.25">
      <c r="A579" s="4" t="s">
        <v>42</v>
      </c>
      <c r="B579" s="5" t="s">
        <v>225</v>
      </c>
      <c r="C579" s="5" t="s">
        <v>210</v>
      </c>
      <c r="D579" s="5">
        <v>1</v>
      </c>
      <c r="E579" s="11">
        <v>1941</v>
      </c>
      <c r="F579" s="11">
        <v>0</v>
      </c>
      <c r="G579" s="27">
        <f t="shared" si="142"/>
        <v>4.7876106194690298</v>
      </c>
      <c r="H579" s="13">
        <f t="shared" si="143"/>
        <v>35505.173994942495</v>
      </c>
      <c r="I579" s="13">
        <f t="shared" si="144"/>
        <v>0</v>
      </c>
      <c r="J579" s="51">
        <f t="shared" si="140"/>
        <v>35505.173994942495</v>
      </c>
    </row>
    <row r="580" spans="1:10" x14ac:dyDescent="0.25">
      <c r="A580" s="4" t="s">
        <v>42</v>
      </c>
      <c r="B580" s="5" t="s">
        <v>226</v>
      </c>
      <c r="C580" s="5" t="s">
        <v>210</v>
      </c>
      <c r="D580" s="5">
        <v>12</v>
      </c>
      <c r="E580" s="11">
        <v>23292</v>
      </c>
      <c r="F580" s="11">
        <v>0</v>
      </c>
      <c r="G580" s="27">
        <f t="shared" si="142"/>
        <v>57.451327433628357</v>
      </c>
      <c r="H580" s="13">
        <f t="shared" si="143"/>
        <v>426062.08793930995</v>
      </c>
      <c r="I580" s="13">
        <f t="shared" si="144"/>
        <v>0</v>
      </c>
      <c r="J580" s="51">
        <f t="shared" si="140"/>
        <v>426062.08793930995</v>
      </c>
    </row>
    <row r="581" spans="1:10" x14ac:dyDescent="0.25">
      <c r="A581" s="4" t="s">
        <v>42</v>
      </c>
      <c r="B581" s="5" t="s">
        <v>228</v>
      </c>
      <c r="C581" s="5" t="s">
        <v>229</v>
      </c>
      <c r="D581" s="5">
        <v>43</v>
      </c>
      <c r="E581" s="11">
        <v>166926</v>
      </c>
      <c r="F581" s="11">
        <v>0</v>
      </c>
      <c r="G581" s="27">
        <f t="shared" si="142"/>
        <v>205.86725663716828</v>
      </c>
      <c r="H581" s="13">
        <f t="shared" si="143"/>
        <v>3053444.9635650548</v>
      </c>
      <c r="I581" s="13">
        <f t="shared" si="144"/>
        <v>0</v>
      </c>
      <c r="J581" s="51">
        <f t="shared" si="140"/>
        <v>3053444.9635650548</v>
      </c>
    </row>
    <row r="582" spans="1:10" x14ac:dyDescent="0.25">
      <c r="A582" s="4" t="s">
        <v>42</v>
      </c>
      <c r="B582" s="5" t="s">
        <v>230</v>
      </c>
      <c r="C582" s="5" t="s">
        <v>229</v>
      </c>
      <c r="D582" s="5">
        <v>7</v>
      </c>
      <c r="E582" s="11">
        <v>27174</v>
      </c>
      <c r="F582" s="11">
        <v>0</v>
      </c>
      <c r="G582" s="27">
        <f t="shared" si="142"/>
        <v>33.51327433628321</v>
      </c>
      <c r="H582" s="13">
        <f t="shared" si="143"/>
        <v>497072.43592919497</v>
      </c>
      <c r="I582" s="13">
        <f t="shared" si="144"/>
        <v>0</v>
      </c>
      <c r="J582" s="51">
        <f t="shared" si="140"/>
        <v>497072.43592919497</v>
      </c>
    </row>
    <row r="583" spans="1:10" x14ac:dyDescent="0.25">
      <c r="A583" s="4" t="s">
        <v>42</v>
      </c>
      <c r="B583" s="5" t="s">
        <v>262</v>
      </c>
      <c r="C583" s="5" t="s">
        <v>263</v>
      </c>
      <c r="D583" s="5">
        <v>5</v>
      </c>
      <c r="E583" s="11">
        <v>1516665</v>
      </c>
      <c r="F583" s="11">
        <v>0</v>
      </c>
      <c r="G583" s="27">
        <f t="shared" si="142"/>
        <v>23.938053097345147</v>
      </c>
      <c r="H583" s="13">
        <f t="shared" si="143"/>
        <v>27743150.292137798</v>
      </c>
      <c r="I583" s="13">
        <f t="shared" si="144"/>
        <v>0</v>
      </c>
      <c r="J583" s="51">
        <f t="shared" si="140"/>
        <v>27743150.292137798</v>
      </c>
    </row>
    <row r="584" spans="1:10" x14ac:dyDescent="0.25">
      <c r="A584" s="4" t="s">
        <v>42</v>
      </c>
      <c r="B584" s="5" t="s">
        <v>233</v>
      </c>
      <c r="C584" s="5" t="s">
        <v>234</v>
      </c>
      <c r="D584" s="5">
        <v>2</v>
      </c>
      <c r="E584" s="11">
        <v>388266</v>
      </c>
      <c r="F584" s="11">
        <v>0</v>
      </c>
      <c r="G584" s="27">
        <f t="shared" si="142"/>
        <v>9.5752212389380595</v>
      </c>
      <c r="H584" s="13">
        <f t="shared" si="143"/>
        <v>7102242.0846575703</v>
      </c>
      <c r="I584" s="13">
        <f t="shared" si="144"/>
        <v>0</v>
      </c>
      <c r="J584" s="51">
        <f t="shared" si="140"/>
        <v>7102242.0846575703</v>
      </c>
    </row>
    <row r="585" spans="1:10" x14ac:dyDescent="0.25">
      <c r="A585" s="4" t="s">
        <v>42</v>
      </c>
      <c r="B585" s="5" t="s">
        <v>235</v>
      </c>
      <c r="C585" s="5" t="s">
        <v>236</v>
      </c>
      <c r="D585" s="5">
        <v>2</v>
      </c>
      <c r="E585" s="11">
        <v>27300</v>
      </c>
      <c r="F585" s="11">
        <v>5460</v>
      </c>
      <c r="G585" s="27">
        <f t="shared" si="142"/>
        <v>9.5752212389380595</v>
      </c>
      <c r="H585" s="13">
        <f t="shared" si="143"/>
        <v>499377.25402469357</v>
      </c>
      <c r="I585" s="13">
        <f t="shared" si="144"/>
        <v>99875.445214302934</v>
      </c>
      <c r="J585" s="51">
        <f t="shared" si="140"/>
        <v>599252.69923899649</v>
      </c>
    </row>
    <row r="586" spans="1:10" x14ac:dyDescent="0.25">
      <c r="A586" s="4" t="s">
        <v>42</v>
      </c>
      <c r="B586" s="5" t="s">
        <v>237</v>
      </c>
      <c r="C586" s="5" t="s">
        <v>238</v>
      </c>
      <c r="D586" s="5">
        <v>1</v>
      </c>
      <c r="E586" s="11">
        <v>10252</v>
      </c>
      <c r="F586" s="11">
        <v>2050</v>
      </c>
      <c r="G586" s="27">
        <f t="shared" si="142"/>
        <v>4.7876106194690298</v>
      </c>
      <c r="H586" s="13">
        <f t="shared" si="143"/>
        <v>187531.70726231349</v>
      </c>
      <c r="I586" s="13">
        <f t="shared" si="144"/>
        <v>37499.02247057161</v>
      </c>
      <c r="J586" s="51">
        <f t="shared" si="140"/>
        <v>225030.72973288508</v>
      </c>
    </row>
    <row r="587" spans="1:10" x14ac:dyDescent="0.25">
      <c r="A587" s="4" t="s">
        <v>42</v>
      </c>
      <c r="B587" s="5" t="s">
        <v>241</v>
      </c>
      <c r="C587" s="5" t="s">
        <v>236</v>
      </c>
      <c r="D587" s="5">
        <v>36</v>
      </c>
      <c r="E587" s="11">
        <v>491400</v>
      </c>
      <c r="F587" s="11">
        <v>98280</v>
      </c>
      <c r="G587" s="27">
        <f t="shared" si="142"/>
        <v>172.35398230088506</v>
      </c>
      <c r="H587" s="13">
        <f t="shared" si="143"/>
        <v>8988790.5724444836</v>
      </c>
      <c r="I587" s="13">
        <f t="shared" si="144"/>
        <v>1797758.0138574527</v>
      </c>
      <c r="J587" s="51">
        <f t="shared" si="140"/>
        <v>10786548.586301936</v>
      </c>
    </row>
    <row r="588" spans="1:10" x14ac:dyDescent="0.25">
      <c r="A588" s="4" t="s">
        <v>42</v>
      </c>
      <c r="B588" s="5" t="s">
        <v>265</v>
      </c>
      <c r="C588" s="5" t="s">
        <v>208</v>
      </c>
      <c r="D588" s="5">
        <v>2</v>
      </c>
      <c r="E588" s="11">
        <v>139776</v>
      </c>
      <c r="F588" s="11">
        <v>9318</v>
      </c>
      <c r="G588" s="27">
        <f t="shared" si="142"/>
        <v>9.5752212389380595</v>
      </c>
      <c r="H588" s="13">
        <f t="shared" si="143"/>
        <v>2556811.5406064307</v>
      </c>
      <c r="I588" s="13">
        <f t="shared" si="144"/>
        <v>170446.77628331038</v>
      </c>
      <c r="J588" s="51">
        <f t="shared" si="140"/>
        <v>2727258.316889741</v>
      </c>
    </row>
    <row r="589" spans="1:10" x14ac:dyDescent="0.25">
      <c r="A589" s="4" t="s">
        <v>42</v>
      </c>
      <c r="B589" s="5" t="s">
        <v>245</v>
      </c>
      <c r="C589" s="5" t="s">
        <v>246</v>
      </c>
      <c r="D589" s="5">
        <v>2</v>
      </c>
      <c r="E589" s="11">
        <v>10252</v>
      </c>
      <c r="F589" s="11">
        <v>2050</v>
      </c>
      <c r="G589" s="27">
        <f t="shared" si="142"/>
        <v>9.5752212389380595</v>
      </c>
      <c r="H589" s="13">
        <f t="shared" si="143"/>
        <v>187531.70726231349</v>
      </c>
      <c r="I589" s="13">
        <f t="shared" si="144"/>
        <v>37499.02247057161</v>
      </c>
      <c r="J589" s="51">
        <f t="shared" si="140"/>
        <v>225030.72973288508</v>
      </c>
    </row>
    <row r="590" spans="1:10" x14ac:dyDescent="0.25">
      <c r="A590" s="4" t="s">
        <v>42</v>
      </c>
      <c r="B590" s="5" t="s">
        <v>249</v>
      </c>
      <c r="C590" s="5" t="s">
        <v>250</v>
      </c>
      <c r="D590" s="5">
        <v>28</v>
      </c>
      <c r="E590" s="11">
        <v>849324</v>
      </c>
      <c r="F590" s="11">
        <v>169848</v>
      </c>
      <c r="G590" s="27">
        <f t="shared" si="142"/>
        <v>134.05309734513284</v>
      </c>
      <c r="H590" s="13">
        <f t="shared" si="143"/>
        <v>15536010.509057466</v>
      </c>
      <c r="I590" s="13">
        <f t="shared" si="144"/>
        <v>3106894.6188203157</v>
      </c>
      <c r="J590" s="51">
        <f t="shared" si="140"/>
        <v>18642905.127877783</v>
      </c>
    </row>
    <row r="591" spans="1:10" x14ac:dyDescent="0.25">
      <c r="A591" s="4" t="s">
        <v>42</v>
      </c>
      <c r="B591" s="5" t="s">
        <v>252</v>
      </c>
      <c r="C591" s="5" t="s">
        <v>212</v>
      </c>
      <c r="D591" s="5">
        <v>1</v>
      </c>
      <c r="E591" s="11">
        <v>2912</v>
      </c>
      <c r="F591" s="11">
        <v>0</v>
      </c>
      <c r="G591" s="27">
        <f t="shared" si="142"/>
        <v>4.7876106194690298</v>
      </c>
      <c r="H591" s="13">
        <f t="shared" si="143"/>
        <v>53266.907095967312</v>
      </c>
      <c r="I591" s="13">
        <f t="shared" si="144"/>
        <v>0</v>
      </c>
      <c r="J591" s="51">
        <f t="shared" si="140"/>
        <v>53266.907095967312</v>
      </c>
    </row>
    <row r="592" spans="1:10" x14ac:dyDescent="0.25">
      <c r="A592" s="4" t="s">
        <v>42</v>
      </c>
      <c r="B592" s="5" t="s">
        <v>253</v>
      </c>
      <c r="C592" s="5" t="s">
        <v>210</v>
      </c>
      <c r="D592" s="5">
        <v>42</v>
      </c>
      <c r="E592" s="11">
        <v>81522</v>
      </c>
      <c r="F592" s="11">
        <v>0</v>
      </c>
      <c r="G592" s="27">
        <f t="shared" si="142"/>
        <v>201.07964601769925</v>
      </c>
      <c r="H592" s="13">
        <f t="shared" si="143"/>
        <v>1491217.3077875848</v>
      </c>
      <c r="I592" s="13">
        <f t="shared" si="144"/>
        <v>0</v>
      </c>
      <c r="J592" s="51">
        <f t="shared" si="140"/>
        <v>1491217.3077875848</v>
      </c>
    </row>
    <row r="593" spans="1:10" x14ac:dyDescent="0.25">
      <c r="A593" s="4" t="s">
        <v>42</v>
      </c>
      <c r="B593" s="5" t="s">
        <v>255</v>
      </c>
      <c r="C593" s="5" t="s">
        <v>210</v>
      </c>
      <c r="D593" s="5">
        <v>9</v>
      </c>
      <c r="E593" s="11">
        <v>17469</v>
      </c>
      <c r="F593" s="11">
        <v>0</v>
      </c>
      <c r="G593" s="27">
        <f t="shared" si="142"/>
        <v>43.088495575221266</v>
      </c>
      <c r="H593" s="13">
        <f t="shared" si="143"/>
        <v>319546.56595448247</v>
      </c>
      <c r="I593" s="13">
        <f t="shared" si="144"/>
        <v>0</v>
      </c>
      <c r="J593" s="51">
        <f t="shared" si="140"/>
        <v>319546.56595448247</v>
      </c>
    </row>
    <row r="594" spans="1:10" x14ac:dyDescent="0.25">
      <c r="A594" s="15" t="s">
        <v>42</v>
      </c>
      <c r="B594" s="16" t="s">
        <v>257</v>
      </c>
      <c r="C594" s="16" t="s">
        <v>210</v>
      </c>
      <c r="D594" s="16">
        <v>8</v>
      </c>
      <c r="E594" s="18">
        <v>15528</v>
      </c>
      <c r="F594" s="18">
        <v>0</v>
      </c>
      <c r="G594" s="27">
        <f t="shared" si="142"/>
        <v>38.300884955752238</v>
      </c>
      <c r="H594" s="13">
        <f t="shared" si="143"/>
        <v>284041.39195953996</v>
      </c>
      <c r="I594" s="13">
        <f t="shared" si="144"/>
        <v>0</v>
      </c>
      <c r="J594" s="51">
        <f t="shared" si="140"/>
        <v>284041.39195953996</v>
      </c>
    </row>
    <row r="595" spans="1:10" s="3" customFormat="1" x14ac:dyDescent="0.25">
      <c r="A595" s="4"/>
      <c r="B595" s="20" t="s">
        <v>286</v>
      </c>
      <c r="C595" s="21"/>
      <c r="D595" s="21"/>
      <c r="E595" s="29"/>
      <c r="F595" s="29"/>
      <c r="G595" s="47">
        <f>SUM(G571:G594)</f>
        <v>1623.0000000000005</v>
      </c>
      <c r="H595" s="47">
        <f t="shared" ref="H595:J595" si="145">SUM(H571:H594)</f>
        <v>83397226.999999985</v>
      </c>
      <c r="I595" s="47">
        <f t="shared" si="145"/>
        <v>6602773</v>
      </c>
      <c r="J595" s="47">
        <f t="shared" si="145"/>
        <v>90000000</v>
      </c>
    </row>
    <row r="596" spans="1:10" x14ac:dyDescent="0.25">
      <c r="A596" s="23" t="s">
        <v>43</v>
      </c>
      <c r="B596" s="24" t="s">
        <v>207</v>
      </c>
      <c r="C596" s="24" t="s">
        <v>208</v>
      </c>
      <c r="D596" s="24">
        <v>1</v>
      </c>
      <c r="E596" s="30">
        <v>11648</v>
      </c>
      <c r="F596" s="30">
        <v>4659</v>
      </c>
      <c r="G596" s="27">
        <f>+D596*4.79310344827586</f>
        <v>4.7931034482758603</v>
      </c>
      <c r="H596" s="13">
        <f>+E596*6262672/368951</f>
        <v>197716.23726727939</v>
      </c>
      <c r="I596" s="13">
        <f>+F596*737328/43438</f>
        <v>79083.087434964778</v>
      </c>
      <c r="J596" s="51">
        <f t="shared" si="140"/>
        <v>276799.32470224414</v>
      </c>
    </row>
    <row r="597" spans="1:10" x14ac:dyDescent="0.25">
      <c r="A597" s="4" t="s">
        <v>43</v>
      </c>
      <c r="B597" s="5" t="s">
        <v>209</v>
      </c>
      <c r="C597" s="5" t="s">
        <v>210</v>
      </c>
      <c r="D597" s="5">
        <v>2</v>
      </c>
      <c r="E597" s="11">
        <v>1940</v>
      </c>
      <c r="F597" s="11">
        <v>0</v>
      </c>
      <c r="G597" s="27">
        <f t="shared" ref="G597:G614" si="146">+D597*4.79310344827586</f>
        <v>9.5862068965517206</v>
      </c>
      <c r="H597" s="13">
        <f t="shared" ref="H597:H614" si="147">+E597*6262672/368951</f>
        <v>32930.073858046191</v>
      </c>
      <c r="I597" s="13">
        <f t="shared" ref="I597:I614" si="148">+F597*737328/43438</f>
        <v>0</v>
      </c>
      <c r="J597" s="51">
        <f t="shared" si="140"/>
        <v>32930.073858046191</v>
      </c>
    </row>
    <row r="598" spans="1:10" x14ac:dyDescent="0.25">
      <c r="A598" s="4" t="s">
        <v>43</v>
      </c>
      <c r="B598" s="5" t="s">
        <v>213</v>
      </c>
      <c r="C598" s="5" t="s">
        <v>212</v>
      </c>
      <c r="D598" s="5">
        <v>1</v>
      </c>
      <c r="E598" s="11">
        <v>1456</v>
      </c>
      <c r="F598" s="11">
        <v>0</v>
      </c>
      <c r="G598" s="27">
        <f t="shared" si="146"/>
        <v>4.7931034482758603</v>
      </c>
      <c r="H598" s="13">
        <f t="shared" si="147"/>
        <v>24714.529658409923</v>
      </c>
      <c r="I598" s="13">
        <f t="shared" si="148"/>
        <v>0</v>
      </c>
      <c r="J598" s="51">
        <f t="shared" si="140"/>
        <v>24714.529658409923</v>
      </c>
    </row>
    <row r="599" spans="1:10" x14ac:dyDescent="0.25">
      <c r="A599" s="4" t="s">
        <v>43</v>
      </c>
      <c r="B599" s="5" t="s">
        <v>214</v>
      </c>
      <c r="C599" s="5" t="s">
        <v>210</v>
      </c>
      <c r="D599" s="5">
        <v>9</v>
      </c>
      <c r="E599" s="11">
        <v>8730</v>
      </c>
      <c r="F599" s="11">
        <v>0</v>
      </c>
      <c r="G599" s="27">
        <f t="shared" si="146"/>
        <v>43.13793103448274</v>
      </c>
      <c r="H599" s="13">
        <f t="shared" si="147"/>
        <v>148185.33236120787</v>
      </c>
      <c r="I599" s="13">
        <f t="shared" si="148"/>
        <v>0</v>
      </c>
      <c r="J599" s="51">
        <f t="shared" si="140"/>
        <v>148185.33236120787</v>
      </c>
    </row>
    <row r="600" spans="1:10" x14ac:dyDescent="0.25">
      <c r="A600" s="4" t="s">
        <v>43</v>
      </c>
      <c r="B600" s="5" t="s">
        <v>216</v>
      </c>
      <c r="C600" s="5" t="s">
        <v>210</v>
      </c>
      <c r="D600" s="5">
        <v>1</v>
      </c>
      <c r="E600" s="11">
        <v>970</v>
      </c>
      <c r="F600" s="11">
        <v>0</v>
      </c>
      <c r="G600" s="27">
        <f t="shared" si="146"/>
        <v>4.7931034482758603</v>
      </c>
      <c r="H600" s="13">
        <f t="shared" si="147"/>
        <v>16465.036929023096</v>
      </c>
      <c r="I600" s="13">
        <f t="shared" si="148"/>
        <v>0</v>
      </c>
      <c r="J600" s="51">
        <f t="shared" si="140"/>
        <v>16465.036929023096</v>
      </c>
    </row>
    <row r="601" spans="1:10" x14ac:dyDescent="0.25">
      <c r="A601" s="4" t="s">
        <v>43</v>
      </c>
      <c r="B601" s="5" t="s">
        <v>217</v>
      </c>
      <c r="C601" s="5" t="s">
        <v>218</v>
      </c>
      <c r="D601" s="5">
        <v>1</v>
      </c>
      <c r="E601" s="11">
        <v>3313</v>
      </c>
      <c r="F601" s="11">
        <v>1325</v>
      </c>
      <c r="G601" s="27">
        <f t="shared" si="146"/>
        <v>4.7931034482758603</v>
      </c>
      <c r="H601" s="13">
        <f t="shared" si="147"/>
        <v>56235.739531807747</v>
      </c>
      <c r="I601" s="13">
        <f t="shared" si="148"/>
        <v>22490.897370965515</v>
      </c>
      <c r="J601" s="51">
        <f t="shared" si="140"/>
        <v>78726.636902773258</v>
      </c>
    </row>
    <row r="602" spans="1:10" x14ac:dyDescent="0.25">
      <c r="A602" s="4" t="s">
        <v>43</v>
      </c>
      <c r="B602" s="5" t="s">
        <v>219</v>
      </c>
      <c r="C602" s="5" t="s">
        <v>220</v>
      </c>
      <c r="D602" s="5">
        <v>1</v>
      </c>
      <c r="E602" s="11">
        <v>3397</v>
      </c>
      <c r="F602" s="11">
        <v>1358</v>
      </c>
      <c r="G602" s="27">
        <f t="shared" si="146"/>
        <v>4.7931034482758603</v>
      </c>
      <c r="H602" s="13">
        <f t="shared" si="147"/>
        <v>57661.577781331398</v>
      </c>
      <c r="I602" s="13">
        <f t="shared" si="148"/>
        <v>23051.048022468807</v>
      </c>
      <c r="J602" s="51">
        <f t="shared" si="140"/>
        <v>80712.625803800212</v>
      </c>
    </row>
    <row r="603" spans="1:10" x14ac:dyDescent="0.25">
      <c r="A603" s="4" t="s">
        <v>43</v>
      </c>
      <c r="B603" s="5" t="s">
        <v>226</v>
      </c>
      <c r="C603" s="5" t="s">
        <v>210</v>
      </c>
      <c r="D603" s="5">
        <v>6</v>
      </c>
      <c r="E603" s="11">
        <v>5820</v>
      </c>
      <c r="F603" s="11">
        <v>0</v>
      </c>
      <c r="G603" s="27">
        <f t="shared" si="146"/>
        <v>28.75862068965516</v>
      </c>
      <c r="H603" s="13">
        <f t="shared" si="147"/>
        <v>98790.221574138573</v>
      </c>
      <c r="I603" s="13">
        <f t="shared" si="148"/>
        <v>0</v>
      </c>
      <c r="J603" s="51">
        <f t="shared" si="140"/>
        <v>98790.221574138573</v>
      </c>
    </row>
    <row r="604" spans="1:10" x14ac:dyDescent="0.25">
      <c r="A604" s="4" t="s">
        <v>43</v>
      </c>
      <c r="B604" s="5" t="s">
        <v>227</v>
      </c>
      <c r="C604" s="5" t="s">
        <v>210</v>
      </c>
      <c r="D604" s="5">
        <v>5</v>
      </c>
      <c r="E604" s="11">
        <v>4850</v>
      </c>
      <c r="F604" s="11">
        <v>0</v>
      </c>
      <c r="G604" s="27">
        <f t="shared" si="146"/>
        <v>23.965517241379303</v>
      </c>
      <c r="H604" s="13">
        <f t="shared" si="147"/>
        <v>82325.184645115471</v>
      </c>
      <c r="I604" s="13">
        <f t="shared" si="148"/>
        <v>0</v>
      </c>
      <c r="J604" s="51">
        <f t="shared" si="140"/>
        <v>82325.184645115471</v>
      </c>
    </row>
    <row r="605" spans="1:10" x14ac:dyDescent="0.25">
      <c r="A605" s="4" t="s">
        <v>43</v>
      </c>
      <c r="B605" s="5" t="s">
        <v>228</v>
      </c>
      <c r="C605" s="5" t="s">
        <v>229</v>
      </c>
      <c r="D605" s="5">
        <v>16</v>
      </c>
      <c r="E605" s="11">
        <v>31056</v>
      </c>
      <c r="F605" s="11">
        <v>0</v>
      </c>
      <c r="G605" s="27">
        <f t="shared" si="146"/>
        <v>76.689655172413765</v>
      </c>
      <c r="H605" s="13">
        <f t="shared" si="147"/>
        <v>527152.76996674354</v>
      </c>
      <c r="I605" s="13">
        <f t="shared" si="148"/>
        <v>0</v>
      </c>
      <c r="J605" s="51">
        <f t="shared" si="140"/>
        <v>527152.76996674354</v>
      </c>
    </row>
    <row r="606" spans="1:10" x14ac:dyDescent="0.25">
      <c r="A606" s="4" t="s">
        <v>43</v>
      </c>
      <c r="B606" s="5" t="s">
        <v>230</v>
      </c>
      <c r="C606" s="5" t="s">
        <v>229</v>
      </c>
      <c r="D606" s="5">
        <v>21</v>
      </c>
      <c r="E606" s="11">
        <v>40761</v>
      </c>
      <c r="F606" s="11">
        <v>0</v>
      </c>
      <c r="G606" s="27">
        <f t="shared" si="146"/>
        <v>100.65517241379307</v>
      </c>
      <c r="H606" s="13">
        <f t="shared" si="147"/>
        <v>691888.01058135089</v>
      </c>
      <c r="I606" s="13">
        <f t="shared" si="148"/>
        <v>0</v>
      </c>
      <c r="J606" s="51">
        <f t="shared" si="140"/>
        <v>691888.01058135089</v>
      </c>
    </row>
    <row r="607" spans="1:10" x14ac:dyDescent="0.25">
      <c r="A607" s="4" t="s">
        <v>43</v>
      </c>
      <c r="B607" s="5" t="s">
        <v>262</v>
      </c>
      <c r="C607" s="5" t="s">
        <v>263</v>
      </c>
      <c r="D607" s="5">
        <v>1</v>
      </c>
      <c r="E607" s="11">
        <v>151666</v>
      </c>
      <c r="F607" s="11">
        <v>0</v>
      </c>
      <c r="G607" s="27">
        <f t="shared" si="146"/>
        <v>4.7931034482758603</v>
      </c>
      <c r="H607" s="13">
        <f t="shared" si="147"/>
        <v>2574418.8565744502</v>
      </c>
      <c r="I607" s="13">
        <f t="shared" si="148"/>
        <v>0</v>
      </c>
      <c r="J607" s="51">
        <f t="shared" si="140"/>
        <v>2574418.8565744502</v>
      </c>
    </row>
    <row r="608" spans="1:10" x14ac:dyDescent="0.25">
      <c r="A608" s="4" t="s">
        <v>43</v>
      </c>
      <c r="B608" s="5" t="s">
        <v>235</v>
      </c>
      <c r="C608" s="5" t="s">
        <v>236</v>
      </c>
      <c r="D608" s="5">
        <v>1</v>
      </c>
      <c r="E608" s="11">
        <v>6825</v>
      </c>
      <c r="F608" s="11">
        <v>2730</v>
      </c>
      <c r="G608" s="27">
        <f t="shared" si="146"/>
        <v>4.7931034482758603</v>
      </c>
      <c r="H608" s="13">
        <f t="shared" si="147"/>
        <v>115849.35777379652</v>
      </c>
      <c r="I608" s="13">
        <f t="shared" si="148"/>
        <v>46339.735715272342</v>
      </c>
      <c r="J608" s="51">
        <f t="shared" si="140"/>
        <v>162189.09348906885</v>
      </c>
    </row>
    <row r="609" spans="1:10" x14ac:dyDescent="0.25">
      <c r="A609" s="4" t="s">
        <v>43</v>
      </c>
      <c r="B609" s="5" t="s">
        <v>239</v>
      </c>
      <c r="C609" s="5" t="s">
        <v>236</v>
      </c>
      <c r="D609" s="5">
        <v>4</v>
      </c>
      <c r="E609" s="11">
        <v>27300</v>
      </c>
      <c r="F609" s="11">
        <v>10920</v>
      </c>
      <c r="G609" s="27">
        <f t="shared" si="146"/>
        <v>19.172413793103441</v>
      </c>
      <c r="H609" s="13">
        <f t="shared" si="147"/>
        <v>463397.4310951861</v>
      </c>
      <c r="I609" s="13">
        <f t="shared" si="148"/>
        <v>185358.94286108937</v>
      </c>
      <c r="J609" s="51">
        <f t="shared" si="140"/>
        <v>648756.37395627541</v>
      </c>
    </row>
    <row r="610" spans="1:10" x14ac:dyDescent="0.25">
      <c r="A610" s="4" t="s">
        <v>43</v>
      </c>
      <c r="B610" s="5" t="s">
        <v>241</v>
      </c>
      <c r="C610" s="5" t="s">
        <v>236</v>
      </c>
      <c r="D610" s="5">
        <v>5</v>
      </c>
      <c r="E610" s="11">
        <v>34125</v>
      </c>
      <c r="F610" s="11">
        <v>13650</v>
      </c>
      <c r="G610" s="27">
        <f t="shared" si="146"/>
        <v>23.965517241379303</v>
      </c>
      <c r="H610" s="13">
        <f t="shared" si="147"/>
        <v>579246.78886898258</v>
      </c>
      <c r="I610" s="13">
        <f t="shared" si="148"/>
        <v>231698.67857636171</v>
      </c>
      <c r="J610" s="51">
        <f t="shared" si="140"/>
        <v>810945.46744534431</v>
      </c>
    </row>
    <row r="611" spans="1:10" x14ac:dyDescent="0.25">
      <c r="A611" s="4" t="s">
        <v>43</v>
      </c>
      <c r="B611" s="5" t="s">
        <v>247</v>
      </c>
      <c r="C611" s="5" t="s">
        <v>244</v>
      </c>
      <c r="D611" s="5">
        <v>2</v>
      </c>
      <c r="E611" s="11">
        <v>6824</v>
      </c>
      <c r="F611" s="11">
        <v>2730</v>
      </c>
      <c r="G611" s="27">
        <f t="shared" si="146"/>
        <v>9.5862068965517206</v>
      </c>
      <c r="H611" s="13">
        <f t="shared" si="147"/>
        <v>115832.38350892124</v>
      </c>
      <c r="I611" s="13">
        <f t="shared" si="148"/>
        <v>46339.735715272342</v>
      </c>
      <c r="J611" s="51">
        <f t="shared" si="140"/>
        <v>162172.11922419356</v>
      </c>
    </row>
    <row r="612" spans="1:10" x14ac:dyDescent="0.25">
      <c r="A612" s="4" t="s">
        <v>43</v>
      </c>
      <c r="B612" s="5" t="s">
        <v>249</v>
      </c>
      <c r="C612" s="5" t="s">
        <v>250</v>
      </c>
      <c r="D612" s="5">
        <v>1</v>
      </c>
      <c r="E612" s="11">
        <v>15166</v>
      </c>
      <c r="F612" s="11">
        <v>6066</v>
      </c>
      <c r="G612" s="27">
        <f t="shared" si="146"/>
        <v>4.7931034482758603</v>
      </c>
      <c r="H612" s="13">
        <f t="shared" si="147"/>
        <v>257431.70109851987</v>
      </c>
      <c r="I612" s="13">
        <f t="shared" si="148"/>
        <v>102965.87430360515</v>
      </c>
      <c r="J612" s="51">
        <f t="shared" si="140"/>
        <v>360397.57540212502</v>
      </c>
    </row>
    <row r="613" spans="1:10" x14ac:dyDescent="0.25">
      <c r="A613" s="4" t="s">
        <v>43</v>
      </c>
      <c r="B613" s="5" t="s">
        <v>252</v>
      </c>
      <c r="C613" s="5" t="s">
        <v>212</v>
      </c>
      <c r="D613" s="5">
        <v>7</v>
      </c>
      <c r="E613" s="11">
        <v>10192</v>
      </c>
      <c r="F613" s="11">
        <v>0</v>
      </c>
      <c r="G613" s="27">
        <f t="shared" si="146"/>
        <v>33.551724137931025</v>
      </c>
      <c r="H613" s="13">
        <f t="shared" si="147"/>
        <v>173001.70760886947</v>
      </c>
      <c r="I613" s="13">
        <f t="shared" si="148"/>
        <v>0</v>
      </c>
      <c r="J613" s="51">
        <f t="shared" si="140"/>
        <v>173001.70760886947</v>
      </c>
    </row>
    <row r="614" spans="1:10" x14ac:dyDescent="0.25">
      <c r="A614" s="15" t="s">
        <v>43</v>
      </c>
      <c r="B614" s="16" t="s">
        <v>256</v>
      </c>
      <c r="C614" s="16" t="s">
        <v>212</v>
      </c>
      <c r="D614" s="16">
        <v>2</v>
      </c>
      <c r="E614" s="18">
        <v>2912</v>
      </c>
      <c r="F614" s="18">
        <v>0</v>
      </c>
      <c r="G614" s="27">
        <f t="shared" si="146"/>
        <v>9.5862068965517206</v>
      </c>
      <c r="H614" s="13">
        <f t="shared" si="147"/>
        <v>49429.059316819847</v>
      </c>
      <c r="I614" s="13">
        <f t="shared" si="148"/>
        <v>0</v>
      </c>
      <c r="J614" s="51">
        <f t="shared" si="140"/>
        <v>49429.059316819847</v>
      </c>
    </row>
    <row r="615" spans="1:10" s="3" customFormat="1" x14ac:dyDescent="0.25">
      <c r="A615" s="4"/>
      <c r="B615" s="20" t="s">
        <v>287</v>
      </c>
      <c r="C615" s="21"/>
      <c r="D615" s="21"/>
      <c r="E615" s="29"/>
      <c r="F615" s="29"/>
      <c r="G615" s="47">
        <f>SUM(G596:G614)</f>
        <v>416.99999999999994</v>
      </c>
      <c r="H615" s="47">
        <f t="shared" ref="H615:J615" si="149">SUM(H596:H614)</f>
        <v>6262671.9999999991</v>
      </c>
      <c r="I615" s="47">
        <f t="shared" si="149"/>
        <v>737328.00000000012</v>
      </c>
      <c r="J615" s="47">
        <f t="shared" si="149"/>
        <v>6999999.9999999991</v>
      </c>
    </row>
    <row r="616" spans="1:10" x14ac:dyDescent="0.25">
      <c r="A616" s="23" t="s">
        <v>44</v>
      </c>
      <c r="B616" s="24" t="s">
        <v>207</v>
      </c>
      <c r="C616" s="24" t="s">
        <v>208</v>
      </c>
      <c r="D616" s="24">
        <v>1</v>
      </c>
      <c r="E616" s="30">
        <v>11648</v>
      </c>
      <c r="F616" s="30">
        <v>4659</v>
      </c>
      <c r="G616" s="27">
        <f>+D616*4.7887323943662</f>
        <v>4.7887323943661997</v>
      </c>
      <c r="H616" s="13">
        <f>+E616*3803271/1528409</f>
        <v>28984.715876444068</v>
      </c>
      <c r="I616" s="13">
        <f>+F616*196729/79059</f>
        <v>11593.372177740675</v>
      </c>
      <c r="J616" s="51">
        <f t="shared" si="140"/>
        <v>40578.088054184744</v>
      </c>
    </row>
    <row r="617" spans="1:10" x14ac:dyDescent="0.25">
      <c r="A617" s="4" t="s">
        <v>44</v>
      </c>
      <c r="B617" s="5" t="s">
        <v>209</v>
      </c>
      <c r="C617" s="5" t="s">
        <v>210</v>
      </c>
      <c r="D617" s="5">
        <v>1</v>
      </c>
      <c r="E617" s="11">
        <v>970</v>
      </c>
      <c r="F617" s="11">
        <v>0</v>
      </c>
      <c r="G617" s="27">
        <f t="shared" ref="G617:G633" si="150">+D617*4.7887323943662</f>
        <v>4.7887323943661997</v>
      </c>
      <c r="H617" s="13">
        <f t="shared" ref="H617:H633" si="151">+E617*3803271/1528409</f>
        <v>2413.7340659470078</v>
      </c>
      <c r="I617" s="13">
        <f t="shared" ref="I617:I633" si="152">+F617*196729/79059</f>
        <v>0</v>
      </c>
      <c r="J617" s="51">
        <f t="shared" si="140"/>
        <v>2413.7340659470078</v>
      </c>
    </row>
    <row r="618" spans="1:10" x14ac:dyDescent="0.25">
      <c r="A618" s="4" t="s">
        <v>44</v>
      </c>
      <c r="B618" s="5" t="s">
        <v>213</v>
      </c>
      <c r="C618" s="5" t="s">
        <v>212</v>
      </c>
      <c r="D618" s="5">
        <v>1</v>
      </c>
      <c r="E618" s="11">
        <v>1456</v>
      </c>
      <c r="F618" s="11">
        <v>0</v>
      </c>
      <c r="G618" s="27">
        <f t="shared" si="150"/>
        <v>4.7887323943661997</v>
      </c>
      <c r="H618" s="13">
        <f t="shared" si="151"/>
        <v>3623.0894845555085</v>
      </c>
      <c r="I618" s="13">
        <f t="shared" si="152"/>
        <v>0</v>
      </c>
      <c r="J618" s="51">
        <f t="shared" si="140"/>
        <v>3623.0894845555085</v>
      </c>
    </row>
    <row r="619" spans="1:10" x14ac:dyDescent="0.25">
      <c r="A619" s="4" t="s">
        <v>44</v>
      </c>
      <c r="B619" s="5" t="s">
        <v>214</v>
      </c>
      <c r="C619" s="5" t="s">
        <v>210</v>
      </c>
      <c r="D619" s="5">
        <v>9</v>
      </c>
      <c r="E619" s="11">
        <v>8730</v>
      </c>
      <c r="F619" s="11">
        <v>0</v>
      </c>
      <c r="G619" s="27">
        <f t="shared" si="150"/>
        <v>43.098591549295797</v>
      </c>
      <c r="H619" s="13">
        <f t="shared" si="151"/>
        <v>21723.606593523069</v>
      </c>
      <c r="I619" s="13">
        <f t="shared" si="152"/>
        <v>0</v>
      </c>
      <c r="J619" s="51">
        <f t="shared" si="140"/>
        <v>21723.606593523069</v>
      </c>
    </row>
    <row r="620" spans="1:10" x14ac:dyDescent="0.25">
      <c r="A620" s="4" t="s">
        <v>44</v>
      </c>
      <c r="B620" s="5" t="s">
        <v>221</v>
      </c>
      <c r="C620" s="5" t="s">
        <v>222</v>
      </c>
      <c r="D620" s="5">
        <v>1</v>
      </c>
      <c r="E620" s="11">
        <v>72800</v>
      </c>
      <c r="F620" s="11">
        <v>29120</v>
      </c>
      <c r="G620" s="27">
        <f t="shared" si="150"/>
        <v>4.7887323943661997</v>
      </c>
      <c r="H620" s="13">
        <f t="shared" si="151"/>
        <v>181154.47422777541</v>
      </c>
      <c r="I620" s="13">
        <f t="shared" si="152"/>
        <v>72461.686588497192</v>
      </c>
      <c r="J620" s="51">
        <f t="shared" si="140"/>
        <v>253616.1608162726</v>
      </c>
    </row>
    <row r="621" spans="1:10" x14ac:dyDescent="0.25">
      <c r="A621" s="4" t="s">
        <v>44</v>
      </c>
      <c r="B621" s="5" t="s">
        <v>260</v>
      </c>
      <c r="C621" s="5" t="s">
        <v>208</v>
      </c>
      <c r="D621" s="5">
        <v>1</v>
      </c>
      <c r="E621" s="11">
        <v>46592</v>
      </c>
      <c r="F621" s="11">
        <v>0</v>
      </c>
      <c r="G621" s="27">
        <f t="shared" si="150"/>
        <v>4.7887323943661997</v>
      </c>
      <c r="H621" s="13">
        <f t="shared" si="151"/>
        <v>115938.86350577627</v>
      </c>
      <c r="I621" s="13">
        <f t="shared" si="152"/>
        <v>0</v>
      </c>
      <c r="J621" s="51">
        <f t="shared" si="140"/>
        <v>115938.86350577627</v>
      </c>
    </row>
    <row r="622" spans="1:10" x14ac:dyDescent="0.25">
      <c r="A622" s="4" t="s">
        <v>44</v>
      </c>
      <c r="B622" s="5" t="s">
        <v>226</v>
      </c>
      <c r="C622" s="5" t="s">
        <v>210</v>
      </c>
      <c r="D622" s="5">
        <v>2</v>
      </c>
      <c r="E622" s="11">
        <v>1940</v>
      </c>
      <c r="F622" s="11">
        <v>0</v>
      </c>
      <c r="G622" s="27">
        <f t="shared" si="150"/>
        <v>9.5774647887323994</v>
      </c>
      <c r="H622" s="13">
        <f t="shared" si="151"/>
        <v>4827.4681318940156</v>
      </c>
      <c r="I622" s="13">
        <f t="shared" si="152"/>
        <v>0</v>
      </c>
      <c r="J622" s="51">
        <f t="shared" si="140"/>
        <v>4827.4681318940156</v>
      </c>
    </row>
    <row r="623" spans="1:10" x14ac:dyDescent="0.25">
      <c r="A623" s="4" t="s">
        <v>44</v>
      </c>
      <c r="B623" s="5" t="s">
        <v>228</v>
      </c>
      <c r="C623" s="5" t="s">
        <v>229</v>
      </c>
      <c r="D623" s="5">
        <v>23</v>
      </c>
      <c r="E623" s="11">
        <v>44643</v>
      </c>
      <c r="F623" s="11">
        <v>0</v>
      </c>
      <c r="G623" s="27">
        <f t="shared" si="150"/>
        <v>110.14084507042259</v>
      </c>
      <c r="H623" s="13">
        <f t="shared" si="151"/>
        <v>111088.99990316728</v>
      </c>
      <c r="I623" s="13">
        <f t="shared" si="152"/>
        <v>0</v>
      </c>
      <c r="J623" s="51">
        <f t="shared" si="140"/>
        <v>111088.99990316728</v>
      </c>
    </row>
    <row r="624" spans="1:10" x14ac:dyDescent="0.25">
      <c r="A624" s="4" t="s">
        <v>44</v>
      </c>
      <c r="B624" s="5" t="s">
        <v>230</v>
      </c>
      <c r="C624" s="5" t="s">
        <v>229</v>
      </c>
      <c r="D624" s="5">
        <v>5</v>
      </c>
      <c r="E624" s="11">
        <v>9705</v>
      </c>
      <c r="F624" s="11">
        <v>0</v>
      </c>
      <c r="G624" s="27">
        <f t="shared" si="150"/>
        <v>23.943661971830998</v>
      </c>
      <c r="H624" s="13">
        <f t="shared" si="151"/>
        <v>24149.782587645062</v>
      </c>
      <c r="I624" s="13">
        <f t="shared" si="152"/>
        <v>0</v>
      </c>
      <c r="J624" s="51">
        <f t="shared" si="140"/>
        <v>24149.782587645062</v>
      </c>
    </row>
    <row r="625" spans="1:10" x14ac:dyDescent="0.25">
      <c r="A625" s="4" t="s">
        <v>44</v>
      </c>
      <c r="B625" s="5" t="s">
        <v>262</v>
      </c>
      <c r="C625" s="5" t="s">
        <v>263</v>
      </c>
      <c r="D625" s="5">
        <v>8</v>
      </c>
      <c r="E625" s="11">
        <v>1213328</v>
      </c>
      <c r="F625" s="11">
        <v>0</v>
      </c>
      <c r="G625" s="27">
        <f t="shared" si="150"/>
        <v>38.309859154929597</v>
      </c>
      <c r="H625" s="13">
        <f t="shared" si="151"/>
        <v>3019227.965739537</v>
      </c>
      <c r="I625" s="13">
        <f t="shared" si="152"/>
        <v>0</v>
      </c>
      <c r="J625" s="51">
        <f t="shared" ref="J625:J688" si="153">SUM(H625:I625)</f>
        <v>3019227.965739537</v>
      </c>
    </row>
    <row r="626" spans="1:10" x14ac:dyDescent="0.25">
      <c r="A626" s="4" t="s">
        <v>44</v>
      </c>
      <c r="B626" s="5" t="s">
        <v>235</v>
      </c>
      <c r="C626" s="5" t="s">
        <v>236</v>
      </c>
      <c r="D626" s="5">
        <v>2</v>
      </c>
      <c r="E626" s="11">
        <v>13650</v>
      </c>
      <c r="F626" s="11">
        <v>5460</v>
      </c>
      <c r="G626" s="27">
        <f t="shared" si="150"/>
        <v>9.5774647887323994</v>
      </c>
      <c r="H626" s="13">
        <f t="shared" si="151"/>
        <v>33966.463917707893</v>
      </c>
      <c r="I626" s="13">
        <f t="shared" si="152"/>
        <v>13586.566235343225</v>
      </c>
      <c r="J626" s="51">
        <f t="shared" si="153"/>
        <v>47553.030153051121</v>
      </c>
    </row>
    <row r="627" spans="1:10" x14ac:dyDescent="0.25">
      <c r="A627" s="4" t="s">
        <v>44</v>
      </c>
      <c r="B627" s="5" t="s">
        <v>239</v>
      </c>
      <c r="C627" s="5" t="s">
        <v>236</v>
      </c>
      <c r="D627" s="5">
        <v>1</v>
      </c>
      <c r="E627" s="11">
        <v>6825</v>
      </c>
      <c r="F627" s="11">
        <v>2730</v>
      </c>
      <c r="G627" s="27">
        <f t="shared" si="150"/>
        <v>4.7887323943661997</v>
      </c>
      <c r="H627" s="13">
        <f t="shared" si="151"/>
        <v>16983.231958853947</v>
      </c>
      <c r="I627" s="13">
        <f t="shared" si="152"/>
        <v>6793.2831176716127</v>
      </c>
      <c r="J627" s="51">
        <f t="shared" si="153"/>
        <v>23776.51507652556</v>
      </c>
    </row>
    <row r="628" spans="1:10" x14ac:dyDescent="0.25">
      <c r="A628" s="4" t="s">
        <v>44</v>
      </c>
      <c r="B628" s="5" t="s">
        <v>241</v>
      </c>
      <c r="C628" s="5" t="s">
        <v>236</v>
      </c>
      <c r="D628" s="5">
        <v>9</v>
      </c>
      <c r="E628" s="11">
        <v>55570</v>
      </c>
      <c r="F628" s="11">
        <v>22228</v>
      </c>
      <c r="G628" s="27">
        <f t="shared" si="150"/>
        <v>43.098591549295797</v>
      </c>
      <c r="H628" s="13">
        <f t="shared" si="151"/>
        <v>138279.58973677858</v>
      </c>
      <c r="I628" s="13">
        <f t="shared" si="152"/>
        <v>55311.757193994359</v>
      </c>
      <c r="J628" s="51">
        <f t="shared" si="153"/>
        <v>193591.34693077294</v>
      </c>
    </row>
    <row r="629" spans="1:10" x14ac:dyDescent="0.25">
      <c r="A629" s="4" t="s">
        <v>44</v>
      </c>
      <c r="B629" s="5" t="s">
        <v>243</v>
      </c>
      <c r="C629" s="5" t="s">
        <v>244</v>
      </c>
      <c r="D629" s="5">
        <v>2</v>
      </c>
      <c r="E629" s="11">
        <v>6824</v>
      </c>
      <c r="F629" s="11">
        <v>2730</v>
      </c>
      <c r="G629" s="27">
        <f t="shared" si="150"/>
        <v>9.5774647887323994</v>
      </c>
      <c r="H629" s="13">
        <f t="shared" si="151"/>
        <v>16980.743573218948</v>
      </c>
      <c r="I629" s="13">
        <f t="shared" si="152"/>
        <v>6793.2831176716127</v>
      </c>
      <c r="J629" s="51">
        <f t="shared" si="153"/>
        <v>23774.026690890561</v>
      </c>
    </row>
    <row r="630" spans="1:10" x14ac:dyDescent="0.25">
      <c r="A630" s="4" t="s">
        <v>44</v>
      </c>
      <c r="B630" s="5" t="s">
        <v>249</v>
      </c>
      <c r="C630" s="5" t="s">
        <v>250</v>
      </c>
      <c r="D630" s="5">
        <v>2</v>
      </c>
      <c r="E630" s="11">
        <v>30332</v>
      </c>
      <c r="F630" s="11">
        <v>12132</v>
      </c>
      <c r="G630" s="27">
        <f t="shared" si="150"/>
        <v>9.5774647887323994</v>
      </c>
      <c r="H630" s="13">
        <f t="shared" si="151"/>
        <v>75477.713080726433</v>
      </c>
      <c r="I630" s="13">
        <f t="shared" si="152"/>
        <v>30189.051569081319</v>
      </c>
      <c r="J630" s="51">
        <f t="shared" si="153"/>
        <v>105666.76464980775</v>
      </c>
    </row>
    <row r="631" spans="1:10" x14ac:dyDescent="0.25">
      <c r="A631" s="4" t="s">
        <v>44</v>
      </c>
      <c r="B631" s="5" t="s">
        <v>252</v>
      </c>
      <c r="C631" s="5" t="s">
        <v>212</v>
      </c>
      <c r="D631" s="5">
        <v>1</v>
      </c>
      <c r="E631" s="11">
        <v>1456</v>
      </c>
      <c r="F631" s="11">
        <v>0</v>
      </c>
      <c r="G631" s="27">
        <f t="shared" si="150"/>
        <v>4.7887323943661997</v>
      </c>
      <c r="H631" s="13">
        <f t="shared" si="151"/>
        <v>3623.0894845555085</v>
      </c>
      <c r="I631" s="13">
        <f t="shared" si="152"/>
        <v>0</v>
      </c>
      <c r="J631" s="51">
        <f t="shared" si="153"/>
        <v>3623.0894845555085</v>
      </c>
    </row>
    <row r="632" spans="1:10" x14ac:dyDescent="0.25">
      <c r="A632" s="4" t="s">
        <v>44</v>
      </c>
      <c r="B632" s="5" t="s">
        <v>253</v>
      </c>
      <c r="C632" s="5" t="s">
        <v>210</v>
      </c>
      <c r="D632" s="5">
        <v>1</v>
      </c>
      <c r="E632" s="11">
        <v>970</v>
      </c>
      <c r="F632" s="11">
        <v>0</v>
      </c>
      <c r="G632" s="27">
        <f t="shared" si="150"/>
        <v>4.7887323943661997</v>
      </c>
      <c r="H632" s="13">
        <f t="shared" si="151"/>
        <v>2413.7340659470078</v>
      </c>
      <c r="I632" s="13">
        <f t="shared" si="152"/>
        <v>0</v>
      </c>
      <c r="J632" s="51">
        <f t="shared" si="153"/>
        <v>2413.7340659470078</v>
      </c>
    </row>
    <row r="633" spans="1:10" x14ac:dyDescent="0.25">
      <c r="A633" s="15" t="s">
        <v>44</v>
      </c>
      <c r="B633" s="16" t="s">
        <v>255</v>
      </c>
      <c r="C633" s="16" t="s">
        <v>210</v>
      </c>
      <c r="D633" s="16">
        <v>1</v>
      </c>
      <c r="E633" s="18">
        <v>970</v>
      </c>
      <c r="F633" s="18">
        <v>0</v>
      </c>
      <c r="G633" s="27">
        <f t="shared" si="150"/>
        <v>4.7887323943661997</v>
      </c>
      <c r="H633" s="13">
        <f t="shared" si="151"/>
        <v>2413.7340659470078</v>
      </c>
      <c r="I633" s="13">
        <f t="shared" si="152"/>
        <v>0</v>
      </c>
      <c r="J633" s="51">
        <f t="shared" si="153"/>
        <v>2413.7340659470078</v>
      </c>
    </row>
    <row r="634" spans="1:10" s="3" customFormat="1" x14ac:dyDescent="0.25">
      <c r="A634" s="4"/>
      <c r="B634" s="20" t="s">
        <v>288</v>
      </c>
      <c r="C634" s="21"/>
      <c r="D634" s="21"/>
      <c r="E634" s="29"/>
      <c r="F634" s="29"/>
      <c r="G634" s="47">
        <f>SUM(G616:G633)</f>
        <v>340.00000000000023</v>
      </c>
      <c r="H634" s="47">
        <f t="shared" ref="H634:J634" si="154">SUM(H616:H633)</f>
        <v>3803271.0000000009</v>
      </c>
      <c r="I634" s="47">
        <f t="shared" si="154"/>
        <v>196729</v>
      </c>
      <c r="J634" s="47">
        <f t="shared" si="154"/>
        <v>4000000.0000000005</v>
      </c>
    </row>
    <row r="635" spans="1:10" x14ac:dyDescent="0.25">
      <c r="A635" s="23" t="s">
        <v>45</v>
      </c>
      <c r="B635" s="24" t="s">
        <v>214</v>
      </c>
      <c r="C635" s="24" t="s">
        <v>210</v>
      </c>
      <c r="D635" s="24">
        <v>1</v>
      </c>
      <c r="E635" s="30">
        <v>970</v>
      </c>
      <c r="F635" s="30">
        <v>0</v>
      </c>
      <c r="G635" s="27">
        <f>+D635*4.78260869565217</f>
        <v>4.7826086956521703</v>
      </c>
      <c r="H635" s="13">
        <f>+E635*2420601/48316</f>
        <v>48596.385669343486</v>
      </c>
      <c r="I635" s="13">
        <f>+F635*579399/11565</f>
        <v>0</v>
      </c>
      <c r="J635" s="51">
        <f t="shared" si="153"/>
        <v>48596.385669343486</v>
      </c>
    </row>
    <row r="636" spans="1:10" x14ac:dyDescent="0.25">
      <c r="A636" s="4" t="s">
        <v>45</v>
      </c>
      <c r="B636" s="5" t="s">
        <v>216</v>
      </c>
      <c r="C636" s="5" t="s">
        <v>210</v>
      </c>
      <c r="D636" s="5">
        <v>4</v>
      </c>
      <c r="E636" s="11">
        <v>3880</v>
      </c>
      <c r="F636" s="11">
        <v>0</v>
      </c>
      <c r="G636" s="27">
        <f t="shared" ref="G636:G644" si="155">+D636*4.78260869565217</f>
        <v>19.130434782608681</v>
      </c>
      <c r="H636" s="13">
        <f t="shared" ref="H636:H644" si="156">+E636*2420601/48316</f>
        <v>194385.54267737395</v>
      </c>
      <c r="I636" s="13">
        <f t="shared" ref="I636:I644" si="157">+F636*579399/11565</f>
        <v>0</v>
      </c>
      <c r="J636" s="51">
        <f t="shared" si="153"/>
        <v>194385.54267737395</v>
      </c>
    </row>
    <row r="637" spans="1:10" x14ac:dyDescent="0.25">
      <c r="A637" s="4" t="s">
        <v>45</v>
      </c>
      <c r="B637" s="5" t="s">
        <v>217</v>
      </c>
      <c r="C637" s="5" t="s">
        <v>218</v>
      </c>
      <c r="D637" s="5">
        <v>1</v>
      </c>
      <c r="E637" s="11">
        <v>3313</v>
      </c>
      <c r="F637" s="11">
        <v>1325</v>
      </c>
      <c r="G637" s="27">
        <f t="shared" si="155"/>
        <v>4.7826086956521703</v>
      </c>
      <c r="H637" s="13">
        <f t="shared" si="156"/>
        <v>165979.20177580926</v>
      </c>
      <c r="I637" s="13">
        <f t="shared" si="157"/>
        <v>66381.640726329439</v>
      </c>
      <c r="J637" s="51">
        <f t="shared" si="153"/>
        <v>232360.84250213869</v>
      </c>
    </row>
    <row r="638" spans="1:10" x14ac:dyDescent="0.25">
      <c r="A638" s="4" t="s">
        <v>45</v>
      </c>
      <c r="B638" s="5" t="s">
        <v>228</v>
      </c>
      <c r="C638" s="5" t="s">
        <v>229</v>
      </c>
      <c r="D638" s="5">
        <v>1</v>
      </c>
      <c r="E638" s="11">
        <v>1941</v>
      </c>
      <c r="F638" s="11">
        <v>0</v>
      </c>
      <c r="G638" s="27">
        <f t="shared" si="155"/>
        <v>4.7826086956521703</v>
      </c>
      <c r="H638" s="13">
        <f t="shared" si="156"/>
        <v>97242.870705356399</v>
      </c>
      <c r="I638" s="13">
        <f t="shared" si="157"/>
        <v>0</v>
      </c>
      <c r="J638" s="51">
        <f t="shared" si="153"/>
        <v>97242.870705356399</v>
      </c>
    </row>
    <row r="639" spans="1:10" x14ac:dyDescent="0.25">
      <c r="A639" s="4" t="s">
        <v>45</v>
      </c>
      <c r="B639" s="5" t="s">
        <v>230</v>
      </c>
      <c r="C639" s="5" t="s">
        <v>229</v>
      </c>
      <c r="D639" s="5">
        <v>1</v>
      </c>
      <c r="E639" s="11">
        <v>1941</v>
      </c>
      <c r="F639" s="11">
        <v>0</v>
      </c>
      <c r="G639" s="27">
        <f t="shared" si="155"/>
        <v>4.7826086956521703</v>
      </c>
      <c r="H639" s="13">
        <f t="shared" si="156"/>
        <v>97242.870705356399</v>
      </c>
      <c r="I639" s="13">
        <f t="shared" si="157"/>
        <v>0</v>
      </c>
      <c r="J639" s="51">
        <f t="shared" si="153"/>
        <v>97242.870705356399</v>
      </c>
    </row>
    <row r="640" spans="1:10" x14ac:dyDescent="0.25">
      <c r="A640" s="4" t="s">
        <v>45</v>
      </c>
      <c r="B640" s="5" t="s">
        <v>235</v>
      </c>
      <c r="C640" s="5" t="s">
        <v>236</v>
      </c>
      <c r="D640" s="5">
        <v>3</v>
      </c>
      <c r="E640" s="11">
        <v>20475</v>
      </c>
      <c r="F640" s="11">
        <v>8190</v>
      </c>
      <c r="G640" s="27">
        <f t="shared" si="155"/>
        <v>14.347826086956511</v>
      </c>
      <c r="H640" s="13">
        <f t="shared" si="156"/>
        <v>1025784.5325565031</v>
      </c>
      <c r="I640" s="13">
        <f t="shared" si="157"/>
        <v>410313.68871595332</v>
      </c>
      <c r="J640" s="51">
        <f t="shared" si="153"/>
        <v>1436098.2212724565</v>
      </c>
    </row>
    <row r="641" spans="1:10" x14ac:dyDescent="0.25">
      <c r="A641" s="4" t="s">
        <v>45</v>
      </c>
      <c r="B641" s="5" t="s">
        <v>242</v>
      </c>
      <c r="C641" s="5" t="s">
        <v>238</v>
      </c>
      <c r="D641" s="5">
        <v>1</v>
      </c>
      <c r="E641" s="11">
        <v>5126</v>
      </c>
      <c r="F641" s="11">
        <v>2050</v>
      </c>
      <c r="G641" s="27">
        <f t="shared" si="155"/>
        <v>4.7826086956521703</v>
      </c>
      <c r="H641" s="13">
        <f t="shared" si="156"/>
        <v>256809.35354747908</v>
      </c>
      <c r="I641" s="13">
        <f t="shared" si="157"/>
        <v>102703.67055771725</v>
      </c>
      <c r="J641" s="51">
        <f t="shared" si="153"/>
        <v>359513.02410519635</v>
      </c>
    </row>
    <row r="642" spans="1:10" x14ac:dyDescent="0.25">
      <c r="A642" s="4" t="s">
        <v>45</v>
      </c>
      <c r="B642" s="5" t="s">
        <v>253</v>
      </c>
      <c r="C642" s="5" t="s">
        <v>210</v>
      </c>
      <c r="D642" s="5">
        <v>6</v>
      </c>
      <c r="E642" s="11">
        <v>5820</v>
      </c>
      <c r="F642" s="11">
        <v>0</v>
      </c>
      <c r="G642" s="27">
        <f t="shared" si="155"/>
        <v>28.695652173913022</v>
      </c>
      <c r="H642" s="13">
        <f t="shared" si="156"/>
        <v>291578.3140160609</v>
      </c>
      <c r="I642" s="13">
        <f t="shared" si="157"/>
        <v>0</v>
      </c>
      <c r="J642" s="51">
        <f t="shared" si="153"/>
        <v>291578.3140160609</v>
      </c>
    </row>
    <row r="643" spans="1:10" x14ac:dyDescent="0.25">
      <c r="A643" s="4" t="s">
        <v>45</v>
      </c>
      <c r="B643" s="5" t="s">
        <v>255</v>
      </c>
      <c r="C643" s="5" t="s">
        <v>210</v>
      </c>
      <c r="D643" s="5">
        <v>3</v>
      </c>
      <c r="E643" s="11">
        <v>2910</v>
      </c>
      <c r="F643" s="11">
        <v>0</v>
      </c>
      <c r="G643" s="27">
        <f t="shared" si="155"/>
        <v>14.347826086956511</v>
      </c>
      <c r="H643" s="13">
        <f t="shared" si="156"/>
        <v>145789.15700803045</v>
      </c>
      <c r="I643" s="13">
        <f t="shared" si="157"/>
        <v>0</v>
      </c>
      <c r="J643" s="51">
        <f t="shared" si="153"/>
        <v>145789.15700803045</v>
      </c>
    </row>
    <row r="644" spans="1:10" x14ac:dyDescent="0.25">
      <c r="A644" s="15" t="s">
        <v>45</v>
      </c>
      <c r="B644" s="16" t="s">
        <v>257</v>
      </c>
      <c r="C644" s="16" t="s">
        <v>210</v>
      </c>
      <c r="D644" s="16">
        <v>2</v>
      </c>
      <c r="E644" s="18">
        <v>1940</v>
      </c>
      <c r="F644" s="18">
        <v>0</v>
      </c>
      <c r="G644" s="27">
        <f t="shared" si="155"/>
        <v>9.5652173913043406</v>
      </c>
      <c r="H644" s="13">
        <f t="shared" si="156"/>
        <v>97192.771338686973</v>
      </c>
      <c r="I644" s="13">
        <f t="shared" si="157"/>
        <v>0</v>
      </c>
      <c r="J644" s="51">
        <f t="shared" si="153"/>
        <v>97192.771338686973</v>
      </c>
    </row>
    <row r="645" spans="1:10" s="3" customFormat="1" x14ac:dyDescent="0.25">
      <c r="A645" s="4"/>
      <c r="B645" s="20" t="s">
        <v>289</v>
      </c>
      <c r="C645" s="21"/>
      <c r="D645" s="21"/>
      <c r="E645" s="29"/>
      <c r="F645" s="29"/>
      <c r="G645" s="47">
        <f>SUM(G635:G644)</f>
        <v>109.99999999999993</v>
      </c>
      <c r="H645" s="47">
        <f t="shared" ref="H645:J645" si="158">SUM(H635:H644)</f>
        <v>2420600.9999999995</v>
      </c>
      <c r="I645" s="47">
        <f t="shared" si="158"/>
        <v>579399</v>
      </c>
      <c r="J645" s="47">
        <f t="shared" si="158"/>
        <v>3000000</v>
      </c>
    </row>
    <row r="646" spans="1:10" x14ac:dyDescent="0.25">
      <c r="A646" s="23" t="s">
        <v>46</v>
      </c>
      <c r="B646" s="24" t="s">
        <v>213</v>
      </c>
      <c r="C646" s="24" t="s">
        <v>212</v>
      </c>
      <c r="D646" s="24">
        <v>2</v>
      </c>
      <c r="E646" s="30">
        <v>2912</v>
      </c>
      <c r="F646" s="30">
        <v>0</v>
      </c>
      <c r="G646" s="27">
        <f>+D646*4.81818181818182</f>
        <v>9.6363636363636402</v>
      </c>
      <c r="H646" s="13">
        <f>+E646*4677018/69218</f>
        <v>196762.06212256927</v>
      </c>
      <c r="I646" s="13">
        <f>+F646*322982/4780</f>
        <v>0</v>
      </c>
      <c r="J646" s="51">
        <f t="shared" si="153"/>
        <v>196762.06212256927</v>
      </c>
    </row>
    <row r="647" spans="1:10" x14ac:dyDescent="0.25">
      <c r="A647" s="4" t="s">
        <v>46</v>
      </c>
      <c r="B647" s="5" t="s">
        <v>260</v>
      </c>
      <c r="C647" s="5" t="s">
        <v>208</v>
      </c>
      <c r="D647" s="5">
        <v>1</v>
      </c>
      <c r="E647" s="11">
        <v>46592</v>
      </c>
      <c r="F647" s="11">
        <v>0</v>
      </c>
      <c r="G647" s="27">
        <f t="shared" ref="G647:G653" si="159">+D647*4.81818181818182</f>
        <v>4.8181818181818201</v>
      </c>
      <c r="H647" s="13">
        <f t="shared" ref="H647:H653" si="160">+E647*4677018/69218</f>
        <v>3148192.9939611084</v>
      </c>
      <c r="I647" s="13">
        <f t="shared" ref="I647:I653" si="161">+F647*322982/4780</f>
        <v>0</v>
      </c>
      <c r="J647" s="51">
        <f t="shared" si="153"/>
        <v>3148192.9939611084</v>
      </c>
    </row>
    <row r="648" spans="1:10" x14ac:dyDescent="0.25">
      <c r="A648" s="4" t="s">
        <v>46</v>
      </c>
      <c r="B648" s="5" t="s">
        <v>228</v>
      </c>
      <c r="C648" s="5" t="s">
        <v>229</v>
      </c>
      <c r="D648" s="5">
        <v>1</v>
      </c>
      <c r="E648" s="11">
        <v>1941</v>
      </c>
      <c r="F648" s="11">
        <v>0</v>
      </c>
      <c r="G648" s="27">
        <f t="shared" si="159"/>
        <v>4.8181818181818201</v>
      </c>
      <c r="H648" s="13">
        <f t="shared" si="160"/>
        <v>131152.18495189113</v>
      </c>
      <c r="I648" s="13">
        <f t="shared" si="161"/>
        <v>0</v>
      </c>
      <c r="J648" s="51">
        <f t="shared" si="153"/>
        <v>131152.18495189113</v>
      </c>
    </row>
    <row r="649" spans="1:10" x14ac:dyDescent="0.25">
      <c r="A649" s="4" t="s">
        <v>46</v>
      </c>
      <c r="B649" s="5" t="s">
        <v>240</v>
      </c>
      <c r="C649" s="5" t="s">
        <v>238</v>
      </c>
      <c r="D649" s="5">
        <v>1</v>
      </c>
      <c r="E649" s="11">
        <v>5126</v>
      </c>
      <c r="F649" s="11">
        <v>2050</v>
      </c>
      <c r="G649" s="27">
        <f t="shared" si="159"/>
        <v>4.8181818181818201</v>
      </c>
      <c r="H649" s="13">
        <f t="shared" si="160"/>
        <v>346360.69039845129</v>
      </c>
      <c r="I649" s="13">
        <f t="shared" si="161"/>
        <v>138517.3849372385</v>
      </c>
      <c r="J649" s="51">
        <f t="shared" si="153"/>
        <v>484878.07533568982</v>
      </c>
    </row>
    <row r="650" spans="1:10" x14ac:dyDescent="0.25">
      <c r="A650" s="4" t="s">
        <v>46</v>
      </c>
      <c r="B650" s="5" t="s">
        <v>241</v>
      </c>
      <c r="C650" s="5" t="s">
        <v>236</v>
      </c>
      <c r="D650" s="5">
        <v>1</v>
      </c>
      <c r="E650" s="11">
        <v>6825</v>
      </c>
      <c r="F650" s="11">
        <v>2730</v>
      </c>
      <c r="G650" s="27">
        <f t="shared" si="159"/>
        <v>4.8181818181818201</v>
      </c>
      <c r="H650" s="13">
        <f t="shared" si="160"/>
        <v>461161.08309977176</v>
      </c>
      <c r="I650" s="13">
        <f t="shared" si="161"/>
        <v>184464.6150627615</v>
      </c>
      <c r="J650" s="51">
        <f t="shared" si="153"/>
        <v>645625.69816253323</v>
      </c>
    </row>
    <row r="651" spans="1:10" x14ac:dyDescent="0.25">
      <c r="A651" s="4" t="s">
        <v>46</v>
      </c>
      <c r="B651" s="5" t="s">
        <v>253</v>
      </c>
      <c r="C651" s="5" t="s">
        <v>210</v>
      </c>
      <c r="D651" s="5">
        <v>2</v>
      </c>
      <c r="E651" s="11">
        <v>1940</v>
      </c>
      <c r="F651" s="11">
        <v>0</v>
      </c>
      <c r="G651" s="27">
        <f t="shared" si="159"/>
        <v>9.6363636363636402</v>
      </c>
      <c r="H651" s="13">
        <f t="shared" si="160"/>
        <v>131084.61556242596</v>
      </c>
      <c r="I651" s="13">
        <f t="shared" si="161"/>
        <v>0</v>
      </c>
      <c r="J651" s="51">
        <f t="shared" si="153"/>
        <v>131084.61556242596</v>
      </c>
    </row>
    <row r="652" spans="1:10" x14ac:dyDescent="0.25">
      <c r="A652" s="4" t="s">
        <v>46</v>
      </c>
      <c r="B652" s="5" t="s">
        <v>254</v>
      </c>
      <c r="C652" s="5" t="s">
        <v>212</v>
      </c>
      <c r="D652" s="5">
        <v>2</v>
      </c>
      <c r="E652" s="11">
        <v>2912</v>
      </c>
      <c r="F652" s="11">
        <v>0</v>
      </c>
      <c r="G652" s="27">
        <f t="shared" si="159"/>
        <v>9.6363636363636402</v>
      </c>
      <c r="H652" s="13">
        <f t="shared" si="160"/>
        <v>196762.06212256927</v>
      </c>
      <c r="I652" s="13">
        <f t="shared" si="161"/>
        <v>0</v>
      </c>
      <c r="J652" s="51">
        <f t="shared" si="153"/>
        <v>196762.06212256927</v>
      </c>
    </row>
    <row r="653" spans="1:10" x14ac:dyDescent="0.25">
      <c r="A653" s="15" t="s">
        <v>46</v>
      </c>
      <c r="B653" s="16" t="s">
        <v>255</v>
      </c>
      <c r="C653" s="16" t="s">
        <v>210</v>
      </c>
      <c r="D653" s="16">
        <v>1</v>
      </c>
      <c r="E653" s="18">
        <v>970</v>
      </c>
      <c r="F653" s="18">
        <v>0</v>
      </c>
      <c r="G653" s="27">
        <f t="shared" si="159"/>
        <v>4.8181818181818201</v>
      </c>
      <c r="H653" s="13">
        <f t="shared" si="160"/>
        <v>65542.307781212978</v>
      </c>
      <c r="I653" s="13">
        <f t="shared" si="161"/>
        <v>0</v>
      </c>
      <c r="J653" s="51">
        <f t="shared" si="153"/>
        <v>65542.307781212978</v>
      </c>
    </row>
    <row r="654" spans="1:10" s="3" customFormat="1" x14ac:dyDescent="0.25">
      <c r="A654" s="4"/>
      <c r="B654" s="20" t="s">
        <v>290</v>
      </c>
      <c r="C654" s="21"/>
      <c r="D654" s="21"/>
      <c r="E654" s="29"/>
      <c r="F654" s="29"/>
      <c r="G654" s="47">
        <f>SUM(G646:G653)</f>
        <v>53.000000000000021</v>
      </c>
      <c r="H654" s="47">
        <f t="shared" ref="H654:J654" si="162">SUM(H646:H653)</f>
        <v>4677018</v>
      </c>
      <c r="I654" s="47">
        <f t="shared" si="162"/>
        <v>322982</v>
      </c>
      <c r="J654" s="47">
        <f t="shared" si="162"/>
        <v>5000000</v>
      </c>
    </row>
    <row r="655" spans="1:10" x14ac:dyDescent="0.25">
      <c r="A655" s="23" t="s">
        <v>47</v>
      </c>
      <c r="B655" s="24" t="s">
        <v>207</v>
      </c>
      <c r="C655" s="24" t="s">
        <v>208</v>
      </c>
      <c r="D655" s="24">
        <v>7</v>
      </c>
      <c r="E655" s="30">
        <v>163072</v>
      </c>
      <c r="F655" s="30">
        <v>489216</v>
      </c>
      <c r="G655" s="27">
        <f>+D655*4.7881414701803</f>
        <v>33.516990291262097</v>
      </c>
      <c r="H655" s="13">
        <f>+E655*33403788/21989374</f>
        <v>247720.67257285269</v>
      </c>
      <c r="I655" s="13">
        <f>+F655*61596212/40548161</f>
        <v>743162.00060939882</v>
      </c>
      <c r="J655" s="51">
        <f t="shared" si="153"/>
        <v>990882.67318225151</v>
      </c>
    </row>
    <row r="656" spans="1:10" x14ac:dyDescent="0.25">
      <c r="A656" s="4" t="s">
        <v>47</v>
      </c>
      <c r="B656" s="5" t="s">
        <v>209</v>
      </c>
      <c r="C656" s="5" t="s">
        <v>210</v>
      </c>
      <c r="D656" s="5">
        <v>100</v>
      </c>
      <c r="E656" s="11">
        <v>194100</v>
      </c>
      <c r="F656" s="11">
        <v>0</v>
      </c>
      <c r="G656" s="27">
        <f t="shared" ref="G656:G692" si="163">+D656*4.7881414701803</f>
        <v>478.81414701802998</v>
      </c>
      <c r="H656" s="13">
        <f t="shared" ref="H656:H692" si="164">+E656*33403788/21989374</f>
        <v>294854.9263294171</v>
      </c>
      <c r="I656" s="13">
        <f t="shared" ref="I656:I692" si="165">+F656*61596212/40548161</f>
        <v>0</v>
      </c>
      <c r="J656" s="51">
        <f t="shared" si="153"/>
        <v>294854.9263294171</v>
      </c>
    </row>
    <row r="657" spans="1:10" x14ac:dyDescent="0.25">
      <c r="A657" s="4" t="s">
        <v>47</v>
      </c>
      <c r="B657" s="5" t="s">
        <v>211</v>
      </c>
      <c r="C657" s="5" t="s">
        <v>212</v>
      </c>
      <c r="D657" s="5">
        <v>6</v>
      </c>
      <c r="E657" s="11">
        <v>17472</v>
      </c>
      <c r="F657" s="11">
        <v>0</v>
      </c>
      <c r="G657" s="27">
        <f t="shared" si="163"/>
        <v>28.728848821081797</v>
      </c>
      <c r="H657" s="13">
        <f t="shared" si="164"/>
        <v>26541.500632805644</v>
      </c>
      <c r="I657" s="13">
        <f t="shared" si="165"/>
        <v>0</v>
      </c>
      <c r="J657" s="51">
        <f t="shared" si="153"/>
        <v>26541.500632805644</v>
      </c>
    </row>
    <row r="658" spans="1:10" x14ac:dyDescent="0.25">
      <c r="A658" s="4" t="s">
        <v>47</v>
      </c>
      <c r="B658" s="5" t="s">
        <v>213</v>
      </c>
      <c r="C658" s="5" t="s">
        <v>212</v>
      </c>
      <c r="D658" s="5">
        <v>30</v>
      </c>
      <c r="E658" s="11">
        <v>87360</v>
      </c>
      <c r="F658" s="11">
        <v>0</v>
      </c>
      <c r="G658" s="27">
        <f t="shared" si="163"/>
        <v>143.64424410540897</v>
      </c>
      <c r="H658" s="13">
        <f t="shared" si="164"/>
        <v>132707.50316402823</v>
      </c>
      <c r="I658" s="13">
        <f t="shared" si="165"/>
        <v>0</v>
      </c>
      <c r="J658" s="51">
        <f t="shared" si="153"/>
        <v>132707.50316402823</v>
      </c>
    </row>
    <row r="659" spans="1:10" x14ac:dyDescent="0.25">
      <c r="A659" s="4" t="s">
        <v>47</v>
      </c>
      <c r="B659" s="5" t="s">
        <v>214</v>
      </c>
      <c r="C659" s="5" t="s">
        <v>210</v>
      </c>
      <c r="D659" s="5">
        <v>324</v>
      </c>
      <c r="E659" s="11">
        <v>628884</v>
      </c>
      <c r="F659" s="11">
        <v>0</v>
      </c>
      <c r="G659" s="27">
        <f t="shared" si="163"/>
        <v>1551.357836338417</v>
      </c>
      <c r="H659" s="13">
        <f t="shared" si="164"/>
        <v>955329.96130731143</v>
      </c>
      <c r="I659" s="13">
        <f t="shared" si="165"/>
        <v>0</v>
      </c>
      <c r="J659" s="51">
        <f t="shared" si="153"/>
        <v>955329.96130731143</v>
      </c>
    </row>
    <row r="660" spans="1:10" x14ac:dyDescent="0.25">
      <c r="A660" s="4" t="s">
        <v>47</v>
      </c>
      <c r="B660" s="5" t="s">
        <v>215</v>
      </c>
      <c r="C660" s="5" t="s">
        <v>212</v>
      </c>
      <c r="D660" s="5">
        <v>4</v>
      </c>
      <c r="E660" s="11">
        <v>11648</v>
      </c>
      <c r="F660" s="11">
        <v>0</v>
      </c>
      <c r="G660" s="27">
        <f t="shared" si="163"/>
        <v>19.152565880721198</v>
      </c>
      <c r="H660" s="13">
        <f t="shared" si="164"/>
        <v>17694.333755203763</v>
      </c>
      <c r="I660" s="13">
        <f t="shared" si="165"/>
        <v>0</v>
      </c>
      <c r="J660" s="51">
        <f t="shared" si="153"/>
        <v>17694.333755203763</v>
      </c>
    </row>
    <row r="661" spans="1:10" x14ac:dyDescent="0.25">
      <c r="A661" s="4" t="s">
        <v>47</v>
      </c>
      <c r="B661" s="5" t="s">
        <v>216</v>
      </c>
      <c r="C661" s="5" t="s">
        <v>210</v>
      </c>
      <c r="D661" s="5">
        <v>67</v>
      </c>
      <c r="E661" s="11">
        <v>130047</v>
      </c>
      <c r="F661" s="11">
        <v>0</v>
      </c>
      <c r="G661" s="27">
        <f t="shared" si="163"/>
        <v>320.80547850208006</v>
      </c>
      <c r="H661" s="13">
        <f t="shared" si="164"/>
        <v>197552.80064070947</v>
      </c>
      <c r="I661" s="13">
        <f t="shared" si="165"/>
        <v>0</v>
      </c>
      <c r="J661" s="51">
        <f t="shared" si="153"/>
        <v>197552.80064070947</v>
      </c>
    </row>
    <row r="662" spans="1:10" x14ac:dyDescent="0.25">
      <c r="A662" s="4" t="s">
        <v>47</v>
      </c>
      <c r="B662" s="5" t="s">
        <v>217</v>
      </c>
      <c r="C662" s="5" t="s">
        <v>218</v>
      </c>
      <c r="D662" s="5">
        <v>175</v>
      </c>
      <c r="E662" s="11">
        <v>1159550</v>
      </c>
      <c r="F662" s="11">
        <v>3478650</v>
      </c>
      <c r="G662" s="27">
        <f t="shared" si="163"/>
        <v>837.92475728155239</v>
      </c>
      <c r="H662" s="13">
        <f t="shared" si="164"/>
        <v>1761458.164993692</v>
      </c>
      <c r="I662" s="13">
        <f t="shared" si="165"/>
        <v>5284374.3733236138</v>
      </c>
      <c r="J662" s="51">
        <f t="shared" si="153"/>
        <v>7045832.538317306</v>
      </c>
    </row>
    <row r="663" spans="1:10" x14ac:dyDescent="0.25">
      <c r="A663" s="4" t="s">
        <v>47</v>
      </c>
      <c r="B663" s="5" t="s">
        <v>219</v>
      </c>
      <c r="C663" s="5" t="s">
        <v>220</v>
      </c>
      <c r="D663" s="5">
        <v>62</v>
      </c>
      <c r="E663" s="11">
        <v>421228</v>
      </c>
      <c r="F663" s="11">
        <v>1263808</v>
      </c>
      <c r="G663" s="27">
        <f t="shared" si="163"/>
        <v>296.86477115117856</v>
      </c>
      <c r="H663" s="13">
        <f t="shared" si="164"/>
        <v>639882.28185413557</v>
      </c>
      <c r="I663" s="13">
        <f t="shared" si="165"/>
        <v>1919835.168240947</v>
      </c>
      <c r="J663" s="51">
        <f t="shared" si="153"/>
        <v>2559717.4500950826</v>
      </c>
    </row>
    <row r="664" spans="1:10" x14ac:dyDescent="0.25">
      <c r="A664" s="4" t="s">
        <v>47</v>
      </c>
      <c r="B664" s="5" t="s">
        <v>221</v>
      </c>
      <c r="C664" s="5" t="s">
        <v>222</v>
      </c>
      <c r="D664" s="5">
        <v>1</v>
      </c>
      <c r="E664" s="11">
        <v>145600</v>
      </c>
      <c r="F664" s="11">
        <v>436800</v>
      </c>
      <c r="G664" s="27">
        <f t="shared" si="163"/>
        <v>4.7881414701802996</v>
      </c>
      <c r="H664" s="13">
        <f t="shared" si="164"/>
        <v>221179.17194004703</v>
      </c>
      <c r="I664" s="13">
        <f t="shared" si="165"/>
        <v>663537.50054410601</v>
      </c>
      <c r="J664" s="51">
        <f t="shared" si="153"/>
        <v>884716.67248415307</v>
      </c>
    </row>
    <row r="665" spans="1:10" x14ac:dyDescent="0.25">
      <c r="A665" s="4" t="s">
        <v>47</v>
      </c>
      <c r="B665" s="5" t="s">
        <v>260</v>
      </c>
      <c r="C665" s="5" t="s">
        <v>208</v>
      </c>
      <c r="D665" s="5">
        <v>18</v>
      </c>
      <c r="E665" s="11">
        <v>1257984</v>
      </c>
      <c r="F665" s="11">
        <v>0</v>
      </c>
      <c r="G665" s="27">
        <f t="shared" si="163"/>
        <v>86.186546463245392</v>
      </c>
      <c r="H665" s="13">
        <f t="shared" si="164"/>
        <v>1910988.0455620065</v>
      </c>
      <c r="I665" s="13">
        <f t="shared" si="165"/>
        <v>0</v>
      </c>
      <c r="J665" s="51">
        <f t="shared" si="153"/>
        <v>1910988.0455620065</v>
      </c>
    </row>
    <row r="666" spans="1:10" x14ac:dyDescent="0.25">
      <c r="A666" s="4" t="s">
        <v>47</v>
      </c>
      <c r="B666" s="5" t="s">
        <v>223</v>
      </c>
      <c r="C666" s="5" t="s">
        <v>224</v>
      </c>
      <c r="D666" s="5">
        <v>68</v>
      </c>
      <c r="E666" s="11">
        <v>0</v>
      </c>
      <c r="F666" s="11">
        <v>0</v>
      </c>
      <c r="G666" s="27">
        <f t="shared" si="163"/>
        <v>325.5936199722604</v>
      </c>
      <c r="H666" s="13">
        <f t="shared" si="164"/>
        <v>0</v>
      </c>
      <c r="I666" s="13">
        <f t="shared" si="165"/>
        <v>0</v>
      </c>
      <c r="J666" s="51">
        <f t="shared" si="153"/>
        <v>0</v>
      </c>
    </row>
    <row r="667" spans="1:10" x14ac:dyDescent="0.25">
      <c r="A667" s="4" t="s">
        <v>47</v>
      </c>
      <c r="B667" s="5" t="s">
        <v>261</v>
      </c>
      <c r="C667" s="5" t="s">
        <v>210</v>
      </c>
      <c r="D667" s="5">
        <v>6</v>
      </c>
      <c r="E667" s="11">
        <v>58236</v>
      </c>
      <c r="F667" s="11">
        <v>0</v>
      </c>
      <c r="G667" s="27">
        <f t="shared" si="163"/>
        <v>28.728848821081797</v>
      </c>
      <c r="H667" s="13">
        <f t="shared" si="164"/>
        <v>88465.592425141338</v>
      </c>
      <c r="I667" s="13">
        <f t="shared" si="165"/>
        <v>0</v>
      </c>
      <c r="J667" s="51">
        <f t="shared" si="153"/>
        <v>88465.592425141338</v>
      </c>
    </row>
    <row r="668" spans="1:10" x14ac:dyDescent="0.25">
      <c r="A668" s="4" t="s">
        <v>47</v>
      </c>
      <c r="B668" s="5" t="s">
        <v>268</v>
      </c>
      <c r="C668" s="5" t="s">
        <v>210</v>
      </c>
      <c r="D668" s="5">
        <v>2</v>
      </c>
      <c r="E668" s="11">
        <v>3882</v>
      </c>
      <c r="F668" s="11">
        <v>0</v>
      </c>
      <c r="G668" s="27">
        <f t="shared" si="163"/>
        <v>9.5762829403605991</v>
      </c>
      <c r="H668" s="13">
        <f t="shared" si="164"/>
        <v>5897.0985265883419</v>
      </c>
      <c r="I668" s="13">
        <f t="shared" si="165"/>
        <v>0</v>
      </c>
      <c r="J668" s="51">
        <f t="shared" si="153"/>
        <v>5897.0985265883419</v>
      </c>
    </row>
    <row r="669" spans="1:10" x14ac:dyDescent="0.25">
      <c r="A669" s="4" t="s">
        <v>47</v>
      </c>
      <c r="B669" s="5" t="s">
        <v>266</v>
      </c>
      <c r="C669" s="5" t="s">
        <v>210</v>
      </c>
      <c r="D669" s="5">
        <v>47</v>
      </c>
      <c r="E669" s="11">
        <v>91227</v>
      </c>
      <c r="F669" s="11">
        <v>0</v>
      </c>
      <c r="G669" s="27">
        <f t="shared" si="163"/>
        <v>225.04264909847407</v>
      </c>
      <c r="H669" s="13">
        <f t="shared" si="164"/>
        <v>138581.81537482605</v>
      </c>
      <c r="I669" s="13">
        <f t="shared" si="165"/>
        <v>0</v>
      </c>
      <c r="J669" s="51">
        <f t="shared" si="153"/>
        <v>138581.81537482605</v>
      </c>
    </row>
    <row r="670" spans="1:10" x14ac:dyDescent="0.25">
      <c r="A670" s="4" t="s">
        <v>47</v>
      </c>
      <c r="B670" s="5" t="s">
        <v>225</v>
      </c>
      <c r="C670" s="5" t="s">
        <v>210</v>
      </c>
      <c r="D670" s="5">
        <v>13</v>
      </c>
      <c r="E670" s="11">
        <v>25233</v>
      </c>
      <c r="F670" s="11">
        <v>0</v>
      </c>
      <c r="G670" s="27">
        <f t="shared" si="163"/>
        <v>62.245839112343894</v>
      </c>
      <c r="H670" s="13">
        <f t="shared" si="164"/>
        <v>38331.140422824225</v>
      </c>
      <c r="I670" s="13">
        <f t="shared" si="165"/>
        <v>0</v>
      </c>
      <c r="J670" s="51">
        <f t="shared" si="153"/>
        <v>38331.140422824225</v>
      </c>
    </row>
    <row r="671" spans="1:10" x14ac:dyDescent="0.25">
      <c r="A671" s="4" t="s">
        <v>47</v>
      </c>
      <c r="B671" s="5" t="s">
        <v>226</v>
      </c>
      <c r="C671" s="5" t="s">
        <v>210</v>
      </c>
      <c r="D671" s="5">
        <v>77</v>
      </c>
      <c r="E671" s="11">
        <v>149457</v>
      </c>
      <c r="F671" s="11">
        <v>0</v>
      </c>
      <c r="G671" s="27">
        <f t="shared" si="163"/>
        <v>368.68689320388307</v>
      </c>
      <c r="H671" s="13">
        <f t="shared" si="164"/>
        <v>227038.29327365119</v>
      </c>
      <c r="I671" s="13">
        <f t="shared" si="165"/>
        <v>0</v>
      </c>
      <c r="J671" s="51">
        <f t="shared" si="153"/>
        <v>227038.29327365119</v>
      </c>
    </row>
    <row r="672" spans="1:10" x14ac:dyDescent="0.25">
      <c r="A672" s="4" t="s">
        <v>47</v>
      </c>
      <c r="B672" s="5" t="s">
        <v>227</v>
      </c>
      <c r="C672" s="5" t="s">
        <v>210</v>
      </c>
      <c r="D672" s="5">
        <v>6</v>
      </c>
      <c r="E672" s="11">
        <v>11646</v>
      </c>
      <c r="F672" s="11">
        <v>0</v>
      </c>
      <c r="G672" s="27">
        <f t="shared" si="163"/>
        <v>28.728848821081797</v>
      </c>
      <c r="H672" s="13">
        <f t="shared" si="164"/>
        <v>17691.295579765025</v>
      </c>
      <c r="I672" s="13">
        <f t="shared" si="165"/>
        <v>0</v>
      </c>
      <c r="J672" s="51">
        <f t="shared" si="153"/>
        <v>17691.295579765025</v>
      </c>
    </row>
    <row r="673" spans="1:10" x14ac:dyDescent="0.25">
      <c r="A673" s="4" t="s">
        <v>47</v>
      </c>
      <c r="B673" s="5" t="s">
        <v>228</v>
      </c>
      <c r="C673" s="5" t="s">
        <v>229</v>
      </c>
      <c r="D673" s="5">
        <v>693</v>
      </c>
      <c r="E673" s="11">
        <v>2688285</v>
      </c>
      <c r="F673" s="11">
        <v>0</v>
      </c>
      <c r="G673" s="27">
        <f t="shared" si="163"/>
        <v>3318.1820388349474</v>
      </c>
      <c r="H673" s="13">
        <f t="shared" si="164"/>
        <v>4083740.7296624267</v>
      </c>
      <c r="I673" s="13">
        <f t="shared" si="165"/>
        <v>0</v>
      </c>
      <c r="J673" s="51">
        <f t="shared" si="153"/>
        <v>4083740.7296624267</v>
      </c>
    </row>
    <row r="674" spans="1:10" x14ac:dyDescent="0.25">
      <c r="A674" s="4" t="s">
        <v>47</v>
      </c>
      <c r="B674" s="5" t="s">
        <v>230</v>
      </c>
      <c r="C674" s="5" t="s">
        <v>229</v>
      </c>
      <c r="D674" s="5">
        <v>42</v>
      </c>
      <c r="E674" s="11">
        <v>163044</v>
      </c>
      <c r="F674" s="11">
        <v>0</v>
      </c>
      <c r="G674" s="27">
        <f t="shared" si="163"/>
        <v>201.1019417475726</v>
      </c>
      <c r="H674" s="13">
        <f t="shared" si="164"/>
        <v>247678.13811671038</v>
      </c>
      <c r="I674" s="13">
        <f t="shared" si="165"/>
        <v>0</v>
      </c>
      <c r="J674" s="51">
        <f t="shared" si="153"/>
        <v>247678.13811671038</v>
      </c>
    </row>
    <row r="675" spans="1:10" x14ac:dyDescent="0.25">
      <c r="A675" s="4" t="s">
        <v>47</v>
      </c>
      <c r="B675" s="5" t="s">
        <v>231</v>
      </c>
      <c r="C675" s="5" t="s">
        <v>232</v>
      </c>
      <c r="D675" s="5">
        <v>1</v>
      </c>
      <c r="E675" s="11">
        <v>424666</v>
      </c>
      <c r="F675" s="11">
        <v>0</v>
      </c>
      <c r="G675" s="27">
        <f t="shared" si="163"/>
        <v>4.7881414701802996</v>
      </c>
      <c r="H675" s="13">
        <f t="shared" si="164"/>
        <v>645104.90543332428</v>
      </c>
      <c r="I675" s="13">
        <f t="shared" si="165"/>
        <v>0</v>
      </c>
      <c r="J675" s="51">
        <f t="shared" si="153"/>
        <v>645104.90543332428</v>
      </c>
    </row>
    <row r="676" spans="1:10" x14ac:dyDescent="0.25">
      <c r="A676" s="4" t="s">
        <v>47</v>
      </c>
      <c r="B676" s="5" t="s">
        <v>262</v>
      </c>
      <c r="C676" s="5" t="s">
        <v>263</v>
      </c>
      <c r="D676" s="5">
        <v>3</v>
      </c>
      <c r="E676" s="11">
        <v>909999</v>
      </c>
      <c r="F676" s="11">
        <v>0</v>
      </c>
      <c r="G676" s="27">
        <f t="shared" si="163"/>
        <v>14.364424410540899</v>
      </c>
      <c r="H676" s="13">
        <f t="shared" si="164"/>
        <v>1382368.3055375747</v>
      </c>
      <c r="I676" s="13">
        <f t="shared" si="165"/>
        <v>0</v>
      </c>
      <c r="J676" s="51">
        <f t="shared" si="153"/>
        <v>1382368.3055375747</v>
      </c>
    </row>
    <row r="677" spans="1:10" x14ac:dyDescent="0.25">
      <c r="A677" s="4" t="s">
        <v>47</v>
      </c>
      <c r="B677" s="5" t="s">
        <v>233</v>
      </c>
      <c r="C677" s="5" t="s">
        <v>234</v>
      </c>
      <c r="D677" s="5">
        <v>1</v>
      </c>
      <c r="E677" s="11">
        <v>194133</v>
      </c>
      <c r="F677" s="11">
        <v>0</v>
      </c>
      <c r="G677" s="27">
        <f t="shared" si="163"/>
        <v>4.7881414701802996</v>
      </c>
      <c r="H677" s="13">
        <f t="shared" si="164"/>
        <v>294905.05622415629</v>
      </c>
      <c r="I677" s="13">
        <f t="shared" si="165"/>
        <v>0</v>
      </c>
      <c r="J677" s="51">
        <f t="shared" si="153"/>
        <v>294905.05622415629</v>
      </c>
    </row>
    <row r="678" spans="1:10" x14ac:dyDescent="0.25">
      <c r="A678" s="4" t="s">
        <v>47</v>
      </c>
      <c r="B678" s="5" t="s">
        <v>235</v>
      </c>
      <c r="C678" s="5" t="s">
        <v>236</v>
      </c>
      <c r="D678" s="5">
        <v>35</v>
      </c>
      <c r="E678" s="11">
        <v>477750</v>
      </c>
      <c r="F678" s="11">
        <v>1433250</v>
      </c>
      <c r="G678" s="27">
        <f t="shared" si="163"/>
        <v>167.58495145631048</v>
      </c>
      <c r="H678" s="13">
        <f t="shared" si="164"/>
        <v>725744.15792827937</v>
      </c>
      <c r="I678" s="13">
        <f t="shared" si="165"/>
        <v>2177232.4236603482</v>
      </c>
      <c r="J678" s="51">
        <f t="shared" si="153"/>
        <v>2902976.5815886278</v>
      </c>
    </row>
    <row r="679" spans="1:10" x14ac:dyDescent="0.25">
      <c r="A679" s="4" t="s">
        <v>47</v>
      </c>
      <c r="B679" s="5" t="s">
        <v>237</v>
      </c>
      <c r="C679" s="5" t="s">
        <v>238</v>
      </c>
      <c r="D679" s="5">
        <v>42</v>
      </c>
      <c r="E679" s="11">
        <v>430584</v>
      </c>
      <c r="F679" s="11">
        <v>1291836</v>
      </c>
      <c r="G679" s="27">
        <f t="shared" si="163"/>
        <v>201.1019417475726</v>
      </c>
      <c r="H679" s="13">
        <f t="shared" si="164"/>
        <v>654094.86655654677</v>
      </c>
      <c r="I679" s="13">
        <f t="shared" si="165"/>
        <v>1962412.1578591936</v>
      </c>
      <c r="J679" s="51">
        <f t="shared" si="153"/>
        <v>2616507.0244157403</v>
      </c>
    </row>
    <row r="680" spans="1:10" x14ac:dyDescent="0.25">
      <c r="A680" s="4" t="s">
        <v>47</v>
      </c>
      <c r="B680" s="5" t="s">
        <v>241</v>
      </c>
      <c r="C680" s="5" t="s">
        <v>236</v>
      </c>
      <c r="D680" s="5">
        <v>155</v>
      </c>
      <c r="E680" s="11">
        <v>2115750</v>
      </c>
      <c r="F680" s="11">
        <v>6347250</v>
      </c>
      <c r="G680" s="27">
        <f t="shared" si="163"/>
        <v>742.16192787794648</v>
      </c>
      <c r="H680" s="13">
        <f t="shared" si="164"/>
        <v>3214009.8422538084</v>
      </c>
      <c r="I680" s="13">
        <f t="shared" si="165"/>
        <v>9642029.3047815412</v>
      </c>
      <c r="J680" s="51">
        <f t="shared" si="153"/>
        <v>12856039.147035349</v>
      </c>
    </row>
    <row r="681" spans="1:10" x14ac:dyDescent="0.25">
      <c r="A681" s="4" t="s">
        <v>47</v>
      </c>
      <c r="B681" s="5" t="s">
        <v>242</v>
      </c>
      <c r="C681" s="5" t="s">
        <v>238</v>
      </c>
      <c r="D681" s="5">
        <v>5</v>
      </c>
      <c r="E681" s="11">
        <v>51260</v>
      </c>
      <c r="F681" s="11">
        <v>153790</v>
      </c>
      <c r="G681" s="27">
        <f t="shared" si="163"/>
        <v>23.940707350901498</v>
      </c>
      <c r="H681" s="13">
        <f t="shared" si="164"/>
        <v>77868.436494827009</v>
      </c>
      <c r="I681" s="13">
        <f t="shared" si="165"/>
        <v>233620.49498323735</v>
      </c>
      <c r="J681" s="51">
        <f t="shared" si="153"/>
        <v>311488.93147806439</v>
      </c>
    </row>
    <row r="682" spans="1:10" x14ac:dyDescent="0.25">
      <c r="A682" s="4" t="s">
        <v>47</v>
      </c>
      <c r="B682" s="5" t="s">
        <v>264</v>
      </c>
      <c r="C682" s="5" t="s">
        <v>238</v>
      </c>
      <c r="D682" s="5">
        <v>1</v>
      </c>
      <c r="E682" s="11">
        <v>10252</v>
      </c>
      <c r="F682" s="11">
        <v>0</v>
      </c>
      <c r="G682" s="27">
        <f t="shared" si="163"/>
        <v>4.7881414701802996</v>
      </c>
      <c r="H682" s="13">
        <f t="shared" si="164"/>
        <v>15573.6872989654</v>
      </c>
      <c r="I682" s="13">
        <f t="shared" si="165"/>
        <v>0</v>
      </c>
      <c r="J682" s="51">
        <f t="shared" si="153"/>
        <v>15573.6872989654</v>
      </c>
    </row>
    <row r="683" spans="1:10" x14ac:dyDescent="0.25">
      <c r="A683" s="4" t="s">
        <v>47</v>
      </c>
      <c r="B683" s="5" t="s">
        <v>265</v>
      </c>
      <c r="C683" s="5" t="s">
        <v>208</v>
      </c>
      <c r="D683" s="5">
        <v>4</v>
      </c>
      <c r="E683" s="11">
        <v>279552</v>
      </c>
      <c r="F683" s="11">
        <v>279552</v>
      </c>
      <c r="G683" s="27">
        <f t="shared" si="163"/>
        <v>19.152565880721198</v>
      </c>
      <c r="H683" s="13">
        <f t="shared" si="164"/>
        <v>424664.01012489031</v>
      </c>
      <c r="I683" s="13">
        <f t="shared" si="165"/>
        <v>424664.00034822786</v>
      </c>
      <c r="J683" s="51">
        <f t="shared" si="153"/>
        <v>849328.01047311816</v>
      </c>
    </row>
    <row r="684" spans="1:10" x14ac:dyDescent="0.25">
      <c r="A684" s="4" t="s">
        <v>47</v>
      </c>
      <c r="B684" s="5" t="s">
        <v>243</v>
      </c>
      <c r="C684" s="5" t="s">
        <v>244</v>
      </c>
      <c r="D684" s="5">
        <v>39</v>
      </c>
      <c r="E684" s="11">
        <v>266175</v>
      </c>
      <c r="F684" s="11">
        <v>798525</v>
      </c>
      <c r="G684" s="27">
        <f t="shared" si="163"/>
        <v>186.73751733703168</v>
      </c>
      <c r="H684" s="13">
        <f t="shared" si="164"/>
        <v>404343.17370289849</v>
      </c>
      <c r="I684" s="13">
        <f t="shared" si="165"/>
        <v>1213029.493182194</v>
      </c>
      <c r="J684" s="51">
        <f t="shared" si="153"/>
        <v>1617372.6668850924</v>
      </c>
    </row>
    <row r="685" spans="1:10" x14ac:dyDescent="0.25">
      <c r="A685" s="4" t="s">
        <v>47</v>
      </c>
      <c r="B685" s="5" t="s">
        <v>245</v>
      </c>
      <c r="C685" s="5" t="s">
        <v>246</v>
      </c>
      <c r="D685" s="5">
        <v>24</v>
      </c>
      <c r="E685" s="11">
        <v>123024</v>
      </c>
      <c r="F685" s="11">
        <v>369096</v>
      </c>
      <c r="G685" s="27">
        <f t="shared" si="163"/>
        <v>114.91539528432719</v>
      </c>
      <c r="H685" s="13">
        <f t="shared" si="164"/>
        <v>186884.2475875848</v>
      </c>
      <c r="I685" s="13">
        <f t="shared" si="165"/>
        <v>560689.18795976962</v>
      </c>
      <c r="J685" s="51">
        <f t="shared" si="153"/>
        <v>747573.4355473544</v>
      </c>
    </row>
    <row r="686" spans="1:10" x14ac:dyDescent="0.25">
      <c r="A686" s="4" t="s">
        <v>47</v>
      </c>
      <c r="B686" s="5" t="s">
        <v>249</v>
      </c>
      <c r="C686" s="5" t="s">
        <v>250</v>
      </c>
      <c r="D686" s="5">
        <v>266</v>
      </c>
      <c r="E686" s="11">
        <v>8068578</v>
      </c>
      <c r="F686" s="11">
        <v>24206000</v>
      </c>
      <c r="G686" s="27">
        <f t="shared" si="163"/>
        <v>1273.6456310679596</v>
      </c>
      <c r="H686" s="13">
        <f t="shared" si="164"/>
        <v>12256877.75256649</v>
      </c>
      <c r="I686" s="13">
        <f t="shared" si="165"/>
        <v>36771036.48848588</v>
      </c>
      <c r="J686" s="51">
        <f t="shared" si="153"/>
        <v>49027914.241052374</v>
      </c>
    </row>
    <row r="687" spans="1:10" x14ac:dyDescent="0.25">
      <c r="A687" s="4" t="s">
        <v>47</v>
      </c>
      <c r="B687" s="5" t="s">
        <v>252</v>
      </c>
      <c r="C687" s="5" t="s">
        <v>212</v>
      </c>
      <c r="D687" s="5">
        <v>66</v>
      </c>
      <c r="E687" s="11">
        <v>192192</v>
      </c>
      <c r="F687" s="11">
        <v>0</v>
      </c>
      <c r="G687" s="27">
        <f t="shared" si="163"/>
        <v>316.01733703189979</v>
      </c>
      <c r="H687" s="13">
        <f t="shared" si="164"/>
        <v>291956.50696086208</v>
      </c>
      <c r="I687" s="13">
        <f t="shared" si="165"/>
        <v>0</v>
      </c>
      <c r="J687" s="51">
        <f t="shared" si="153"/>
        <v>291956.50696086208</v>
      </c>
    </row>
    <row r="688" spans="1:10" x14ac:dyDescent="0.25">
      <c r="A688" s="4" t="s">
        <v>47</v>
      </c>
      <c r="B688" s="5" t="s">
        <v>253</v>
      </c>
      <c r="C688" s="5" t="s">
        <v>210</v>
      </c>
      <c r="D688" s="5">
        <v>254</v>
      </c>
      <c r="E688" s="11">
        <v>496897</v>
      </c>
      <c r="F688" s="11">
        <v>388</v>
      </c>
      <c r="G688" s="27">
        <f t="shared" si="163"/>
        <v>1216.187933425796</v>
      </c>
      <c r="H688" s="13">
        <f t="shared" si="164"/>
        <v>754830.13049102714</v>
      </c>
      <c r="I688" s="13">
        <f t="shared" si="165"/>
        <v>589.40602154558871</v>
      </c>
      <c r="J688" s="51">
        <f t="shared" si="153"/>
        <v>755419.53651257278</v>
      </c>
    </row>
    <row r="689" spans="1:10" x14ac:dyDescent="0.25">
      <c r="A689" s="4" t="s">
        <v>47</v>
      </c>
      <c r="B689" s="5" t="s">
        <v>254</v>
      </c>
      <c r="C689" s="5" t="s">
        <v>212</v>
      </c>
      <c r="D689" s="5">
        <v>69</v>
      </c>
      <c r="E689" s="11">
        <v>200928</v>
      </c>
      <c r="F689" s="11">
        <v>0</v>
      </c>
      <c r="G689" s="27">
        <f t="shared" si="163"/>
        <v>330.38176144244068</v>
      </c>
      <c r="H689" s="13">
        <f t="shared" si="164"/>
        <v>305227.2572772649</v>
      </c>
      <c r="I689" s="13">
        <f t="shared" si="165"/>
        <v>0</v>
      </c>
      <c r="J689" s="51">
        <f t="shared" ref="J689:J752" si="166">SUM(H689:I689)</f>
        <v>305227.2572772649</v>
      </c>
    </row>
    <row r="690" spans="1:10" x14ac:dyDescent="0.25">
      <c r="A690" s="4" t="s">
        <v>47</v>
      </c>
      <c r="B690" s="5" t="s">
        <v>255</v>
      </c>
      <c r="C690" s="5" t="s">
        <v>210</v>
      </c>
      <c r="D690" s="5">
        <v>119</v>
      </c>
      <c r="E690" s="11">
        <v>230979</v>
      </c>
      <c r="F690" s="11">
        <v>0</v>
      </c>
      <c r="G690" s="27">
        <f t="shared" si="163"/>
        <v>569.78883495145567</v>
      </c>
      <c r="H690" s="13">
        <f t="shared" si="164"/>
        <v>350877.36233200633</v>
      </c>
      <c r="I690" s="13">
        <f t="shared" si="165"/>
        <v>0</v>
      </c>
      <c r="J690" s="51">
        <f t="shared" si="166"/>
        <v>350877.36233200633</v>
      </c>
    </row>
    <row r="691" spans="1:10" x14ac:dyDescent="0.25">
      <c r="A691" s="4" t="s">
        <v>47</v>
      </c>
      <c r="B691" s="5" t="s">
        <v>256</v>
      </c>
      <c r="C691" s="5" t="s">
        <v>212</v>
      </c>
      <c r="D691" s="5">
        <v>8</v>
      </c>
      <c r="E691" s="11">
        <v>23296</v>
      </c>
      <c r="F691" s="11">
        <v>0</v>
      </c>
      <c r="G691" s="27">
        <f t="shared" si="163"/>
        <v>38.305131761442397</v>
      </c>
      <c r="H691" s="13">
        <f t="shared" si="164"/>
        <v>35388.667510407526</v>
      </c>
      <c r="I691" s="13">
        <f t="shared" si="165"/>
        <v>0</v>
      </c>
      <c r="J691" s="51">
        <f t="shared" si="166"/>
        <v>35388.667510407526</v>
      </c>
    </row>
    <row r="692" spans="1:10" x14ac:dyDescent="0.25">
      <c r="A692" s="15" t="s">
        <v>47</v>
      </c>
      <c r="B692" s="16" t="s">
        <v>257</v>
      </c>
      <c r="C692" s="16" t="s">
        <v>210</v>
      </c>
      <c r="D692" s="16">
        <v>44</v>
      </c>
      <c r="E692" s="18">
        <v>85404</v>
      </c>
      <c r="F692" s="18">
        <v>0</v>
      </c>
      <c r="G692" s="27">
        <f t="shared" si="163"/>
        <v>210.67822468793318</v>
      </c>
      <c r="H692" s="13">
        <f t="shared" si="164"/>
        <v>129736.16758494353</v>
      </c>
      <c r="I692" s="13">
        <f t="shared" si="165"/>
        <v>0</v>
      </c>
      <c r="J692" s="51">
        <f t="shared" si="166"/>
        <v>129736.16758494353</v>
      </c>
    </row>
    <row r="693" spans="1:10" s="3" customFormat="1" x14ac:dyDescent="0.25">
      <c r="A693" s="4"/>
      <c r="B693" s="21" t="s">
        <v>291</v>
      </c>
      <c r="C693" s="21"/>
      <c r="D693" s="21"/>
      <c r="E693" s="29"/>
      <c r="F693" s="29"/>
      <c r="G693" s="47">
        <f>SUM(G655:G692)</f>
        <v>13808.999999999984</v>
      </c>
      <c r="H693" s="47">
        <f t="shared" ref="H693:J693" si="167">SUM(H655:H692)</f>
        <v>33403788</v>
      </c>
      <c r="I693" s="47">
        <f t="shared" si="167"/>
        <v>61596211.999999993</v>
      </c>
      <c r="J693" s="47">
        <f t="shared" si="167"/>
        <v>94999999.999999985</v>
      </c>
    </row>
    <row r="694" spans="1:10" x14ac:dyDescent="0.25">
      <c r="A694" s="23" t="s">
        <v>48</v>
      </c>
      <c r="B694" s="24" t="s">
        <v>217</v>
      </c>
      <c r="C694" s="24" t="s">
        <v>218</v>
      </c>
      <c r="D694" s="24">
        <v>1</v>
      </c>
      <c r="E694" s="30">
        <v>3313</v>
      </c>
      <c r="F694" s="30">
        <v>1325</v>
      </c>
      <c r="G694" s="27">
        <f>+D694*4.83333333333333</f>
        <v>4.8333333333333304</v>
      </c>
      <c r="H694" s="13">
        <f>+E694*3615127/23058</f>
        <v>519425.61154480005</v>
      </c>
      <c r="I694" s="13">
        <f>+F694*1384873/8833</f>
        <v>207738.78919959243</v>
      </c>
      <c r="J694" s="51">
        <f t="shared" si="166"/>
        <v>727164.40074439254</v>
      </c>
    </row>
    <row r="695" spans="1:10" x14ac:dyDescent="0.25">
      <c r="A695" s="4" t="s">
        <v>48</v>
      </c>
      <c r="B695" s="5" t="s">
        <v>219</v>
      </c>
      <c r="C695" s="5" t="s">
        <v>220</v>
      </c>
      <c r="D695" s="5">
        <v>1</v>
      </c>
      <c r="E695" s="11">
        <v>3397</v>
      </c>
      <c r="F695" s="11">
        <v>1358</v>
      </c>
      <c r="G695" s="27">
        <f t="shared" ref="G695:G697" si="168">+D695*4.83333333333333</f>
        <v>4.8333333333333304</v>
      </c>
      <c r="H695" s="13">
        <f t="shared" ref="H695:H697" si="169">+E695*3615127/23058</f>
        <v>532595.47311128455</v>
      </c>
      <c r="I695" s="13">
        <f t="shared" ref="I695:I697" si="170">+F695*1384873/8833</f>
        <v>212912.66093060115</v>
      </c>
      <c r="J695" s="51">
        <f t="shared" si="166"/>
        <v>745508.13404188573</v>
      </c>
    </row>
    <row r="696" spans="1:10" x14ac:dyDescent="0.25">
      <c r="A696" s="4" t="s">
        <v>48</v>
      </c>
      <c r="B696" s="5" t="s">
        <v>240</v>
      </c>
      <c r="C696" s="5" t="s">
        <v>238</v>
      </c>
      <c r="D696" s="5">
        <v>3</v>
      </c>
      <c r="E696" s="11">
        <v>15378</v>
      </c>
      <c r="F696" s="11">
        <v>6150</v>
      </c>
      <c r="G696" s="27">
        <f t="shared" si="168"/>
        <v>14.499999999999991</v>
      </c>
      <c r="H696" s="13">
        <f t="shared" si="169"/>
        <v>2411025.3710642727</v>
      </c>
      <c r="I696" s="13">
        <f t="shared" si="170"/>
        <v>964221.54986980639</v>
      </c>
      <c r="J696" s="51">
        <f t="shared" si="166"/>
        <v>3375246.9209340792</v>
      </c>
    </row>
    <row r="697" spans="1:10" x14ac:dyDescent="0.25">
      <c r="A697" s="15" t="s">
        <v>48</v>
      </c>
      <c r="B697" s="16" t="s">
        <v>253</v>
      </c>
      <c r="C697" s="16" t="s">
        <v>210</v>
      </c>
      <c r="D697" s="16">
        <v>1</v>
      </c>
      <c r="E697" s="18">
        <v>970</v>
      </c>
      <c r="F697" s="18">
        <v>0</v>
      </c>
      <c r="G697" s="27">
        <f t="shared" si="168"/>
        <v>4.8333333333333304</v>
      </c>
      <c r="H697" s="13">
        <f t="shared" si="169"/>
        <v>152080.54427964264</v>
      </c>
      <c r="I697" s="13">
        <f t="shared" si="170"/>
        <v>0</v>
      </c>
      <c r="J697" s="51">
        <f t="shared" si="166"/>
        <v>152080.54427964264</v>
      </c>
    </row>
    <row r="698" spans="1:10" s="3" customFormat="1" x14ac:dyDescent="0.25">
      <c r="A698" s="4"/>
      <c r="B698" s="21" t="s">
        <v>292</v>
      </c>
      <c r="C698" s="21"/>
      <c r="D698" s="21"/>
      <c r="E698" s="29"/>
      <c r="F698" s="29"/>
      <c r="G698" s="47">
        <f>SUM(G694:G697)</f>
        <v>28.999999999999979</v>
      </c>
      <c r="H698" s="47">
        <f t="shared" ref="H698:J698" si="171">SUM(H694:H697)</f>
        <v>3615127</v>
      </c>
      <c r="I698" s="47">
        <f t="shared" si="171"/>
        <v>1384873</v>
      </c>
      <c r="J698" s="47">
        <f t="shared" si="171"/>
        <v>5000000</v>
      </c>
    </row>
    <row r="699" spans="1:10" x14ac:dyDescent="0.25">
      <c r="A699" s="23" t="s">
        <v>49</v>
      </c>
      <c r="B699" s="24" t="s">
        <v>213</v>
      </c>
      <c r="C699" s="24" t="s">
        <v>212</v>
      </c>
      <c r="D699" s="24">
        <v>5</v>
      </c>
      <c r="E699" s="30">
        <v>7280</v>
      </c>
      <c r="F699" s="30">
        <v>0</v>
      </c>
      <c r="G699" s="27">
        <f>+D699*4.79032258064516</f>
        <v>23.951612903225801</v>
      </c>
      <c r="H699" s="13">
        <f>+E699*9779438/1092263</f>
        <v>65180.555086091903</v>
      </c>
      <c r="I699" s="13">
        <f>+F699*2220562/248014</f>
        <v>0</v>
      </c>
      <c r="J699" s="51">
        <f t="shared" si="166"/>
        <v>65180.555086091903</v>
      </c>
    </row>
    <row r="700" spans="1:10" x14ac:dyDescent="0.25">
      <c r="A700" s="4" t="s">
        <v>49</v>
      </c>
      <c r="B700" s="5" t="s">
        <v>215</v>
      </c>
      <c r="C700" s="5" t="s">
        <v>212</v>
      </c>
      <c r="D700" s="5">
        <v>3</v>
      </c>
      <c r="E700" s="11">
        <v>4368</v>
      </c>
      <c r="F700" s="11">
        <v>0</v>
      </c>
      <c r="G700" s="27">
        <f t="shared" ref="G700:G720" si="172">+D700*4.79032258064516</f>
        <v>14.37096774193548</v>
      </c>
      <c r="H700" s="13">
        <f t="shared" ref="H700:H720" si="173">+E700*9779438/1092263</f>
        <v>39108.333051655143</v>
      </c>
      <c r="I700" s="13">
        <f t="shared" ref="I700:I720" si="174">+F700*2220562/248014</f>
        <v>0</v>
      </c>
      <c r="J700" s="51">
        <f t="shared" si="166"/>
        <v>39108.333051655143</v>
      </c>
    </row>
    <row r="701" spans="1:10" x14ac:dyDescent="0.25">
      <c r="A701" s="4" t="s">
        <v>49</v>
      </c>
      <c r="B701" s="5" t="s">
        <v>216</v>
      </c>
      <c r="C701" s="5" t="s">
        <v>210</v>
      </c>
      <c r="D701" s="5">
        <v>1</v>
      </c>
      <c r="E701" s="11">
        <v>970</v>
      </c>
      <c r="F701" s="11">
        <v>0</v>
      </c>
      <c r="G701" s="27">
        <f t="shared" si="172"/>
        <v>4.7903225806451601</v>
      </c>
      <c r="H701" s="13">
        <f t="shared" si="173"/>
        <v>8684.7717628446626</v>
      </c>
      <c r="I701" s="13">
        <f t="shared" si="174"/>
        <v>0</v>
      </c>
      <c r="J701" s="51">
        <f t="shared" si="166"/>
        <v>8684.7717628446626</v>
      </c>
    </row>
    <row r="702" spans="1:10" x14ac:dyDescent="0.25">
      <c r="A702" s="4" t="s">
        <v>49</v>
      </c>
      <c r="B702" s="5" t="s">
        <v>217</v>
      </c>
      <c r="C702" s="5" t="s">
        <v>218</v>
      </c>
      <c r="D702" s="5">
        <v>9</v>
      </c>
      <c r="E702" s="11">
        <v>29817</v>
      </c>
      <c r="F702" s="11">
        <v>11925</v>
      </c>
      <c r="G702" s="27">
        <f t="shared" si="172"/>
        <v>43.112903225806441</v>
      </c>
      <c r="H702" s="13">
        <f t="shared" si="173"/>
        <v>266962.72129148385</v>
      </c>
      <c r="I702" s="13">
        <f t="shared" si="174"/>
        <v>106768.9801785383</v>
      </c>
      <c r="J702" s="51">
        <f t="shared" si="166"/>
        <v>373731.70147002215</v>
      </c>
    </row>
    <row r="703" spans="1:10" x14ac:dyDescent="0.25">
      <c r="A703" s="4" t="s">
        <v>49</v>
      </c>
      <c r="B703" s="5" t="s">
        <v>219</v>
      </c>
      <c r="C703" s="5" t="s">
        <v>220</v>
      </c>
      <c r="D703" s="5">
        <v>3</v>
      </c>
      <c r="E703" s="11">
        <v>10191</v>
      </c>
      <c r="F703" s="11">
        <v>4074</v>
      </c>
      <c r="G703" s="27">
        <f t="shared" si="172"/>
        <v>14.37096774193548</v>
      </c>
      <c r="H703" s="13">
        <f t="shared" si="173"/>
        <v>91243.823747577277</v>
      </c>
      <c r="I703" s="13">
        <f t="shared" si="174"/>
        <v>36476.044045900635</v>
      </c>
      <c r="J703" s="51">
        <f t="shared" si="166"/>
        <v>127719.86779347791</v>
      </c>
    </row>
    <row r="704" spans="1:10" x14ac:dyDescent="0.25">
      <c r="A704" s="4" t="s">
        <v>49</v>
      </c>
      <c r="B704" s="5" t="s">
        <v>221</v>
      </c>
      <c r="C704" s="5" t="s">
        <v>222</v>
      </c>
      <c r="D704" s="5">
        <v>2</v>
      </c>
      <c r="E704" s="11">
        <v>145600</v>
      </c>
      <c r="F704" s="11">
        <v>58240</v>
      </c>
      <c r="G704" s="27">
        <f t="shared" si="172"/>
        <v>9.5806451612903203</v>
      </c>
      <c r="H704" s="13">
        <f t="shared" si="173"/>
        <v>1303611.1017218381</v>
      </c>
      <c r="I704" s="13">
        <f t="shared" si="174"/>
        <v>521444.47845686128</v>
      </c>
      <c r="J704" s="51">
        <f t="shared" si="166"/>
        <v>1825055.5801786995</v>
      </c>
    </row>
    <row r="705" spans="1:10" x14ac:dyDescent="0.25">
      <c r="A705" s="4" t="s">
        <v>49</v>
      </c>
      <c r="B705" s="5" t="s">
        <v>260</v>
      </c>
      <c r="C705" s="5" t="s">
        <v>208</v>
      </c>
      <c r="D705" s="5">
        <v>2</v>
      </c>
      <c r="E705" s="11">
        <v>93184</v>
      </c>
      <c r="F705" s="11">
        <v>0</v>
      </c>
      <c r="G705" s="27">
        <f t="shared" si="172"/>
        <v>9.5806451612903203</v>
      </c>
      <c r="H705" s="13">
        <f t="shared" si="173"/>
        <v>834311.10510197631</v>
      </c>
      <c r="I705" s="13">
        <f t="shared" si="174"/>
        <v>0</v>
      </c>
      <c r="J705" s="51">
        <f t="shared" si="166"/>
        <v>834311.10510197631</v>
      </c>
    </row>
    <row r="706" spans="1:10" x14ac:dyDescent="0.25">
      <c r="A706" s="4" t="s">
        <v>49</v>
      </c>
      <c r="B706" s="5" t="s">
        <v>226</v>
      </c>
      <c r="C706" s="5" t="s">
        <v>210</v>
      </c>
      <c r="D706" s="5">
        <v>4</v>
      </c>
      <c r="E706" s="11">
        <v>3880</v>
      </c>
      <c r="F706" s="11">
        <v>0</v>
      </c>
      <c r="G706" s="27">
        <f t="shared" si="172"/>
        <v>19.161290322580641</v>
      </c>
      <c r="H706" s="13">
        <f t="shared" si="173"/>
        <v>34739.08705137865</v>
      </c>
      <c r="I706" s="13">
        <f t="shared" si="174"/>
        <v>0</v>
      </c>
      <c r="J706" s="51">
        <f t="shared" si="166"/>
        <v>34739.08705137865</v>
      </c>
    </row>
    <row r="707" spans="1:10" x14ac:dyDescent="0.25">
      <c r="A707" s="4" t="s">
        <v>49</v>
      </c>
      <c r="B707" s="5" t="s">
        <v>227</v>
      </c>
      <c r="C707" s="5" t="s">
        <v>210</v>
      </c>
      <c r="D707" s="5">
        <v>1</v>
      </c>
      <c r="E707" s="11">
        <v>970</v>
      </c>
      <c r="F707" s="11">
        <v>0</v>
      </c>
      <c r="G707" s="27">
        <f t="shared" si="172"/>
        <v>4.7903225806451601</v>
      </c>
      <c r="H707" s="13">
        <f t="shared" si="173"/>
        <v>8684.7717628446626</v>
      </c>
      <c r="I707" s="13">
        <f t="shared" si="174"/>
        <v>0</v>
      </c>
      <c r="J707" s="51">
        <f t="shared" si="166"/>
        <v>8684.7717628446626</v>
      </c>
    </row>
    <row r="708" spans="1:10" x14ac:dyDescent="0.25">
      <c r="A708" s="4" t="s">
        <v>49</v>
      </c>
      <c r="B708" s="5" t="s">
        <v>228</v>
      </c>
      <c r="C708" s="5" t="s">
        <v>229</v>
      </c>
      <c r="D708" s="5">
        <v>19</v>
      </c>
      <c r="E708" s="11">
        <v>36879</v>
      </c>
      <c r="F708" s="11">
        <v>0</v>
      </c>
      <c r="G708" s="27">
        <f t="shared" si="172"/>
        <v>91.01612903225805</v>
      </c>
      <c r="H708" s="13">
        <f t="shared" si="173"/>
        <v>330191.44107417355</v>
      </c>
      <c r="I708" s="13">
        <f t="shared" si="174"/>
        <v>0</v>
      </c>
      <c r="J708" s="51">
        <f t="shared" si="166"/>
        <v>330191.44107417355</v>
      </c>
    </row>
    <row r="709" spans="1:10" x14ac:dyDescent="0.25">
      <c r="A709" s="4" t="s">
        <v>49</v>
      </c>
      <c r="B709" s="5" t="s">
        <v>230</v>
      </c>
      <c r="C709" s="5" t="s">
        <v>229</v>
      </c>
      <c r="D709" s="5">
        <v>3</v>
      </c>
      <c r="E709" s="11">
        <v>5823</v>
      </c>
      <c r="F709" s="11">
        <v>0</v>
      </c>
      <c r="G709" s="27">
        <f t="shared" si="172"/>
        <v>14.37096774193548</v>
      </c>
      <c r="H709" s="13">
        <f t="shared" si="173"/>
        <v>52135.490695922133</v>
      </c>
      <c r="I709" s="13">
        <f t="shared" si="174"/>
        <v>0</v>
      </c>
      <c r="J709" s="51">
        <f t="shared" si="166"/>
        <v>52135.490695922133</v>
      </c>
    </row>
    <row r="710" spans="1:10" x14ac:dyDescent="0.25">
      <c r="A710" s="4" t="s">
        <v>49</v>
      </c>
      <c r="B710" s="5" t="s">
        <v>262</v>
      </c>
      <c r="C710" s="5" t="s">
        <v>263</v>
      </c>
      <c r="D710" s="5">
        <v>2</v>
      </c>
      <c r="E710" s="11">
        <v>303332</v>
      </c>
      <c r="F710" s="11">
        <v>0</v>
      </c>
      <c r="G710" s="27">
        <f t="shared" si="172"/>
        <v>9.5806451612903203</v>
      </c>
      <c r="H710" s="13">
        <f t="shared" si="173"/>
        <v>2715844.5240898943</v>
      </c>
      <c r="I710" s="13">
        <f t="shared" si="174"/>
        <v>0</v>
      </c>
      <c r="J710" s="51">
        <f t="shared" si="166"/>
        <v>2715844.5240898943</v>
      </c>
    </row>
    <row r="711" spans="1:10" x14ac:dyDescent="0.25">
      <c r="A711" s="4" t="s">
        <v>49</v>
      </c>
      <c r="B711" s="5" t="s">
        <v>235</v>
      </c>
      <c r="C711" s="5" t="s">
        <v>236</v>
      </c>
      <c r="D711" s="5">
        <v>12</v>
      </c>
      <c r="E711" s="11">
        <v>81900</v>
      </c>
      <c r="F711" s="11">
        <v>32760</v>
      </c>
      <c r="G711" s="27">
        <f t="shared" si="172"/>
        <v>57.483870967741922</v>
      </c>
      <c r="H711" s="13">
        <f t="shared" si="173"/>
        <v>733281.24471853394</v>
      </c>
      <c r="I711" s="13">
        <f t="shared" si="174"/>
        <v>293312.5191319845</v>
      </c>
      <c r="J711" s="51">
        <f t="shared" si="166"/>
        <v>1026593.7638505185</v>
      </c>
    </row>
    <row r="712" spans="1:10" x14ac:dyDescent="0.25">
      <c r="A712" s="4" t="s">
        <v>49</v>
      </c>
      <c r="B712" s="5" t="s">
        <v>239</v>
      </c>
      <c r="C712" s="5" t="s">
        <v>236</v>
      </c>
      <c r="D712" s="5">
        <v>4</v>
      </c>
      <c r="E712" s="11">
        <v>27300</v>
      </c>
      <c r="F712" s="11">
        <v>10920</v>
      </c>
      <c r="G712" s="27">
        <f t="shared" si="172"/>
        <v>19.161290322580641</v>
      </c>
      <c r="H712" s="13">
        <f t="shared" si="173"/>
        <v>244427.08157284465</v>
      </c>
      <c r="I712" s="13">
        <f t="shared" si="174"/>
        <v>97770.839710661501</v>
      </c>
      <c r="J712" s="51">
        <f t="shared" si="166"/>
        <v>342197.92128350615</v>
      </c>
    </row>
    <row r="713" spans="1:10" x14ac:dyDescent="0.25">
      <c r="A713" s="4" t="s">
        <v>49</v>
      </c>
      <c r="B713" s="5" t="s">
        <v>241</v>
      </c>
      <c r="C713" s="5" t="s">
        <v>236</v>
      </c>
      <c r="D713" s="5">
        <v>28</v>
      </c>
      <c r="E713" s="11">
        <v>195195</v>
      </c>
      <c r="F713" s="11">
        <v>78078</v>
      </c>
      <c r="G713" s="27">
        <f t="shared" si="172"/>
        <v>134.12903225806448</v>
      </c>
      <c r="H713" s="13">
        <f t="shared" si="173"/>
        <v>1747653.633245839</v>
      </c>
      <c r="I713" s="13">
        <f t="shared" si="174"/>
        <v>699061.5039312297</v>
      </c>
      <c r="J713" s="51">
        <f t="shared" si="166"/>
        <v>2446715.1371770687</v>
      </c>
    </row>
    <row r="714" spans="1:10" x14ac:dyDescent="0.25">
      <c r="A714" s="4" t="s">
        <v>49</v>
      </c>
      <c r="B714" s="5" t="s">
        <v>243</v>
      </c>
      <c r="C714" s="5" t="s">
        <v>244</v>
      </c>
      <c r="D714" s="5">
        <v>6</v>
      </c>
      <c r="E714" s="11">
        <v>20472</v>
      </c>
      <c r="F714" s="11">
        <v>8190</v>
      </c>
      <c r="G714" s="27">
        <f t="shared" si="172"/>
        <v>28.741935483870961</v>
      </c>
      <c r="H714" s="13">
        <f t="shared" si="173"/>
        <v>183293.45106077931</v>
      </c>
      <c r="I714" s="13">
        <f t="shared" si="174"/>
        <v>73328.129782996126</v>
      </c>
      <c r="J714" s="51">
        <f t="shared" si="166"/>
        <v>256621.58084377542</v>
      </c>
    </row>
    <row r="715" spans="1:10" x14ac:dyDescent="0.25">
      <c r="A715" s="4" t="s">
        <v>49</v>
      </c>
      <c r="B715" s="5" t="s">
        <v>247</v>
      </c>
      <c r="C715" s="5" t="s">
        <v>244</v>
      </c>
      <c r="D715" s="5">
        <v>1</v>
      </c>
      <c r="E715" s="11">
        <v>3412</v>
      </c>
      <c r="F715" s="11">
        <v>1365</v>
      </c>
      <c r="G715" s="27">
        <f t="shared" si="172"/>
        <v>4.7903225806451601</v>
      </c>
      <c r="H715" s="13">
        <f t="shared" si="173"/>
        <v>30548.908510129888</v>
      </c>
      <c r="I715" s="13">
        <f t="shared" si="174"/>
        <v>12221.354963832688</v>
      </c>
      <c r="J715" s="51">
        <f t="shared" si="166"/>
        <v>42770.263473962579</v>
      </c>
    </row>
    <row r="716" spans="1:10" x14ac:dyDescent="0.25">
      <c r="A716" s="4" t="s">
        <v>49</v>
      </c>
      <c r="B716" s="5" t="s">
        <v>249</v>
      </c>
      <c r="C716" s="5" t="s">
        <v>250</v>
      </c>
      <c r="D716" s="5">
        <v>7</v>
      </c>
      <c r="E716" s="11">
        <v>106162</v>
      </c>
      <c r="F716" s="11">
        <v>42462</v>
      </c>
      <c r="G716" s="27">
        <f t="shared" si="172"/>
        <v>33.532258064516121</v>
      </c>
      <c r="H716" s="13">
        <f t="shared" si="173"/>
        <v>950507.97926506714</v>
      </c>
      <c r="I716" s="13">
        <f t="shared" si="174"/>
        <v>380178.14979799528</v>
      </c>
      <c r="J716" s="51">
        <f t="shared" si="166"/>
        <v>1330686.1290630624</v>
      </c>
    </row>
    <row r="717" spans="1:10" x14ac:dyDescent="0.25">
      <c r="A717" s="4" t="s">
        <v>49</v>
      </c>
      <c r="B717" s="5" t="s">
        <v>252</v>
      </c>
      <c r="C717" s="5" t="s">
        <v>212</v>
      </c>
      <c r="D717" s="5">
        <v>6</v>
      </c>
      <c r="E717" s="11">
        <v>8736</v>
      </c>
      <c r="F717" s="11">
        <v>0</v>
      </c>
      <c r="G717" s="27">
        <f t="shared" si="172"/>
        <v>28.741935483870961</v>
      </c>
      <c r="H717" s="13">
        <f t="shared" si="173"/>
        <v>78216.666103310286</v>
      </c>
      <c r="I717" s="13">
        <f t="shared" si="174"/>
        <v>0</v>
      </c>
      <c r="J717" s="51">
        <f t="shared" si="166"/>
        <v>78216.666103310286</v>
      </c>
    </row>
    <row r="718" spans="1:10" x14ac:dyDescent="0.25">
      <c r="A718" s="4" t="s">
        <v>49</v>
      </c>
      <c r="B718" s="5" t="s">
        <v>253</v>
      </c>
      <c r="C718" s="5" t="s">
        <v>210</v>
      </c>
      <c r="D718" s="5">
        <v>4</v>
      </c>
      <c r="E718" s="11">
        <v>3880</v>
      </c>
      <c r="F718" s="11">
        <v>0</v>
      </c>
      <c r="G718" s="27">
        <f t="shared" si="172"/>
        <v>19.161290322580641</v>
      </c>
      <c r="H718" s="13">
        <f t="shared" si="173"/>
        <v>34739.08705137865</v>
      </c>
      <c r="I718" s="13">
        <f t="shared" si="174"/>
        <v>0</v>
      </c>
      <c r="J718" s="51">
        <f t="shared" si="166"/>
        <v>34739.08705137865</v>
      </c>
    </row>
    <row r="719" spans="1:10" x14ac:dyDescent="0.25">
      <c r="A719" s="4" t="s">
        <v>49</v>
      </c>
      <c r="B719" s="5" t="s">
        <v>254</v>
      </c>
      <c r="C719" s="5" t="s">
        <v>212</v>
      </c>
      <c r="D719" s="5">
        <v>1</v>
      </c>
      <c r="E719" s="11">
        <v>1456</v>
      </c>
      <c r="F719" s="11">
        <v>0</v>
      </c>
      <c r="G719" s="27">
        <f t="shared" si="172"/>
        <v>4.7903225806451601</v>
      </c>
      <c r="H719" s="13">
        <f t="shared" si="173"/>
        <v>13036.11101721838</v>
      </c>
      <c r="I719" s="13">
        <f t="shared" si="174"/>
        <v>0</v>
      </c>
      <c r="J719" s="51">
        <f t="shared" si="166"/>
        <v>13036.11101721838</v>
      </c>
    </row>
    <row r="720" spans="1:10" x14ac:dyDescent="0.25">
      <c r="A720" s="15" t="s">
        <v>49</v>
      </c>
      <c r="B720" s="16" t="s">
        <v>256</v>
      </c>
      <c r="C720" s="16" t="s">
        <v>212</v>
      </c>
      <c r="D720" s="16">
        <v>1</v>
      </c>
      <c r="E720" s="18">
        <v>1456</v>
      </c>
      <c r="F720" s="18">
        <v>0</v>
      </c>
      <c r="G720" s="27">
        <f t="shared" si="172"/>
        <v>4.7903225806451601</v>
      </c>
      <c r="H720" s="13">
        <f t="shared" si="173"/>
        <v>13036.11101721838</v>
      </c>
      <c r="I720" s="13">
        <f t="shared" si="174"/>
        <v>0</v>
      </c>
      <c r="J720" s="51">
        <f t="shared" si="166"/>
        <v>13036.11101721838</v>
      </c>
    </row>
    <row r="721" spans="1:10" s="3" customFormat="1" x14ac:dyDescent="0.25">
      <c r="A721" s="4"/>
      <c r="B721" s="20" t="s">
        <v>293</v>
      </c>
      <c r="C721" s="21"/>
      <c r="D721" s="21"/>
      <c r="E721" s="29"/>
      <c r="F721" s="29"/>
      <c r="G721" s="47">
        <f>SUM(G699:G720)</f>
        <v>593.99999999999989</v>
      </c>
      <c r="H721" s="47">
        <f t="shared" ref="H721:J721" si="175">SUM(H699:H720)</f>
        <v>9779438</v>
      </c>
      <c r="I721" s="47">
        <f t="shared" si="175"/>
        <v>2220562</v>
      </c>
      <c r="J721" s="47">
        <f t="shared" si="175"/>
        <v>11999999.999999998</v>
      </c>
    </row>
    <row r="722" spans="1:10" x14ac:dyDescent="0.25">
      <c r="A722" s="23" t="s">
        <v>50</v>
      </c>
      <c r="B722" s="24" t="s">
        <v>209</v>
      </c>
      <c r="C722" s="24" t="s">
        <v>210</v>
      </c>
      <c r="D722" s="24">
        <v>7</v>
      </c>
      <c r="E722" s="30">
        <v>6790</v>
      </c>
      <c r="F722" s="30">
        <v>0</v>
      </c>
      <c r="G722" s="27">
        <f>+D722*4.78885630498534</f>
        <v>33.521994134897383</v>
      </c>
      <c r="H722" s="13">
        <f>+E722*72934050/1612374</f>
        <v>307138.54198839725</v>
      </c>
      <c r="I722" s="13">
        <f>+F722*14065950/310960</f>
        <v>0</v>
      </c>
      <c r="J722" s="51">
        <f t="shared" si="166"/>
        <v>307138.54198839725</v>
      </c>
    </row>
    <row r="723" spans="1:10" x14ac:dyDescent="0.25">
      <c r="A723" s="4" t="s">
        <v>50</v>
      </c>
      <c r="B723" s="5" t="s">
        <v>211</v>
      </c>
      <c r="C723" s="5" t="s">
        <v>212</v>
      </c>
      <c r="D723" s="5">
        <v>2</v>
      </c>
      <c r="E723" s="11">
        <v>2912</v>
      </c>
      <c r="F723" s="11">
        <v>0</v>
      </c>
      <c r="G723" s="27">
        <f t="shared" ref="G723:G743" si="176">+D723*4.78885630498534</f>
        <v>9.5777126099706802</v>
      </c>
      <c r="H723" s="13">
        <f t="shared" ref="H723:H743" si="177">+E723*72934050/1612374</f>
        <v>131721.27161564253</v>
      </c>
      <c r="I723" s="13">
        <f t="shared" ref="I723:I743" si="178">+F723*14065950/310960</f>
        <v>0</v>
      </c>
      <c r="J723" s="51">
        <f t="shared" si="166"/>
        <v>131721.27161564253</v>
      </c>
    </row>
    <row r="724" spans="1:10" x14ac:dyDescent="0.25">
      <c r="A724" s="4" t="s">
        <v>50</v>
      </c>
      <c r="B724" s="5" t="s">
        <v>214</v>
      </c>
      <c r="C724" s="5" t="s">
        <v>210</v>
      </c>
      <c r="D724" s="5">
        <v>6</v>
      </c>
      <c r="E724" s="11">
        <v>5820</v>
      </c>
      <c r="F724" s="11">
        <v>0</v>
      </c>
      <c r="G724" s="27">
        <f t="shared" si="176"/>
        <v>28.733137829912039</v>
      </c>
      <c r="H724" s="13">
        <f t="shared" si="177"/>
        <v>263261.6074186262</v>
      </c>
      <c r="I724" s="13">
        <f t="shared" si="178"/>
        <v>0</v>
      </c>
      <c r="J724" s="51">
        <f t="shared" si="166"/>
        <v>263261.6074186262</v>
      </c>
    </row>
    <row r="725" spans="1:10" x14ac:dyDescent="0.25">
      <c r="A725" s="4" t="s">
        <v>50</v>
      </c>
      <c r="B725" s="5" t="s">
        <v>216</v>
      </c>
      <c r="C725" s="5" t="s">
        <v>210</v>
      </c>
      <c r="D725" s="5">
        <v>4</v>
      </c>
      <c r="E725" s="11">
        <v>3880</v>
      </c>
      <c r="F725" s="11">
        <v>0</v>
      </c>
      <c r="G725" s="27">
        <f t="shared" si="176"/>
        <v>19.15542521994136</v>
      </c>
      <c r="H725" s="13">
        <f t="shared" si="177"/>
        <v>175507.73827908412</v>
      </c>
      <c r="I725" s="13">
        <f t="shared" si="178"/>
        <v>0</v>
      </c>
      <c r="J725" s="51">
        <f t="shared" si="166"/>
        <v>175507.73827908412</v>
      </c>
    </row>
    <row r="726" spans="1:10" x14ac:dyDescent="0.25">
      <c r="A726" s="4" t="s">
        <v>50</v>
      </c>
      <c r="B726" s="5" t="s">
        <v>217</v>
      </c>
      <c r="C726" s="5" t="s">
        <v>218</v>
      </c>
      <c r="D726" s="5">
        <v>21</v>
      </c>
      <c r="E726" s="11">
        <v>69573</v>
      </c>
      <c r="F726" s="11">
        <v>27825</v>
      </c>
      <c r="G726" s="27">
        <f t="shared" si="176"/>
        <v>100.56598240469214</v>
      </c>
      <c r="H726" s="13">
        <f t="shared" si="177"/>
        <v>3147061.8235285361</v>
      </c>
      <c r="I726" s="13">
        <f t="shared" si="178"/>
        <v>1258634.7399987136</v>
      </c>
      <c r="J726" s="51">
        <f t="shared" si="166"/>
        <v>4405696.5635272497</v>
      </c>
    </row>
    <row r="727" spans="1:10" x14ac:dyDescent="0.25">
      <c r="A727" s="4" t="s">
        <v>50</v>
      </c>
      <c r="B727" s="5" t="s">
        <v>219</v>
      </c>
      <c r="C727" s="5" t="s">
        <v>220</v>
      </c>
      <c r="D727" s="5">
        <v>6</v>
      </c>
      <c r="E727" s="11">
        <v>20382</v>
      </c>
      <c r="F727" s="11">
        <v>8148</v>
      </c>
      <c r="G727" s="27">
        <f t="shared" si="176"/>
        <v>28.733137829912039</v>
      </c>
      <c r="H727" s="13">
        <f t="shared" si="177"/>
        <v>921958.43340316822</v>
      </c>
      <c r="I727" s="13">
        <f t="shared" si="178"/>
        <v>368566.24839207617</v>
      </c>
      <c r="J727" s="51">
        <f t="shared" si="166"/>
        <v>1290524.6817952443</v>
      </c>
    </row>
    <row r="728" spans="1:10" x14ac:dyDescent="0.25">
      <c r="A728" s="4" t="s">
        <v>50</v>
      </c>
      <c r="B728" s="5" t="s">
        <v>221</v>
      </c>
      <c r="C728" s="5" t="s">
        <v>222</v>
      </c>
      <c r="D728" s="5">
        <v>2</v>
      </c>
      <c r="E728" s="11">
        <v>145600</v>
      </c>
      <c r="F728" s="11">
        <v>58240</v>
      </c>
      <c r="G728" s="27">
        <f t="shared" si="176"/>
        <v>9.5777126099706802</v>
      </c>
      <c r="H728" s="13">
        <f t="shared" si="177"/>
        <v>6586063.5807821266</v>
      </c>
      <c r="I728" s="13">
        <f t="shared" si="178"/>
        <v>2634425.4180602008</v>
      </c>
      <c r="J728" s="51">
        <f t="shared" si="166"/>
        <v>9220488.9988423269</v>
      </c>
    </row>
    <row r="729" spans="1:10" x14ac:dyDescent="0.25">
      <c r="A729" s="4" t="s">
        <v>50</v>
      </c>
      <c r="B729" s="5" t="s">
        <v>260</v>
      </c>
      <c r="C729" s="5" t="s">
        <v>208</v>
      </c>
      <c r="D729" s="5">
        <v>1</v>
      </c>
      <c r="E729" s="11">
        <v>46592</v>
      </c>
      <c r="F729" s="11">
        <v>0</v>
      </c>
      <c r="G729" s="27">
        <f t="shared" si="176"/>
        <v>4.7888563049853401</v>
      </c>
      <c r="H729" s="13">
        <f t="shared" si="177"/>
        <v>2107540.3458502805</v>
      </c>
      <c r="I729" s="13">
        <f t="shared" si="178"/>
        <v>0</v>
      </c>
      <c r="J729" s="51">
        <f t="shared" si="166"/>
        <v>2107540.3458502805</v>
      </c>
    </row>
    <row r="730" spans="1:10" x14ac:dyDescent="0.25">
      <c r="A730" s="4" t="s">
        <v>50</v>
      </c>
      <c r="B730" s="5" t="s">
        <v>225</v>
      </c>
      <c r="C730" s="5" t="s">
        <v>210</v>
      </c>
      <c r="D730" s="5">
        <v>1</v>
      </c>
      <c r="E730" s="11">
        <v>970</v>
      </c>
      <c r="F730" s="11">
        <v>0</v>
      </c>
      <c r="G730" s="27">
        <f t="shared" si="176"/>
        <v>4.7888563049853401</v>
      </c>
      <c r="H730" s="13">
        <f t="shared" si="177"/>
        <v>43876.934569771031</v>
      </c>
      <c r="I730" s="13">
        <f t="shared" si="178"/>
        <v>0</v>
      </c>
      <c r="J730" s="51">
        <f t="shared" si="166"/>
        <v>43876.934569771031</v>
      </c>
    </row>
    <row r="731" spans="1:10" x14ac:dyDescent="0.25">
      <c r="A731" s="4" t="s">
        <v>50</v>
      </c>
      <c r="B731" s="5" t="s">
        <v>226</v>
      </c>
      <c r="C731" s="5" t="s">
        <v>210</v>
      </c>
      <c r="D731" s="5">
        <v>3</v>
      </c>
      <c r="E731" s="11">
        <v>2910</v>
      </c>
      <c r="F731" s="11">
        <v>0</v>
      </c>
      <c r="G731" s="27">
        <f t="shared" si="176"/>
        <v>14.366568914956019</v>
      </c>
      <c r="H731" s="13">
        <f t="shared" si="177"/>
        <v>131630.8037093131</v>
      </c>
      <c r="I731" s="13">
        <f t="shared" si="178"/>
        <v>0</v>
      </c>
      <c r="J731" s="51">
        <f t="shared" si="166"/>
        <v>131630.8037093131</v>
      </c>
    </row>
    <row r="732" spans="1:10" x14ac:dyDescent="0.25">
      <c r="A732" s="4" t="s">
        <v>50</v>
      </c>
      <c r="B732" s="5" t="s">
        <v>227</v>
      </c>
      <c r="C732" s="5" t="s">
        <v>210</v>
      </c>
      <c r="D732" s="5">
        <v>1</v>
      </c>
      <c r="E732" s="11">
        <v>970</v>
      </c>
      <c r="F732" s="11">
        <v>0</v>
      </c>
      <c r="G732" s="27">
        <f t="shared" si="176"/>
        <v>4.7888563049853401</v>
      </c>
      <c r="H732" s="13">
        <f t="shared" si="177"/>
        <v>43876.934569771031</v>
      </c>
      <c r="I732" s="13">
        <f t="shared" si="178"/>
        <v>0</v>
      </c>
      <c r="J732" s="51">
        <f t="shared" si="166"/>
        <v>43876.934569771031</v>
      </c>
    </row>
    <row r="733" spans="1:10" x14ac:dyDescent="0.25">
      <c r="A733" s="4" t="s">
        <v>50</v>
      </c>
      <c r="B733" s="5" t="s">
        <v>228</v>
      </c>
      <c r="C733" s="5" t="s">
        <v>229</v>
      </c>
      <c r="D733" s="5">
        <v>196</v>
      </c>
      <c r="E733" s="11">
        <v>380436</v>
      </c>
      <c r="F733" s="11">
        <v>0</v>
      </c>
      <c r="G733" s="27">
        <f t="shared" si="176"/>
        <v>938.61583577712668</v>
      </c>
      <c r="H733" s="13">
        <f t="shared" si="177"/>
        <v>17208624.206170529</v>
      </c>
      <c r="I733" s="13">
        <f t="shared" si="178"/>
        <v>0</v>
      </c>
      <c r="J733" s="51">
        <f t="shared" si="166"/>
        <v>17208624.206170529</v>
      </c>
    </row>
    <row r="734" spans="1:10" x14ac:dyDescent="0.25">
      <c r="A734" s="4" t="s">
        <v>50</v>
      </c>
      <c r="B734" s="5" t="s">
        <v>230</v>
      </c>
      <c r="C734" s="5" t="s">
        <v>229</v>
      </c>
      <c r="D734" s="5">
        <v>5</v>
      </c>
      <c r="E734" s="11">
        <v>9705</v>
      </c>
      <c r="F734" s="11">
        <v>0</v>
      </c>
      <c r="G734" s="27">
        <f t="shared" si="176"/>
        <v>23.944281524926701</v>
      </c>
      <c r="H734" s="13">
        <f t="shared" si="177"/>
        <v>438995.51546353387</v>
      </c>
      <c r="I734" s="13">
        <f t="shared" si="178"/>
        <v>0</v>
      </c>
      <c r="J734" s="51">
        <f t="shared" si="166"/>
        <v>438995.51546353387</v>
      </c>
    </row>
    <row r="735" spans="1:10" x14ac:dyDescent="0.25">
      <c r="A735" s="4" t="s">
        <v>50</v>
      </c>
      <c r="B735" s="5" t="s">
        <v>262</v>
      </c>
      <c r="C735" s="5" t="s">
        <v>263</v>
      </c>
      <c r="D735" s="5">
        <v>1</v>
      </c>
      <c r="E735" s="11">
        <v>151666</v>
      </c>
      <c r="F735" s="11">
        <v>0</v>
      </c>
      <c r="G735" s="27">
        <f t="shared" si="176"/>
        <v>4.7888563049853401</v>
      </c>
      <c r="H735" s="13">
        <f t="shared" si="177"/>
        <v>6860452.7406792715</v>
      </c>
      <c r="I735" s="13">
        <f t="shared" si="178"/>
        <v>0</v>
      </c>
      <c r="J735" s="51">
        <f t="shared" si="166"/>
        <v>6860452.7406792715</v>
      </c>
    </row>
    <row r="736" spans="1:10" x14ac:dyDescent="0.25">
      <c r="A736" s="4" t="s">
        <v>50</v>
      </c>
      <c r="B736" s="5" t="s">
        <v>233</v>
      </c>
      <c r="C736" s="5" t="s">
        <v>234</v>
      </c>
      <c r="D736" s="5">
        <v>2</v>
      </c>
      <c r="E736" s="11">
        <v>194132</v>
      </c>
      <c r="F736" s="11">
        <v>0</v>
      </c>
      <c r="G736" s="27">
        <f t="shared" si="176"/>
        <v>9.5777126099706802</v>
      </c>
      <c r="H736" s="13">
        <f t="shared" si="177"/>
        <v>8781357.795771949</v>
      </c>
      <c r="I736" s="13">
        <f t="shared" si="178"/>
        <v>0</v>
      </c>
      <c r="J736" s="51">
        <f t="shared" si="166"/>
        <v>8781357.795771949</v>
      </c>
    </row>
    <row r="737" spans="1:10" x14ac:dyDescent="0.25">
      <c r="A737" s="4" t="s">
        <v>50</v>
      </c>
      <c r="B737" s="5" t="s">
        <v>235</v>
      </c>
      <c r="C737" s="5" t="s">
        <v>236</v>
      </c>
      <c r="D737" s="5">
        <v>6</v>
      </c>
      <c r="E737" s="11">
        <v>40950</v>
      </c>
      <c r="F737" s="11">
        <v>16380</v>
      </c>
      <c r="G737" s="27">
        <f t="shared" si="176"/>
        <v>28.733137829912039</v>
      </c>
      <c r="H737" s="13">
        <f t="shared" si="177"/>
        <v>1852330.382094973</v>
      </c>
      <c r="I737" s="13">
        <f t="shared" si="178"/>
        <v>740932.14882943139</v>
      </c>
      <c r="J737" s="51">
        <f t="shared" si="166"/>
        <v>2593262.5309244045</v>
      </c>
    </row>
    <row r="738" spans="1:10" x14ac:dyDescent="0.25">
      <c r="A738" s="4" t="s">
        <v>50</v>
      </c>
      <c r="B738" s="5" t="s">
        <v>241</v>
      </c>
      <c r="C738" s="5" t="s">
        <v>236</v>
      </c>
      <c r="D738" s="5">
        <v>14</v>
      </c>
      <c r="E738" s="11">
        <v>95550</v>
      </c>
      <c r="F738" s="11">
        <v>38220</v>
      </c>
      <c r="G738" s="27">
        <f t="shared" si="176"/>
        <v>67.043988269794767</v>
      </c>
      <c r="H738" s="13">
        <f t="shared" si="177"/>
        <v>4322104.2248882707</v>
      </c>
      <c r="I738" s="13">
        <f t="shared" si="178"/>
        <v>1728841.6806020066</v>
      </c>
      <c r="J738" s="51">
        <f t="shared" si="166"/>
        <v>6050945.9054902773</v>
      </c>
    </row>
    <row r="739" spans="1:10" x14ac:dyDescent="0.25">
      <c r="A739" s="4" t="s">
        <v>50</v>
      </c>
      <c r="B739" s="5" t="s">
        <v>242</v>
      </c>
      <c r="C739" s="5" t="s">
        <v>238</v>
      </c>
      <c r="D739" s="5">
        <v>12</v>
      </c>
      <c r="E739" s="11">
        <v>61512</v>
      </c>
      <c r="F739" s="11">
        <v>24600</v>
      </c>
      <c r="G739" s="27">
        <f t="shared" si="176"/>
        <v>57.466275659824078</v>
      </c>
      <c r="H739" s="13">
        <f t="shared" si="177"/>
        <v>2782430.9270677897</v>
      </c>
      <c r="I739" s="13">
        <f t="shared" si="178"/>
        <v>1112755.2418317469</v>
      </c>
      <c r="J739" s="51">
        <f t="shared" si="166"/>
        <v>3895186.1688995366</v>
      </c>
    </row>
    <row r="740" spans="1:10" x14ac:dyDescent="0.25">
      <c r="A740" s="4" t="s">
        <v>50</v>
      </c>
      <c r="B740" s="5" t="s">
        <v>243</v>
      </c>
      <c r="C740" s="5" t="s">
        <v>244</v>
      </c>
      <c r="D740" s="5">
        <v>3</v>
      </c>
      <c r="E740" s="11">
        <v>10236</v>
      </c>
      <c r="F740" s="11">
        <v>4095</v>
      </c>
      <c r="G740" s="27">
        <f t="shared" si="176"/>
        <v>14.366568914956019</v>
      </c>
      <c r="H740" s="13">
        <f t="shared" si="177"/>
        <v>463014.74459399621</v>
      </c>
      <c r="I740" s="13">
        <f t="shared" si="178"/>
        <v>185233.03720735785</v>
      </c>
      <c r="J740" s="51">
        <f t="shared" si="166"/>
        <v>648247.78180135402</v>
      </c>
    </row>
    <row r="741" spans="1:10" x14ac:dyDescent="0.25">
      <c r="A741" s="4" t="s">
        <v>50</v>
      </c>
      <c r="B741" s="5" t="s">
        <v>249</v>
      </c>
      <c r="C741" s="5" t="s">
        <v>250</v>
      </c>
      <c r="D741" s="5">
        <v>22</v>
      </c>
      <c r="E741" s="11">
        <v>333652</v>
      </c>
      <c r="F741" s="11">
        <v>133452</v>
      </c>
      <c r="G741" s="27">
        <f t="shared" si="176"/>
        <v>105.35483870967748</v>
      </c>
      <c r="H741" s="13">
        <f t="shared" si="177"/>
        <v>15092398.941312624</v>
      </c>
      <c r="I741" s="13">
        <f t="shared" si="178"/>
        <v>6036561.4850784671</v>
      </c>
      <c r="J741" s="51">
        <f t="shared" si="166"/>
        <v>21128960.426391091</v>
      </c>
    </row>
    <row r="742" spans="1:10" x14ac:dyDescent="0.25">
      <c r="A742" s="4" t="s">
        <v>50</v>
      </c>
      <c r="B742" s="5" t="s">
        <v>252</v>
      </c>
      <c r="C742" s="5" t="s">
        <v>212</v>
      </c>
      <c r="D742" s="5">
        <v>6</v>
      </c>
      <c r="E742" s="11">
        <v>8736</v>
      </c>
      <c r="F742" s="11">
        <v>0</v>
      </c>
      <c r="G742" s="27">
        <f t="shared" si="176"/>
        <v>28.733137829912039</v>
      </c>
      <c r="H742" s="13">
        <f t="shared" si="177"/>
        <v>395163.81484692759</v>
      </c>
      <c r="I742" s="13">
        <f t="shared" si="178"/>
        <v>0</v>
      </c>
      <c r="J742" s="51">
        <f t="shared" si="166"/>
        <v>395163.81484692759</v>
      </c>
    </row>
    <row r="743" spans="1:10" x14ac:dyDescent="0.25">
      <c r="A743" s="15" t="s">
        <v>50</v>
      </c>
      <c r="B743" s="16" t="s">
        <v>253</v>
      </c>
      <c r="C743" s="16" t="s">
        <v>210</v>
      </c>
      <c r="D743" s="16">
        <v>20</v>
      </c>
      <c r="E743" s="18">
        <v>19400</v>
      </c>
      <c r="F743" s="18">
        <v>0</v>
      </c>
      <c r="G743" s="27">
        <f t="shared" si="176"/>
        <v>95.777126099706805</v>
      </c>
      <c r="H743" s="13">
        <f t="shared" si="177"/>
        <v>877538.6913954207</v>
      </c>
      <c r="I743" s="13">
        <f t="shared" si="178"/>
        <v>0</v>
      </c>
      <c r="J743" s="51">
        <f t="shared" si="166"/>
        <v>877538.6913954207</v>
      </c>
    </row>
    <row r="744" spans="1:10" s="3" customFormat="1" x14ac:dyDescent="0.25">
      <c r="A744" s="4"/>
      <c r="B744" s="20" t="s">
        <v>294</v>
      </c>
      <c r="C744" s="21"/>
      <c r="D744" s="21"/>
      <c r="E744" s="29"/>
      <c r="F744" s="29"/>
      <c r="G744" s="47">
        <f>SUM(G722:G743)</f>
        <v>1633.0000000000009</v>
      </c>
      <c r="H744" s="47">
        <f t="shared" ref="H744:J744" si="179">SUM(H722:H743)</f>
        <v>72934050</v>
      </c>
      <c r="I744" s="47">
        <f t="shared" si="179"/>
        <v>14065950</v>
      </c>
      <c r="J744" s="47">
        <f t="shared" si="179"/>
        <v>87000000</v>
      </c>
    </row>
    <row r="745" spans="1:10" x14ac:dyDescent="0.25">
      <c r="A745" s="23" t="s">
        <v>51</v>
      </c>
      <c r="B745" s="24" t="s">
        <v>213</v>
      </c>
      <c r="C745" s="24" t="s">
        <v>212</v>
      </c>
      <c r="D745" s="24">
        <v>1</v>
      </c>
      <c r="E745" s="30">
        <v>1456</v>
      </c>
      <c r="F745" s="30">
        <v>0</v>
      </c>
      <c r="G745" s="27">
        <f>+D745*4.79245283018868</f>
        <v>4.7924528301886804</v>
      </c>
      <c r="H745" s="13">
        <f>+E745*4804479/269677</f>
        <v>25939.629349184394</v>
      </c>
      <c r="I745" s="13">
        <f>+F745*1195521/67105</f>
        <v>0</v>
      </c>
      <c r="J745" s="51">
        <f t="shared" si="166"/>
        <v>25939.629349184394</v>
      </c>
    </row>
    <row r="746" spans="1:10" x14ac:dyDescent="0.25">
      <c r="A746" s="4" t="s">
        <v>51</v>
      </c>
      <c r="B746" s="5" t="s">
        <v>214</v>
      </c>
      <c r="C746" s="5" t="s">
        <v>210</v>
      </c>
      <c r="D746" s="5">
        <v>1</v>
      </c>
      <c r="E746" s="11">
        <v>970</v>
      </c>
      <c r="F746" s="11">
        <v>0</v>
      </c>
      <c r="G746" s="27">
        <f t="shared" ref="G746:G758" si="180">+D746*4.79245283018868</f>
        <v>4.7924528301886804</v>
      </c>
      <c r="H746" s="13">
        <f t="shared" ref="H746:H758" si="181">+E746*4804479/269677</f>
        <v>17281.20911312422</v>
      </c>
      <c r="I746" s="13">
        <f t="shared" ref="I746:I758" si="182">+F746*1195521/67105</f>
        <v>0</v>
      </c>
      <c r="J746" s="51">
        <f t="shared" si="166"/>
        <v>17281.20911312422</v>
      </c>
    </row>
    <row r="747" spans="1:10" x14ac:dyDescent="0.25">
      <c r="A747" s="4" t="s">
        <v>51</v>
      </c>
      <c r="B747" s="5" t="s">
        <v>215</v>
      </c>
      <c r="C747" s="5" t="s">
        <v>212</v>
      </c>
      <c r="D747" s="5">
        <v>1</v>
      </c>
      <c r="E747" s="11">
        <v>1456</v>
      </c>
      <c r="F747" s="11">
        <v>0</v>
      </c>
      <c r="G747" s="27">
        <f t="shared" si="180"/>
        <v>4.7924528301886804</v>
      </c>
      <c r="H747" s="13">
        <f t="shared" si="181"/>
        <v>25939.629349184394</v>
      </c>
      <c r="I747" s="13">
        <f t="shared" si="182"/>
        <v>0</v>
      </c>
      <c r="J747" s="51">
        <f t="shared" si="166"/>
        <v>25939.629349184394</v>
      </c>
    </row>
    <row r="748" spans="1:10" x14ac:dyDescent="0.25">
      <c r="A748" s="4" t="s">
        <v>51</v>
      </c>
      <c r="B748" s="5" t="s">
        <v>217</v>
      </c>
      <c r="C748" s="5" t="s">
        <v>218</v>
      </c>
      <c r="D748" s="5">
        <v>2</v>
      </c>
      <c r="E748" s="11">
        <v>6626</v>
      </c>
      <c r="F748" s="11">
        <v>2650</v>
      </c>
      <c r="G748" s="27">
        <f t="shared" si="180"/>
        <v>9.5849056603773608</v>
      </c>
      <c r="H748" s="13">
        <f t="shared" si="181"/>
        <v>118046.69235418667</v>
      </c>
      <c r="I748" s="13">
        <f t="shared" si="182"/>
        <v>47211.543849191563</v>
      </c>
      <c r="J748" s="51">
        <f t="shared" si="166"/>
        <v>165258.23620337824</v>
      </c>
    </row>
    <row r="749" spans="1:10" x14ac:dyDescent="0.25">
      <c r="A749" s="4" t="s">
        <v>51</v>
      </c>
      <c r="B749" s="5" t="s">
        <v>260</v>
      </c>
      <c r="C749" s="5" t="s">
        <v>208</v>
      </c>
      <c r="D749" s="5">
        <v>1</v>
      </c>
      <c r="E749" s="11">
        <v>46592</v>
      </c>
      <c r="F749" s="11">
        <v>0</v>
      </c>
      <c r="G749" s="27">
        <f t="shared" si="180"/>
        <v>4.7924528301886804</v>
      </c>
      <c r="H749" s="13">
        <f t="shared" si="181"/>
        <v>830068.13917390059</v>
      </c>
      <c r="I749" s="13">
        <f t="shared" si="182"/>
        <v>0</v>
      </c>
      <c r="J749" s="51">
        <f t="shared" si="166"/>
        <v>830068.13917390059</v>
      </c>
    </row>
    <row r="750" spans="1:10" x14ac:dyDescent="0.25">
      <c r="A750" s="4" t="s">
        <v>51</v>
      </c>
      <c r="B750" s="5" t="s">
        <v>266</v>
      </c>
      <c r="C750" s="5" t="s">
        <v>210</v>
      </c>
      <c r="D750" s="5">
        <v>1</v>
      </c>
      <c r="E750" s="11">
        <v>970</v>
      </c>
      <c r="F750" s="11">
        <v>0</v>
      </c>
      <c r="G750" s="27">
        <f t="shared" si="180"/>
        <v>4.7924528301886804</v>
      </c>
      <c r="H750" s="13">
        <f t="shared" si="181"/>
        <v>17281.20911312422</v>
      </c>
      <c r="I750" s="13">
        <f t="shared" si="182"/>
        <v>0</v>
      </c>
      <c r="J750" s="51">
        <f t="shared" si="166"/>
        <v>17281.20911312422</v>
      </c>
    </row>
    <row r="751" spans="1:10" x14ac:dyDescent="0.25">
      <c r="A751" s="4" t="s">
        <v>51</v>
      </c>
      <c r="B751" s="5" t="s">
        <v>226</v>
      </c>
      <c r="C751" s="5" t="s">
        <v>210</v>
      </c>
      <c r="D751" s="5">
        <v>1</v>
      </c>
      <c r="E751" s="11">
        <v>970</v>
      </c>
      <c r="F751" s="11">
        <v>0</v>
      </c>
      <c r="G751" s="27">
        <f t="shared" si="180"/>
        <v>4.7924528301886804</v>
      </c>
      <c r="H751" s="13">
        <f t="shared" si="181"/>
        <v>17281.20911312422</v>
      </c>
      <c r="I751" s="13">
        <f t="shared" si="182"/>
        <v>0</v>
      </c>
      <c r="J751" s="51">
        <f t="shared" si="166"/>
        <v>17281.20911312422</v>
      </c>
    </row>
    <row r="752" spans="1:10" x14ac:dyDescent="0.25">
      <c r="A752" s="4" t="s">
        <v>51</v>
      </c>
      <c r="B752" s="5" t="s">
        <v>228</v>
      </c>
      <c r="C752" s="5" t="s">
        <v>229</v>
      </c>
      <c r="D752" s="5">
        <v>12</v>
      </c>
      <c r="E752" s="11">
        <v>23292</v>
      </c>
      <c r="F752" s="11">
        <v>0</v>
      </c>
      <c r="G752" s="27">
        <f t="shared" si="180"/>
        <v>57.509433962264168</v>
      </c>
      <c r="H752" s="13">
        <f t="shared" si="181"/>
        <v>414962.80686895805</v>
      </c>
      <c r="I752" s="13">
        <f t="shared" si="182"/>
        <v>0</v>
      </c>
      <c r="J752" s="51">
        <f t="shared" si="166"/>
        <v>414962.80686895805</v>
      </c>
    </row>
    <row r="753" spans="1:10" x14ac:dyDescent="0.25">
      <c r="A753" s="4" t="s">
        <v>51</v>
      </c>
      <c r="B753" s="5" t="s">
        <v>230</v>
      </c>
      <c r="C753" s="5" t="s">
        <v>229</v>
      </c>
      <c r="D753" s="5">
        <v>12</v>
      </c>
      <c r="E753" s="11">
        <v>23292</v>
      </c>
      <c r="F753" s="11">
        <v>0</v>
      </c>
      <c r="G753" s="27">
        <f t="shared" si="180"/>
        <v>57.509433962264168</v>
      </c>
      <c r="H753" s="13">
        <f t="shared" si="181"/>
        <v>414962.80686895805</v>
      </c>
      <c r="I753" s="13">
        <f t="shared" si="182"/>
        <v>0</v>
      </c>
      <c r="J753" s="51">
        <f t="shared" ref="J753:J819" si="183">SUM(H753:I753)</f>
        <v>414962.80686895805</v>
      </c>
    </row>
    <row r="754" spans="1:10" x14ac:dyDescent="0.25">
      <c r="A754" s="4" t="s">
        <v>51</v>
      </c>
      <c r="B754" s="5" t="s">
        <v>241</v>
      </c>
      <c r="C754" s="5" t="s">
        <v>236</v>
      </c>
      <c r="D754" s="5">
        <v>11</v>
      </c>
      <c r="E754" s="11">
        <v>75075</v>
      </c>
      <c r="F754" s="11">
        <v>30030</v>
      </c>
      <c r="G754" s="27">
        <f t="shared" si="180"/>
        <v>52.716981132075482</v>
      </c>
      <c r="H754" s="13">
        <f t="shared" si="181"/>
        <v>1337512.1383173203</v>
      </c>
      <c r="I754" s="13">
        <f t="shared" si="182"/>
        <v>535004.77803442371</v>
      </c>
      <c r="J754" s="51">
        <f t="shared" si="183"/>
        <v>1872516.916351744</v>
      </c>
    </row>
    <row r="755" spans="1:10" x14ac:dyDescent="0.25">
      <c r="A755" s="4" t="s">
        <v>51</v>
      </c>
      <c r="B755" s="5" t="s">
        <v>243</v>
      </c>
      <c r="C755" s="5" t="s">
        <v>244</v>
      </c>
      <c r="D755" s="5">
        <v>2</v>
      </c>
      <c r="E755" s="11">
        <v>6824</v>
      </c>
      <c r="F755" s="11">
        <v>2730</v>
      </c>
      <c r="G755" s="27">
        <f t="shared" si="180"/>
        <v>9.5849056603773608</v>
      </c>
      <c r="H755" s="13">
        <f t="shared" si="181"/>
        <v>121574.19689480378</v>
      </c>
      <c r="I755" s="13">
        <f t="shared" si="182"/>
        <v>48636.798003129421</v>
      </c>
      <c r="J755" s="51">
        <f t="shared" si="183"/>
        <v>170210.99489793321</v>
      </c>
    </row>
    <row r="756" spans="1:10" x14ac:dyDescent="0.25">
      <c r="A756" s="4" t="s">
        <v>51</v>
      </c>
      <c r="B756" s="5" t="s">
        <v>247</v>
      </c>
      <c r="C756" s="5" t="s">
        <v>244</v>
      </c>
      <c r="D756" s="5">
        <v>1</v>
      </c>
      <c r="E756" s="11">
        <v>3412</v>
      </c>
      <c r="F756" s="11">
        <v>1365</v>
      </c>
      <c r="G756" s="27">
        <f t="shared" si="180"/>
        <v>4.7924528301886804</v>
      </c>
      <c r="H756" s="13">
        <f t="shared" si="181"/>
        <v>60787.098447401891</v>
      </c>
      <c r="I756" s="13">
        <f t="shared" si="182"/>
        <v>24318.39900156471</v>
      </c>
      <c r="J756" s="51">
        <f t="shared" si="183"/>
        <v>85105.497448966606</v>
      </c>
    </row>
    <row r="757" spans="1:10" x14ac:dyDescent="0.25">
      <c r="A757" s="4" t="s">
        <v>51</v>
      </c>
      <c r="B757" s="5" t="s">
        <v>249</v>
      </c>
      <c r="C757" s="5" t="s">
        <v>250</v>
      </c>
      <c r="D757" s="5">
        <v>5</v>
      </c>
      <c r="E757" s="11">
        <v>75830</v>
      </c>
      <c r="F757" s="11">
        <v>30330</v>
      </c>
      <c r="G757" s="27">
        <f t="shared" si="180"/>
        <v>23.962264150943401</v>
      </c>
      <c r="H757" s="13">
        <f t="shared" si="181"/>
        <v>1350962.9763383602</v>
      </c>
      <c r="I757" s="13">
        <f t="shared" si="182"/>
        <v>540349.48111169063</v>
      </c>
      <c r="J757" s="51">
        <f t="shared" si="183"/>
        <v>1891312.4574500509</v>
      </c>
    </row>
    <row r="758" spans="1:10" x14ac:dyDescent="0.25">
      <c r="A758" s="15" t="s">
        <v>51</v>
      </c>
      <c r="B758" s="16" t="s">
        <v>252</v>
      </c>
      <c r="C758" s="16" t="s">
        <v>212</v>
      </c>
      <c r="D758" s="16">
        <v>2</v>
      </c>
      <c r="E758" s="18">
        <v>2912</v>
      </c>
      <c r="F758" s="18">
        <v>0</v>
      </c>
      <c r="G758" s="27">
        <f t="shared" si="180"/>
        <v>9.5849056603773608</v>
      </c>
      <c r="H758" s="13">
        <f t="shared" si="181"/>
        <v>51879.258698368787</v>
      </c>
      <c r="I758" s="13">
        <f t="shared" si="182"/>
        <v>0</v>
      </c>
      <c r="J758" s="51">
        <f t="shared" si="183"/>
        <v>51879.258698368787</v>
      </c>
    </row>
    <row r="759" spans="1:10" s="3" customFormat="1" x14ac:dyDescent="0.25">
      <c r="A759" s="4"/>
      <c r="B759" s="21" t="s">
        <v>295</v>
      </c>
      <c r="C759" s="21"/>
      <c r="D759" s="21"/>
      <c r="E759" s="29"/>
      <c r="F759" s="29"/>
      <c r="G759" s="47">
        <f>SUM(G745:G758)</f>
        <v>254.00000000000011</v>
      </c>
      <c r="H759" s="47">
        <f t="shared" ref="H759:J759" si="184">SUM(H745:H758)</f>
        <v>4804479</v>
      </c>
      <c r="I759" s="47">
        <f t="shared" si="184"/>
        <v>1195521</v>
      </c>
      <c r="J759" s="47">
        <f t="shared" si="184"/>
        <v>6000000</v>
      </c>
    </row>
    <row r="760" spans="1:10" x14ac:dyDescent="0.25">
      <c r="A760" s="23" t="s">
        <v>52</v>
      </c>
      <c r="B760" s="24" t="s">
        <v>213</v>
      </c>
      <c r="C760" s="24" t="s">
        <v>212</v>
      </c>
      <c r="D760" s="24">
        <v>6</v>
      </c>
      <c r="E760" s="30">
        <v>8736</v>
      </c>
      <c r="F760" s="30">
        <v>0</v>
      </c>
      <c r="G760" s="27">
        <f>+D760*4.7887323943662</f>
        <v>28.732394366197198</v>
      </c>
      <c r="H760" s="13">
        <f>+E760*5157192/1325664</f>
        <v>33985.406039539434</v>
      </c>
      <c r="I760" s="13">
        <f>+F760*842808/216645</f>
        <v>0</v>
      </c>
      <c r="J760" s="51">
        <f t="shared" si="183"/>
        <v>33985.406039539434</v>
      </c>
    </row>
    <row r="761" spans="1:10" x14ac:dyDescent="0.25">
      <c r="A761" s="4" t="s">
        <v>52</v>
      </c>
      <c r="B761" s="5" t="s">
        <v>214</v>
      </c>
      <c r="C761" s="5" t="s">
        <v>210</v>
      </c>
      <c r="D761" s="5">
        <v>3</v>
      </c>
      <c r="E761" s="11">
        <v>2910</v>
      </c>
      <c r="F761" s="11">
        <v>0</v>
      </c>
      <c r="G761" s="27">
        <f t="shared" ref="G761:G783" si="185">+D761*4.7887323943662</f>
        <v>14.366197183098599</v>
      </c>
      <c r="H761" s="13">
        <f t="shared" ref="H761:H783" si="186">+E761*5157192/1325664</f>
        <v>11320.688138170759</v>
      </c>
      <c r="I761" s="13">
        <f t="shared" ref="I761:I783" si="187">+F761*842808/216645</f>
        <v>0</v>
      </c>
      <c r="J761" s="51">
        <f t="shared" si="183"/>
        <v>11320.688138170759</v>
      </c>
    </row>
    <row r="762" spans="1:10" x14ac:dyDescent="0.25">
      <c r="A762" s="4" t="s">
        <v>52</v>
      </c>
      <c r="B762" s="5" t="s">
        <v>215</v>
      </c>
      <c r="C762" s="5" t="s">
        <v>212</v>
      </c>
      <c r="D762" s="5">
        <v>2</v>
      </c>
      <c r="E762" s="11">
        <v>2912</v>
      </c>
      <c r="F762" s="11">
        <v>0</v>
      </c>
      <c r="G762" s="27">
        <f t="shared" si="185"/>
        <v>9.5774647887323994</v>
      </c>
      <c r="H762" s="13">
        <f t="shared" si="186"/>
        <v>11328.468679846477</v>
      </c>
      <c r="I762" s="13">
        <f t="shared" si="187"/>
        <v>0</v>
      </c>
      <c r="J762" s="51">
        <f t="shared" si="183"/>
        <v>11328.468679846477</v>
      </c>
    </row>
    <row r="763" spans="1:10" x14ac:dyDescent="0.25">
      <c r="A763" s="4" t="s">
        <v>52</v>
      </c>
      <c r="B763" s="5" t="s">
        <v>217</v>
      </c>
      <c r="C763" s="5" t="s">
        <v>218</v>
      </c>
      <c r="D763" s="5">
        <v>21</v>
      </c>
      <c r="E763" s="11">
        <v>69573</v>
      </c>
      <c r="F763" s="11">
        <v>27825</v>
      </c>
      <c r="G763" s="27">
        <f t="shared" si="185"/>
        <v>100.5633802816902</v>
      </c>
      <c r="H763" s="13">
        <f t="shared" si="186"/>
        <v>270657.81300238974</v>
      </c>
      <c r="I763" s="13">
        <f t="shared" si="187"/>
        <v>108246.82129751437</v>
      </c>
      <c r="J763" s="51">
        <f t="shared" si="183"/>
        <v>378904.63429990411</v>
      </c>
    </row>
    <row r="764" spans="1:10" x14ac:dyDescent="0.25">
      <c r="A764" s="4" t="s">
        <v>52</v>
      </c>
      <c r="B764" s="5" t="s">
        <v>221</v>
      </c>
      <c r="C764" s="5" t="s">
        <v>222</v>
      </c>
      <c r="D764" s="5">
        <v>2</v>
      </c>
      <c r="E764" s="11">
        <v>145600</v>
      </c>
      <c r="F764" s="11">
        <v>58240</v>
      </c>
      <c r="G764" s="27">
        <f t="shared" si="185"/>
        <v>9.5774647887323994</v>
      </c>
      <c r="H764" s="13">
        <f t="shared" si="186"/>
        <v>566423.43399232381</v>
      </c>
      <c r="I764" s="13">
        <f t="shared" si="187"/>
        <v>226569.44734473448</v>
      </c>
      <c r="J764" s="51">
        <f t="shared" si="183"/>
        <v>792992.88133705826</v>
      </c>
    </row>
    <row r="765" spans="1:10" x14ac:dyDescent="0.25">
      <c r="A765" s="4" t="s">
        <v>52</v>
      </c>
      <c r="B765" s="5" t="s">
        <v>260</v>
      </c>
      <c r="C765" s="5" t="s">
        <v>208</v>
      </c>
      <c r="D765" s="5">
        <v>1</v>
      </c>
      <c r="E765" s="11">
        <v>46592</v>
      </c>
      <c r="F765" s="11">
        <v>0</v>
      </c>
      <c r="G765" s="27">
        <f t="shared" si="185"/>
        <v>4.7887323943661997</v>
      </c>
      <c r="H765" s="13">
        <f t="shared" si="186"/>
        <v>181255.49887754364</v>
      </c>
      <c r="I765" s="13">
        <f t="shared" si="187"/>
        <v>0</v>
      </c>
      <c r="J765" s="51">
        <f t="shared" si="183"/>
        <v>181255.49887754364</v>
      </c>
    </row>
    <row r="766" spans="1:10" x14ac:dyDescent="0.25">
      <c r="A766" s="4" t="s">
        <v>52</v>
      </c>
      <c r="B766" s="5" t="s">
        <v>266</v>
      </c>
      <c r="C766" s="5" t="s">
        <v>210</v>
      </c>
      <c r="D766" s="5">
        <v>1</v>
      </c>
      <c r="E766" s="11">
        <v>970</v>
      </c>
      <c r="F766" s="11">
        <v>0</v>
      </c>
      <c r="G766" s="27">
        <f t="shared" si="185"/>
        <v>4.7887323943661997</v>
      </c>
      <c r="H766" s="13">
        <f t="shared" si="186"/>
        <v>3773.5627127235862</v>
      </c>
      <c r="I766" s="13">
        <f t="shared" si="187"/>
        <v>0</v>
      </c>
      <c r="J766" s="51">
        <f t="shared" si="183"/>
        <v>3773.5627127235862</v>
      </c>
    </row>
    <row r="767" spans="1:10" x14ac:dyDescent="0.25">
      <c r="A767" s="4" t="s">
        <v>52</v>
      </c>
      <c r="B767" s="5" t="s">
        <v>226</v>
      </c>
      <c r="C767" s="5" t="s">
        <v>210</v>
      </c>
      <c r="D767" s="5">
        <v>10</v>
      </c>
      <c r="E767" s="11">
        <v>9700</v>
      </c>
      <c r="F767" s="11">
        <v>0</v>
      </c>
      <c r="G767" s="27">
        <f t="shared" si="185"/>
        <v>47.887323943661997</v>
      </c>
      <c r="H767" s="13">
        <f t="shared" si="186"/>
        <v>37735.627127235857</v>
      </c>
      <c r="I767" s="13">
        <f t="shared" si="187"/>
        <v>0</v>
      </c>
      <c r="J767" s="51">
        <f t="shared" si="183"/>
        <v>37735.627127235857</v>
      </c>
    </row>
    <row r="768" spans="1:10" x14ac:dyDescent="0.25">
      <c r="A768" s="4" t="s">
        <v>52</v>
      </c>
      <c r="B768" s="5" t="s">
        <v>227</v>
      </c>
      <c r="C768" s="5" t="s">
        <v>210</v>
      </c>
      <c r="D768" s="5">
        <v>3</v>
      </c>
      <c r="E768" s="11">
        <v>2910</v>
      </c>
      <c r="F768" s="11">
        <v>0</v>
      </c>
      <c r="G768" s="27">
        <f t="shared" si="185"/>
        <v>14.366197183098599</v>
      </c>
      <c r="H768" s="13">
        <f t="shared" si="186"/>
        <v>11320.688138170759</v>
      </c>
      <c r="I768" s="13">
        <f t="shared" si="187"/>
        <v>0</v>
      </c>
      <c r="J768" s="51">
        <f t="shared" si="183"/>
        <v>11320.688138170759</v>
      </c>
    </row>
    <row r="769" spans="1:10" x14ac:dyDescent="0.25">
      <c r="A769" s="4" t="s">
        <v>52</v>
      </c>
      <c r="B769" s="5" t="s">
        <v>228</v>
      </c>
      <c r="C769" s="5" t="s">
        <v>229</v>
      </c>
      <c r="D769" s="5">
        <v>34</v>
      </c>
      <c r="E769" s="11">
        <v>65994</v>
      </c>
      <c r="F769" s="11">
        <v>0</v>
      </c>
      <c r="G769" s="27">
        <f t="shared" si="185"/>
        <v>162.8169014084508</v>
      </c>
      <c r="H769" s="13">
        <f t="shared" si="186"/>
        <v>256734.53367369107</v>
      </c>
      <c r="I769" s="13">
        <f t="shared" si="187"/>
        <v>0</v>
      </c>
      <c r="J769" s="51">
        <f t="shared" si="183"/>
        <v>256734.53367369107</v>
      </c>
    </row>
    <row r="770" spans="1:10" x14ac:dyDescent="0.25">
      <c r="A770" s="4" t="s">
        <v>52</v>
      </c>
      <c r="B770" s="5" t="s">
        <v>230</v>
      </c>
      <c r="C770" s="5" t="s">
        <v>229</v>
      </c>
      <c r="D770" s="5">
        <v>3</v>
      </c>
      <c r="E770" s="11">
        <v>5823</v>
      </c>
      <c r="F770" s="11">
        <v>0</v>
      </c>
      <c r="G770" s="27">
        <f t="shared" si="185"/>
        <v>14.366197183098599</v>
      </c>
      <c r="H770" s="13">
        <f t="shared" si="186"/>
        <v>22653.047088855095</v>
      </c>
      <c r="I770" s="13">
        <f t="shared" si="187"/>
        <v>0</v>
      </c>
      <c r="J770" s="51">
        <f t="shared" si="183"/>
        <v>22653.047088855095</v>
      </c>
    </row>
    <row r="771" spans="1:10" x14ac:dyDescent="0.25">
      <c r="A771" s="4" t="s">
        <v>52</v>
      </c>
      <c r="B771" s="5" t="s">
        <v>231</v>
      </c>
      <c r="C771" s="5" t="s">
        <v>232</v>
      </c>
      <c r="D771" s="5">
        <v>1</v>
      </c>
      <c r="E771" s="11">
        <v>212333</v>
      </c>
      <c r="F771" s="11">
        <v>0</v>
      </c>
      <c r="G771" s="27">
        <f t="shared" si="185"/>
        <v>4.7887323943661997</v>
      </c>
      <c r="H771" s="13">
        <f t="shared" si="186"/>
        <v>826032.87781519303</v>
      </c>
      <c r="I771" s="13">
        <f t="shared" si="187"/>
        <v>0</v>
      </c>
      <c r="J771" s="51">
        <f t="shared" si="183"/>
        <v>826032.87781519303</v>
      </c>
    </row>
    <row r="772" spans="1:10" x14ac:dyDescent="0.25">
      <c r="A772" s="4" t="s">
        <v>52</v>
      </c>
      <c r="B772" s="5" t="s">
        <v>262</v>
      </c>
      <c r="C772" s="5" t="s">
        <v>263</v>
      </c>
      <c r="D772" s="5">
        <v>2</v>
      </c>
      <c r="E772" s="11">
        <v>303332</v>
      </c>
      <c r="F772" s="11">
        <v>0</v>
      </c>
      <c r="G772" s="27">
        <f t="shared" si="185"/>
        <v>9.5774647887323994</v>
      </c>
      <c r="H772" s="13">
        <f t="shared" si="186"/>
        <v>1180043.6337895575</v>
      </c>
      <c r="I772" s="13">
        <f t="shared" si="187"/>
        <v>0</v>
      </c>
      <c r="J772" s="51">
        <f t="shared" si="183"/>
        <v>1180043.6337895575</v>
      </c>
    </row>
    <row r="773" spans="1:10" x14ac:dyDescent="0.25">
      <c r="A773" s="4" t="s">
        <v>52</v>
      </c>
      <c r="B773" s="5" t="s">
        <v>233</v>
      </c>
      <c r="C773" s="5" t="s">
        <v>234</v>
      </c>
      <c r="D773" s="5">
        <v>1</v>
      </c>
      <c r="E773" s="11">
        <v>97066</v>
      </c>
      <c r="F773" s="11">
        <v>0</v>
      </c>
      <c r="G773" s="27">
        <f t="shared" si="185"/>
        <v>4.7887323943661997</v>
      </c>
      <c r="H773" s="13">
        <f t="shared" si="186"/>
        <v>377613.02914765733</v>
      </c>
      <c r="I773" s="13">
        <f t="shared" si="187"/>
        <v>0</v>
      </c>
      <c r="J773" s="51">
        <f t="shared" si="183"/>
        <v>377613.02914765733</v>
      </c>
    </row>
    <row r="774" spans="1:10" x14ac:dyDescent="0.25">
      <c r="A774" s="4" t="s">
        <v>52</v>
      </c>
      <c r="B774" s="5" t="s">
        <v>241</v>
      </c>
      <c r="C774" s="5" t="s">
        <v>236</v>
      </c>
      <c r="D774" s="5">
        <v>11</v>
      </c>
      <c r="E774" s="11">
        <v>75075</v>
      </c>
      <c r="F774" s="11">
        <v>30030</v>
      </c>
      <c r="G774" s="27">
        <f t="shared" si="185"/>
        <v>52.676056338028197</v>
      </c>
      <c r="H774" s="13">
        <f t="shared" si="186"/>
        <v>292062.08315229201</v>
      </c>
      <c r="I774" s="13">
        <f t="shared" si="187"/>
        <v>116824.87128712871</v>
      </c>
      <c r="J774" s="51">
        <f t="shared" si="183"/>
        <v>408886.95443942072</v>
      </c>
    </row>
    <row r="775" spans="1:10" x14ac:dyDescent="0.25">
      <c r="A775" s="4" t="s">
        <v>52</v>
      </c>
      <c r="B775" s="5" t="s">
        <v>243</v>
      </c>
      <c r="C775" s="5" t="s">
        <v>244</v>
      </c>
      <c r="D775" s="5">
        <v>4</v>
      </c>
      <c r="E775" s="11">
        <v>13648</v>
      </c>
      <c r="F775" s="11">
        <v>5460</v>
      </c>
      <c r="G775" s="27">
        <f t="shared" si="185"/>
        <v>19.154929577464799</v>
      </c>
      <c r="H775" s="13">
        <f t="shared" si="186"/>
        <v>53094.416395104643</v>
      </c>
      <c r="I775" s="13">
        <f t="shared" si="187"/>
        <v>21240.885688568858</v>
      </c>
      <c r="J775" s="51">
        <f t="shared" si="183"/>
        <v>74335.302083673509</v>
      </c>
    </row>
    <row r="776" spans="1:10" x14ac:dyDescent="0.25">
      <c r="A776" s="4" t="s">
        <v>52</v>
      </c>
      <c r="B776" s="5" t="s">
        <v>248</v>
      </c>
      <c r="C776" s="5" t="s">
        <v>246</v>
      </c>
      <c r="D776" s="5">
        <v>2</v>
      </c>
      <c r="E776" s="11">
        <v>5126</v>
      </c>
      <c r="F776" s="11">
        <v>2050</v>
      </c>
      <c r="G776" s="27">
        <f t="shared" si="185"/>
        <v>9.5774647887323994</v>
      </c>
      <c r="H776" s="13">
        <f t="shared" si="186"/>
        <v>19941.528314867115</v>
      </c>
      <c r="I776" s="13">
        <f t="shared" si="187"/>
        <v>7975.0578134736552</v>
      </c>
      <c r="J776" s="51">
        <f t="shared" si="183"/>
        <v>27916.586128340772</v>
      </c>
    </row>
    <row r="777" spans="1:10" x14ac:dyDescent="0.25">
      <c r="A777" s="4" t="s">
        <v>52</v>
      </c>
      <c r="B777" s="5" t="s">
        <v>269</v>
      </c>
      <c r="C777" s="5" t="s">
        <v>238</v>
      </c>
      <c r="D777" s="5">
        <v>1</v>
      </c>
      <c r="E777" s="11">
        <v>5126</v>
      </c>
      <c r="F777" s="11">
        <v>2050</v>
      </c>
      <c r="G777" s="27">
        <f t="shared" si="185"/>
        <v>4.7887323943661997</v>
      </c>
      <c r="H777" s="13">
        <f t="shared" si="186"/>
        <v>19941.528314867115</v>
      </c>
      <c r="I777" s="13">
        <f t="shared" si="187"/>
        <v>7975.0578134736552</v>
      </c>
      <c r="J777" s="51">
        <f t="shared" si="183"/>
        <v>27916.586128340772</v>
      </c>
    </row>
    <row r="778" spans="1:10" x14ac:dyDescent="0.25">
      <c r="A778" s="4" t="s">
        <v>52</v>
      </c>
      <c r="B778" s="5" t="s">
        <v>249</v>
      </c>
      <c r="C778" s="5" t="s">
        <v>250</v>
      </c>
      <c r="D778" s="5">
        <v>15</v>
      </c>
      <c r="E778" s="11">
        <v>227490</v>
      </c>
      <c r="F778" s="11">
        <v>90990</v>
      </c>
      <c r="G778" s="27">
        <f t="shared" si="185"/>
        <v>71.830985915492988</v>
      </c>
      <c r="H778" s="13">
        <f t="shared" si="186"/>
        <v>884997.71290462743</v>
      </c>
      <c r="I778" s="13">
        <f t="shared" si="187"/>
        <v>353975.85875510628</v>
      </c>
      <c r="J778" s="51">
        <f t="shared" si="183"/>
        <v>1238973.5716597338</v>
      </c>
    </row>
    <row r="779" spans="1:10" x14ac:dyDescent="0.25">
      <c r="A779" s="4" t="s">
        <v>52</v>
      </c>
      <c r="B779" s="5" t="s">
        <v>252</v>
      </c>
      <c r="C779" s="5" t="s">
        <v>212</v>
      </c>
      <c r="D779" s="5">
        <v>4</v>
      </c>
      <c r="E779" s="11">
        <v>5824</v>
      </c>
      <c r="F779" s="11">
        <v>0</v>
      </c>
      <c r="G779" s="27">
        <f t="shared" si="185"/>
        <v>19.154929577464799</v>
      </c>
      <c r="H779" s="13">
        <f t="shared" si="186"/>
        <v>22656.937359692954</v>
      </c>
      <c r="I779" s="13">
        <f t="shared" si="187"/>
        <v>0</v>
      </c>
      <c r="J779" s="51">
        <f t="shared" si="183"/>
        <v>22656.937359692954</v>
      </c>
    </row>
    <row r="780" spans="1:10" x14ac:dyDescent="0.25">
      <c r="A780" s="4" t="s">
        <v>52</v>
      </c>
      <c r="B780" s="5" t="s">
        <v>254</v>
      </c>
      <c r="C780" s="5" t="s">
        <v>212</v>
      </c>
      <c r="D780" s="5">
        <v>4</v>
      </c>
      <c r="E780" s="11">
        <v>5824</v>
      </c>
      <c r="F780" s="11">
        <v>0</v>
      </c>
      <c r="G780" s="27">
        <f t="shared" si="185"/>
        <v>19.154929577464799</v>
      </c>
      <c r="H780" s="13">
        <f t="shared" si="186"/>
        <v>22656.937359692954</v>
      </c>
      <c r="I780" s="13">
        <f t="shared" si="187"/>
        <v>0</v>
      </c>
      <c r="J780" s="51">
        <f t="shared" si="183"/>
        <v>22656.937359692954</v>
      </c>
    </row>
    <row r="781" spans="1:10" x14ac:dyDescent="0.25">
      <c r="A781" s="4" t="s">
        <v>52</v>
      </c>
      <c r="B781" s="5" t="s">
        <v>255</v>
      </c>
      <c r="C781" s="5" t="s">
        <v>210</v>
      </c>
      <c r="D781" s="5">
        <v>2</v>
      </c>
      <c r="E781" s="11">
        <v>1940</v>
      </c>
      <c r="F781" s="11">
        <v>0</v>
      </c>
      <c r="G781" s="27">
        <f t="shared" si="185"/>
        <v>9.5774647887323994</v>
      </c>
      <c r="H781" s="13">
        <f t="shared" si="186"/>
        <v>7547.1254254471723</v>
      </c>
      <c r="I781" s="13">
        <f t="shared" si="187"/>
        <v>0</v>
      </c>
      <c r="J781" s="51">
        <f t="shared" si="183"/>
        <v>7547.1254254471723</v>
      </c>
    </row>
    <row r="782" spans="1:10" x14ac:dyDescent="0.25">
      <c r="A782" s="4" t="s">
        <v>52</v>
      </c>
      <c r="B782" s="5" t="s">
        <v>256</v>
      </c>
      <c r="C782" s="5" t="s">
        <v>212</v>
      </c>
      <c r="D782" s="5">
        <v>5</v>
      </c>
      <c r="E782" s="11">
        <v>7280</v>
      </c>
      <c r="F782" s="11">
        <v>0</v>
      </c>
      <c r="G782" s="27">
        <f t="shared" si="185"/>
        <v>23.943661971830998</v>
      </c>
      <c r="H782" s="13">
        <f t="shared" si="186"/>
        <v>28321.171699616192</v>
      </c>
      <c r="I782" s="13">
        <f t="shared" si="187"/>
        <v>0</v>
      </c>
      <c r="J782" s="51">
        <f t="shared" si="183"/>
        <v>28321.171699616192</v>
      </c>
    </row>
    <row r="783" spans="1:10" x14ac:dyDescent="0.25">
      <c r="A783" s="15" t="s">
        <v>52</v>
      </c>
      <c r="B783" s="16" t="s">
        <v>257</v>
      </c>
      <c r="C783" s="16" t="s">
        <v>210</v>
      </c>
      <c r="D783" s="16">
        <v>4</v>
      </c>
      <c r="E783" s="18">
        <v>3880</v>
      </c>
      <c r="F783" s="18">
        <v>0</v>
      </c>
      <c r="G783" s="27">
        <f t="shared" si="185"/>
        <v>19.154929577464799</v>
      </c>
      <c r="H783" s="13">
        <f t="shared" si="186"/>
        <v>15094.250850894345</v>
      </c>
      <c r="I783" s="13">
        <f t="shared" si="187"/>
        <v>0</v>
      </c>
      <c r="J783" s="51">
        <f t="shared" si="183"/>
        <v>15094.250850894345</v>
      </c>
    </row>
    <row r="784" spans="1:10" s="3" customFormat="1" x14ac:dyDescent="0.25">
      <c r="A784" s="4"/>
      <c r="B784" s="20" t="s">
        <v>296</v>
      </c>
      <c r="C784" s="21"/>
      <c r="D784" s="21"/>
      <c r="E784" s="29"/>
      <c r="F784" s="29"/>
      <c r="G784" s="47">
        <f>SUM(G760:G783)</f>
        <v>680.00000000000057</v>
      </c>
      <c r="H784" s="47">
        <f t="shared" ref="H784:J784" si="188">SUM(H760:H783)</f>
        <v>5157191.9999999981</v>
      </c>
      <c r="I784" s="47">
        <f t="shared" si="188"/>
        <v>842808</v>
      </c>
      <c r="J784" s="47">
        <f t="shared" si="188"/>
        <v>6000000</v>
      </c>
    </row>
    <row r="785" spans="1:10" x14ac:dyDescent="0.25">
      <c r="A785" s="23" t="s">
        <v>53</v>
      </c>
      <c r="B785" s="24" t="s">
        <v>213</v>
      </c>
      <c r="C785" s="24" t="s">
        <v>212</v>
      </c>
      <c r="D785" s="24">
        <v>1</v>
      </c>
      <c r="E785" s="30">
        <v>728</v>
      </c>
      <c r="F785" s="30">
        <v>0</v>
      </c>
      <c r="G785" s="27">
        <f>+D785*4.85714285714286</f>
        <v>4.8571428571428603</v>
      </c>
      <c r="H785" s="13">
        <f>+E785*3500000/3638</f>
        <v>700384.82682792738</v>
      </c>
      <c r="I785" s="13">
        <v>0</v>
      </c>
      <c r="J785" s="51">
        <f t="shared" si="183"/>
        <v>700384.82682792738</v>
      </c>
    </row>
    <row r="786" spans="1:10" x14ac:dyDescent="0.25">
      <c r="A786" s="4" t="s">
        <v>53</v>
      </c>
      <c r="B786" s="5" t="s">
        <v>214</v>
      </c>
      <c r="C786" s="5" t="s">
        <v>210</v>
      </c>
      <c r="D786" s="5">
        <v>1</v>
      </c>
      <c r="E786" s="11">
        <v>485</v>
      </c>
      <c r="F786" s="11">
        <v>0</v>
      </c>
      <c r="G786" s="27">
        <f t="shared" ref="G786:G787" si="189">+D786*4.85714285714286</f>
        <v>4.8571428571428603</v>
      </c>
      <c r="H786" s="13">
        <f t="shared" ref="H786:H787" si="190">+E786*3500000/3638</f>
        <v>466602.52886201208</v>
      </c>
      <c r="I786" s="13">
        <v>0</v>
      </c>
      <c r="J786" s="51">
        <f t="shared" si="183"/>
        <v>466602.52886201208</v>
      </c>
    </row>
    <row r="787" spans="1:10" x14ac:dyDescent="0.25">
      <c r="A787" s="15" t="s">
        <v>53</v>
      </c>
      <c r="B787" s="16" t="s">
        <v>253</v>
      </c>
      <c r="C787" s="16" t="s">
        <v>210</v>
      </c>
      <c r="D787" s="16">
        <v>5</v>
      </c>
      <c r="E787" s="18">
        <v>2425</v>
      </c>
      <c r="F787" s="18">
        <v>0</v>
      </c>
      <c r="G787" s="27">
        <f t="shared" si="189"/>
        <v>24.285714285714302</v>
      </c>
      <c r="H787" s="13">
        <f t="shared" si="190"/>
        <v>2333012.6443100604</v>
      </c>
      <c r="I787" s="13">
        <v>0</v>
      </c>
      <c r="J787" s="51">
        <f t="shared" si="183"/>
        <v>2333012.6443100604</v>
      </c>
    </row>
    <row r="788" spans="1:10" s="3" customFormat="1" x14ac:dyDescent="0.25">
      <c r="A788" s="4"/>
      <c r="B788" s="20" t="s">
        <v>297</v>
      </c>
      <c r="C788" s="21"/>
      <c r="D788" s="21"/>
      <c r="E788" s="29"/>
      <c r="F788" s="29"/>
      <c r="G788" s="47">
        <f>SUM(G785:G787)</f>
        <v>34.000000000000021</v>
      </c>
      <c r="H788" s="47">
        <f t="shared" ref="H788:J788" si="191">SUM(H785:H787)</f>
        <v>3500000</v>
      </c>
      <c r="I788" s="47">
        <f t="shared" si="191"/>
        <v>0</v>
      </c>
      <c r="J788" s="47">
        <f t="shared" si="191"/>
        <v>3500000</v>
      </c>
    </row>
    <row r="789" spans="1:10" s="3" customFormat="1" x14ac:dyDescent="0.25">
      <c r="A789" s="34" t="s">
        <v>54</v>
      </c>
      <c r="B789" s="5" t="s">
        <v>214</v>
      </c>
      <c r="C789" s="5" t="s">
        <v>210</v>
      </c>
      <c r="D789" s="21"/>
      <c r="E789" s="29"/>
      <c r="F789" s="29"/>
      <c r="G789" s="48">
        <v>4</v>
      </c>
      <c r="H789" s="35">
        <v>200000</v>
      </c>
      <c r="I789" s="39">
        <v>2300000</v>
      </c>
      <c r="J789" s="51">
        <f t="shared" si="183"/>
        <v>2500000</v>
      </c>
    </row>
    <row r="790" spans="1:10" s="3" customFormat="1" x14ac:dyDescent="0.25">
      <c r="A790" s="24" t="s">
        <v>54</v>
      </c>
      <c r="B790" s="21"/>
      <c r="C790" s="21"/>
      <c r="D790" s="21"/>
      <c r="E790" s="29"/>
      <c r="F790" s="29"/>
      <c r="G790" s="48"/>
      <c r="H790" s="48"/>
      <c r="I790" s="48"/>
      <c r="J790" s="51">
        <f t="shared" si="183"/>
        <v>0</v>
      </c>
    </row>
    <row r="791" spans="1:10" s="3" customFormat="1" x14ac:dyDescent="0.25">
      <c r="A791" s="36"/>
      <c r="B791" s="1" t="s">
        <v>471</v>
      </c>
      <c r="C791" s="1"/>
      <c r="D791" s="1"/>
      <c r="E791" s="2"/>
      <c r="F791" s="2"/>
      <c r="G791" s="47">
        <f>SUM(G789:G790)</f>
        <v>4</v>
      </c>
      <c r="H791" s="47">
        <f>SUM(H789:H790)</f>
        <v>200000</v>
      </c>
      <c r="I791" s="47">
        <f t="shared" ref="I791:J791" si="192">SUM(I789:I790)</f>
        <v>2300000</v>
      </c>
      <c r="J791" s="47">
        <f t="shared" si="192"/>
        <v>2500000</v>
      </c>
    </row>
    <row r="792" spans="1:10" x14ac:dyDescent="0.25">
      <c r="A792" s="4" t="s">
        <v>55</v>
      </c>
      <c r="B792" s="5" t="s">
        <v>209</v>
      </c>
      <c r="C792" s="5" t="s">
        <v>210</v>
      </c>
      <c r="D792" s="5">
        <v>1</v>
      </c>
      <c r="E792" s="11">
        <v>970</v>
      </c>
      <c r="F792" s="11">
        <v>0</v>
      </c>
      <c r="G792" s="27">
        <f>+D792*4.85714285714286</f>
        <v>4.8571428571428603</v>
      </c>
      <c r="H792" s="13">
        <f>+E792*1490622/19987</f>
        <v>72342.189423125033</v>
      </c>
      <c r="I792" s="13">
        <f>+F792*509378/6830</f>
        <v>0</v>
      </c>
      <c r="J792" s="51">
        <f t="shared" si="183"/>
        <v>72342.189423125033</v>
      </c>
    </row>
    <row r="793" spans="1:10" x14ac:dyDescent="0.25">
      <c r="A793" s="4" t="s">
        <v>55</v>
      </c>
      <c r="B793" s="5" t="s">
        <v>216</v>
      </c>
      <c r="C793" s="5" t="s">
        <v>210</v>
      </c>
      <c r="D793" s="5">
        <v>2</v>
      </c>
      <c r="E793" s="11">
        <v>1940</v>
      </c>
      <c r="F793" s="11">
        <v>0</v>
      </c>
      <c r="G793" s="27">
        <f t="shared" ref="G793:G796" si="193">+D793*4.85714285714286</f>
        <v>9.7142857142857206</v>
      </c>
      <c r="H793" s="13">
        <f t="shared" ref="H793:H796" si="194">+E793*1490622/19987</f>
        <v>144684.37884625007</v>
      </c>
      <c r="I793" s="13">
        <f t="shared" ref="I793:I796" si="195">+F793*509378/6830</f>
        <v>0</v>
      </c>
      <c r="J793" s="51">
        <f t="shared" si="183"/>
        <v>144684.37884625007</v>
      </c>
    </row>
    <row r="794" spans="1:10" x14ac:dyDescent="0.25">
      <c r="A794" s="4" t="s">
        <v>55</v>
      </c>
      <c r="B794" s="5" t="s">
        <v>223</v>
      </c>
      <c r="C794" s="5" t="s">
        <v>224</v>
      </c>
      <c r="D794" s="5">
        <v>1</v>
      </c>
      <c r="E794" s="11">
        <v>0</v>
      </c>
      <c r="F794" s="11">
        <v>0</v>
      </c>
      <c r="G794" s="27">
        <f t="shared" si="193"/>
        <v>4.8571428571428603</v>
      </c>
      <c r="H794" s="13">
        <f t="shared" si="194"/>
        <v>0</v>
      </c>
      <c r="I794" s="13">
        <f t="shared" si="195"/>
        <v>0</v>
      </c>
      <c r="J794" s="51">
        <f t="shared" si="183"/>
        <v>0</v>
      </c>
    </row>
    <row r="795" spans="1:10" x14ac:dyDescent="0.25">
      <c r="A795" s="4" t="s">
        <v>55</v>
      </c>
      <c r="B795" s="5" t="s">
        <v>240</v>
      </c>
      <c r="C795" s="5" t="s">
        <v>238</v>
      </c>
      <c r="D795" s="5">
        <v>2</v>
      </c>
      <c r="E795" s="11">
        <v>10252</v>
      </c>
      <c r="F795" s="11">
        <v>4100</v>
      </c>
      <c r="G795" s="27">
        <f t="shared" si="193"/>
        <v>9.7142857142857206</v>
      </c>
      <c r="H795" s="13">
        <f t="shared" si="194"/>
        <v>764589.82058337925</v>
      </c>
      <c r="I795" s="13">
        <f t="shared" si="195"/>
        <v>305775.95900439238</v>
      </c>
      <c r="J795" s="51">
        <f t="shared" si="183"/>
        <v>1070365.7795877717</v>
      </c>
    </row>
    <row r="796" spans="1:10" x14ac:dyDescent="0.25">
      <c r="A796" s="15" t="s">
        <v>55</v>
      </c>
      <c r="B796" s="16" t="s">
        <v>241</v>
      </c>
      <c r="C796" s="16" t="s">
        <v>236</v>
      </c>
      <c r="D796" s="16">
        <v>1</v>
      </c>
      <c r="E796" s="18">
        <v>6825</v>
      </c>
      <c r="F796" s="18">
        <v>2730</v>
      </c>
      <c r="G796" s="27">
        <f t="shared" si="193"/>
        <v>4.8571428571428603</v>
      </c>
      <c r="H796" s="13">
        <f t="shared" si="194"/>
        <v>509005.61114724568</v>
      </c>
      <c r="I796" s="13">
        <f t="shared" si="195"/>
        <v>203602.04099560762</v>
      </c>
      <c r="J796" s="51">
        <f t="shared" si="183"/>
        <v>712607.65214285324</v>
      </c>
    </row>
    <row r="797" spans="1:10" s="3" customFormat="1" x14ac:dyDescent="0.25">
      <c r="A797" s="4"/>
      <c r="B797" s="20" t="s">
        <v>298</v>
      </c>
      <c r="C797" s="21"/>
      <c r="D797" s="21"/>
      <c r="E797" s="29"/>
      <c r="F797" s="29"/>
      <c r="G797" s="47">
        <f>SUM(G792:G796)</f>
        <v>34.000000000000021</v>
      </c>
      <c r="H797" s="47">
        <f t="shared" ref="H797:J797" si="196">SUM(H792:H796)</f>
        <v>1490622</v>
      </c>
      <c r="I797" s="47">
        <f t="shared" si="196"/>
        <v>509378</v>
      </c>
      <c r="J797" s="47">
        <f t="shared" si="196"/>
        <v>2000000</v>
      </c>
    </row>
    <row r="798" spans="1:10" x14ac:dyDescent="0.25">
      <c r="A798" s="23" t="s">
        <v>56</v>
      </c>
      <c r="B798" s="24" t="s">
        <v>216</v>
      </c>
      <c r="C798" s="24" t="s">
        <v>210</v>
      </c>
      <c r="D798" s="24">
        <v>1</v>
      </c>
      <c r="E798" s="30">
        <v>485</v>
      </c>
      <c r="F798" s="30">
        <v>0</v>
      </c>
      <c r="G798" s="27">
        <f>+D798*4.78571428571429</f>
        <v>4.78571428571429</v>
      </c>
      <c r="H798" s="13">
        <f>+E798*2391833/21261</f>
        <v>54561.827054230751</v>
      </c>
      <c r="I798" s="13">
        <f>+F798*1608167/14295</f>
        <v>0</v>
      </c>
      <c r="J798" s="51">
        <f t="shared" si="183"/>
        <v>54561.827054230751</v>
      </c>
    </row>
    <row r="799" spans="1:10" x14ac:dyDescent="0.25">
      <c r="A799" s="4" t="s">
        <v>56</v>
      </c>
      <c r="B799" s="5" t="s">
        <v>217</v>
      </c>
      <c r="C799" s="5" t="s">
        <v>218</v>
      </c>
      <c r="D799" s="5">
        <v>1</v>
      </c>
      <c r="E799" s="11">
        <v>1656</v>
      </c>
      <c r="F799" s="11">
        <v>1325</v>
      </c>
      <c r="G799" s="27">
        <f t="shared" ref="G799:G804" si="197">+D799*4.78571428571429</f>
        <v>4.78571428571429</v>
      </c>
      <c r="H799" s="13">
        <f t="shared" ref="H799:H804" si="198">+E799*2391833/21261</f>
        <v>186297.70227176521</v>
      </c>
      <c r="I799" s="13">
        <f t="shared" ref="I799:I804" si="199">+F799*1608167/14295</f>
        <v>149060.59986009094</v>
      </c>
      <c r="J799" s="51">
        <f t="shared" si="183"/>
        <v>335358.30213185615</v>
      </c>
    </row>
    <row r="800" spans="1:10" x14ac:dyDescent="0.25">
      <c r="A800" s="4" t="s">
        <v>56</v>
      </c>
      <c r="B800" s="5" t="s">
        <v>241</v>
      </c>
      <c r="C800" s="5" t="s">
        <v>236</v>
      </c>
      <c r="D800" s="5">
        <v>4</v>
      </c>
      <c r="E800" s="11">
        <v>13648</v>
      </c>
      <c r="F800" s="11">
        <v>10920</v>
      </c>
      <c r="G800" s="27">
        <f t="shared" si="197"/>
        <v>19.14285714285716</v>
      </c>
      <c r="H800" s="13">
        <f t="shared" si="198"/>
        <v>1535381.0631673017</v>
      </c>
      <c r="I800" s="13">
        <f t="shared" si="199"/>
        <v>1228484.3399790137</v>
      </c>
      <c r="J800" s="51">
        <f t="shared" si="183"/>
        <v>2763865.4031463154</v>
      </c>
    </row>
    <row r="801" spans="1:10" x14ac:dyDescent="0.25">
      <c r="A801" s="4" t="s">
        <v>56</v>
      </c>
      <c r="B801" s="5" t="s">
        <v>245</v>
      </c>
      <c r="C801" s="5" t="s">
        <v>246</v>
      </c>
      <c r="D801" s="5">
        <v>1</v>
      </c>
      <c r="E801" s="11">
        <v>1281</v>
      </c>
      <c r="F801" s="11">
        <v>1025</v>
      </c>
      <c r="G801" s="27">
        <f t="shared" si="197"/>
        <v>4.78571428571429</v>
      </c>
      <c r="H801" s="13">
        <f t="shared" si="198"/>
        <v>144110.72259065896</v>
      </c>
      <c r="I801" s="13">
        <f t="shared" si="199"/>
        <v>115311.03008044772</v>
      </c>
      <c r="J801" s="51">
        <f t="shared" si="183"/>
        <v>259421.75267110666</v>
      </c>
    </row>
    <row r="802" spans="1:10" x14ac:dyDescent="0.25">
      <c r="A802" s="4" t="s">
        <v>56</v>
      </c>
      <c r="B802" s="5" t="s">
        <v>248</v>
      </c>
      <c r="C802" s="5" t="s">
        <v>246</v>
      </c>
      <c r="D802" s="5">
        <v>1</v>
      </c>
      <c r="E802" s="11">
        <v>1281</v>
      </c>
      <c r="F802" s="11">
        <v>1025</v>
      </c>
      <c r="G802" s="27">
        <f t="shared" si="197"/>
        <v>4.78571428571429</v>
      </c>
      <c r="H802" s="13">
        <f t="shared" si="198"/>
        <v>144110.72259065896</v>
      </c>
      <c r="I802" s="13">
        <f t="shared" si="199"/>
        <v>115311.03008044772</v>
      </c>
      <c r="J802" s="51">
        <f t="shared" si="183"/>
        <v>259421.75267110666</v>
      </c>
    </row>
    <row r="803" spans="1:10" x14ac:dyDescent="0.25">
      <c r="A803" s="4" t="s">
        <v>56</v>
      </c>
      <c r="B803" s="5" t="s">
        <v>253</v>
      </c>
      <c r="C803" s="5" t="s">
        <v>210</v>
      </c>
      <c r="D803" s="5">
        <v>4</v>
      </c>
      <c r="E803" s="11">
        <v>1940</v>
      </c>
      <c r="F803" s="11">
        <v>0</v>
      </c>
      <c r="G803" s="27">
        <f t="shared" si="197"/>
        <v>19.14285714285716</v>
      </c>
      <c r="H803" s="13">
        <f t="shared" si="198"/>
        <v>218247.308216923</v>
      </c>
      <c r="I803" s="13">
        <f t="shared" si="199"/>
        <v>0</v>
      </c>
      <c r="J803" s="51">
        <f t="shared" si="183"/>
        <v>218247.308216923</v>
      </c>
    </row>
    <row r="804" spans="1:10" x14ac:dyDescent="0.25">
      <c r="A804" s="15" t="s">
        <v>56</v>
      </c>
      <c r="B804" s="16" t="s">
        <v>257</v>
      </c>
      <c r="C804" s="16" t="s">
        <v>210</v>
      </c>
      <c r="D804" s="16">
        <v>2</v>
      </c>
      <c r="E804" s="18">
        <v>970</v>
      </c>
      <c r="F804" s="18">
        <v>0</v>
      </c>
      <c r="G804" s="27">
        <f t="shared" si="197"/>
        <v>9.5714285714285801</v>
      </c>
      <c r="H804" s="13">
        <f t="shared" si="198"/>
        <v>109123.6541084615</v>
      </c>
      <c r="I804" s="13">
        <f t="shared" si="199"/>
        <v>0</v>
      </c>
      <c r="J804" s="51">
        <f t="shared" si="183"/>
        <v>109123.6541084615</v>
      </c>
    </row>
    <row r="805" spans="1:10" s="3" customFormat="1" x14ac:dyDescent="0.25">
      <c r="A805" s="4"/>
      <c r="B805" s="20" t="s">
        <v>299</v>
      </c>
      <c r="C805" s="21"/>
      <c r="D805" s="21"/>
      <c r="E805" s="29"/>
      <c r="F805" s="29"/>
      <c r="G805" s="47">
        <f>SUM(G798:G804)</f>
        <v>67.000000000000057</v>
      </c>
      <c r="H805" s="47">
        <f t="shared" ref="H805:J805" si="200">SUM(H798:H804)</f>
        <v>2391833.0000000005</v>
      </c>
      <c r="I805" s="47">
        <f t="shared" si="200"/>
        <v>1608167</v>
      </c>
      <c r="J805" s="47">
        <f t="shared" si="200"/>
        <v>4000000</v>
      </c>
    </row>
    <row r="806" spans="1:10" x14ac:dyDescent="0.25">
      <c r="A806" s="23" t="s">
        <v>57</v>
      </c>
      <c r="B806" s="24" t="s">
        <v>207</v>
      </c>
      <c r="C806" s="24" t="s">
        <v>208</v>
      </c>
      <c r="D806" s="24">
        <v>1</v>
      </c>
      <c r="E806" s="30">
        <v>11648</v>
      </c>
      <c r="F806" s="30">
        <v>4659</v>
      </c>
      <c r="G806" s="27">
        <f>+D806*4.78787878787879</f>
        <v>4.7878787878787898</v>
      </c>
      <c r="H806" s="13">
        <f>+E806*3169590/441408</f>
        <v>83640.043497172679</v>
      </c>
      <c r="I806" s="13">
        <f>+F806*330410/46014</f>
        <v>33454.604902855652</v>
      </c>
      <c r="J806" s="51">
        <f t="shared" si="183"/>
        <v>117094.64840002832</v>
      </c>
    </row>
    <row r="807" spans="1:10" x14ac:dyDescent="0.25">
      <c r="A807" s="4" t="s">
        <v>57</v>
      </c>
      <c r="B807" s="5" t="s">
        <v>211</v>
      </c>
      <c r="C807" s="5" t="s">
        <v>212</v>
      </c>
      <c r="D807" s="5">
        <v>1</v>
      </c>
      <c r="E807" s="11">
        <v>1456</v>
      </c>
      <c r="F807" s="11">
        <v>0</v>
      </c>
      <c r="G807" s="27">
        <f t="shared" ref="G807:G826" si="201">+D807*4.78787878787879</f>
        <v>4.7878787878787898</v>
      </c>
      <c r="H807" s="13">
        <f t="shared" ref="H807:H826" si="202">+E807*3169590/441408</f>
        <v>10455.005437146585</v>
      </c>
      <c r="I807" s="13">
        <f t="shared" ref="I807:I826" si="203">+F807*330410/46014</f>
        <v>0</v>
      </c>
      <c r="J807" s="51">
        <f t="shared" si="183"/>
        <v>10455.005437146585</v>
      </c>
    </row>
    <row r="808" spans="1:10" x14ac:dyDescent="0.25">
      <c r="A808" s="4" t="s">
        <v>57</v>
      </c>
      <c r="B808" s="5" t="s">
        <v>213</v>
      </c>
      <c r="C808" s="5" t="s">
        <v>212</v>
      </c>
      <c r="D808" s="5">
        <v>1</v>
      </c>
      <c r="E808" s="11">
        <v>1456</v>
      </c>
      <c r="F808" s="11">
        <v>0</v>
      </c>
      <c r="G808" s="27">
        <f t="shared" si="201"/>
        <v>4.7878787878787898</v>
      </c>
      <c r="H808" s="13">
        <f t="shared" si="202"/>
        <v>10455.005437146585</v>
      </c>
      <c r="I808" s="13">
        <f t="shared" si="203"/>
        <v>0</v>
      </c>
      <c r="J808" s="51">
        <f t="shared" si="183"/>
        <v>10455.005437146585</v>
      </c>
    </row>
    <row r="809" spans="1:10" x14ac:dyDescent="0.25">
      <c r="A809" s="4" t="s">
        <v>57</v>
      </c>
      <c r="B809" s="5" t="s">
        <v>214</v>
      </c>
      <c r="C809" s="5" t="s">
        <v>210</v>
      </c>
      <c r="D809" s="5">
        <v>1</v>
      </c>
      <c r="E809" s="11">
        <v>970</v>
      </c>
      <c r="F809" s="11">
        <v>0</v>
      </c>
      <c r="G809" s="27">
        <f t="shared" si="201"/>
        <v>4.7878787878787898</v>
      </c>
      <c r="H809" s="13">
        <f t="shared" si="202"/>
        <v>6965.2165343627667</v>
      </c>
      <c r="I809" s="13">
        <f t="shared" si="203"/>
        <v>0</v>
      </c>
      <c r="J809" s="51">
        <f t="shared" si="183"/>
        <v>6965.2165343627667</v>
      </c>
    </row>
    <row r="810" spans="1:10" x14ac:dyDescent="0.25">
      <c r="A810" s="4" t="s">
        <v>57</v>
      </c>
      <c r="B810" s="5" t="s">
        <v>216</v>
      </c>
      <c r="C810" s="5" t="s">
        <v>210</v>
      </c>
      <c r="D810" s="5">
        <v>1</v>
      </c>
      <c r="E810" s="11">
        <v>970</v>
      </c>
      <c r="F810" s="11">
        <v>0</v>
      </c>
      <c r="G810" s="27">
        <f t="shared" si="201"/>
        <v>4.7878787878787898</v>
      </c>
      <c r="H810" s="13">
        <f t="shared" si="202"/>
        <v>6965.2165343627667</v>
      </c>
      <c r="I810" s="13">
        <f t="shared" si="203"/>
        <v>0</v>
      </c>
      <c r="J810" s="51">
        <f t="shared" si="183"/>
        <v>6965.2165343627667</v>
      </c>
    </row>
    <row r="811" spans="1:10" x14ac:dyDescent="0.25">
      <c r="A811" s="4" t="s">
        <v>57</v>
      </c>
      <c r="B811" s="5" t="s">
        <v>217</v>
      </c>
      <c r="C811" s="5" t="s">
        <v>218</v>
      </c>
      <c r="D811" s="5">
        <v>3</v>
      </c>
      <c r="E811" s="11">
        <v>9939</v>
      </c>
      <c r="F811" s="11">
        <v>3975</v>
      </c>
      <c r="G811" s="27">
        <f t="shared" si="201"/>
        <v>14.36363636363637</v>
      </c>
      <c r="H811" s="13">
        <f t="shared" si="202"/>
        <v>71368.337252609825</v>
      </c>
      <c r="I811" s="13">
        <f t="shared" si="203"/>
        <v>28543.046681444779</v>
      </c>
      <c r="J811" s="51">
        <f t="shared" si="183"/>
        <v>99911.383934054611</v>
      </c>
    </row>
    <row r="812" spans="1:10" x14ac:dyDescent="0.25">
      <c r="A812" s="4" t="s">
        <v>57</v>
      </c>
      <c r="B812" s="5" t="s">
        <v>219</v>
      </c>
      <c r="C812" s="5" t="s">
        <v>220</v>
      </c>
      <c r="D812" s="5">
        <v>1</v>
      </c>
      <c r="E812" s="11">
        <v>3397</v>
      </c>
      <c r="F812" s="11">
        <v>1358</v>
      </c>
      <c r="G812" s="27">
        <f t="shared" si="201"/>
        <v>4.7878787878787898</v>
      </c>
      <c r="H812" s="13">
        <f t="shared" si="202"/>
        <v>24392.619141474555</v>
      </c>
      <c r="I812" s="13">
        <f t="shared" si="203"/>
        <v>9751.3100360759763</v>
      </c>
      <c r="J812" s="51">
        <f t="shared" si="183"/>
        <v>34143.929177550533</v>
      </c>
    </row>
    <row r="813" spans="1:10" x14ac:dyDescent="0.25">
      <c r="A813" s="4" t="s">
        <v>57</v>
      </c>
      <c r="B813" s="5" t="s">
        <v>226</v>
      </c>
      <c r="C813" s="5" t="s">
        <v>210</v>
      </c>
      <c r="D813" s="5">
        <v>6</v>
      </c>
      <c r="E813" s="11">
        <v>5820</v>
      </c>
      <c r="F813" s="11">
        <v>0</v>
      </c>
      <c r="G813" s="27">
        <f t="shared" si="201"/>
        <v>28.727272727272741</v>
      </c>
      <c r="H813" s="13">
        <f t="shared" si="202"/>
        <v>41791.299206176598</v>
      </c>
      <c r="I813" s="13">
        <f t="shared" si="203"/>
        <v>0</v>
      </c>
      <c r="J813" s="51">
        <f t="shared" si="183"/>
        <v>41791.299206176598</v>
      </c>
    </row>
    <row r="814" spans="1:10" x14ac:dyDescent="0.25">
      <c r="A814" s="4" t="s">
        <v>57</v>
      </c>
      <c r="B814" s="5" t="s">
        <v>227</v>
      </c>
      <c r="C814" s="5" t="s">
        <v>210</v>
      </c>
      <c r="D814" s="5">
        <v>2</v>
      </c>
      <c r="E814" s="11">
        <v>1940</v>
      </c>
      <c r="F814" s="11">
        <v>0</v>
      </c>
      <c r="G814" s="27">
        <f t="shared" si="201"/>
        <v>9.5757575757575797</v>
      </c>
      <c r="H814" s="13">
        <f t="shared" si="202"/>
        <v>13930.433068725533</v>
      </c>
      <c r="I814" s="13">
        <f t="shared" si="203"/>
        <v>0</v>
      </c>
      <c r="J814" s="51">
        <f t="shared" si="183"/>
        <v>13930.433068725533</v>
      </c>
    </row>
    <row r="815" spans="1:10" x14ac:dyDescent="0.25">
      <c r="A815" s="4" t="s">
        <v>57</v>
      </c>
      <c r="B815" s="5" t="s">
        <v>228</v>
      </c>
      <c r="C815" s="5" t="s">
        <v>229</v>
      </c>
      <c r="D815" s="5">
        <v>27</v>
      </c>
      <c r="E815" s="11">
        <v>52407</v>
      </c>
      <c r="F815" s="11">
        <v>0</v>
      </c>
      <c r="G815" s="27">
        <f t="shared" si="201"/>
        <v>129.27272727272734</v>
      </c>
      <c r="H815" s="13">
        <f t="shared" si="202"/>
        <v>376315.57001685514</v>
      </c>
      <c r="I815" s="13">
        <f t="shared" si="203"/>
        <v>0</v>
      </c>
      <c r="J815" s="51">
        <f t="shared" si="183"/>
        <v>376315.57001685514</v>
      </c>
    </row>
    <row r="816" spans="1:10" x14ac:dyDescent="0.25">
      <c r="A816" s="4" t="s">
        <v>57</v>
      </c>
      <c r="B816" s="5" t="s">
        <v>230</v>
      </c>
      <c r="C816" s="5" t="s">
        <v>229</v>
      </c>
      <c r="D816" s="5">
        <v>3</v>
      </c>
      <c r="E816" s="11">
        <v>5823</v>
      </c>
      <c r="F816" s="11">
        <v>0</v>
      </c>
      <c r="G816" s="27">
        <f t="shared" si="201"/>
        <v>14.36363636363637</v>
      </c>
      <c r="H816" s="13">
        <f t="shared" si="202"/>
        <v>41812.841112983908</v>
      </c>
      <c r="I816" s="13">
        <f t="shared" si="203"/>
        <v>0</v>
      </c>
      <c r="J816" s="51">
        <f t="shared" si="183"/>
        <v>41812.841112983908</v>
      </c>
    </row>
    <row r="817" spans="1:10" x14ac:dyDescent="0.25">
      <c r="A817" s="4" t="s">
        <v>57</v>
      </c>
      <c r="B817" s="5" t="s">
        <v>262</v>
      </c>
      <c r="C817" s="5" t="s">
        <v>263</v>
      </c>
      <c r="D817" s="5">
        <v>1</v>
      </c>
      <c r="E817" s="11">
        <v>151666</v>
      </c>
      <c r="F817" s="11">
        <v>0</v>
      </c>
      <c r="G817" s="27">
        <f t="shared" si="201"/>
        <v>4.7878787878787898</v>
      </c>
      <c r="H817" s="13">
        <f t="shared" si="202"/>
        <v>1089058.2792790344</v>
      </c>
      <c r="I817" s="13">
        <f t="shared" si="203"/>
        <v>0</v>
      </c>
      <c r="J817" s="51">
        <f t="shared" si="183"/>
        <v>1089058.2792790344</v>
      </c>
    </row>
    <row r="818" spans="1:10" x14ac:dyDescent="0.25">
      <c r="A818" s="4" t="s">
        <v>57</v>
      </c>
      <c r="B818" s="5" t="s">
        <v>233</v>
      </c>
      <c r="C818" s="5" t="s">
        <v>234</v>
      </c>
      <c r="D818" s="5">
        <v>1</v>
      </c>
      <c r="E818" s="11">
        <v>97066</v>
      </c>
      <c r="F818" s="11">
        <v>0</v>
      </c>
      <c r="G818" s="27">
        <f t="shared" si="201"/>
        <v>4.7878787878787898</v>
      </c>
      <c r="H818" s="13">
        <f t="shared" si="202"/>
        <v>696995.57538603735</v>
      </c>
      <c r="I818" s="13">
        <f t="shared" si="203"/>
        <v>0</v>
      </c>
      <c r="J818" s="51">
        <f t="shared" si="183"/>
        <v>696995.57538603735</v>
      </c>
    </row>
    <row r="819" spans="1:10" x14ac:dyDescent="0.25">
      <c r="A819" s="4" t="s">
        <v>57</v>
      </c>
      <c r="B819" s="5" t="s">
        <v>239</v>
      </c>
      <c r="C819" s="5" t="s">
        <v>236</v>
      </c>
      <c r="D819" s="5">
        <v>1</v>
      </c>
      <c r="E819" s="11">
        <v>6825</v>
      </c>
      <c r="F819" s="11">
        <v>2730</v>
      </c>
      <c r="G819" s="27">
        <f t="shared" si="201"/>
        <v>4.7878787878787898</v>
      </c>
      <c r="H819" s="13">
        <f t="shared" si="202"/>
        <v>49007.837986624618</v>
      </c>
      <c r="I819" s="13">
        <f t="shared" si="203"/>
        <v>19603.149041596036</v>
      </c>
      <c r="J819" s="51">
        <f t="shared" si="183"/>
        <v>68610.987028220654</v>
      </c>
    </row>
    <row r="820" spans="1:10" x14ac:dyDescent="0.25">
      <c r="A820" s="4" t="s">
        <v>57</v>
      </c>
      <c r="B820" s="5" t="s">
        <v>240</v>
      </c>
      <c r="C820" s="5" t="s">
        <v>238</v>
      </c>
      <c r="D820" s="5">
        <v>1</v>
      </c>
      <c r="E820" s="11">
        <v>5126</v>
      </c>
      <c r="F820" s="11">
        <v>2050</v>
      </c>
      <c r="G820" s="27">
        <f t="shared" si="201"/>
        <v>4.7878787878787898</v>
      </c>
      <c r="H820" s="13">
        <f t="shared" si="202"/>
        <v>36807.938098086124</v>
      </c>
      <c r="I820" s="13">
        <f t="shared" si="203"/>
        <v>14720.313382883471</v>
      </c>
      <c r="J820" s="51">
        <f t="shared" ref="J820:J889" si="204">SUM(H820:I820)</f>
        <v>51528.251480969593</v>
      </c>
    </row>
    <row r="821" spans="1:10" x14ac:dyDescent="0.25">
      <c r="A821" s="4" t="s">
        <v>57</v>
      </c>
      <c r="B821" s="5" t="s">
        <v>241</v>
      </c>
      <c r="C821" s="5" t="s">
        <v>236</v>
      </c>
      <c r="D821" s="5">
        <v>7</v>
      </c>
      <c r="E821" s="11">
        <v>47775</v>
      </c>
      <c r="F821" s="11">
        <v>19110</v>
      </c>
      <c r="G821" s="27">
        <f t="shared" si="201"/>
        <v>33.51515151515153</v>
      </c>
      <c r="H821" s="13">
        <f t="shared" si="202"/>
        <v>343054.86590637232</v>
      </c>
      <c r="I821" s="13">
        <f t="shared" si="203"/>
        <v>137222.04329117225</v>
      </c>
      <c r="J821" s="51">
        <f t="shared" si="204"/>
        <v>480276.90919754456</v>
      </c>
    </row>
    <row r="822" spans="1:10" x14ac:dyDescent="0.25">
      <c r="A822" s="4" t="s">
        <v>57</v>
      </c>
      <c r="B822" s="5" t="s">
        <v>249</v>
      </c>
      <c r="C822" s="5" t="s">
        <v>250</v>
      </c>
      <c r="D822" s="5">
        <v>2</v>
      </c>
      <c r="E822" s="11">
        <v>30332</v>
      </c>
      <c r="F822" s="11">
        <v>12132</v>
      </c>
      <c r="G822" s="27">
        <f t="shared" si="201"/>
        <v>9.5757575757575797</v>
      </c>
      <c r="H822" s="13">
        <f t="shared" si="202"/>
        <v>217803.03909308396</v>
      </c>
      <c r="I822" s="13">
        <f t="shared" si="203"/>
        <v>87115.532663971841</v>
      </c>
      <c r="J822" s="51">
        <f t="shared" si="204"/>
        <v>304918.57175705582</v>
      </c>
    </row>
    <row r="823" spans="1:10" x14ac:dyDescent="0.25">
      <c r="A823" s="4" t="s">
        <v>57</v>
      </c>
      <c r="B823" s="5" t="s">
        <v>252</v>
      </c>
      <c r="C823" s="5" t="s">
        <v>212</v>
      </c>
      <c r="D823" s="5">
        <v>1</v>
      </c>
      <c r="E823" s="11">
        <v>1456</v>
      </c>
      <c r="F823" s="11">
        <v>0</v>
      </c>
      <c r="G823" s="27">
        <f t="shared" si="201"/>
        <v>4.7878787878787898</v>
      </c>
      <c r="H823" s="13">
        <f t="shared" si="202"/>
        <v>10455.005437146585</v>
      </c>
      <c r="I823" s="13">
        <f t="shared" si="203"/>
        <v>0</v>
      </c>
      <c r="J823" s="51">
        <f t="shared" si="204"/>
        <v>10455.005437146585</v>
      </c>
    </row>
    <row r="824" spans="1:10" x14ac:dyDescent="0.25">
      <c r="A824" s="4" t="s">
        <v>57</v>
      </c>
      <c r="B824" s="5" t="s">
        <v>253</v>
      </c>
      <c r="C824" s="5" t="s">
        <v>210</v>
      </c>
      <c r="D824" s="5">
        <v>2</v>
      </c>
      <c r="E824" s="11">
        <v>1940</v>
      </c>
      <c r="F824" s="11">
        <v>0</v>
      </c>
      <c r="G824" s="27">
        <f t="shared" si="201"/>
        <v>9.5757575757575797</v>
      </c>
      <c r="H824" s="13">
        <f t="shared" si="202"/>
        <v>13930.433068725533</v>
      </c>
      <c r="I824" s="13">
        <f t="shared" si="203"/>
        <v>0</v>
      </c>
      <c r="J824" s="51">
        <f t="shared" si="204"/>
        <v>13930.433068725533</v>
      </c>
    </row>
    <row r="825" spans="1:10" x14ac:dyDescent="0.25">
      <c r="A825" s="4" t="s">
        <v>57</v>
      </c>
      <c r="B825" s="5" t="s">
        <v>256</v>
      </c>
      <c r="C825" s="5" t="s">
        <v>212</v>
      </c>
      <c r="D825" s="5">
        <v>1</v>
      </c>
      <c r="E825" s="11">
        <v>1456</v>
      </c>
      <c r="F825" s="11">
        <v>0</v>
      </c>
      <c r="G825" s="27">
        <f t="shared" si="201"/>
        <v>4.7878787878787898</v>
      </c>
      <c r="H825" s="13">
        <f t="shared" si="202"/>
        <v>10455.005437146585</v>
      </c>
      <c r="I825" s="13">
        <f t="shared" si="203"/>
        <v>0</v>
      </c>
      <c r="J825" s="51">
        <f t="shared" si="204"/>
        <v>10455.005437146585</v>
      </c>
    </row>
    <row r="826" spans="1:10" x14ac:dyDescent="0.25">
      <c r="A826" s="15" t="s">
        <v>57</v>
      </c>
      <c r="B826" s="16" t="s">
        <v>257</v>
      </c>
      <c r="C826" s="16" t="s">
        <v>210</v>
      </c>
      <c r="D826" s="16">
        <v>2</v>
      </c>
      <c r="E826" s="18">
        <v>1940</v>
      </c>
      <c r="F826" s="18">
        <v>0</v>
      </c>
      <c r="G826" s="27">
        <f t="shared" si="201"/>
        <v>9.5757575757575797</v>
      </c>
      <c r="H826" s="13">
        <f t="shared" si="202"/>
        <v>13930.433068725533</v>
      </c>
      <c r="I826" s="13">
        <f t="shared" si="203"/>
        <v>0</v>
      </c>
      <c r="J826" s="51">
        <f t="shared" si="204"/>
        <v>13930.433068725533</v>
      </c>
    </row>
    <row r="827" spans="1:10" s="3" customFormat="1" x14ac:dyDescent="0.25">
      <c r="A827" s="4"/>
      <c r="B827" s="20" t="s">
        <v>300</v>
      </c>
      <c r="C827" s="21"/>
      <c r="D827" s="21"/>
      <c r="E827" s="29"/>
      <c r="F827" s="29"/>
      <c r="G827" s="47">
        <f>SUM(G806:G826)</f>
        <v>316.00000000000006</v>
      </c>
      <c r="H827" s="47">
        <f t="shared" ref="H827:J827" si="205">SUM(H806:H826)</f>
        <v>3169590</v>
      </c>
      <c r="I827" s="47">
        <f t="shared" si="205"/>
        <v>330410</v>
      </c>
      <c r="J827" s="47">
        <f t="shared" si="205"/>
        <v>3500000</v>
      </c>
    </row>
    <row r="828" spans="1:10" x14ac:dyDescent="0.25">
      <c r="A828" s="23" t="s">
        <v>58</v>
      </c>
      <c r="B828" s="24" t="s">
        <v>213</v>
      </c>
      <c r="C828" s="24" t="s">
        <v>212</v>
      </c>
      <c r="D828" s="24">
        <v>2</v>
      </c>
      <c r="E828" s="30">
        <v>1456</v>
      </c>
      <c r="F828" s="30">
        <v>0</v>
      </c>
      <c r="G828" s="27">
        <f>+D828*4.78947368421053</f>
        <v>9.5789473684210602</v>
      </c>
      <c r="H828" s="13">
        <f>+E828*1240130/32120</f>
        <v>56215.108343711086</v>
      </c>
      <c r="I828" s="13">
        <f>+F828*759870/19681</f>
        <v>0</v>
      </c>
      <c r="J828" s="51">
        <f t="shared" si="204"/>
        <v>56215.108343711086</v>
      </c>
    </row>
    <row r="829" spans="1:10" x14ac:dyDescent="0.25">
      <c r="A829" s="4" t="s">
        <v>58</v>
      </c>
      <c r="B829" s="5" t="s">
        <v>214</v>
      </c>
      <c r="C829" s="5" t="s">
        <v>210</v>
      </c>
      <c r="D829" s="5">
        <v>4</v>
      </c>
      <c r="E829" s="11">
        <v>1940</v>
      </c>
      <c r="F829" s="11">
        <v>0</v>
      </c>
      <c r="G829" s="27">
        <f t="shared" ref="G829:G840" si="206">+D829*4.78947368421053</f>
        <v>19.15789473684212</v>
      </c>
      <c r="H829" s="13">
        <f t="shared" ref="H829:H840" si="207">+E829*1240130/32120</f>
        <v>74901.998754669985</v>
      </c>
      <c r="I829" s="13">
        <f t="shared" ref="I829:I840" si="208">+F829*759870/19681</f>
        <v>0</v>
      </c>
      <c r="J829" s="51">
        <f t="shared" si="204"/>
        <v>74901.998754669985</v>
      </c>
    </row>
    <row r="830" spans="1:10" x14ac:dyDescent="0.25">
      <c r="A830" s="4" t="s">
        <v>58</v>
      </c>
      <c r="B830" s="5" t="s">
        <v>215</v>
      </c>
      <c r="C830" s="5" t="s">
        <v>212</v>
      </c>
      <c r="D830" s="5">
        <v>1</v>
      </c>
      <c r="E830" s="11">
        <v>728</v>
      </c>
      <c r="F830" s="11">
        <v>0</v>
      </c>
      <c r="G830" s="27">
        <f t="shared" si="206"/>
        <v>4.7894736842105301</v>
      </c>
      <c r="H830" s="13">
        <f t="shared" si="207"/>
        <v>28107.554171855543</v>
      </c>
      <c r="I830" s="13">
        <f t="shared" si="208"/>
        <v>0</v>
      </c>
      <c r="J830" s="51">
        <f t="shared" si="204"/>
        <v>28107.554171855543</v>
      </c>
    </row>
    <row r="831" spans="1:10" x14ac:dyDescent="0.25">
      <c r="A831" s="4" t="s">
        <v>58</v>
      </c>
      <c r="B831" s="5" t="s">
        <v>217</v>
      </c>
      <c r="C831" s="5" t="s">
        <v>218</v>
      </c>
      <c r="D831" s="5">
        <v>1</v>
      </c>
      <c r="E831" s="11">
        <v>1656</v>
      </c>
      <c r="F831" s="11">
        <v>1325</v>
      </c>
      <c r="G831" s="27">
        <f t="shared" si="206"/>
        <v>4.7894736842105301</v>
      </c>
      <c r="H831" s="13">
        <f t="shared" si="207"/>
        <v>63936.963885429635</v>
      </c>
      <c r="I831" s="13">
        <f t="shared" si="208"/>
        <v>51157.347187642903</v>
      </c>
      <c r="J831" s="51">
        <f t="shared" si="204"/>
        <v>115094.31107307255</v>
      </c>
    </row>
    <row r="832" spans="1:10" x14ac:dyDescent="0.25">
      <c r="A832" s="4" t="s">
        <v>58</v>
      </c>
      <c r="B832" s="5" t="s">
        <v>266</v>
      </c>
      <c r="C832" s="5" t="s">
        <v>210</v>
      </c>
      <c r="D832" s="5">
        <v>1</v>
      </c>
      <c r="E832" s="11">
        <v>485</v>
      </c>
      <c r="F832" s="11">
        <v>0</v>
      </c>
      <c r="G832" s="27">
        <f t="shared" si="206"/>
        <v>4.7894736842105301</v>
      </c>
      <c r="H832" s="13">
        <f t="shared" si="207"/>
        <v>18725.499688667496</v>
      </c>
      <c r="I832" s="13">
        <f t="shared" si="208"/>
        <v>0</v>
      </c>
      <c r="J832" s="51">
        <f t="shared" si="204"/>
        <v>18725.499688667496</v>
      </c>
    </row>
    <row r="833" spans="1:10" x14ac:dyDescent="0.25">
      <c r="A833" s="4" t="s">
        <v>58</v>
      </c>
      <c r="B833" s="5" t="s">
        <v>226</v>
      </c>
      <c r="C833" s="5" t="s">
        <v>210</v>
      </c>
      <c r="D833" s="5">
        <v>2</v>
      </c>
      <c r="E833" s="11">
        <v>970</v>
      </c>
      <c r="F833" s="11">
        <v>0</v>
      </c>
      <c r="G833" s="27">
        <f t="shared" si="206"/>
        <v>9.5789473684210602</v>
      </c>
      <c r="H833" s="13">
        <f t="shared" si="207"/>
        <v>37450.999377334992</v>
      </c>
      <c r="I833" s="13">
        <f t="shared" si="208"/>
        <v>0</v>
      </c>
      <c r="J833" s="51">
        <f t="shared" si="204"/>
        <v>37450.999377334992</v>
      </c>
    </row>
    <row r="834" spans="1:10" x14ac:dyDescent="0.25">
      <c r="A834" s="4" t="s">
        <v>58</v>
      </c>
      <c r="B834" s="5" t="s">
        <v>228</v>
      </c>
      <c r="C834" s="5" t="s">
        <v>229</v>
      </c>
      <c r="D834" s="5">
        <v>1</v>
      </c>
      <c r="E834" s="11">
        <v>970</v>
      </c>
      <c r="F834" s="11">
        <v>0</v>
      </c>
      <c r="G834" s="27">
        <f t="shared" si="206"/>
        <v>4.7894736842105301</v>
      </c>
      <c r="H834" s="13">
        <f t="shared" si="207"/>
        <v>37450.999377334992</v>
      </c>
      <c r="I834" s="13">
        <f t="shared" si="208"/>
        <v>0</v>
      </c>
      <c r="J834" s="51">
        <f t="shared" si="204"/>
        <v>37450.999377334992</v>
      </c>
    </row>
    <row r="835" spans="1:10" x14ac:dyDescent="0.25">
      <c r="A835" s="4" t="s">
        <v>58</v>
      </c>
      <c r="B835" s="5" t="s">
        <v>230</v>
      </c>
      <c r="C835" s="5" t="s">
        <v>229</v>
      </c>
      <c r="D835" s="5">
        <v>1</v>
      </c>
      <c r="E835" s="11">
        <v>970</v>
      </c>
      <c r="F835" s="11">
        <v>0</v>
      </c>
      <c r="G835" s="27">
        <f t="shared" si="206"/>
        <v>4.7894736842105301</v>
      </c>
      <c r="H835" s="13">
        <f t="shared" si="207"/>
        <v>37450.999377334992</v>
      </c>
      <c r="I835" s="13">
        <f t="shared" si="208"/>
        <v>0</v>
      </c>
      <c r="J835" s="51">
        <f t="shared" si="204"/>
        <v>37450.999377334992</v>
      </c>
    </row>
    <row r="836" spans="1:10" x14ac:dyDescent="0.25">
      <c r="A836" s="4" t="s">
        <v>58</v>
      </c>
      <c r="B836" s="5" t="s">
        <v>235</v>
      </c>
      <c r="C836" s="5" t="s">
        <v>236</v>
      </c>
      <c r="D836" s="5">
        <v>1</v>
      </c>
      <c r="E836" s="11">
        <v>3412</v>
      </c>
      <c r="F836" s="11">
        <v>2730</v>
      </c>
      <c r="G836" s="27">
        <f t="shared" si="206"/>
        <v>4.7894736842105301</v>
      </c>
      <c r="H836" s="13">
        <f t="shared" si="207"/>
        <v>131734.85554171854</v>
      </c>
      <c r="I836" s="13">
        <f t="shared" si="208"/>
        <v>105403.43986586048</v>
      </c>
      <c r="J836" s="51">
        <f t="shared" si="204"/>
        <v>237138.29540757902</v>
      </c>
    </row>
    <row r="837" spans="1:10" x14ac:dyDescent="0.25">
      <c r="A837" s="4" t="s">
        <v>58</v>
      </c>
      <c r="B837" s="5" t="s">
        <v>237</v>
      </c>
      <c r="C837" s="5" t="s">
        <v>238</v>
      </c>
      <c r="D837" s="5">
        <v>2</v>
      </c>
      <c r="E837" s="11">
        <v>5126</v>
      </c>
      <c r="F837" s="11">
        <v>4100</v>
      </c>
      <c r="G837" s="27">
        <f t="shared" si="206"/>
        <v>9.5789473684210602</v>
      </c>
      <c r="H837" s="13">
        <f t="shared" si="207"/>
        <v>197911.15753424657</v>
      </c>
      <c r="I837" s="13">
        <f t="shared" si="208"/>
        <v>158298.20639195162</v>
      </c>
      <c r="J837" s="51">
        <f t="shared" si="204"/>
        <v>356209.36392619822</v>
      </c>
    </row>
    <row r="838" spans="1:10" x14ac:dyDescent="0.25">
      <c r="A838" s="4" t="s">
        <v>58</v>
      </c>
      <c r="B838" s="5" t="s">
        <v>239</v>
      </c>
      <c r="C838" s="5" t="s">
        <v>236</v>
      </c>
      <c r="D838" s="5">
        <v>1</v>
      </c>
      <c r="E838" s="11">
        <v>3412</v>
      </c>
      <c r="F838" s="11">
        <v>2730</v>
      </c>
      <c r="G838" s="27">
        <f t="shared" si="206"/>
        <v>4.7894736842105301</v>
      </c>
      <c r="H838" s="13">
        <f t="shared" si="207"/>
        <v>131734.85554171854</v>
      </c>
      <c r="I838" s="13">
        <f t="shared" si="208"/>
        <v>105403.43986586048</v>
      </c>
      <c r="J838" s="51">
        <f t="shared" si="204"/>
        <v>237138.29540757902</v>
      </c>
    </row>
    <row r="839" spans="1:10" x14ac:dyDescent="0.25">
      <c r="A839" s="4" t="s">
        <v>58</v>
      </c>
      <c r="B839" s="5" t="s">
        <v>241</v>
      </c>
      <c r="C839" s="5" t="s">
        <v>236</v>
      </c>
      <c r="D839" s="5">
        <v>1</v>
      </c>
      <c r="E839" s="11">
        <v>3412</v>
      </c>
      <c r="F839" s="11">
        <v>2730</v>
      </c>
      <c r="G839" s="27">
        <f t="shared" si="206"/>
        <v>4.7894736842105301</v>
      </c>
      <c r="H839" s="13">
        <f t="shared" si="207"/>
        <v>131734.85554171854</v>
      </c>
      <c r="I839" s="13">
        <f t="shared" si="208"/>
        <v>105403.43986586048</v>
      </c>
      <c r="J839" s="51">
        <f t="shared" si="204"/>
        <v>237138.29540757902</v>
      </c>
    </row>
    <row r="840" spans="1:10" x14ac:dyDescent="0.25">
      <c r="A840" s="15" t="s">
        <v>58</v>
      </c>
      <c r="B840" s="16" t="s">
        <v>249</v>
      </c>
      <c r="C840" s="16" t="s">
        <v>250</v>
      </c>
      <c r="D840" s="16">
        <v>1</v>
      </c>
      <c r="E840" s="18">
        <v>7583</v>
      </c>
      <c r="F840" s="18">
        <v>6066</v>
      </c>
      <c r="G840" s="27">
        <f t="shared" si="206"/>
        <v>4.7894736842105301</v>
      </c>
      <c r="H840" s="13">
        <f t="shared" si="207"/>
        <v>292774.15286425903</v>
      </c>
      <c r="I840" s="13">
        <f t="shared" si="208"/>
        <v>234204.12682282404</v>
      </c>
      <c r="J840" s="51">
        <f t="shared" si="204"/>
        <v>526978.27968708309</v>
      </c>
    </row>
    <row r="841" spans="1:10" s="3" customFormat="1" x14ac:dyDescent="0.25">
      <c r="A841" s="4"/>
      <c r="B841" s="20" t="s">
        <v>301</v>
      </c>
      <c r="C841" s="21"/>
      <c r="D841" s="21"/>
      <c r="E841" s="29"/>
      <c r="F841" s="29"/>
      <c r="G841" s="47">
        <f>SUM(G828:G840)</f>
        <v>91.000000000000071</v>
      </c>
      <c r="H841" s="47">
        <f t="shared" ref="H841:J841" si="209">SUM(H828:H840)</f>
        <v>1240130</v>
      </c>
      <c r="I841" s="47">
        <f t="shared" si="209"/>
        <v>759870</v>
      </c>
      <c r="J841" s="47">
        <f t="shared" si="209"/>
        <v>2000000</v>
      </c>
    </row>
    <row r="842" spans="1:10" x14ac:dyDescent="0.25">
      <c r="A842" s="23" t="s">
        <v>59</v>
      </c>
      <c r="B842" s="24" t="s">
        <v>209</v>
      </c>
      <c r="C842" s="24" t="s">
        <v>210</v>
      </c>
      <c r="D842" s="24">
        <v>2</v>
      </c>
      <c r="E842" s="30">
        <v>1940</v>
      </c>
      <c r="F842" s="30">
        <v>0</v>
      </c>
      <c r="G842" s="27">
        <f>+D842*4.79032258064516</f>
        <v>9.5806451612903203</v>
      </c>
      <c r="H842" s="13">
        <f>+E842*10717914/1398301</f>
        <v>14870.012365005818</v>
      </c>
      <c r="I842" s="13">
        <f>+F842*1282086/167266</f>
        <v>0</v>
      </c>
      <c r="J842" s="51">
        <f t="shared" si="204"/>
        <v>14870.012365005818</v>
      </c>
    </row>
    <row r="843" spans="1:10" x14ac:dyDescent="0.25">
      <c r="A843" s="4" t="s">
        <v>59</v>
      </c>
      <c r="B843" s="5" t="s">
        <v>213</v>
      </c>
      <c r="C843" s="5" t="s">
        <v>212</v>
      </c>
      <c r="D843" s="5">
        <v>1</v>
      </c>
      <c r="E843" s="11">
        <v>1456</v>
      </c>
      <c r="F843" s="11">
        <v>0</v>
      </c>
      <c r="G843" s="27">
        <f t="shared" ref="G843:G861" si="210">+D843*4.79032258064516</f>
        <v>4.7903225806451601</v>
      </c>
      <c r="H843" s="13">
        <f t="shared" ref="H843:H861" si="211">+E843*10717914/1398301</f>
        <v>11160.174228581685</v>
      </c>
      <c r="I843" s="13">
        <f t="shared" ref="I843:I861" si="212">+F843*1282086/167266</f>
        <v>0</v>
      </c>
      <c r="J843" s="51">
        <f t="shared" si="204"/>
        <v>11160.174228581685</v>
      </c>
    </row>
    <row r="844" spans="1:10" x14ac:dyDescent="0.25">
      <c r="A844" s="4" t="s">
        <v>59</v>
      </c>
      <c r="B844" s="5" t="s">
        <v>214</v>
      </c>
      <c r="C844" s="5" t="s">
        <v>210</v>
      </c>
      <c r="D844" s="5">
        <v>1</v>
      </c>
      <c r="E844" s="11">
        <v>970</v>
      </c>
      <c r="F844" s="11">
        <v>0</v>
      </c>
      <c r="G844" s="27">
        <f t="shared" si="210"/>
        <v>4.7903225806451601</v>
      </c>
      <c r="H844" s="13">
        <f t="shared" si="211"/>
        <v>7435.0061825029088</v>
      </c>
      <c r="I844" s="13">
        <f t="shared" si="212"/>
        <v>0</v>
      </c>
      <c r="J844" s="51">
        <f t="shared" si="204"/>
        <v>7435.0061825029088</v>
      </c>
    </row>
    <row r="845" spans="1:10" x14ac:dyDescent="0.25">
      <c r="A845" s="4" t="s">
        <v>59</v>
      </c>
      <c r="B845" s="5" t="s">
        <v>216</v>
      </c>
      <c r="C845" s="5" t="s">
        <v>210</v>
      </c>
      <c r="D845" s="5">
        <v>4</v>
      </c>
      <c r="E845" s="11">
        <v>3880</v>
      </c>
      <c r="F845" s="11">
        <v>0</v>
      </c>
      <c r="G845" s="27">
        <f t="shared" si="210"/>
        <v>19.161290322580641</v>
      </c>
      <c r="H845" s="13">
        <f t="shared" si="211"/>
        <v>29740.024730011635</v>
      </c>
      <c r="I845" s="13">
        <f t="shared" si="212"/>
        <v>0</v>
      </c>
      <c r="J845" s="51">
        <f t="shared" si="204"/>
        <v>29740.024730011635</v>
      </c>
    </row>
    <row r="846" spans="1:10" x14ac:dyDescent="0.25">
      <c r="A846" s="4" t="s">
        <v>59</v>
      </c>
      <c r="B846" s="5" t="s">
        <v>217</v>
      </c>
      <c r="C846" s="5" t="s">
        <v>218</v>
      </c>
      <c r="D846" s="5">
        <v>25</v>
      </c>
      <c r="E846" s="11">
        <v>82825</v>
      </c>
      <c r="F846" s="11">
        <v>33125</v>
      </c>
      <c r="G846" s="27">
        <f t="shared" si="210"/>
        <v>119.758064516129</v>
      </c>
      <c r="H846" s="13">
        <f t="shared" si="211"/>
        <v>634849.88357299322</v>
      </c>
      <c r="I846" s="13">
        <f t="shared" si="212"/>
        <v>253901.56248131717</v>
      </c>
      <c r="J846" s="51">
        <f t="shared" si="204"/>
        <v>888751.44605431042</v>
      </c>
    </row>
    <row r="847" spans="1:10" x14ac:dyDescent="0.25">
      <c r="A847" s="4" t="s">
        <v>59</v>
      </c>
      <c r="B847" s="5" t="s">
        <v>219</v>
      </c>
      <c r="C847" s="5" t="s">
        <v>220</v>
      </c>
      <c r="D847" s="5">
        <v>1</v>
      </c>
      <c r="E847" s="11">
        <v>3397</v>
      </c>
      <c r="F847" s="11">
        <v>1358</v>
      </c>
      <c r="G847" s="27">
        <f t="shared" si="210"/>
        <v>4.7903225806451601</v>
      </c>
      <c r="H847" s="13">
        <f t="shared" si="211"/>
        <v>26037.851548414827</v>
      </c>
      <c r="I847" s="13">
        <f t="shared" si="212"/>
        <v>10409.005942630301</v>
      </c>
      <c r="J847" s="51">
        <f t="shared" si="204"/>
        <v>36446.857491045128</v>
      </c>
    </row>
    <row r="848" spans="1:10" x14ac:dyDescent="0.25">
      <c r="A848" s="4" t="s">
        <v>59</v>
      </c>
      <c r="B848" s="5" t="s">
        <v>260</v>
      </c>
      <c r="C848" s="5" t="s">
        <v>208</v>
      </c>
      <c r="D848" s="5">
        <v>1</v>
      </c>
      <c r="E848" s="11">
        <v>46592</v>
      </c>
      <c r="F848" s="11">
        <v>0</v>
      </c>
      <c r="G848" s="27">
        <f t="shared" si="210"/>
        <v>4.7903225806451601</v>
      </c>
      <c r="H848" s="13">
        <f t="shared" si="211"/>
        <v>357125.57531461393</v>
      </c>
      <c r="I848" s="13">
        <f t="shared" si="212"/>
        <v>0</v>
      </c>
      <c r="J848" s="51">
        <f t="shared" si="204"/>
        <v>357125.57531461393</v>
      </c>
    </row>
    <row r="849" spans="1:10" x14ac:dyDescent="0.25">
      <c r="A849" s="4" t="s">
        <v>59</v>
      </c>
      <c r="B849" s="5" t="s">
        <v>228</v>
      </c>
      <c r="C849" s="5" t="s">
        <v>229</v>
      </c>
      <c r="D849" s="5">
        <v>31</v>
      </c>
      <c r="E849" s="11">
        <v>60171</v>
      </c>
      <c r="F849" s="11">
        <v>0</v>
      </c>
      <c r="G849" s="27">
        <f t="shared" si="210"/>
        <v>148.49999999999997</v>
      </c>
      <c r="H849" s="13">
        <f t="shared" si="211"/>
        <v>461207.99691482732</v>
      </c>
      <c r="I849" s="13">
        <f t="shared" si="212"/>
        <v>0</v>
      </c>
      <c r="J849" s="51">
        <f t="shared" si="204"/>
        <v>461207.99691482732</v>
      </c>
    </row>
    <row r="850" spans="1:10" x14ac:dyDescent="0.25">
      <c r="A850" s="4" t="s">
        <v>59</v>
      </c>
      <c r="B850" s="5" t="s">
        <v>230</v>
      </c>
      <c r="C850" s="5" t="s">
        <v>229</v>
      </c>
      <c r="D850" s="5">
        <v>1</v>
      </c>
      <c r="E850" s="11">
        <v>1941</v>
      </c>
      <c r="F850" s="11">
        <v>0</v>
      </c>
      <c r="G850" s="27">
        <f t="shared" si="210"/>
        <v>4.7903225806451601</v>
      </c>
      <c r="H850" s="13">
        <f t="shared" si="211"/>
        <v>14877.677319833141</v>
      </c>
      <c r="I850" s="13">
        <f t="shared" si="212"/>
        <v>0</v>
      </c>
      <c r="J850" s="51">
        <f t="shared" si="204"/>
        <v>14877.677319833141</v>
      </c>
    </row>
    <row r="851" spans="1:10" x14ac:dyDescent="0.25">
      <c r="A851" s="4" t="s">
        <v>59</v>
      </c>
      <c r="B851" s="5" t="s">
        <v>262</v>
      </c>
      <c r="C851" s="5" t="s">
        <v>263</v>
      </c>
      <c r="D851" s="5">
        <v>3</v>
      </c>
      <c r="E851" s="11">
        <v>454998</v>
      </c>
      <c r="F851" s="11">
        <v>0</v>
      </c>
      <c r="G851" s="27">
        <f t="shared" si="210"/>
        <v>14.37096774193548</v>
      </c>
      <c r="H851" s="13">
        <f t="shared" si="211"/>
        <v>3487539.1165221222</v>
      </c>
      <c r="I851" s="13">
        <f t="shared" si="212"/>
        <v>0</v>
      </c>
      <c r="J851" s="51">
        <f t="shared" si="204"/>
        <v>3487539.1165221222</v>
      </c>
    </row>
    <row r="852" spans="1:10" x14ac:dyDescent="0.25">
      <c r="A852" s="4" t="s">
        <v>59</v>
      </c>
      <c r="B852" s="5" t="s">
        <v>233</v>
      </c>
      <c r="C852" s="5" t="s">
        <v>234</v>
      </c>
      <c r="D852" s="5">
        <v>4</v>
      </c>
      <c r="E852" s="11">
        <v>388264</v>
      </c>
      <c r="F852" s="11">
        <v>0</v>
      </c>
      <c r="G852" s="27">
        <f t="shared" si="210"/>
        <v>19.161290322580641</v>
      </c>
      <c r="H852" s="13">
        <f t="shared" si="211"/>
        <v>2976026.0210755765</v>
      </c>
      <c r="I852" s="13">
        <f t="shared" si="212"/>
        <v>0</v>
      </c>
      <c r="J852" s="51">
        <f t="shared" si="204"/>
        <v>2976026.0210755765</v>
      </c>
    </row>
    <row r="853" spans="1:10" x14ac:dyDescent="0.25">
      <c r="A853" s="4" t="s">
        <v>59</v>
      </c>
      <c r="B853" s="5" t="s">
        <v>241</v>
      </c>
      <c r="C853" s="5" t="s">
        <v>236</v>
      </c>
      <c r="D853" s="5">
        <v>17</v>
      </c>
      <c r="E853" s="11">
        <v>116025</v>
      </c>
      <c r="F853" s="11">
        <v>46410</v>
      </c>
      <c r="G853" s="27">
        <f t="shared" si="210"/>
        <v>81.435483870967715</v>
      </c>
      <c r="H853" s="13">
        <f t="shared" si="211"/>
        <v>889326.38384010305</v>
      </c>
      <c r="I853" s="13">
        <f t="shared" si="212"/>
        <v>355730.46082288091</v>
      </c>
      <c r="J853" s="51">
        <f t="shared" si="204"/>
        <v>1245056.8446629839</v>
      </c>
    </row>
    <row r="854" spans="1:10" x14ac:dyDescent="0.25">
      <c r="A854" s="4" t="s">
        <v>59</v>
      </c>
      <c r="B854" s="5" t="s">
        <v>242</v>
      </c>
      <c r="C854" s="5" t="s">
        <v>238</v>
      </c>
      <c r="D854" s="5">
        <v>3</v>
      </c>
      <c r="E854" s="11">
        <v>15378</v>
      </c>
      <c r="F854" s="11">
        <v>6150</v>
      </c>
      <c r="G854" s="27">
        <f t="shared" si="210"/>
        <v>14.37096774193548</v>
      </c>
      <c r="H854" s="13">
        <f t="shared" si="211"/>
        <v>117871.67533456674</v>
      </c>
      <c r="I854" s="13">
        <f t="shared" si="212"/>
        <v>47139.459902191717</v>
      </c>
      <c r="J854" s="51">
        <f t="shared" si="204"/>
        <v>165011.13523675845</v>
      </c>
    </row>
    <row r="855" spans="1:10" x14ac:dyDescent="0.25">
      <c r="A855" s="4" t="s">
        <v>59</v>
      </c>
      <c r="B855" s="5" t="s">
        <v>247</v>
      </c>
      <c r="C855" s="5" t="s">
        <v>244</v>
      </c>
      <c r="D855" s="5">
        <v>1</v>
      </c>
      <c r="E855" s="11">
        <v>3412</v>
      </c>
      <c r="F855" s="11">
        <v>1365</v>
      </c>
      <c r="G855" s="27">
        <f t="shared" si="210"/>
        <v>4.7903225806451601</v>
      </c>
      <c r="H855" s="13">
        <f t="shared" si="211"/>
        <v>26152.825870824665</v>
      </c>
      <c r="I855" s="13">
        <f t="shared" si="212"/>
        <v>10462.660612437674</v>
      </c>
      <c r="J855" s="51">
        <f t="shared" si="204"/>
        <v>36615.486483262343</v>
      </c>
    </row>
    <row r="856" spans="1:10" x14ac:dyDescent="0.25">
      <c r="A856" s="4" t="s">
        <v>59</v>
      </c>
      <c r="B856" s="5" t="s">
        <v>249</v>
      </c>
      <c r="C856" s="5" t="s">
        <v>250</v>
      </c>
      <c r="D856" s="5">
        <v>13</v>
      </c>
      <c r="E856" s="11">
        <v>197158</v>
      </c>
      <c r="F856" s="11">
        <v>78858</v>
      </c>
      <c r="G856" s="27">
        <f t="shared" si="210"/>
        <v>62.274193548387082</v>
      </c>
      <c r="H856" s="13">
        <f t="shared" si="211"/>
        <v>1511207.1638452664</v>
      </c>
      <c r="I856" s="13">
        <f t="shared" si="212"/>
        <v>604442.85023854219</v>
      </c>
      <c r="J856" s="51">
        <f t="shared" si="204"/>
        <v>2115650.0140838088</v>
      </c>
    </row>
    <row r="857" spans="1:10" x14ac:dyDescent="0.25">
      <c r="A857" s="4" t="s">
        <v>59</v>
      </c>
      <c r="B857" s="5" t="s">
        <v>252</v>
      </c>
      <c r="C857" s="5" t="s">
        <v>212</v>
      </c>
      <c r="D857" s="5">
        <v>7</v>
      </c>
      <c r="E857" s="11">
        <v>10192</v>
      </c>
      <c r="F857" s="11">
        <v>0</v>
      </c>
      <c r="G857" s="27">
        <f t="shared" si="210"/>
        <v>33.532258064516121</v>
      </c>
      <c r="H857" s="13">
        <f t="shared" si="211"/>
        <v>78121.219600071796</v>
      </c>
      <c r="I857" s="13">
        <f t="shared" si="212"/>
        <v>0</v>
      </c>
      <c r="J857" s="51">
        <f t="shared" si="204"/>
        <v>78121.219600071796</v>
      </c>
    </row>
    <row r="858" spans="1:10" x14ac:dyDescent="0.25">
      <c r="A858" s="4" t="s">
        <v>59</v>
      </c>
      <c r="B858" s="5" t="s">
        <v>253</v>
      </c>
      <c r="C858" s="5" t="s">
        <v>210</v>
      </c>
      <c r="D858" s="5">
        <v>5</v>
      </c>
      <c r="E858" s="11">
        <v>4850</v>
      </c>
      <c r="F858" s="11">
        <v>0</v>
      </c>
      <c r="G858" s="27">
        <f t="shared" si="210"/>
        <v>23.951612903225801</v>
      </c>
      <c r="H858" s="13">
        <f t="shared" si="211"/>
        <v>37175.030912514543</v>
      </c>
      <c r="I858" s="13">
        <f t="shared" si="212"/>
        <v>0</v>
      </c>
      <c r="J858" s="51">
        <f t="shared" si="204"/>
        <v>37175.030912514543</v>
      </c>
    </row>
    <row r="859" spans="1:10" x14ac:dyDescent="0.25">
      <c r="A859" s="4" t="s">
        <v>59</v>
      </c>
      <c r="B859" s="5" t="s">
        <v>254</v>
      </c>
      <c r="C859" s="5" t="s">
        <v>212</v>
      </c>
      <c r="D859" s="5">
        <v>2</v>
      </c>
      <c r="E859" s="11">
        <v>2912</v>
      </c>
      <c r="F859" s="11">
        <v>0</v>
      </c>
      <c r="G859" s="27">
        <f t="shared" si="210"/>
        <v>9.5806451612903203</v>
      </c>
      <c r="H859" s="13">
        <f t="shared" si="211"/>
        <v>22320.348457163371</v>
      </c>
      <c r="I859" s="13">
        <f t="shared" si="212"/>
        <v>0</v>
      </c>
      <c r="J859" s="51">
        <f t="shared" si="204"/>
        <v>22320.348457163371</v>
      </c>
    </row>
    <row r="860" spans="1:10" x14ac:dyDescent="0.25">
      <c r="A860" s="4" t="s">
        <v>59</v>
      </c>
      <c r="B860" s="5" t="s">
        <v>255</v>
      </c>
      <c r="C860" s="5" t="s">
        <v>210</v>
      </c>
      <c r="D860" s="5">
        <v>1</v>
      </c>
      <c r="E860" s="11">
        <v>970</v>
      </c>
      <c r="F860" s="11">
        <v>0</v>
      </c>
      <c r="G860" s="27">
        <f t="shared" si="210"/>
        <v>4.7903225806451601</v>
      </c>
      <c r="H860" s="13">
        <f t="shared" si="211"/>
        <v>7435.0061825029088</v>
      </c>
      <c r="I860" s="13">
        <f t="shared" si="212"/>
        <v>0</v>
      </c>
      <c r="J860" s="51">
        <f t="shared" si="204"/>
        <v>7435.0061825029088</v>
      </c>
    </row>
    <row r="861" spans="1:10" x14ac:dyDescent="0.25">
      <c r="A861" s="15" t="s">
        <v>59</v>
      </c>
      <c r="B861" s="16" t="s">
        <v>257</v>
      </c>
      <c r="C861" s="16" t="s">
        <v>210</v>
      </c>
      <c r="D861" s="16">
        <v>1</v>
      </c>
      <c r="E861" s="18">
        <v>970</v>
      </c>
      <c r="F861" s="18">
        <v>0</v>
      </c>
      <c r="G861" s="27">
        <f t="shared" si="210"/>
        <v>4.7903225806451601</v>
      </c>
      <c r="H861" s="13">
        <f t="shared" si="211"/>
        <v>7435.0061825029088</v>
      </c>
      <c r="I861" s="13">
        <f t="shared" si="212"/>
        <v>0</v>
      </c>
      <c r="J861" s="51">
        <f t="shared" si="204"/>
        <v>7435.0061825029088</v>
      </c>
    </row>
    <row r="862" spans="1:10" s="3" customFormat="1" x14ac:dyDescent="0.25">
      <c r="A862" s="4"/>
      <c r="B862" s="20" t="s">
        <v>302</v>
      </c>
      <c r="C862" s="21"/>
      <c r="D862" s="21"/>
      <c r="E862" s="29"/>
      <c r="F862" s="29"/>
      <c r="G862" s="47">
        <f>SUM(G842:G861)</f>
        <v>593.99999999999989</v>
      </c>
      <c r="H862" s="47">
        <f t="shared" ref="H862:J862" si="213">SUM(H842:H861)</f>
        <v>10717914.000000002</v>
      </c>
      <c r="I862" s="47">
        <f t="shared" si="213"/>
        <v>1282086</v>
      </c>
      <c r="J862" s="47">
        <f t="shared" si="213"/>
        <v>12000000</v>
      </c>
    </row>
    <row r="863" spans="1:10" s="3" customFormat="1" x14ac:dyDescent="0.25">
      <c r="A863" s="34" t="s">
        <v>60</v>
      </c>
      <c r="B863" s="5" t="s">
        <v>214</v>
      </c>
      <c r="C863" s="5" t="s">
        <v>210</v>
      </c>
      <c r="D863" s="21"/>
      <c r="E863" s="29"/>
      <c r="F863" s="29"/>
      <c r="G863" s="48">
        <v>4</v>
      </c>
      <c r="H863" s="35">
        <v>412000</v>
      </c>
      <c r="I863" s="35">
        <v>1588000</v>
      </c>
      <c r="J863" s="51">
        <f t="shared" si="204"/>
        <v>2000000</v>
      </c>
    </row>
    <row r="864" spans="1:10" s="3" customFormat="1" x14ac:dyDescent="0.25">
      <c r="A864" s="34" t="s">
        <v>60</v>
      </c>
      <c r="B864" s="21"/>
      <c r="C864" s="21"/>
      <c r="D864" s="21"/>
      <c r="E864" s="29"/>
      <c r="F864" s="29"/>
      <c r="G864" s="48"/>
      <c r="H864" s="48"/>
      <c r="I864" s="48"/>
      <c r="J864" s="51">
        <f t="shared" si="204"/>
        <v>0</v>
      </c>
    </row>
    <row r="865" spans="1:10" s="3" customFormat="1" x14ac:dyDescent="0.25">
      <c r="A865" s="36"/>
      <c r="B865" s="1" t="s">
        <v>470</v>
      </c>
      <c r="C865" s="1"/>
      <c r="D865" s="1"/>
      <c r="E865" s="2"/>
      <c r="F865" s="2"/>
      <c r="G865" s="47">
        <f>SUM(G863:G864)</f>
        <v>4</v>
      </c>
      <c r="H865" s="47">
        <f>SUM(H863:H864)</f>
        <v>412000</v>
      </c>
      <c r="I865" s="47">
        <f>SUM(I863:I864)</f>
        <v>1588000</v>
      </c>
      <c r="J865" s="47">
        <f>SUM(J863:J864)</f>
        <v>2000000</v>
      </c>
    </row>
    <row r="866" spans="1:10" x14ac:dyDescent="0.25">
      <c r="A866" s="4" t="s">
        <v>61</v>
      </c>
      <c r="B866" s="5" t="s">
        <v>207</v>
      </c>
      <c r="C866" s="5" t="s">
        <v>208</v>
      </c>
      <c r="D866" s="5">
        <v>1</v>
      </c>
      <c r="E866" s="11">
        <v>11648</v>
      </c>
      <c r="F866" s="11">
        <v>4659</v>
      </c>
      <c r="G866" s="27">
        <f>+D866*4.78723404255319</f>
        <v>4.7872340425531901</v>
      </c>
      <c r="H866" s="13">
        <f>+E866*15984046/1067425</f>
        <v>174421.77933625312</v>
      </c>
      <c r="I866" s="13">
        <f>+F866*4015954/268188</f>
        <v>69765.722873506646</v>
      </c>
      <c r="J866" s="51">
        <f t="shared" si="204"/>
        <v>244187.50220975978</v>
      </c>
    </row>
    <row r="867" spans="1:10" x14ac:dyDescent="0.25">
      <c r="A867" s="4" t="s">
        <v>61</v>
      </c>
      <c r="B867" s="5" t="s">
        <v>209</v>
      </c>
      <c r="C867" s="5" t="s">
        <v>210</v>
      </c>
      <c r="D867" s="5">
        <v>17</v>
      </c>
      <c r="E867" s="11">
        <v>16490</v>
      </c>
      <c r="F867" s="11">
        <v>0</v>
      </c>
      <c r="G867" s="27">
        <f t="shared" ref="G867:G883" si="214">+D867*4.78723404255319</f>
        <v>81.382978723404236</v>
      </c>
      <c r="H867" s="13">
        <f t="shared" ref="H867:H883" si="215">+E867*15984046/1067425</f>
        <v>246927.81089069491</v>
      </c>
      <c r="I867" s="13">
        <f t="shared" ref="I867:I883" si="216">+F867*4015954/268188</f>
        <v>0</v>
      </c>
      <c r="J867" s="51">
        <f t="shared" si="204"/>
        <v>246927.81089069491</v>
      </c>
    </row>
    <row r="868" spans="1:10" x14ac:dyDescent="0.25">
      <c r="A868" s="4" t="s">
        <v>61</v>
      </c>
      <c r="B868" s="5" t="s">
        <v>211</v>
      </c>
      <c r="C868" s="5" t="s">
        <v>212</v>
      </c>
      <c r="D868" s="5">
        <v>3</v>
      </c>
      <c r="E868" s="11">
        <v>4368</v>
      </c>
      <c r="F868" s="11">
        <v>0</v>
      </c>
      <c r="G868" s="27">
        <f t="shared" si="214"/>
        <v>14.361702127659569</v>
      </c>
      <c r="H868" s="13">
        <f t="shared" si="215"/>
        <v>65408.167251094921</v>
      </c>
      <c r="I868" s="13">
        <f t="shared" si="216"/>
        <v>0</v>
      </c>
      <c r="J868" s="51">
        <f t="shared" si="204"/>
        <v>65408.167251094921</v>
      </c>
    </row>
    <row r="869" spans="1:10" x14ac:dyDescent="0.25">
      <c r="A869" s="4" t="s">
        <v>61</v>
      </c>
      <c r="B869" s="5" t="s">
        <v>214</v>
      </c>
      <c r="C869" s="5" t="s">
        <v>210</v>
      </c>
      <c r="D869" s="5">
        <v>13</v>
      </c>
      <c r="E869" s="11">
        <v>12610</v>
      </c>
      <c r="F869" s="11">
        <v>0</v>
      </c>
      <c r="G869" s="27">
        <f t="shared" si="214"/>
        <v>62.234042553191472</v>
      </c>
      <c r="H869" s="13">
        <f t="shared" si="215"/>
        <v>188827.14950464905</v>
      </c>
      <c r="I869" s="13">
        <f t="shared" si="216"/>
        <v>0</v>
      </c>
      <c r="J869" s="51">
        <f t="shared" si="204"/>
        <v>188827.14950464905</v>
      </c>
    </row>
    <row r="870" spans="1:10" x14ac:dyDescent="0.25">
      <c r="A870" s="4" t="s">
        <v>61</v>
      </c>
      <c r="B870" s="5" t="s">
        <v>216</v>
      </c>
      <c r="C870" s="5" t="s">
        <v>210</v>
      </c>
      <c r="D870" s="5">
        <v>11</v>
      </c>
      <c r="E870" s="11">
        <v>10670</v>
      </c>
      <c r="F870" s="11">
        <v>0</v>
      </c>
      <c r="G870" s="27">
        <f t="shared" si="214"/>
        <v>52.65957446808509</v>
      </c>
      <c r="H870" s="13">
        <f t="shared" si="215"/>
        <v>159776.81881162612</v>
      </c>
      <c r="I870" s="13">
        <f t="shared" si="216"/>
        <v>0</v>
      </c>
      <c r="J870" s="51">
        <f t="shared" si="204"/>
        <v>159776.81881162612</v>
      </c>
    </row>
    <row r="871" spans="1:10" x14ac:dyDescent="0.25">
      <c r="A871" s="4" t="s">
        <v>61</v>
      </c>
      <c r="B871" s="5" t="s">
        <v>217</v>
      </c>
      <c r="C871" s="5" t="s">
        <v>218</v>
      </c>
      <c r="D871" s="5">
        <v>15</v>
      </c>
      <c r="E871" s="11">
        <v>49695</v>
      </c>
      <c r="F871" s="11">
        <v>19875</v>
      </c>
      <c r="G871" s="27">
        <f t="shared" si="214"/>
        <v>71.808510638297847</v>
      </c>
      <c r="H871" s="13">
        <f t="shared" si="215"/>
        <v>744152.67205658474</v>
      </c>
      <c r="I871" s="13">
        <f t="shared" si="216"/>
        <v>297616.17130520381</v>
      </c>
      <c r="J871" s="51">
        <f t="shared" si="204"/>
        <v>1041768.8433617885</v>
      </c>
    </row>
    <row r="872" spans="1:10" x14ac:dyDescent="0.25">
      <c r="A872" s="4" t="s">
        <v>61</v>
      </c>
      <c r="B872" s="5" t="s">
        <v>219</v>
      </c>
      <c r="C872" s="5" t="s">
        <v>220</v>
      </c>
      <c r="D872" s="5">
        <v>9</v>
      </c>
      <c r="E872" s="11">
        <v>30573</v>
      </c>
      <c r="F872" s="11">
        <v>12222</v>
      </c>
      <c r="G872" s="27">
        <f t="shared" si="214"/>
        <v>43.085106382978708</v>
      </c>
      <c r="H872" s="13">
        <f t="shared" si="215"/>
        <v>457812.24756587116</v>
      </c>
      <c r="I872" s="13">
        <f t="shared" si="216"/>
        <v>183017.09915432459</v>
      </c>
      <c r="J872" s="51">
        <f t="shared" si="204"/>
        <v>640829.34672019572</v>
      </c>
    </row>
    <row r="873" spans="1:10" x14ac:dyDescent="0.25">
      <c r="A873" s="4" t="s">
        <v>61</v>
      </c>
      <c r="B873" s="5" t="s">
        <v>223</v>
      </c>
      <c r="C873" s="5" t="s">
        <v>224</v>
      </c>
      <c r="D873" s="5">
        <v>1</v>
      </c>
      <c r="E873" s="11">
        <v>0</v>
      </c>
      <c r="F873" s="11">
        <v>0</v>
      </c>
      <c r="G873" s="27">
        <f t="shared" si="214"/>
        <v>4.7872340425531901</v>
      </c>
      <c r="H873" s="13">
        <f t="shared" si="215"/>
        <v>0</v>
      </c>
      <c r="I873" s="13">
        <f t="shared" si="216"/>
        <v>0</v>
      </c>
      <c r="J873" s="51">
        <f t="shared" si="204"/>
        <v>0</v>
      </c>
    </row>
    <row r="874" spans="1:10" x14ac:dyDescent="0.25">
      <c r="A874" s="4" t="s">
        <v>61</v>
      </c>
      <c r="B874" s="5" t="s">
        <v>226</v>
      </c>
      <c r="C874" s="5" t="s">
        <v>210</v>
      </c>
      <c r="D874" s="5">
        <v>1</v>
      </c>
      <c r="E874" s="11">
        <v>970</v>
      </c>
      <c r="F874" s="11">
        <v>0</v>
      </c>
      <c r="G874" s="27">
        <f t="shared" si="214"/>
        <v>4.7872340425531901</v>
      </c>
      <c r="H874" s="13">
        <f t="shared" si="215"/>
        <v>14525.165346511465</v>
      </c>
      <c r="I874" s="13">
        <f t="shared" si="216"/>
        <v>0</v>
      </c>
      <c r="J874" s="51">
        <f t="shared" si="204"/>
        <v>14525.165346511465</v>
      </c>
    </row>
    <row r="875" spans="1:10" x14ac:dyDescent="0.25">
      <c r="A875" s="4" t="s">
        <v>61</v>
      </c>
      <c r="B875" s="5" t="s">
        <v>228</v>
      </c>
      <c r="C875" s="5" t="s">
        <v>229</v>
      </c>
      <c r="D875" s="5">
        <v>152</v>
      </c>
      <c r="E875" s="11">
        <v>295032</v>
      </c>
      <c r="F875" s="11">
        <v>0</v>
      </c>
      <c r="G875" s="27">
        <f t="shared" si="214"/>
        <v>727.65957446808488</v>
      </c>
      <c r="H875" s="13">
        <f t="shared" si="215"/>
        <v>4417926.3737236811</v>
      </c>
      <c r="I875" s="13">
        <f t="shared" si="216"/>
        <v>0</v>
      </c>
      <c r="J875" s="51">
        <f t="shared" si="204"/>
        <v>4417926.3737236811</v>
      </c>
    </row>
    <row r="876" spans="1:10" x14ac:dyDescent="0.25">
      <c r="A876" s="4" t="s">
        <v>61</v>
      </c>
      <c r="B876" s="5" t="s">
        <v>230</v>
      </c>
      <c r="C876" s="5" t="s">
        <v>229</v>
      </c>
      <c r="D876" s="5">
        <v>6</v>
      </c>
      <c r="E876" s="11">
        <v>11646</v>
      </c>
      <c r="F876" s="11">
        <v>0</v>
      </c>
      <c r="G876" s="27">
        <f t="shared" si="214"/>
        <v>28.723404255319139</v>
      </c>
      <c r="H876" s="13">
        <f t="shared" si="215"/>
        <v>174391.83054172425</v>
      </c>
      <c r="I876" s="13">
        <f t="shared" si="216"/>
        <v>0</v>
      </c>
      <c r="J876" s="51">
        <f t="shared" si="204"/>
        <v>174391.83054172425</v>
      </c>
    </row>
    <row r="877" spans="1:10" x14ac:dyDescent="0.25">
      <c r="A877" s="4" t="s">
        <v>61</v>
      </c>
      <c r="B877" s="5" t="s">
        <v>235</v>
      </c>
      <c r="C877" s="5" t="s">
        <v>236</v>
      </c>
      <c r="D877" s="5">
        <v>7</v>
      </c>
      <c r="E877" s="11">
        <v>47775</v>
      </c>
      <c r="F877" s="11">
        <v>19110</v>
      </c>
      <c r="G877" s="27">
        <f t="shared" si="214"/>
        <v>33.510638297872333</v>
      </c>
      <c r="H877" s="13">
        <f t="shared" si="215"/>
        <v>715401.82930885069</v>
      </c>
      <c r="I877" s="13">
        <f t="shared" si="216"/>
        <v>286160.75640968274</v>
      </c>
      <c r="J877" s="51">
        <f t="shared" si="204"/>
        <v>1001562.5857185335</v>
      </c>
    </row>
    <row r="878" spans="1:10" x14ac:dyDescent="0.25">
      <c r="A878" s="4" t="s">
        <v>61</v>
      </c>
      <c r="B878" s="5" t="s">
        <v>241</v>
      </c>
      <c r="C878" s="5" t="s">
        <v>236</v>
      </c>
      <c r="D878" s="5">
        <v>40</v>
      </c>
      <c r="E878" s="11">
        <v>273000</v>
      </c>
      <c r="F878" s="11">
        <v>109200</v>
      </c>
      <c r="G878" s="27">
        <f t="shared" si="214"/>
        <v>191.48936170212761</v>
      </c>
      <c r="H878" s="13">
        <f t="shared" si="215"/>
        <v>4088010.4531934327</v>
      </c>
      <c r="I878" s="13">
        <f t="shared" si="216"/>
        <v>1635204.3223410444</v>
      </c>
      <c r="J878" s="51">
        <f t="shared" si="204"/>
        <v>5723214.7755344771</v>
      </c>
    </row>
    <row r="879" spans="1:10" x14ac:dyDescent="0.25">
      <c r="A879" s="4" t="s">
        <v>61</v>
      </c>
      <c r="B879" s="5" t="s">
        <v>249</v>
      </c>
      <c r="C879" s="5" t="s">
        <v>250</v>
      </c>
      <c r="D879" s="5">
        <v>17</v>
      </c>
      <c r="E879" s="11">
        <v>257822</v>
      </c>
      <c r="F879" s="11">
        <v>103122</v>
      </c>
      <c r="G879" s="27">
        <f t="shared" si="214"/>
        <v>81.382978723404236</v>
      </c>
      <c r="H879" s="13">
        <f t="shared" si="215"/>
        <v>3860729.0515136896</v>
      </c>
      <c r="I879" s="13">
        <f t="shared" si="216"/>
        <v>1544189.9279162379</v>
      </c>
      <c r="J879" s="51">
        <f t="shared" si="204"/>
        <v>5404918.9794299277</v>
      </c>
    </row>
    <row r="880" spans="1:10" x14ac:dyDescent="0.25">
      <c r="A880" s="4" t="s">
        <v>61</v>
      </c>
      <c r="B880" s="5" t="s">
        <v>252</v>
      </c>
      <c r="C880" s="5" t="s">
        <v>212</v>
      </c>
      <c r="D880" s="5">
        <v>21</v>
      </c>
      <c r="E880" s="11">
        <v>30576</v>
      </c>
      <c r="F880" s="11">
        <v>0</v>
      </c>
      <c r="G880" s="27">
        <f t="shared" si="214"/>
        <v>100.53191489361699</v>
      </c>
      <c r="H880" s="13">
        <f t="shared" si="215"/>
        <v>457857.17075766448</v>
      </c>
      <c r="I880" s="13">
        <f t="shared" si="216"/>
        <v>0</v>
      </c>
      <c r="J880" s="51">
        <f t="shared" si="204"/>
        <v>457857.17075766448</v>
      </c>
    </row>
    <row r="881" spans="1:10" x14ac:dyDescent="0.25">
      <c r="A881" s="4" t="s">
        <v>61</v>
      </c>
      <c r="B881" s="5" t="s">
        <v>253</v>
      </c>
      <c r="C881" s="5" t="s">
        <v>210</v>
      </c>
      <c r="D881" s="5">
        <v>3</v>
      </c>
      <c r="E881" s="11">
        <v>2910</v>
      </c>
      <c r="F881" s="11">
        <v>0</v>
      </c>
      <c r="G881" s="27">
        <f t="shared" si="214"/>
        <v>14.361702127659569</v>
      </c>
      <c r="H881" s="13">
        <f t="shared" si="215"/>
        <v>43575.496039534395</v>
      </c>
      <c r="I881" s="13">
        <f t="shared" si="216"/>
        <v>0</v>
      </c>
      <c r="J881" s="51">
        <f t="shared" si="204"/>
        <v>43575.496039534395</v>
      </c>
    </row>
    <row r="882" spans="1:10" x14ac:dyDescent="0.25">
      <c r="A882" s="4" t="s">
        <v>61</v>
      </c>
      <c r="B882" s="5" t="s">
        <v>255</v>
      </c>
      <c r="C882" s="5" t="s">
        <v>210</v>
      </c>
      <c r="D882" s="5">
        <v>7</v>
      </c>
      <c r="E882" s="11">
        <v>6790</v>
      </c>
      <c r="F882" s="11">
        <v>0</v>
      </c>
      <c r="G882" s="27">
        <f t="shared" si="214"/>
        <v>33.510638297872333</v>
      </c>
      <c r="H882" s="13">
        <f t="shared" si="215"/>
        <v>101676.15742558026</v>
      </c>
      <c r="I882" s="13">
        <f t="shared" si="216"/>
        <v>0</v>
      </c>
      <c r="J882" s="51">
        <f t="shared" si="204"/>
        <v>101676.15742558026</v>
      </c>
    </row>
    <row r="883" spans="1:10" x14ac:dyDescent="0.25">
      <c r="A883" s="15" t="s">
        <v>61</v>
      </c>
      <c r="B883" s="16" t="s">
        <v>257</v>
      </c>
      <c r="C883" s="16" t="s">
        <v>210</v>
      </c>
      <c r="D883" s="16">
        <v>5</v>
      </c>
      <c r="E883" s="18">
        <v>4850</v>
      </c>
      <c r="F883" s="18">
        <v>0</v>
      </c>
      <c r="G883" s="27">
        <f t="shared" si="214"/>
        <v>23.936170212765951</v>
      </c>
      <c r="H883" s="13">
        <f t="shared" si="215"/>
        <v>72625.826732557325</v>
      </c>
      <c r="I883" s="13">
        <f t="shared" si="216"/>
        <v>0</v>
      </c>
      <c r="J883" s="51">
        <f t="shared" si="204"/>
        <v>72625.826732557325</v>
      </c>
    </row>
    <row r="884" spans="1:10" s="3" customFormat="1" x14ac:dyDescent="0.25">
      <c r="A884" s="4"/>
      <c r="B884" s="20" t="s">
        <v>303</v>
      </c>
      <c r="C884" s="21"/>
      <c r="D884" s="21"/>
      <c r="E884" s="29"/>
      <c r="F884" s="29"/>
      <c r="G884" s="47">
        <f>SUM(G866:G883)</f>
        <v>1574.9999999999993</v>
      </c>
      <c r="H884" s="47">
        <f t="shared" ref="H884:J884" si="217">SUM(H866:H883)</f>
        <v>15984046.000000002</v>
      </c>
      <c r="I884" s="47">
        <f t="shared" si="217"/>
        <v>4015954</v>
      </c>
      <c r="J884" s="47">
        <f t="shared" si="217"/>
        <v>20000000.000000004</v>
      </c>
    </row>
    <row r="885" spans="1:10" s="3" customFormat="1" x14ac:dyDescent="0.25">
      <c r="A885" s="34" t="s">
        <v>62</v>
      </c>
      <c r="B885" s="5" t="s">
        <v>214</v>
      </c>
      <c r="C885" s="5" t="s">
        <v>210</v>
      </c>
      <c r="D885" s="21"/>
      <c r="E885" s="29"/>
      <c r="F885" s="29"/>
      <c r="G885" s="48">
        <v>4</v>
      </c>
      <c r="H885" s="35">
        <v>2400000</v>
      </c>
      <c r="I885" s="35">
        <v>1600000</v>
      </c>
      <c r="J885" s="51">
        <f t="shared" si="204"/>
        <v>4000000</v>
      </c>
    </row>
    <row r="886" spans="1:10" s="3" customFormat="1" x14ac:dyDescent="0.25">
      <c r="A886" s="34" t="s">
        <v>62</v>
      </c>
      <c r="B886" s="21"/>
      <c r="C886" s="21"/>
      <c r="D886" s="21"/>
      <c r="E886" s="29"/>
      <c r="F886" s="29"/>
      <c r="G886" s="48"/>
      <c r="H886" s="48"/>
      <c r="I886" s="48"/>
      <c r="J886" s="51">
        <f t="shared" si="204"/>
        <v>0</v>
      </c>
    </row>
    <row r="887" spans="1:10" s="3" customFormat="1" x14ac:dyDescent="0.25">
      <c r="A887" s="36"/>
      <c r="B887" s="1" t="s">
        <v>469</v>
      </c>
      <c r="C887" s="1"/>
      <c r="D887" s="1"/>
      <c r="E887" s="2"/>
      <c r="F887" s="2"/>
      <c r="G887" s="47">
        <f>SUM(G885:G886)</f>
        <v>4</v>
      </c>
      <c r="H887" s="47">
        <f>SUM(H885:H886)</f>
        <v>2400000</v>
      </c>
      <c r="I887" s="47">
        <f t="shared" ref="I887:J887" si="218">SUM(I885:I886)</f>
        <v>1600000</v>
      </c>
      <c r="J887" s="47">
        <f t="shared" si="218"/>
        <v>4000000</v>
      </c>
    </row>
    <row r="888" spans="1:10" x14ac:dyDescent="0.25">
      <c r="A888" s="4" t="s">
        <v>63</v>
      </c>
      <c r="B888" s="5" t="s">
        <v>209</v>
      </c>
      <c r="C888" s="5" t="s">
        <v>210</v>
      </c>
      <c r="D888" s="5">
        <v>1</v>
      </c>
      <c r="E888" s="11">
        <v>485</v>
      </c>
      <c r="F888" s="11">
        <v>0</v>
      </c>
      <c r="G888" s="27">
        <f>+D888*4.85714285714286</f>
        <v>4.8571428571428603</v>
      </c>
      <c r="H888" s="13">
        <f>+E888*2030691/17761</f>
        <v>55452.121783683353</v>
      </c>
      <c r="I888" s="13">
        <f>+F888*1469309/12851</f>
        <v>0</v>
      </c>
      <c r="J888" s="51">
        <f t="shared" si="204"/>
        <v>55452.121783683353</v>
      </c>
    </row>
    <row r="889" spans="1:10" x14ac:dyDescent="0.25">
      <c r="A889" s="4" t="s">
        <v>63</v>
      </c>
      <c r="B889" s="5" t="s">
        <v>214</v>
      </c>
      <c r="C889" s="5" t="s">
        <v>210</v>
      </c>
      <c r="D889" s="5">
        <v>1</v>
      </c>
      <c r="E889" s="11">
        <v>485</v>
      </c>
      <c r="F889" s="11">
        <v>0</v>
      </c>
      <c r="G889" s="27">
        <f t="shared" ref="G889:G893" si="219">+D889*4.85714285714286</f>
        <v>4.8571428571428603</v>
      </c>
      <c r="H889" s="13">
        <f t="shared" ref="H889:H893" si="220">+E889*2030691/17761</f>
        <v>55452.121783683353</v>
      </c>
      <c r="I889" s="13">
        <f t="shared" ref="I889:I893" si="221">+F889*1469309/12851</f>
        <v>0</v>
      </c>
      <c r="J889" s="51">
        <f t="shared" si="204"/>
        <v>55452.121783683353</v>
      </c>
    </row>
    <row r="890" spans="1:10" x14ac:dyDescent="0.25">
      <c r="A890" s="4" t="s">
        <v>63</v>
      </c>
      <c r="B890" s="5" t="s">
        <v>217</v>
      </c>
      <c r="C890" s="5" t="s">
        <v>218</v>
      </c>
      <c r="D890" s="5">
        <v>1</v>
      </c>
      <c r="E890" s="11">
        <v>1656</v>
      </c>
      <c r="F890" s="11">
        <v>1325</v>
      </c>
      <c r="G890" s="27">
        <f t="shared" si="219"/>
        <v>4.8571428571428603</v>
      </c>
      <c r="H890" s="13">
        <f t="shared" si="220"/>
        <v>189337.55396655595</v>
      </c>
      <c r="I890" s="13">
        <f t="shared" si="221"/>
        <v>151492.8351879231</v>
      </c>
      <c r="J890" s="51">
        <f t="shared" ref="J890:J956" si="222">SUM(H890:I890)</f>
        <v>340830.38915447902</v>
      </c>
    </row>
    <row r="891" spans="1:10" x14ac:dyDescent="0.25">
      <c r="A891" s="4" t="s">
        <v>63</v>
      </c>
      <c r="B891" s="5" t="s">
        <v>241</v>
      </c>
      <c r="C891" s="5" t="s">
        <v>236</v>
      </c>
      <c r="D891" s="5">
        <v>2</v>
      </c>
      <c r="E891" s="11">
        <v>6824</v>
      </c>
      <c r="F891" s="11">
        <v>5460</v>
      </c>
      <c r="G891" s="27">
        <f t="shared" si="219"/>
        <v>9.7142857142857206</v>
      </c>
      <c r="H891" s="13">
        <f t="shared" si="220"/>
        <v>780217.07021001074</v>
      </c>
      <c r="I891" s="13">
        <f t="shared" si="221"/>
        <v>624264.81518947938</v>
      </c>
      <c r="J891" s="51">
        <f t="shared" si="222"/>
        <v>1404481.8853994901</v>
      </c>
    </row>
    <row r="892" spans="1:10" x14ac:dyDescent="0.25">
      <c r="A892" s="4" t="s">
        <v>63</v>
      </c>
      <c r="B892" s="5" t="s">
        <v>249</v>
      </c>
      <c r="C892" s="5" t="s">
        <v>250</v>
      </c>
      <c r="D892" s="5">
        <v>1</v>
      </c>
      <c r="E892" s="11">
        <v>7583</v>
      </c>
      <c r="F892" s="11">
        <v>6066</v>
      </c>
      <c r="G892" s="27">
        <f t="shared" si="219"/>
        <v>4.8571428571428603</v>
      </c>
      <c r="H892" s="13">
        <f t="shared" si="220"/>
        <v>866996.78244468221</v>
      </c>
      <c r="I892" s="13">
        <f t="shared" si="221"/>
        <v>693551.34962259745</v>
      </c>
      <c r="J892" s="51">
        <f t="shared" si="222"/>
        <v>1560548.1320672797</v>
      </c>
    </row>
    <row r="893" spans="1:10" x14ac:dyDescent="0.25">
      <c r="A893" s="15" t="s">
        <v>63</v>
      </c>
      <c r="B893" s="16" t="s">
        <v>254</v>
      </c>
      <c r="C893" s="16" t="s">
        <v>212</v>
      </c>
      <c r="D893" s="16">
        <v>1</v>
      </c>
      <c r="E893" s="18">
        <v>728</v>
      </c>
      <c r="F893" s="18">
        <v>0</v>
      </c>
      <c r="G893" s="27">
        <f t="shared" si="219"/>
        <v>4.8571428571428603</v>
      </c>
      <c r="H893" s="13">
        <f t="shared" si="220"/>
        <v>83235.349811384498</v>
      </c>
      <c r="I893" s="13">
        <f t="shared" si="221"/>
        <v>0</v>
      </c>
      <c r="J893" s="51">
        <f t="shared" si="222"/>
        <v>83235.349811384498</v>
      </c>
    </row>
    <row r="894" spans="1:10" s="3" customFormat="1" x14ac:dyDescent="0.25">
      <c r="A894" s="4"/>
      <c r="B894" s="20" t="s">
        <v>304</v>
      </c>
      <c r="C894" s="21"/>
      <c r="D894" s="21"/>
      <c r="E894" s="29"/>
      <c r="F894" s="29"/>
      <c r="G894" s="47">
        <f>SUM(G888:G893)</f>
        <v>34.000000000000021</v>
      </c>
      <c r="H894" s="47">
        <f t="shared" ref="H894:J894" si="223">SUM(H888:H893)</f>
        <v>2030691</v>
      </c>
      <c r="I894" s="47">
        <f t="shared" si="223"/>
        <v>1469309</v>
      </c>
      <c r="J894" s="47">
        <f t="shared" si="223"/>
        <v>3500000</v>
      </c>
    </row>
    <row r="895" spans="1:10" x14ac:dyDescent="0.25">
      <c r="A895" s="23" t="s">
        <v>64</v>
      </c>
      <c r="B895" s="24" t="s">
        <v>214</v>
      </c>
      <c r="C895" s="24" t="s">
        <v>210</v>
      </c>
      <c r="D895" s="24">
        <v>1</v>
      </c>
      <c r="E895" s="30">
        <v>970</v>
      </c>
      <c r="F895" s="30">
        <v>0</v>
      </c>
      <c r="G895" s="27">
        <f>+D895*4.66666666666667</f>
        <v>4.6666666666666696</v>
      </c>
      <c r="H895" s="13">
        <f>+E895*1143758/8765</f>
        <v>126576.75527666857</v>
      </c>
      <c r="I895" s="13">
        <f>+F895*356242/2730</f>
        <v>0</v>
      </c>
      <c r="J895" s="51">
        <f t="shared" si="222"/>
        <v>126576.75527666857</v>
      </c>
    </row>
    <row r="896" spans="1:10" x14ac:dyDescent="0.25">
      <c r="A896" s="4" t="s">
        <v>64</v>
      </c>
      <c r="B896" s="5" t="s">
        <v>216</v>
      </c>
      <c r="C896" s="5" t="s">
        <v>210</v>
      </c>
      <c r="D896" s="5">
        <v>1</v>
      </c>
      <c r="E896" s="11">
        <v>970</v>
      </c>
      <c r="F896" s="11">
        <v>0</v>
      </c>
      <c r="G896" s="27">
        <f t="shared" ref="G896:G897" si="224">+D896*4.66666666666667</f>
        <v>4.6666666666666696</v>
      </c>
      <c r="H896" s="13">
        <f t="shared" ref="H896:H897" si="225">+E896*1143758/8765</f>
        <v>126576.75527666857</v>
      </c>
      <c r="I896" s="13">
        <f t="shared" ref="I896:I897" si="226">+F896*356242/2730</f>
        <v>0</v>
      </c>
      <c r="J896" s="51">
        <f t="shared" si="222"/>
        <v>126576.75527666857</v>
      </c>
    </row>
    <row r="897" spans="1:10" x14ac:dyDescent="0.25">
      <c r="A897" s="15" t="s">
        <v>64</v>
      </c>
      <c r="B897" s="16" t="s">
        <v>235</v>
      </c>
      <c r="C897" s="16" t="s">
        <v>236</v>
      </c>
      <c r="D897" s="16">
        <v>1</v>
      </c>
      <c r="E897" s="18">
        <v>6825</v>
      </c>
      <c r="F897" s="18">
        <v>2730</v>
      </c>
      <c r="G897" s="27">
        <f t="shared" si="224"/>
        <v>4.6666666666666696</v>
      </c>
      <c r="H897" s="13">
        <f t="shared" si="225"/>
        <v>890604.48944666283</v>
      </c>
      <c r="I897" s="13">
        <f t="shared" si="226"/>
        <v>356242</v>
      </c>
      <c r="J897" s="51">
        <f t="shared" si="222"/>
        <v>1246846.4894466628</v>
      </c>
    </row>
    <row r="898" spans="1:10" s="3" customFormat="1" x14ac:dyDescent="0.25">
      <c r="A898" s="4"/>
      <c r="B898" s="20" t="s">
        <v>305</v>
      </c>
      <c r="C898" s="21"/>
      <c r="D898" s="21"/>
      <c r="E898" s="29"/>
      <c r="F898" s="29"/>
      <c r="G898" s="47">
        <f>SUM(G895:G897)</f>
        <v>14.000000000000009</v>
      </c>
      <c r="H898" s="47">
        <f t="shared" ref="H898:J898" si="227">SUM(H895:H897)</f>
        <v>1143758</v>
      </c>
      <c r="I898" s="47">
        <f t="shared" si="227"/>
        <v>356242</v>
      </c>
      <c r="J898" s="47">
        <f t="shared" si="227"/>
        <v>1500000</v>
      </c>
    </row>
    <row r="899" spans="1:10" x14ac:dyDescent="0.25">
      <c r="A899" s="23" t="s">
        <v>65</v>
      </c>
      <c r="B899" s="24" t="s">
        <v>214</v>
      </c>
      <c r="C899" s="24" t="s">
        <v>210</v>
      </c>
      <c r="D899" s="24">
        <v>2</v>
      </c>
      <c r="E899" s="30">
        <v>970</v>
      </c>
      <c r="F899" s="30">
        <v>0</v>
      </c>
      <c r="G899" s="27">
        <f>+D899*4.7906976744186</f>
        <v>9.5813953488371997</v>
      </c>
      <c r="H899" s="13">
        <f>+E899*1302260/218481</f>
        <v>5781.7027567614577</v>
      </c>
      <c r="I899" s="13">
        <f>+F899*197740/33175</f>
        <v>0</v>
      </c>
      <c r="J899" s="51">
        <f t="shared" si="222"/>
        <v>5781.7027567614577</v>
      </c>
    </row>
    <row r="900" spans="1:10" x14ac:dyDescent="0.25">
      <c r="A900" s="4" t="s">
        <v>65</v>
      </c>
      <c r="B900" s="5" t="s">
        <v>215</v>
      </c>
      <c r="C900" s="5" t="s">
        <v>212</v>
      </c>
      <c r="D900" s="5">
        <v>4</v>
      </c>
      <c r="E900" s="11">
        <v>2912</v>
      </c>
      <c r="F900" s="11">
        <v>0</v>
      </c>
      <c r="G900" s="27">
        <f t="shared" ref="G900:G914" si="228">+D900*4.7906976744186</f>
        <v>19.162790697674399</v>
      </c>
      <c r="H900" s="13">
        <f t="shared" ref="H900:H914" si="229">+E900*1302260/218481</f>
        <v>17357.029306896253</v>
      </c>
      <c r="I900" s="13">
        <f t="shared" ref="I900:I914" si="230">+F900*197740/33175</f>
        <v>0</v>
      </c>
      <c r="J900" s="51">
        <f t="shared" si="222"/>
        <v>17357.029306896253</v>
      </c>
    </row>
    <row r="901" spans="1:10" x14ac:dyDescent="0.25">
      <c r="A901" s="4" t="s">
        <v>65</v>
      </c>
      <c r="B901" s="5" t="s">
        <v>217</v>
      </c>
      <c r="C901" s="5" t="s">
        <v>218</v>
      </c>
      <c r="D901" s="5">
        <v>1</v>
      </c>
      <c r="E901" s="11">
        <v>1656</v>
      </c>
      <c r="F901" s="11">
        <v>1325</v>
      </c>
      <c r="G901" s="27">
        <f t="shared" si="228"/>
        <v>4.7906976744185998</v>
      </c>
      <c r="H901" s="13">
        <f t="shared" si="229"/>
        <v>9870.6183146360545</v>
      </c>
      <c r="I901" s="13">
        <f t="shared" si="230"/>
        <v>7897.6789751318765</v>
      </c>
      <c r="J901" s="51">
        <f t="shared" si="222"/>
        <v>17768.297289767932</v>
      </c>
    </row>
    <row r="902" spans="1:10" x14ac:dyDescent="0.25">
      <c r="A902" s="4" t="s">
        <v>65</v>
      </c>
      <c r="B902" s="5" t="s">
        <v>221</v>
      </c>
      <c r="C902" s="5" t="s">
        <v>222</v>
      </c>
      <c r="D902" s="5">
        <v>1</v>
      </c>
      <c r="E902" s="11">
        <v>36400</v>
      </c>
      <c r="F902" s="11">
        <v>29120</v>
      </c>
      <c r="G902" s="27">
        <f t="shared" si="228"/>
        <v>4.7906976744185998</v>
      </c>
      <c r="H902" s="13">
        <f t="shared" si="229"/>
        <v>216962.86633620315</v>
      </c>
      <c r="I902" s="13">
        <f t="shared" si="230"/>
        <v>173570.12207987942</v>
      </c>
      <c r="J902" s="51">
        <f t="shared" si="222"/>
        <v>390532.98841608257</v>
      </c>
    </row>
    <row r="903" spans="1:10" x14ac:dyDescent="0.25">
      <c r="A903" s="4" t="s">
        <v>65</v>
      </c>
      <c r="B903" s="5" t="s">
        <v>223</v>
      </c>
      <c r="C903" s="5" t="s">
        <v>224</v>
      </c>
      <c r="D903" s="5">
        <v>4</v>
      </c>
      <c r="E903" s="11">
        <v>0</v>
      </c>
      <c r="F903" s="11">
        <v>0</v>
      </c>
      <c r="G903" s="27">
        <f t="shared" si="228"/>
        <v>19.162790697674399</v>
      </c>
      <c r="H903" s="13">
        <f t="shared" si="229"/>
        <v>0</v>
      </c>
      <c r="I903" s="13">
        <f t="shared" si="230"/>
        <v>0</v>
      </c>
      <c r="J903" s="51">
        <f t="shared" si="222"/>
        <v>0</v>
      </c>
    </row>
    <row r="904" spans="1:10" x14ac:dyDescent="0.25">
      <c r="A904" s="4" t="s">
        <v>65</v>
      </c>
      <c r="B904" s="5" t="s">
        <v>226</v>
      </c>
      <c r="C904" s="5" t="s">
        <v>210</v>
      </c>
      <c r="D904" s="5">
        <v>14</v>
      </c>
      <c r="E904" s="11">
        <v>6790</v>
      </c>
      <c r="F904" s="11">
        <v>0</v>
      </c>
      <c r="G904" s="27">
        <f t="shared" si="228"/>
        <v>67.069767441860392</v>
      </c>
      <c r="H904" s="13">
        <f t="shared" si="229"/>
        <v>40471.919297330205</v>
      </c>
      <c r="I904" s="13">
        <f t="shared" si="230"/>
        <v>0</v>
      </c>
      <c r="J904" s="51">
        <f t="shared" si="222"/>
        <v>40471.919297330205</v>
      </c>
    </row>
    <row r="905" spans="1:10" x14ac:dyDescent="0.25">
      <c r="A905" s="4" t="s">
        <v>65</v>
      </c>
      <c r="B905" s="5" t="s">
        <v>227</v>
      </c>
      <c r="C905" s="5" t="s">
        <v>210</v>
      </c>
      <c r="D905" s="5">
        <v>1</v>
      </c>
      <c r="E905" s="11">
        <v>485</v>
      </c>
      <c r="F905" s="11">
        <v>0</v>
      </c>
      <c r="G905" s="27">
        <f t="shared" si="228"/>
        <v>4.7906976744185998</v>
      </c>
      <c r="H905" s="13">
        <f t="shared" si="229"/>
        <v>2890.8513783807289</v>
      </c>
      <c r="I905" s="13">
        <f t="shared" si="230"/>
        <v>0</v>
      </c>
      <c r="J905" s="51">
        <f t="shared" si="222"/>
        <v>2890.8513783807289</v>
      </c>
    </row>
    <row r="906" spans="1:10" x14ac:dyDescent="0.25">
      <c r="A906" s="4" t="s">
        <v>65</v>
      </c>
      <c r="B906" s="5" t="s">
        <v>228</v>
      </c>
      <c r="C906" s="5" t="s">
        <v>229</v>
      </c>
      <c r="D906" s="5">
        <v>2</v>
      </c>
      <c r="E906" s="11">
        <v>1940</v>
      </c>
      <c r="F906" s="11">
        <v>0</v>
      </c>
      <c r="G906" s="27">
        <f t="shared" si="228"/>
        <v>9.5813953488371997</v>
      </c>
      <c r="H906" s="13">
        <f t="shared" si="229"/>
        <v>11563.405513522915</v>
      </c>
      <c r="I906" s="13">
        <f t="shared" si="230"/>
        <v>0</v>
      </c>
      <c r="J906" s="51">
        <f t="shared" si="222"/>
        <v>11563.405513522915</v>
      </c>
    </row>
    <row r="907" spans="1:10" x14ac:dyDescent="0.25">
      <c r="A907" s="4" t="s">
        <v>65</v>
      </c>
      <c r="B907" s="5" t="s">
        <v>230</v>
      </c>
      <c r="C907" s="5" t="s">
        <v>229</v>
      </c>
      <c r="D907" s="5">
        <v>6</v>
      </c>
      <c r="E907" s="11">
        <v>5820</v>
      </c>
      <c r="F907" s="11">
        <v>0</v>
      </c>
      <c r="G907" s="27">
        <f t="shared" si="228"/>
        <v>28.744186046511601</v>
      </c>
      <c r="H907" s="13">
        <f t="shared" si="229"/>
        <v>34690.216540568748</v>
      </c>
      <c r="I907" s="13">
        <f t="shared" si="230"/>
        <v>0</v>
      </c>
      <c r="J907" s="51">
        <f t="shared" si="222"/>
        <v>34690.216540568748</v>
      </c>
    </row>
    <row r="908" spans="1:10" x14ac:dyDescent="0.25">
      <c r="A908" s="4" t="s">
        <v>65</v>
      </c>
      <c r="B908" s="5" t="s">
        <v>231</v>
      </c>
      <c r="C908" s="5" t="s">
        <v>232</v>
      </c>
      <c r="D908" s="5">
        <v>1</v>
      </c>
      <c r="E908" s="11">
        <v>106166</v>
      </c>
      <c r="F908" s="11">
        <v>0</v>
      </c>
      <c r="G908" s="27">
        <f t="shared" si="228"/>
        <v>4.7906976744185998</v>
      </c>
      <c r="H908" s="13">
        <f t="shared" si="229"/>
        <v>632804.38646838861</v>
      </c>
      <c r="I908" s="13">
        <f t="shared" si="230"/>
        <v>0</v>
      </c>
      <c r="J908" s="51">
        <f t="shared" si="222"/>
        <v>632804.38646838861</v>
      </c>
    </row>
    <row r="909" spans="1:10" x14ac:dyDescent="0.25">
      <c r="A909" s="4" t="s">
        <v>65</v>
      </c>
      <c r="B909" s="5" t="s">
        <v>233</v>
      </c>
      <c r="C909" s="5" t="s">
        <v>234</v>
      </c>
      <c r="D909" s="5">
        <v>1</v>
      </c>
      <c r="E909" s="11">
        <v>48533</v>
      </c>
      <c r="F909" s="11">
        <v>0</v>
      </c>
      <c r="G909" s="27">
        <f t="shared" si="228"/>
        <v>4.7906976744185998</v>
      </c>
      <c r="H909" s="13">
        <f t="shared" si="229"/>
        <v>289281.83494216891</v>
      </c>
      <c r="I909" s="13">
        <f t="shared" si="230"/>
        <v>0</v>
      </c>
      <c r="J909" s="51">
        <f t="shared" si="222"/>
        <v>289281.83494216891</v>
      </c>
    </row>
    <row r="910" spans="1:10" x14ac:dyDescent="0.25">
      <c r="A910" s="4" t="s">
        <v>65</v>
      </c>
      <c r="B910" s="5" t="s">
        <v>241</v>
      </c>
      <c r="C910" s="5" t="s">
        <v>236</v>
      </c>
      <c r="D910" s="5">
        <v>1</v>
      </c>
      <c r="E910" s="11">
        <v>3412</v>
      </c>
      <c r="F910" s="11">
        <v>2730</v>
      </c>
      <c r="G910" s="27">
        <f t="shared" si="228"/>
        <v>4.7906976744185998</v>
      </c>
      <c r="H910" s="13">
        <f t="shared" si="229"/>
        <v>20337.288459866075</v>
      </c>
      <c r="I910" s="13">
        <f t="shared" si="230"/>
        <v>16272.198944988697</v>
      </c>
      <c r="J910" s="51">
        <f t="shared" si="222"/>
        <v>36609.487404854772</v>
      </c>
    </row>
    <row r="911" spans="1:10" x14ac:dyDescent="0.25">
      <c r="A911" s="4" t="s">
        <v>65</v>
      </c>
      <c r="B911" s="5" t="s">
        <v>251</v>
      </c>
      <c r="C911" s="5" t="s">
        <v>212</v>
      </c>
      <c r="D911" s="5">
        <v>1</v>
      </c>
      <c r="E911" s="11">
        <v>728</v>
      </c>
      <c r="F911" s="11">
        <v>0</v>
      </c>
      <c r="G911" s="27">
        <f t="shared" si="228"/>
        <v>4.7906976744185998</v>
      </c>
      <c r="H911" s="13">
        <f t="shared" si="229"/>
        <v>4339.2573267240632</v>
      </c>
      <c r="I911" s="13">
        <f t="shared" si="230"/>
        <v>0</v>
      </c>
      <c r="J911" s="51">
        <f t="shared" si="222"/>
        <v>4339.2573267240632</v>
      </c>
    </row>
    <row r="912" spans="1:10" x14ac:dyDescent="0.25">
      <c r="A912" s="4" t="s">
        <v>65</v>
      </c>
      <c r="B912" s="5" t="s">
        <v>252</v>
      </c>
      <c r="C912" s="5" t="s">
        <v>212</v>
      </c>
      <c r="D912" s="5">
        <v>2</v>
      </c>
      <c r="E912" s="11">
        <v>1456</v>
      </c>
      <c r="F912" s="11">
        <v>0</v>
      </c>
      <c r="G912" s="27">
        <f t="shared" si="228"/>
        <v>9.5813953488371997</v>
      </c>
      <c r="H912" s="13">
        <f t="shared" si="229"/>
        <v>8678.5146534481264</v>
      </c>
      <c r="I912" s="13">
        <f t="shared" si="230"/>
        <v>0</v>
      </c>
      <c r="J912" s="51">
        <f t="shared" si="222"/>
        <v>8678.5146534481264</v>
      </c>
    </row>
    <row r="913" spans="1:10" x14ac:dyDescent="0.25">
      <c r="A913" s="4" t="s">
        <v>65</v>
      </c>
      <c r="B913" s="5" t="s">
        <v>256</v>
      </c>
      <c r="C913" s="5" t="s">
        <v>212</v>
      </c>
      <c r="D913" s="5">
        <v>1</v>
      </c>
      <c r="E913" s="11">
        <v>728</v>
      </c>
      <c r="F913" s="11">
        <v>0</v>
      </c>
      <c r="G913" s="27">
        <f t="shared" si="228"/>
        <v>4.7906976744185998</v>
      </c>
      <c r="H913" s="13">
        <f t="shared" si="229"/>
        <v>4339.2573267240632</v>
      </c>
      <c r="I913" s="13">
        <f t="shared" si="230"/>
        <v>0</v>
      </c>
      <c r="J913" s="51">
        <f t="shared" si="222"/>
        <v>4339.2573267240632</v>
      </c>
    </row>
    <row r="914" spans="1:10" x14ac:dyDescent="0.25">
      <c r="A914" s="15" t="s">
        <v>65</v>
      </c>
      <c r="B914" s="16" t="s">
        <v>257</v>
      </c>
      <c r="C914" s="16" t="s">
        <v>210</v>
      </c>
      <c r="D914" s="16">
        <v>1</v>
      </c>
      <c r="E914" s="18">
        <v>485</v>
      </c>
      <c r="F914" s="18">
        <v>0</v>
      </c>
      <c r="G914" s="27">
        <f t="shared" si="228"/>
        <v>4.7906976744185998</v>
      </c>
      <c r="H914" s="13">
        <f t="shared" si="229"/>
        <v>2890.8513783807289</v>
      </c>
      <c r="I914" s="13">
        <f t="shared" si="230"/>
        <v>0</v>
      </c>
      <c r="J914" s="51">
        <f t="shared" si="222"/>
        <v>2890.8513783807289</v>
      </c>
    </row>
    <row r="915" spans="1:10" s="3" customFormat="1" x14ac:dyDescent="0.25">
      <c r="A915" s="4"/>
      <c r="B915" s="20" t="s">
        <v>306</v>
      </c>
      <c r="C915" s="21"/>
      <c r="D915" s="21"/>
      <c r="E915" s="29"/>
      <c r="F915" s="29"/>
      <c r="G915" s="47">
        <f>SUM(G899:G914)</f>
        <v>205.99999999999974</v>
      </c>
      <c r="H915" s="47">
        <f t="shared" ref="H915:J915" si="231">SUM(H899:H914)</f>
        <v>1302259.9999999998</v>
      </c>
      <c r="I915" s="47">
        <f t="shared" si="231"/>
        <v>197740</v>
      </c>
      <c r="J915" s="47">
        <f t="shared" si="231"/>
        <v>1499999.9999999998</v>
      </c>
    </row>
    <row r="916" spans="1:10" s="3" customFormat="1" x14ac:dyDescent="0.25">
      <c r="A916" s="34" t="s">
        <v>66</v>
      </c>
      <c r="B916" s="5" t="s">
        <v>214</v>
      </c>
      <c r="C916" s="5" t="s">
        <v>210</v>
      </c>
      <c r="D916" s="21"/>
      <c r="E916" s="29"/>
      <c r="F916" s="29"/>
      <c r="G916" s="48">
        <v>4</v>
      </c>
      <c r="H916" s="35">
        <v>650000</v>
      </c>
      <c r="I916" s="35">
        <v>1850000</v>
      </c>
      <c r="J916" s="51">
        <f t="shared" si="222"/>
        <v>2500000</v>
      </c>
    </row>
    <row r="917" spans="1:10" s="3" customFormat="1" x14ac:dyDescent="0.25">
      <c r="A917" s="34" t="s">
        <v>66</v>
      </c>
      <c r="B917" s="21"/>
      <c r="C917" s="21"/>
      <c r="D917" s="21"/>
      <c r="E917" s="29"/>
      <c r="F917" s="29"/>
      <c r="G917" s="48"/>
      <c r="H917" s="48"/>
      <c r="I917" s="48"/>
      <c r="J917" s="51">
        <f t="shared" si="222"/>
        <v>0</v>
      </c>
    </row>
    <row r="918" spans="1:10" s="3" customFormat="1" x14ac:dyDescent="0.25">
      <c r="A918" s="36"/>
      <c r="B918" s="1" t="s">
        <v>468</v>
      </c>
      <c r="C918" s="1"/>
      <c r="D918" s="1"/>
      <c r="E918" s="2"/>
      <c r="F918" s="2"/>
      <c r="G918" s="47">
        <f>SUM(G916:G917)</f>
        <v>4</v>
      </c>
      <c r="H918" s="47">
        <f>SUM(H916:H917)</f>
        <v>650000</v>
      </c>
      <c r="I918" s="47">
        <f t="shared" ref="I918:J918" si="232">SUM(I916:I917)</f>
        <v>1850000</v>
      </c>
      <c r="J918" s="47">
        <f t="shared" si="232"/>
        <v>2500000</v>
      </c>
    </row>
    <row r="919" spans="1:10" x14ac:dyDescent="0.25">
      <c r="A919" s="4" t="s">
        <v>67</v>
      </c>
      <c r="B919" s="5" t="s">
        <v>207</v>
      </c>
      <c r="C919" s="5" t="s">
        <v>208</v>
      </c>
      <c r="D919" s="5">
        <v>1</v>
      </c>
      <c r="E919" s="11">
        <v>11648</v>
      </c>
      <c r="F919" s="11">
        <v>4659</v>
      </c>
      <c r="G919" s="27">
        <f>+D919*4.79310344827586</f>
        <v>4.7931034482758603</v>
      </c>
      <c r="H919" s="13">
        <f>+E919*10324028/633848</f>
        <v>189721.00273882697</v>
      </c>
      <c r="I919" s="13">
        <f>+F919*1675972/102897</f>
        <v>75885.142890463278</v>
      </c>
      <c r="J919" s="51">
        <f t="shared" si="222"/>
        <v>265606.14562929026</v>
      </c>
    </row>
    <row r="920" spans="1:10" x14ac:dyDescent="0.25">
      <c r="A920" s="4" t="s">
        <v>67</v>
      </c>
      <c r="B920" s="5" t="s">
        <v>209</v>
      </c>
      <c r="C920" s="5" t="s">
        <v>210</v>
      </c>
      <c r="D920" s="5">
        <v>1</v>
      </c>
      <c r="E920" s="11">
        <v>970</v>
      </c>
      <c r="F920" s="11">
        <v>0</v>
      </c>
      <c r="G920" s="27">
        <f t="shared" ref="G920:G935" si="233">+D920*4.79310344827586</f>
        <v>4.7931034482758603</v>
      </c>
      <c r="H920" s="13">
        <f t="shared" ref="H920:H935" si="234">+E920*10324028/633848</f>
        <v>15799.224987694211</v>
      </c>
      <c r="I920" s="13">
        <f t="shared" ref="I920:I935" si="235">+F920*1675972/102897</f>
        <v>0</v>
      </c>
      <c r="J920" s="51">
        <f t="shared" si="222"/>
        <v>15799.224987694211</v>
      </c>
    </row>
    <row r="921" spans="1:10" x14ac:dyDescent="0.25">
      <c r="A921" s="4" t="s">
        <v>67</v>
      </c>
      <c r="B921" s="5" t="s">
        <v>214</v>
      </c>
      <c r="C921" s="5" t="s">
        <v>210</v>
      </c>
      <c r="D921" s="5">
        <v>3</v>
      </c>
      <c r="E921" s="11">
        <v>2910</v>
      </c>
      <c r="F921" s="11">
        <v>0</v>
      </c>
      <c r="G921" s="27">
        <f t="shared" si="233"/>
        <v>14.37931034482758</v>
      </c>
      <c r="H921" s="13">
        <f t="shared" si="234"/>
        <v>47397.674963082631</v>
      </c>
      <c r="I921" s="13">
        <f t="shared" si="235"/>
        <v>0</v>
      </c>
      <c r="J921" s="51">
        <f t="shared" si="222"/>
        <v>47397.674963082631</v>
      </c>
    </row>
    <row r="922" spans="1:10" x14ac:dyDescent="0.25">
      <c r="A922" s="4" t="s">
        <v>67</v>
      </c>
      <c r="B922" s="5" t="s">
        <v>216</v>
      </c>
      <c r="C922" s="5" t="s">
        <v>210</v>
      </c>
      <c r="D922" s="5">
        <v>5</v>
      </c>
      <c r="E922" s="11">
        <v>4850</v>
      </c>
      <c r="F922" s="11">
        <v>0</v>
      </c>
      <c r="G922" s="27">
        <f t="shared" si="233"/>
        <v>23.965517241379303</v>
      </c>
      <c r="H922" s="13">
        <f t="shared" si="234"/>
        <v>78996.124938471054</v>
      </c>
      <c r="I922" s="13">
        <f t="shared" si="235"/>
        <v>0</v>
      </c>
      <c r="J922" s="51">
        <f t="shared" si="222"/>
        <v>78996.124938471054</v>
      </c>
    </row>
    <row r="923" spans="1:10" x14ac:dyDescent="0.25">
      <c r="A923" s="4" t="s">
        <v>67</v>
      </c>
      <c r="B923" s="5" t="s">
        <v>217</v>
      </c>
      <c r="C923" s="5" t="s">
        <v>218</v>
      </c>
      <c r="D923" s="5">
        <v>3</v>
      </c>
      <c r="E923" s="11">
        <v>9939</v>
      </c>
      <c r="F923" s="11">
        <v>3975</v>
      </c>
      <c r="G923" s="27">
        <f t="shared" si="233"/>
        <v>14.37931034482758</v>
      </c>
      <c r="H923" s="13">
        <f t="shared" si="234"/>
        <v>161885.04861102346</v>
      </c>
      <c r="I923" s="13">
        <f t="shared" si="235"/>
        <v>64744.246187935511</v>
      </c>
      <c r="J923" s="51">
        <f t="shared" si="222"/>
        <v>226629.29479895899</v>
      </c>
    </row>
    <row r="924" spans="1:10" x14ac:dyDescent="0.25">
      <c r="A924" s="4" t="s">
        <v>67</v>
      </c>
      <c r="B924" s="5" t="s">
        <v>226</v>
      </c>
      <c r="C924" s="5" t="s">
        <v>210</v>
      </c>
      <c r="D924" s="5">
        <v>8</v>
      </c>
      <c r="E924" s="11">
        <v>7760</v>
      </c>
      <c r="F924" s="11">
        <v>0</v>
      </c>
      <c r="G924" s="27">
        <f t="shared" si="233"/>
        <v>38.344827586206883</v>
      </c>
      <c r="H924" s="13">
        <f t="shared" si="234"/>
        <v>126393.79990155369</v>
      </c>
      <c r="I924" s="13">
        <f t="shared" si="235"/>
        <v>0</v>
      </c>
      <c r="J924" s="51">
        <f t="shared" si="222"/>
        <v>126393.79990155369</v>
      </c>
    </row>
    <row r="925" spans="1:10" x14ac:dyDescent="0.25">
      <c r="A925" s="4" t="s">
        <v>67</v>
      </c>
      <c r="B925" s="5" t="s">
        <v>228</v>
      </c>
      <c r="C925" s="5" t="s">
        <v>229</v>
      </c>
      <c r="D925" s="5">
        <v>23</v>
      </c>
      <c r="E925" s="11">
        <v>44643</v>
      </c>
      <c r="F925" s="11">
        <v>0</v>
      </c>
      <c r="G925" s="27">
        <f t="shared" si="233"/>
        <v>110.24137931034478</v>
      </c>
      <c r="H925" s="13">
        <f t="shared" si="234"/>
        <v>727138.97023261094</v>
      </c>
      <c r="I925" s="13">
        <f t="shared" si="235"/>
        <v>0</v>
      </c>
      <c r="J925" s="51">
        <f t="shared" si="222"/>
        <v>727138.97023261094</v>
      </c>
    </row>
    <row r="926" spans="1:10" x14ac:dyDescent="0.25">
      <c r="A926" s="4" t="s">
        <v>67</v>
      </c>
      <c r="B926" s="5" t="s">
        <v>230</v>
      </c>
      <c r="C926" s="5" t="s">
        <v>229</v>
      </c>
      <c r="D926" s="5">
        <v>12</v>
      </c>
      <c r="E926" s="11">
        <v>23292</v>
      </c>
      <c r="F926" s="11">
        <v>0</v>
      </c>
      <c r="G926" s="27">
        <f t="shared" si="233"/>
        <v>57.51724137931032</v>
      </c>
      <c r="H926" s="13">
        <f t="shared" si="234"/>
        <v>379376.85403440573</v>
      </c>
      <c r="I926" s="13">
        <f t="shared" si="235"/>
        <v>0</v>
      </c>
      <c r="J926" s="51">
        <f t="shared" si="222"/>
        <v>379376.85403440573</v>
      </c>
    </row>
    <row r="927" spans="1:10" x14ac:dyDescent="0.25">
      <c r="A927" s="4" t="s">
        <v>67</v>
      </c>
      <c r="B927" s="5" t="s">
        <v>233</v>
      </c>
      <c r="C927" s="5" t="s">
        <v>234</v>
      </c>
      <c r="D927" s="5">
        <v>3</v>
      </c>
      <c r="E927" s="11">
        <v>291198</v>
      </c>
      <c r="F927" s="11">
        <v>0</v>
      </c>
      <c r="G927" s="27">
        <f t="shared" si="233"/>
        <v>14.37931034482758</v>
      </c>
      <c r="H927" s="13">
        <f t="shared" si="234"/>
        <v>4742992.4927490503</v>
      </c>
      <c r="I927" s="13">
        <f t="shared" si="235"/>
        <v>0</v>
      </c>
      <c r="J927" s="51">
        <f t="shared" si="222"/>
        <v>4742992.4927490503</v>
      </c>
    </row>
    <row r="928" spans="1:10" x14ac:dyDescent="0.25">
      <c r="A928" s="4" t="s">
        <v>67</v>
      </c>
      <c r="B928" s="5" t="s">
        <v>235</v>
      </c>
      <c r="C928" s="5" t="s">
        <v>236</v>
      </c>
      <c r="D928" s="5">
        <v>1</v>
      </c>
      <c r="E928" s="11">
        <v>6825</v>
      </c>
      <c r="F928" s="11">
        <v>2730</v>
      </c>
      <c r="G928" s="27">
        <f t="shared" si="233"/>
        <v>4.7931034482758603</v>
      </c>
      <c r="H928" s="13">
        <f t="shared" si="234"/>
        <v>111164.65004228143</v>
      </c>
      <c r="I928" s="13">
        <f t="shared" si="235"/>
        <v>44465.859646053817</v>
      </c>
      <c r="J928" s="51">
        <f t="shared" si="222"/>
        <v>155630.50968833524</v>
      </c>
    </row>
    <row r="929" spans="1:10" x14ac:dyDescent="0.25">
      <c r="A929" s="4" t="s">
        <v>67</v>
      </c>
      <c r="B929" s="5" t="s">
        <v>239</v>
      </c>
      <c r="C929" s="5" t="s">
        <v>236</v>
      </c>
      <c r="D929" s="5">
        <v>1</v>
      </c>
      <c r="E929" s="11">
        <v>6825</v>
      </c>
      <c r="F929" s="11">
        <v>2730</v>
      </c>
      <c r="G929" s="27">
        <f t="shared" si="233"/>
        <v>4.7931034482758603</v>
      </c>
      <c r="H929" s="13">
        <f t="shared" si="234"/>
        <v>111164.65004228143</v>
      </c>
      <c r="I929" s="13">
        <f t="shared" si="235"/>
        <v>44465.859646053817</v>
      </c>
      <c r="J929" s="51">
        <f t="shared" si="222"/>
        <v>155630.50968833524</v>
      </c>
    </row>
    <row r="930" spans="1:10" x14ac:dyDescent="0.25">
      <c r="A930" s="4" t="s">
        <v>67</v>
      </c>
      <c r="B930" s="5" t="s">
        <v>240</v>
      </c>
      <c r="C930" s="5" t="s">
        <v>238</v>
      </c>
      <c r="D930" s="5">
        <v>2</v>
      </c>
      <c r="E930" s="11">
        <v>10252</v>
      </c>
      <c r="F930" s="11">
        <v>4100</v>
      </c>
      <c r="G930" s="27">
        <f t="shared" si="233"/>
        <v>9.5862068965517206</v>
      </c>
      <c r="H930" s="13">
        <f t="shared" si="234"/>
        <v>166983.14904519694</v>
      </c>
      <c r="I930" s="13">
        <f t="shared" si="235"/>
        <v>66780.228772461778</v>
      </c>
      <c r="J930" s="51">
        <f t="shared" si="222"/>
        <v>233763.37781765871</v>
      </c>
    </row>
    <row r="931" spans="1:10" x14ac:dyDescent="0.25">
      <c r="A931" s="4" t="s">
        <v>67</v>
      </c>
      <c r="B931" s="5" t="s">
        <v>241</v>
      </c>
      <c r="C931" s="5" t="s">
        <v>236</v>
      </c>
      <c r="D931" s="5">
        <v>12</v>
      </c>
      <c r="E931" s="11">
        <v>81900</v>
      </c>
      <c r="F931" s="11">
        <v>32760</v>
      </c>
      <c r="G931" s="27">
        <f t="shared" si="233"/>
        <v>57.51724137931032</v>
      </c>
      <c r="H931" s="13">
        <f t="shared" si="234"/>
        <v>1333975.8005073771</v>
      </c>
      <c r="I931" s="13">
        <f t="shared" si="235"/>
        <v>533590.31575264584</v>
      </c>
      <c r="J931" s="51">
        <f t="shared" si="222"/>
        <v>1867566.1162600229</v>
      </c>
    </row>
    <row r="932" spans="1:10" x14ac:dyDescent="0.25">
      <c r="A932" s="4" t="s">
        <v>67</v>
      </c>
      <c r="B932" s="5" t="s">
        <v>243</v>
      </c>
      <c r="C932" s="5" t="s">
        <v>244</v>
      </c>
      <c r="D932" s="5">
        <v>1</v>
      </c>
      <c r="E932" s="11">
        <v>3412</v>
      </c>
      <c r="F932" s="11">
        <v>1365</v>
      </c>
      <c r="G932" s="27">
        <f t="shared" si="233"/>
        <v>4.7931034482758603</v>
      </c>
      <c r="H932" s="13">
        <f t="shared" si="234"/>
        <v>55574.181090734688</v>
      </c>
      <c r="I932" s="13">
        <f t="shared" si="235"/>
        <v>22232.929823026909</v>
      </c>
      <c r="J932" s="51">
        <f t="shared" si="222"/>
        <v>77807.1109137616</v>
      </c>
    </row>
    <row r="933" spans="1:10" x14ac:dyDescent="0.25">
      <c r="A933" s="4" t="s">
        <v>67</v>
      </c>
      <c r="B933" s="5" t="s">
        <v>245</v>
      </c>
      <c r="C933" s="5" t="s">
        <v>246</v>
      </c>
      <c r="D933" s="5">
        <v>2</v>
      </c>
      <c r="E933" s="11">
        <v>5126</v>
      </c>
      <c r="F933" s="11">
        <v>2050</v>
      </c>
      <c r="G933" s="27">
        <f t="shared" si="233"/>
        <v>9.5862068965517206</v>
      </c>
      <c r="H933" s="13">
        <f t="shared" si="234"/>
        <v>83491.574522598472</v>
      </c>
      <c r="I933" s="13">
        <f t="shared" si="235"/>
        <v>33390.114386230889</v>
      </c>
      <c r="J933" s="51">
        <f t="shared" si="222"/>
        <v>116881.68890882935</v>
      </c>
    </row>
    <row r="934" spans="1:10" x14ac:dyDescent="0.25">
      <c r="A934" s="4" t="s">
        <v>67</v>
      </c>
      <c r="B934" s="5" t="s">
        <v>249</v>
      </c>
      <c r="C934" s="5" t="s">
        <v>250</v>
      </c>
      <c r="D934" s="5">
        <v>8</v>
      </c>
      <c r="E934" s="11">
        <v>121328</v>
      </c>
      <c r="F934" s="11">
        <v>48528</v>
      </c>
      <c r="G934" s="27">
        <f t="shared" si="233"/>
        <v>38.344827586206883</v>
      </c>
      <c r="H934" s="13">
        <f t="shared" si="234"/>
        <v>1976173.5766051167</v>
      </c>
      <c r="I934" s="13">
        <f t="shared" si="235"/>
        <v>790417.30289512814</v>
      </c>
      <c r="J934" s="51">
        <f t="shared" si="222"/>
        <v>2766590.8795002447</v>
      </c>
    </row>
    <row r="935" spans="1:10" x14ac:dyDescent="0.25">
      <c r="A935" s="15" t="s">
        <v>67</v>
      </c>
      <c r="B935" s="16" t="s">
        <v>257</v>
      </c>
      <c r="C935" s="16" t="s">
        <v>210</v>
      </c>
      <c r="D935" s="16">
        <v>1</v>
      </c>
      <c r="E935" s="18">
        <v>970</v>
      </c>
      <c r="F935" s="18">
        <v>0</v>
      </c>
      <c r="G935" s="27">
        <f t="shared" si="233"/>
        <v>4.7931034482758603</v>
      </c>
      <c r="H935" s="13">
        <f t="shared" si="234"/>
        <v>15799.224987694211</v>
      </c>
      <c r="I935" s="13">
        <f t="shared" si="235"/>
        <v>0</v>
      </c>
      <c r="J935" s="51">
        <f t="shared" si="222"/>
        <v>15799.224987694211</v>
      </c>
    </row>
    <row r="936" spans="1:10" s="3" customFormat="1" x14ac:dyDescent="0.25">
      <c r="A936" s="4"/>
      <c r="B936" s="20" t="s">
        <v>307</v>
      </c>
      <c r="C936" s="21"/>
      <c r="D936" s="21"/>
      <c r="E936" s="29"/>
      <c r="F936" s="29"/>
      <c r="G936" s="47">
        <f>SUM(G919:G935)</f>
        <v>416.99999999999989</v>
      </c>
      <c r="H936" s="47">
        <f t="shared" ref="H936:J936" si="236">SUM(H919:H935)</f>
        <v>10324028.000000002</v>
      </c>
      <c r="I936" s="47">
        <f t="shared" si="236"/>
        <v>1675972</v>
      </c>
      <c r="J936" s="47">
        <f t="shared" si="236"/>
        <v>12000000.000000002</v>
      </c>
    </row>
    <row r="937" spans="1:10" x14ac:dyDescent="0.25">
      <c r="A937" s="23" t="s">
        <v>68</v>
      </c>
      <c r="B937" s="24" t="s">
        <v>214</v>
      </c>
      <c r="C937" s="24" t="s">
        <v>210</v>
      </c>
      <c r="D937" s="24">
        <v>2</v>
      </c>
      <c r="E937" s="30">
        <v>970</v>
      </c>
      <c r="F937" s="30">
        <v>0</v>
      </c>
      <c r="G937" s="27">
        <f>+D937*4.77777777777778</f>
        <v>9.5555555555555607</v>
      </c>
      <c r="H937" s="13">
        <f>+E937*2000000/5822</f>
        <v>333218.82514599792</v>
      </c>
      <c r="I937" s="13">
        <v>0</v>
      </c>
      <c r="J937" s="51">
        <f t="shared" si="222"/>
        <v>333218.82514599792</v>
      </c>
    </row>
    <row r="938" spans="1:10" x14ac:dyDescent="0.25">
      <c r="A938" s="4" t="s">
        <v>68</v>
      </c>
      <c r="B938" s="5" t="s">
        <v>216</v>
      </c>
      <c r="C938" s="5" t="s">
        <v>210</v>
      </c>
      <c r="D938" s="5">
        <v>1</v>
      </c>
      <c r="E938" s="11">
        <v>485</v>
      </c>
      <c r="F938" s="11">
        <v>0</v>
      </c>
      <c r="G938" s="27">
        <f t="shared" ref="G938:G942" si="237">+D938*4.77777777777778</f>
        <v>4.7777777777777803</v>
      </c>
      <c r="H938" s="13">
        <f t="shared" ref="H938:H942" si="238">+E938*2000000/5822</f>
        <v>166609.41257299896</v>
      </c>
      <c r="I938" s="13">
        <v>0</v>
      </c>
      <c r="J938" s="51">
        <f t="shared" si="222"/>
        <v>166609.41257299896</v>
      </c>
    </row>
    <row r="939" spans="1:10" x14ac:dyDescent="0.25">
      <c r="A939" s="4" t="s">
        <v>68</v>
      </c>
      <c r="B939" s="5" t="s">
        <v>226</v>
      </c>
      <c r="C939" s="5" t="s">
        <v>210</v>
      </c>
      <c r="D939" s="5">
        <v>1</v>
      </c>
      <c r="E939" s="11">
        <v>485</v>
      </c>
      <c r="F939" s="11">
        <v>0</v>
      </c>
      <c r="G939" s="27">
        <f t="shared" si="237"/>
        <v>4.7777777777777803</v>
      </c>
      <c r="H939" s="13">
        <f t="shared" si="238"/>
        <v>166609.41257299896</v>
      </c>
      <c r="I939" s="13">
        <v>0</v>
      </c>
      <c r="J939" s="51">
        <f t="shared" si="222"/>
        <v>166609.41257299896</v>
      </c>
    </row>
    <row r="940" spans="1:10" x14ac:dyDescent="0.25">
      <c r="A940" s="4" t="s">
        <v>68</v>
      </c>
      <c r="B940" s="5" t="s">
        <v>230</v>
      </c>
      <c r="C940" s="5" t="s">
        <v>229</v>
      </c>
      <c r="D940" s="5">
        <v>1</v>
      </c>
      <c r="E940" s="11">
        <v>970</v>
      </c>
      <c r="F940" s="11">
        <v>0</v>
      </c>
      <c r="G940" s="27">
        <f t="shared" si="237"/>
        <v>4.7777777777777803</v>
      </c>
      <c r="H940" s="13">
        <f t="shared" si="238"/>
        <v>333218.82514599792</v>
      </c>
      <c r="I940" s="13">
        <v>0</v>
      </c>
      <c r="J940" s="51">
        <f t="shared" si="222"/>
        <v>333218.82514599792</v>
      </c>
    </row>
    <row r="941" spans="1:10" x14ac:dyDescent="0.25">
      <c r="A941" s="4" t="s">
        <v>68</v>
      </c>
      <c r="B941" s="5" t="s">
        <v>252</v>
      </c>
      <c r="C941" s="5" t="s">
        <v>212</v>
      </c>
      <c r="D941" s="5">
        <v>3</v>
      </c>
      <c r="E941" s="11">
        <v>2184</v>
      </c>
      <c r="F941" s="11">
        <v>0</v>
      </c>
      <c r="G941" s="27">
        <f t="shared" si="237"/>
        <v>14.333333333333341</v>
      </c>
      <c r="H941" s="13">
        <f t="shared" si="238"/>
        <v>750257.64342150465</v>
      </c>
      <c r="I941" s="13">
        <v>0</v>
      </c>
      <c r="J941" s="51">
        <f t="shared" si="222"/>
        <v>750257.64342150465</v>
      </c>
    </row>
    <row r="942" spans="1:10" x14ac:dyDescent="0.25">
      <c r="A942" s="15" t="s">
        <v>68</v>
      </c>
      <c r="B942" s="16" t="s">
        <v>256</v>
      </c>
      <c r="C942" s="16" t="s">
        <v>212</v>
      </c>
      <c r="D942" s="16">
        <v>1</v>
      </c>
      <c r="E942" s="18">
        <v>728</v>
      </c>
      <c r="F942" s="18">
        <v>0</v>
      </c>
      <c r="G942" s="27">
        <f t="shared" si="237"/>
        <v>4.7777777777777803</v>
      </c>
      <c r="H942" s="13">
        <f t="shared" si="238"/>
        <v>250085.88114050156</v>
      </c>
      <c r="I942" s="13">
        <v>0</v>
      </c>
      <c r="J942" s="51">
        <f t="shared" si="222"/>
        <v>250085.88114050156</v>
      </c>
    </row>
    <row r="943" spans="1:10" s="3" customFormat="1" x14ac:dyDescent="0.25">
      <c r="A943" s="4"/>
      <c r="B943" s="20" t="s">
        <v>308</v>
      </c>
      <c r="C943" s="21"/>
      <c r="D943" s="21"/>
      <c r="E943" s="29"/>
      <c r="F943" s="29"/>
      <c r="G943" s="47">
        <f>SUM(G937:G942)</f>
        <v>43.000000000000021</v>
      </c>
      <c r="H943" s="47">
        <f t="shared" ref="H943:J943" si="239">SUM(H937:H942)</f>
        <v>1999999.9999999998</v>
      </c>
      <c r="I943" s="47">
        <f t="shared" si="239"/>
        <v>0</v>
      </c>
      <c r="J943" s="47">
        <f t="shared" si="239"/>
        <v>1999999.9999999998</v>
      </c>
    </row>
    <row r="944" spans="1:10" x14ac:dyDescent="0.25">
      <c r="A944" s="23" t="s">
        <v>69</v>
      </c>
      <c r="B944" s="24" t="s">
        <v>226</v>
      </c>
      <c r="C944" s="24" t="s">
        <v>210</v>
      </c>
      <c r="D944" s="24">
        <v>2</v>
      </c>
      <c r="E944" s="30">
        <v>1940</v>
      </c>
      <c r="F944" s="30">
        <v>0</v>
      </c>
      <c r="G944" s="27">
        <f>+D944*4.75</f>
        <v>9.5</v>
      </c>
      <c r="H944" s="13">
        <f>+E944*3332868/120965</f>
        <v>53451.526639937169</v>
      </c>
      <c r="I944" s="13">
        <f>+F944*167132/6066</f>
        <v>0</v>
      </c>
      <c r="J944" s="51">
        <f t="shared" si="222"/>
        <v>53451.526639937169</v>
      </c>
    </row>
    <row r="945" spans="1:10" x14ac:dyDescent="0.25">
      <c r="A945" s="4" t="s">
        <v>69</v>
      </c>
      <c r="B945" s="5" t="s">
        <v>227</v>
      </c>
      <c r="C945" s="5" t="s">
        <v>210</v>
      </c>
      <c r="D945" s="5">
        <v>1</v>
      </c>
      <c r="E945" s="11">
        <v>970</v>
      </c>
      <c r="F945" s="11">
        <v>0</v>
      </c>
      <c r="G945" s="27">
        <f t="shared" ref="G945:G949" si="240">+D945*4.75</f>
        <v>4.75</v>
      </c>
      <c r="H945" s="13">
        <f t="shared" ref="H945:H949" si="241">+E945*3332868/120965</f>
        <v>26725.763319968584</v>
      </c>
      <c r="I945" s="13">
        <f t="shared" ref="I945:I949" si="242">+F945*167132/6066</f>
        <v>0</v>
      </c>
      <c r="J945" s="51">
        <f t="shared" si="222"/>
        <v>26725.763319968584</v>
      </c>
    </row>
    <row r="946" spans="1:10" x14ac:dyDescent="0.25">
      <c r="A946" s="4" t="s">
        <v>69</v>
      </c>
      <c r="B946" s="5" t="s">
        <v>228</v>
      </c>
      <c r="C946" s="5" t="s">
        <v>229</v>
      </c>
      <c r="D946" s="5">
        <v>2</v>
      </c>
      <c r="E946" s="11">
        <v>3882</v>
      </c>
      <c r="F946" s="11">
        <v>0</v>
      </c>
      <c r="G946" s="27">
        <f t="shared" si="240"/>
        <v>9.5</v>
      </c>
      <c r="H946" s="13">
        <f t="shared" si="241"/>
        <v>106958.15794651346</v>
      </c>
      <c r="I946" s="13">
        <f t="shared" si="242"/>
        <v>0</v>
      </c>
      <c r="J946" s="51">
        <f t="shared" si="222"/>
        <v>106958.15794651346</v>
      </c>
    </row>
    <row r="947" spans="1:10" x14ac:dyDescent="0.25">
      <c r="A947" s="4" t="s">
        <v>69</v>
      </c>
      <c r="B947" s="5" t="s">
        <v>230</v>
      </c>
      <c r="C947" s="5" t="s">
        <v>229</v>
      </c>
      <c r="D947" s="5">
        <v>1</v>
      </c>
      <c r="E947" s="11">
        <v>1941</v>
      </c>
      <c r="F947" s="11">
        <v>0</v>
      </c>
      <c r="G947" s="27">
        <f t="shared" si="240"/>
        <v>4.75</v>
      </c>
      <c r="H947" s="13">
        <f t="shared" si="241"/>
        <v>53479.078973256728</v>
      </c>
      <c r="I947" s="13">
        <f t="shared" si="242"/>
        <v>0</v>
      </c>
      <c r="J947" s="51">
        <f t="shared" si="222"/>
        <v>53479.078973256728</v>
      </c>
    </row>
    <row r="948" spans="1:10" x14ac:dyDescent="0.25">
      <c r="A948" s="4" t="s">
        <v>69</v>
      </c>
      <c r="B948" s="5" t="s">
        <v>233</v>
      </c>
      <c r="C948" s="5" t="s">
        <v>234</v>
      </c>
      <c r="D948" s="5">
        <v>1</v>
      </c>
      <c r="E948" s="11">
        <v>97066</v>
      </c>
      <c r="F948" s="11">
        <v>0</v>
      </c>
      <c r="G948" s="27">
        <f t="shared" si="240"/>
        <v>4.75</v>
      </c>
      <c r="H948" s="13">
        <f t="shared" si="241"/>
        <v>2674394.7859959491</v>
      </c>
      <c r="I948" s="13">
        <f t="shared" si="242"/>
        <v>0</v>
      </c>
      <c r="J948" s="51">
        <f t="shared" si="222"/>
        <v>2674394.7859959491</v>
      </c>
    </row>
    <row r="949" spans="1:10" x14ac:dyDescent="0.25">
      <c r="A949" s="15" t="s">
        <v>69</v>
      </c>
      <c r="B949" s="16" t="s">
        <v>249</v>
      </c>
      <c r="C949" s="16" t="s">
        <v>250</v>
      </c>
      <c r="D949" s="16">
        <v>1</v>
      </c>
      <c r="E949" s="18">
        <v>15166</v>
      </c>
      <c r="F949" s="18">
        <v>6066</v>
      </c>
      <c r="G949" s="27">
        <f t="shared" si="240"/>
        <v>4.75</v>
      </c>
      <c r="H949" s="13">
        <f t="shared" si="241"/>
        <v>417858.68712437485</v>
      </c>
      <c r="I949" s="13">
        <f t="shared" si="242"/>
        <v>167132</v>
      </c>
      <c r="J949" s="51">
        <f t="shared" si="222"/>
        <v>584990.68712437479</v>
      </c>
    </row>
    <row r="950" spans="1:10" s="3" customFormat="1" x14ac:dyDescent="0.25">
      <c r="A950" s="4"/>
      <c r="B950" s="20" t="s">
        <v>309</v>
      </c>
      <c r="C950" s="21"/>
      <c r="D950" s="21"/>
      <c r="E950" s="29"/>
      <c r="F950" s="29"/>
      <c r="G950" s="47">
        <f>SUM(G944:G949)</f>
        <v>38</v>
      </c>
      <c r="H950" s="47">
        <f t="shared" ref="H950:J950" si="243">SUM(H944:H949)</f>
        <v>3332868</v>
      </c>
      <c r="I950" s="47">
        <f t="shared" si="243"/>
        <v>167132</v>
      </c>
      <c r="J950" s="47">
        <f t="shared" si="243"/>
        <v>3500000</v>
      </c>
    </row>
    <row r="951" spans="1:10" x14ac:dyDescent="0.25">
      <c r="A951" s="23" t="s">
        <v>70</v>
      </c>
      <c r="B951" s="24" t="s">
        <v>209</v>
      </c>
      <c r="C951" s="24" t="s">
        <v>210</v>
      </c>
      <c r="D951" s="24">
        <v>2</v>
      </c>
      <c r="E951" s="30">
        <v>1940</v>
      </c>
      <c r="F951" s="30">
        <v>0</v>
      </c>
      <c r="G951" s="27">
        <f>+D951*4.79310344827586</f>
        <v>9.5862068965517206</v>
      </c>
      <c r="H951" s="13">
        <f>+E951*10351587/464857</f>
        <v>43200.551524447306</v>
      </c>
      <c r="I951" s="13">
        <f>+F951*1648413/74025</f>
        <v>0</v>
      </c>
      <c r="J951" s="51">
        <f t="shared" si="222"/>
        <v>43200.551524447306</v>
      </c>
    </row>
    <row r="952" spans="1:10" x14ac:dyDescent="0.25">
      <c r="A952" s="4" t="s">
        <v>70</v>
      </c>
      <c r="B952" s="5" t="s">
        <v>211</v>
      </c>
      <c r="C952" s="5" t="s">
        <v>212</v>
      </c>
      <c r="D952" s="5">
        <v>1</v>
      </c>
      <c r="E952" s="11">
        <v>1456</v>
      </c>
      <c r="F952" s="11">
        <v>0</v>
      </c>
      <c r="G952" s="27">
        <f t="shared" ref="G952:G968" si="244">+D952*4.79310344827586</f>
        <v>4.7931034482758603</v>
      </c>
      <c r="H952" s="13">
        <f t="shared" ref="H952:H968" si="245">+E952*10351587/464857</f>
        <v>32422.681968863544</v>
      </c>
      <c r="I952" s="13">
        <f t="shared" ref="I952:I968" si="246">+F952*1648413/74025</f>
        <v>0</v>
      </c>
      <c r="J952" s="51">
        <f t="shared" si="222"/>
        <v>32422.681968863544</v>
      </c>
    </row>
    <row r="953" spans="1:10" x14ac:dyDescent="0.25">
      <c r="A953" s="4" t="s">
        <v>70</v>
      </c>
      <c r="B953" s="5" t="s">
        <v>213</v>
      </c>
      <c r="C953" s="5" t="s">
        <v>212</v>
      </c>
      <c r="D953" s="5">
        <v>2</v>
      </c>
      <c r="E953" s="11">
        <v>2912</v>
      </c>
      <c r="F953" s="11">
        <v>0</v>
      </c>
      <c r="G953" s="27">
        <f t="shared" si="244"/>
        <v>9.5862068965517206</v>
      </c>
      <c r="H953" s="13">
        <f t="shared" si="245"/>
        <v>64845.363937727088</v>
      </c>
      <c r="I953" s="13">
        <f t="shared" si="246"/>
        <v>0</v>
      </c>
      <c r="J953" s="51">
        <f t="shared" si="222"/>
        <v>64845.363937727088</v>
      </c>
    </row>
    <row r="954" spans="1:10" x14ac:dyDescent="0.25">
      <c r="A954" s="4" t="s">
        <v>70</v>
      </c>
      <c r="B954" s="5" t="s">
        <v>214</v>
      </c>
      <c r="C954" s="5" t="s">
        <v>210</v>
      </c>
      <c r="D954" s="5">
        <v>5</v>
      </c>
      <c r="E954" s="11">
        <v>4850</v>
      </c>
      <c r="F954" s="11">
        <v>0</v>
      </c>
      <c r="G954" s="27">
        <f t="shared" si="244"/>
        <v>23.965517241379303</v>
      </c>
      <c r="H954" s="13">
        <f t="shared" si="245"/>
        <v>108001.37881111825</v>
      </c>
      <c r="I954" s="13">
        <f t="shared" si="246"/>
        <v>0</v>
      </c>
      <c r="J954" s="51">
        <f t="shared" si="222"/>
        <v>108001.37881111825</v>
      </c>
    </row>
    <row r="955" spans="1:10" x14ac:dyDescent="0.25">
      <c r="A955" s="4" t="s">
        <v>70</v>
      </c>
      <c r="B955" s="5" t="s">
        <v>216</v>
      </c>
      <c r="C955" s="5" t="s">
        <v>210</v>
      </c>
      <c r="D955" s="5">
        <v>1</v>
      </c>
      <c r="E955" s="11">
        <v>970</v>
      </c>
      <c r="F955" s="11">
        <v>0</v>
      </c>
      <c r="G955" s="27">
        <f t="shared" si="244"/>
        <v>4.7931034482758603</v>
      </c>
      <c r="H955" s="13">
        <f t="shared" si="245"/>
        <v>21600.275762223653</v>
      </c>
      <c r="I955" s="13">
        <f t="shared" si="246"/>
        <v>0</v>
      </c>
      <c r="J955" s="51">
        <f t="shared" si="222"/>
        <v>21600.275762223653</v>
      </c>
    </row>
    <row r="956" spans="1:10" x14ac:dyDescent="0.25">
      <c r="A956" s="4" t="s">
        <v>70</v>
      </c>
      <c r="B956" s="5" t="s">
        <v>217</v>
      </c>
      <c r="C956" s="5" t="s">
        <v>218</v>
      </c>
      <c r="D956" s="5">
        <v>6</v>
      </c>
      <c r="E956" s="11">
        <v>19878</v>
      </c>
      <c r="F956" s="11">
        <v>7950</v>
      </c>
      <c r="G956" s="27">
        <f t="shared" si="244"/>
        <v>28.75862068965516</v>
      </c>
      <c r="H956" s="13">
        <f t="shared" si="245"/>
        <v>442649.77484688838</v>
      </c>
      <c r="I956" s="13">
        <f t="shared" si="246"/>
        <v>177033.20972644378</v>
      </c>
      <c r="J956" s="51">
        <f t="shared" si="222"/>
        <v>619682.98457333213</v>
      </c>
    </row>
    <row r="957" spans="1:10" x14ac:dyDescent="0.25">
      <c r="A957" s="4" t="s">
        <v>70</v>
      </c>
      <c r="B957" s="5" t="s">
        <v>219</v>
      </c>
      <c r="C957" s="5" t="s">
        <v>220</v>
      </c>
      <c r="D957" s="5">
        <v>2</v>
      </c>
      <c r="E957" s="11">
        <v>6794</v>
      </c>
      <c r="F957" s="11">
        <v>2716</v>
      </c>
      <c r="G957" s="27">
        <f t="shared" si="244"/>
        <v>9.5862068965517206</v>
      </c>
      <c r="H957" s="13">
        <f t="shared" si="245"/>
        <v>151291.00363767782</v>
      </c>
      <c r="I957" s="13">
        <f t="shared" si="246"/>
        <v>60480.779574468084</v>
      </c>
      <c r="J957" s="51">
        <f t="shared" ref="J957:J1020" si="247">SUM(H957:I957)</f>
        <v>211771.78321214591</v>
      </c>
    </row>
    <row r="958" spans="1:10" x14ac:dyDescent="0.25">
      <c r="A958" s="4" t="s">
        <v>70</v>
      </c>
      <c r="B958" s="5" t="s">
        <v>230</v>
      </c>
      <c r="C958" s="5" t="s">
        <v>229</v>
      </c>
      <c r="D958" s="5">
        <v>3</v>
      </c>
      <c r="E958" s="11">
        <v>5823</v>
      </c>
      <c r="F958" s="11">
        <v>0</v>
      </c>
      <c r="G958" s="27">
        <f t="shared" si="244"/>
        <v>14.37931034482758</v>
      </c>
      <c r="H958" s="13">
        <f t="shared" si="245"/>
        <v>129668.4595499261</v>
      </c>
      <c r="I958" s="13">
        <f t="shared" si="246"/>
        <v>0</v>
      </c>
      <c r="J958" s="51">
        <f t="shared" si="247"/>
        <v>129668.4595499261</v>
      </c>
    </row>
    <row r="959" spans="1:10" x14ac:dyDescent="0.25">
      <c r="A959" s="4" t="s">
        <v>70</v>
      </c>
      <c r="B959" s="5" t="s">
        <v>231</v>
      </c>
      <c r="C959" s="5" t="s">
        <v>232</v>
      </c>
      <c r="D959" s="5">
        <v>1</v>
      </c>
      <c r="E959" s="11">
        <v>212333</v>
      </c>
      <c r="F959" s="11">
        <v>0</v>
      </c>
      <c r="G959" s="27">
        <f t="shared" si="244"/>
        <v>4.7931034482758603</v>
      </c>
      <c r="H959" s="13">
        <f t="shared" si="245"/>
        <v>4728300.3643507576</v>
      </c>
      <c r="I959" s="13">
        <f t="shared" si="246"/>
        <v>0</v>
      </c>
      <c r="J959" s="51">
        <f t="shared" si="247"/>
        <v>4728300.3643507576</v>
      </c>
    </row>
    <row r="960" spans="1:10" x14ac:dyDescent="0.25">
      <c r="A960" s="4" t="s">
        <v>70</v>
      </c>
      <c r="B960" s="5" t="s">
        <v>235</v>
      </c>
      <c r="C960" s="5" t="s">
        <v>236</v>
      </c>
      <c r="D960" s="5">
        <v>2</v>
      </c>
      <c r="E960" s="11">
        <v>13650</v>
      </c>
      <c r="F960" s="11">
        <v>5460</v>
      </c>
      <c r="G960" s="27">
        <f t="shared" si="244"/>
        <v>9.5862068965517206</v>
      </c>
      <c r="H960" s="13">
        <f t="shared" si="245"/>
        <v>303962.64345809573</v>
      </c>
      <c r="I960" s="13">
        <f t="shared" si="246"/>
        <v>121585.07234042553</v>
      </c>
      <c r="J960" s="51">
        <f t="shared" si="247"/>
        <v>425547.71579852124</v>
      </c>
    </row>
    <row r="961" spans="1:10" x14ac:dyDescent="0.25">
      <c r="A961" s="4" t="s">
        <v>70</v>
      </c>
      <c r="B961" s="5" t="s">
        <v>240</v>
      </c>
      <c r="C961" s="5" t="s">
        <v>238</v>
      </c>
      <c r="D961" s="5">
        <v>2</v>
      </c>
      <c r="E961" s="11">
        <v>10252</v>
      </c>
      <c r="F961" s="11">
        <v>4100</v>
      </c>
      <c r="G961" s="27">
        <f t="shared" si="244"/>
        <v>9.5862068965517206</v>
      </c>
      <c r="H961" s="13">
        <f t="shared" si="245"/>
        <v>228294.87331372875</v>
      </c>
      <c r="I961" s="13">
        <f t="shared" si="246"/>
        <v>91300.145896656541</v>
      </c>
      <c r="J961" s="51">
        <f t="shared" si="247"/>
        <v>319595.01921038528</v>
      </c>
    </row>
    <row r="962" spans="1:10" x14ac:dyDescent="0.25">
      <c r="A962" s="4" t="s">
        <v>70</v>
      </c>
      <c r="B962" s="5" t="s">
        <v>241</v>
      </c>
      <c r="C962" s="5" t="s">
        <v>236</v>
      </c>
      <c r="D962" s="5">
        <v>17</v>
      </c>
      <c r="E962" s="11">
        <v>116025</v>
      </c>
      <c r="F962" s="11">
        <v>46410</v>
      </c>
      <c r="G962" s="27">
        <f t="shared" si="244"/>
        <v>81.482758620689623</v>
      </c>
      <c r="H962" s="13">
        <f t="shared" si="245"/>
        <v>2583682.4693938135</v>
      </c>
      <c r="I962" s="13">
        <f t="shared" si="246"/>
        <v>1033473.114893617</v>
      </c>
      <c r="J962" s="51">
        <f t="shared" si="247"/>
        <v>3617155.5842874306</v>
      </c>
    </row>
    <row r="963" spans="1:10" x14ac:dyDescent="0.25">
      <c r="A963" s="4" t="s">
        <v>70</v>
      </c>
      <c r="B963" s="5" t="s">
        <v>265</v>
      </c>
      <c r="C963" s="5" t="s">
        <v>208</v>
      </c>
      <c r="D963" s="5">
        <v>1</v>
      </c>
      <c r="E963" s="11">
        <v>46592</v>
      </c>
      <c r="F963" s="11">
        <v>4659</v>
      </c>
      <c r="G963" s="27">
        <f t="shared" si="244"/>
        <v>4.7931034482758603</v>
      </c>
      <c r="H963" s="13">
        <f t="shared" si="245"/>
        <v>1037525.8230036334</v>
      </c>
      <c r="I963" s="13">
        <f t="shared" si="246"/>
        <v>103748.14139817629</v>
      </c>
      <c r="J963" s="51">
        <f t="shared" si="247"/>
        <v>1141273.9644018097</v>
      </c>
    </row>
    <row r="964" spans="1:10" x14ac:dyDescent="0.25">
      <c r="A964" s="4" t="s">
        <v>70</v>
      </c>
      <c r="B964" s="5" t="s">
        <v>247</v>
      </c>
      <c r="C964" s="5" t="s">
        <v>244</v>
      </c>
      <c r="D964" s="5">
        <v>2</v>
      </c>
      <c r="E964" s="11">
        <v>6824</v>
      </c>
      <c r="F964" s="11">
        <v>2730</v>
      </c>
      <c r="G964" s="27">
        <f t="shared" si="244"/>
        <v>9.5862068965517206</v>
      </c>
      <c r="H964" s="13">
        <f t="shared" si="245"/>
        <v>151959.05340351979</v>
      </c>
      <c r="I964" s="13">
        <f t="shared" si="246"/>
        <v>60792.536170212763</v>
      </c>
      <c r="J964" s="51">
        <f t="shared" si="247"/>
        <v>212751.58957373255</v>
      </c>
    </row>
    <row r="965" spans="1:10" x14ac:dyDescent="0.25">
      <c r="A965" s="4" t="s">
        <v>70</v>
      </c>
      <c r="B965" s="5" t="s">
        <v>252</v>
      </c>
      <c r="C965" s="5" t="s">
        <v>212</v>
      </c>
      <c r="D965" s="5">
        <v>5</v>
      </c>
      <c r="E965" s="11">
        <v>7280</v>
      </c>
      <c r="F965" s="11">
        <v>0</v>
      </c>
      <c r="G965" s="27">
        <f t="shared" si="244"/>
        <v>23.965517241379303</v>
      </c>
      <c r="H965" s="13">
        <f t="shared" si="245"/>
        <v>162113.40984431771</v>
      </c>
      <c r="I965" s="13">
        <f t="shared" si="246"/>
        <v>0</v>
      </c>
      <c r="J965" s="51">
        <f t="shared" si="247"/>
        <v>162113.40984431771</v>
      </c>
    </row>
    <row r="966" spans="1:10" x14ac:dyDescent="0.25">
      <c r="A966" s="4" t="s">
        <v>70</v>
      </c>
      <c r="B966" s="5" t="s">
        <v>253</v>
      </c>
      <c r="C966" s="5" t="s">
        <v>210</v>
      </c>
      <c r="D966" s="5">
        <v>1</v>
      </c>
      <c r="E966" s="11">
        <v>970</v>
      </c>
      <c r="F966" s="11">
        <v>0</v>
      </c>
      <c r="G966" s="27">
        <f t="shared" si="244"/>
        <v>4.7931034482758603</v>
      </c>
      <c r="H966" s="13">
        <f t="shared" si="245"/>
        <v>21600.275762223653</v>
      </c>
      <c r="I966" s="13">
        <f t="shared" si="246"/>
        <v>0</v>
      </c>
      <c r="J966" s="51">
        <f t="shared" si="247"/>
        <v>21600.275762223653</v>
      </c>
    </row>
    <row r="967" spans="1:10" x14ac:dyDescent="0.25">
      <c r="A967" s="4" t="s">
        <v>70</v>
      </c>
      <c r="B967" s="5" t="s">
        <v>254</v>
      </c>
      <c r="C967" s="5" t="s">
        <v>212</v>
      </c>
      <c r="D967" s="5">
        <v>3</v>
      </c>
      <c r="E967" s="11">
        <v>4368</v>
      </c>
      <c r="F967" s="11">
        <v>0</v>
      </c>
      <c r="G967" s="27">
        <f t="shared" si="244"/>
        <v>14.37931034482758</v>
      </c>
      <c r="H967" s="13">
        <f t="shared" si="245"/>
        <v>97268.045906590633</v>
      </c>
      <c r="I967" s="13">
        <f t="shared" si="246"/>
        <v>0</v>
      </c>
      <c r="J967" s="51">
        <f t="shared" si="247"/>
        <v>97268.045906590633</v>
      </c>
    </row>
    <row r="968" spans="1:10" x14ac:dyDescent="0.25">
      <c r="A968" s="15" t="s">
        <v>70</v>
      </c>
      <c r="B968" s="16" t="s">
        <v>257</v>
      </c>
      <c r="C968" s="16" t="s">
        <v>210</v>
      </c>
      <c r="D968" s="16">
        <v>2</v>
      </c>
      <c r="E968" s="18">
        <v>1940</v>
      </c>
      <c r="F968" s="18">
        <v>0</v>
      </c>
      <c r="G968" s="27">
        <f t="shared" si="244"/>
        <v>9.5862068965517206</v>
      </c>
      <c r="H968" s="13">
        <f t="shared" si="245"/>
        <v>43200.551524447306</v>
      </c>
      <c r="I968" s="13">
        <f t="shared" si="246"/>
        <v>0</v>
      </c>
      <c r="J968" s="51">
        <f t="shared" si="247"/>
        <v>43200.551524447306</v>
      </c>
    </row>
    <row r="969" spans="1:10" s="3" customFormat="1" x14ac:dyDescent="0.25">
      <c r="A969" s="4"/>
      <c r="B969" s="20" t="s">
        <v>310</v>
      </c>
      <c r="C969" s="21"/>
      <c r="D969" s="21"/>
      <c r="E969" s="29"/>
      <c r="F969" s="29"/>
      <c r="G969" s="47">
        <f>SUM(G951:G968)</f>
        <v>277.99999999999994</v>
      </c>
      <c r="H969" s="47">
        <f t="shared" ref="H969:J969" si="248">SUM(H951:H968)</f>
        <v>10351587</v>
      </c>
      <c r="I969" s="47">
        <f t="shared" si="248"/>
        <v>1648413</v>
      </c>
      <c r="J969" s="47">
        <f t="shared" si="248"/>
        <v>12000000</v>
      </c>
    </row>
    <row r="970" spans="1:10" x14ac:dyDescent="0.25">
      <c r="A970" s="23" t="s">
        <v>71</v>
      </c>
      <c r="B970" s="24" t="s">
        <v>219</v>
      </c>
      <c r="C970" s="24" t="s">
        <v>220</v>
      </c>
      <c r="D970" s="24">
        <v>1</v>
      </c>
      <c r="E970" s="30">
        <v>3397</v>
      </c>
      <c r="F970" s="30">
        <v>1358</v>
      </c>
      <c r="G970" s="27">
        <f>+D970*5</f>
        <v>5</v>
      </c>
      <c r="H970" s="13">
        <f>+E970*1525590/4367</f>
        <v>1186725.2644836272</v>
      </c>
      <c r="I970" s="13">
        <f>+F970*474410/1358</f>
        <v>474410</v>
      </c>
      <c r="J970" s="51">
        <f t="shared" si="247"/>
        <v>1661135.2644836272</v>
      </c>
    </row>
    <row r="971" spans="1:10" x14ac:dyDescent="0.25">
      <c r="A971" s="15" t="s">
        <v>71</v>
      </c>
      <c r="B971" s="16" t="s">
        <v>253</v>
      </c>
      <c r="C971" s="16" t="s">
        <v>210</v>
      </c>
      <c r="D971" s="16">
        <v>1</v>
      </c>
      <c r="E971" s="18">
        <v>970</v>
      </c>
      <c r="F971" s="18">
        <v>0</v>
      </c>
      <c r="G971" s="27">
        <f>+D971*5</f>
        <v>5</v>
      </c>
      <c r="H971" s="13">
        <f>+E971*1525590/4367</f>
        <v>338864.73551637278</v>
      </c>
      <c r="I971" s="13">
        <f>+F971*474410/1358</f>
        <v>0</v>
      </c>
      <c r="J971" s="51">
        <f t="shared" si="247"/>
        <v>338864.73551637278</v>
      </c>
    </row>
    <row r="972" spans="1:10" s="3" customFormat="1" x14ac:dyDescent="0.25">
      <c r="A972" s="4"/>
      <c r="B972" s="20" t="s">
        <v>311</v>
      </c>
      <c r="C972" s="21"/>
      <c r="D972" s="21"/>
      <c r="E972" s="29"/>
      <c r="F972" s="29"/>
      <c r="G972" s="47">
        <f>SUM(G970:G971)</f>
        <v>10</v>
      </c>
      <c r="H972" s="47">
        <f t="shared" ref="H972:J972" si="249">SUM(H970:H971)</f>
        <v>1525590</v>
      </c>
      <c r="I972" s="47">
        <f t="shared" si="249"/>
        <v>474410</v>
      </c>
      <c r="J972" s="47">
        <f t="shared" si="249"/>
        <v>2000000</v>
      </c>
    </row>
    <row r="973" spans="1:10" x14ac:dyDescent="0.25">
      <c r="A973" s="23" t="s">
        <v>72</v>
      </c>
      <c r="B973" s="24" t="s">
        <v>209</v>
      </c>
      <c r="C973" s="24" t="s">
        <v>210</v>
      </c>
      <c r="D973" s="24">
        <v>1</v>
      </c>
      <c r="E973" s="30">
        <v>970</v>
      </c>
      <c r="F973" s="30">
        <v>0</v>
      </c>
      <c r="G973" s="27">
        <f>+D973*4.8</f>
        <v>4.8</v>
      </c>
      <c r="H973" s="13">
        <f>+E973*4900615/465236</f>
        <v>10217.60257159807</v>
      </c>
      <c r="I973" s="13">
        <f>+F973*99385/9435</f>
        <v>0</v>
      </c>
      <c r="J973" s="51">
        <f t="shared" si="247"/>
        <v>10217.60257159807</v>
      </c>
    </row>
    <row r="974" spans="1:10" x14ac:dyDescent="0.25">
      <c r="A974" s="4" t="s">
        <v>72</v>
      </c>
      <c r="B974" s="5" t="s">
        <v>217</v>
      </c>
      <c r="C974" s="5" t="s">
        <v>218</v>
      </c>
      <c r="D974" s="5">
        <v>3</v>
      </c>
      <c r="E974" s="11">
        <v>9939</v>
      </c>
      <c r="F974" s="11">
        <v>3975</v>
      </c>
      <c r="G974" s="27">
        <f t="shared" ref="G974:G982" si="250">+D974*4.8</f>
        <v>14.399999999999999</v>
      </c>
      <c r="H974" s="13">
        <f t="shared" ref="H974:H982" si="251">+E974*4900615/465236</f>
        <v>104693.55872073528</v>
      </c>
      <c r="I974" s="13">
        <f t="shared" ref="I974:I982" si="252">+F974*99385/9435</f>
        <v>41871.263910969792</v>
      </c>
      <c r="J974" s="51">
        <f t="shared" si="247"/>
        <v>146564.82263170509</v>
      </c>
    </row>
    <row r="975" spans="1:10" x14ac:dyDescent="0.25">
      <c r="A975" s="4" t="s">
        <v>72</v>
      </c>
      <c r="B975" s="5" t="s">
        <v>223</v>
      </c>
      <c r="C975" s="5" t="s">
        <v>224</v>
      </c>
      <c r="D975" s="5">
        <v>1</v>
      </c>
      <c r="E975" s="11">
        <v>0</v>
      </c>
      <c r="F975" s="11">
        <v>0</v>
      </c>
      <c r="G975" s="27">
        <f t="shared" si="250"/>
        <v>4.8</v>
      </c>
      <c r="H975" s="13">
        <f t="shared" si="251"/>
        <v>0</v>
      </c>
      <c r="I975" s="13">
        <f t="shared" si="252"/>
        <v>0</v>
      </c>
      <c r="J975" s="51">
        <f t="shared" si="247"/>
        <v>0</v>
      </c>
    </row>
    <row r="976" spans="1:10" x14ac:dyDescent="0.25">
      <c r="A976" s="4" t="s">
        <v>72</v>
      </c>
      <c r="B976" s="5" t="s">
        <v>226</v>
      </c>
      <c r="C976" s="5" t="s">
        <v>210</v>
      </c>
      <c r="D976" s="5">
        <v>1</v>
      </c>
      <c r="E976" s="11">
        <v>970</v>
      </c>
      <c r="F976" s="11">
        <v>0</v>
      </c>
      <c r="G976" s="27">
        <f t="shared" si="250"/>
        <v>4.8</v>
      </c>
      <c r="H976" s="13">
        <f t="shared" si="251"/>
        <v>10217.60257159807</v>
      </c>
      <c r="I976" s="13">
        <f t="shared" si="252"/>
        <v>0</v>
      </c>
      <c r="J976" s="51">
        <f t="shared" si="247"/>
        <v>10217.60257159807</v>
      </c>
    </row>
    <row r="977" spans="1:10" x14ac:dyDescent="0.25">
      <c r="A977" s="4" t="s">
        <v>72</v>
      </c>
      <c r="B977" s="5" t="s">
        <v>228</v>
      </c>
      <c r="C977" s="5" t="s">
        <v>229</v>
      </c>
      <c r="D977" s="5">
        <v>5</v>
      </c>
      <c r="E977" s="11">
        <v>9705</v>
      </c>
      <c r="F977" s="11">
        <v>0</v>
      </c>
      <c r="G977" s="27">
        <f t="shared" si="250"/>
        <v>24</v>
      </c>
      <c r="H977" s="13">
        <f t="shared" si="251"/>
        <v>102228.69377047347</v>
      </c>
      <c r="I977" s="13">
        <f t="shared" si="252"/>
        <v>0</v>
      </c>
      <c r="J977" s="51">
        <f t="shared" si="247"/>
        <v>102228.69377047347</v>
      </c>
    </row>
    <row r="978" spans="1:10" x14ac:dyDescent="0.25">
      <c r="A978" s="4" t="s">
        <v>72</v>
      </c>
      <c r="B978" s="5" t="s">
        <v>231</v>
      </c>
      <c r="C978" s="5" t="s">
        <v>232</v>
      </c>
      <c r="D978" s="5">
        <v>2</v>
      </c>
      <c r="E978" s="11">
        <v>424666</v>
      </c>
      <c r="F978" s="11">
        <v>0</v>
      </c>
      <c r="G978" s="27">
        <f t="shared" si="250"/>
        <v>9.6</v>
      </c>
      <c r="H978" s="13">
        <f t="shared" si="251"/>
        <v>4473266.4058456356</v>
      </c>
      <c r="I978" s="13">
        <f t="shared" si="252"/>
        <v>0</v>
      </c>
      <c r="J978" s="51">
        <f t="shared" si="247"/>
        <v>4473266.4058456356</v>
      </c>
    </row>
    <row r="979" spans="1:10" x14ac:dyDescent="0.25">
      <c r="A979" s="4" t="s">
        <v>72</v>
      </c>
      <c r="B979" s="5" t="s">
        <v>241</v>
      </c>
      <c r="C979" s="5" t="s">
        <v>236</v>
      </c>
      <c r="D979" s="5">
        <v>2</v>
      </c>
      <c r="E979" s="11">
        <v>13650</v>
      </c>
      <c r="F979" s="11">
        <v>5460</v>
      </c>
      <c r="G979" s="27">
        <f t="shared" si="250"/>
        <v>9.6</v>
      </c>
      <c r="H979" s="13">
        <f t="shared" si="251"/>
        <v>143783.78876527181</v>
      </c>
      <c r="I979" s="13">
        <f t="shared" si="252"/>
        <v>57513.736089030208</v>
      </c>
      <c r="J979" s="51">
        <f t="shared" si="247"/>
        <v>201297.524854302</v>
      </c>
    </row>
    <row r="980" spans="1:10" x14ac:dyDescent="0.25">
      <c r="A980" s="4" t="s">
        <v>72</v>
      </c>
      <c r="B980" s="5" t="s">
        <v>253</v>
      </c>
      <c r="C980" s="5" t="s">
        <v>210</v>
      </c>
      <c r="D980" s="5">
        <v>3</v>
      </c>
      <c r="E980" s="11">
        <v>2910</v>
      </c>
      <c r="F980" s="11">
        <v>0</v>
      </c>
      <c r="G980" s="27">
        <f t="shared" si="250"/>
        <v>14.399999999999999</v>
      </c>
      <c r="H980" s="13">
        <f t="shared" si="251"/>
        <v>30652.807714794213</v>
      </c>
      <c r="I980" s="13">
        <f t="shared" si="252"/>
        <v>0</v>
      </c>
      <c r="J980" s="51">
        <f t="shared" si="247"/>
        <v>30652.807714794213</v>
      </c>
    </row>
    <row r="981" spans="1:10" x14ac:dyDescent="0.25">
      <c r="A981" s="4" t="s">
        <v>72</v>
      </c>
      <c r="B981" s="5" t="s">
        <v>254</v>
      </c>
      <c r="C981" s="5" t="s">
        <v>212</v>
      </c>
      <c r="D981" s="5">
        <v>1</v>
      </c>
      <c r="E981" s="11">
        <v>1456</v>
      </c>
      <c r="F981" s="11">
        <v>0</v>
      </c>
      <c r="G981" s="27">
        <f t="shared" si="250"/>
        <v>4.8</v>
      </c>
      <c r="H981" s="13">
        <f t="shared" si="251"/>
        <v>15336.93746829566</v>
      </c>
      <c r="I981" s="13">
        <f t="shared" si="252"/>
        <v>0</v>
      </c>
      <c r="J981" s="51">
        <f t="shared" si="247"/>
        <v>15336.93746829566</v>
      </c>
    </row>
    <row r="982" spans="1:10" x14ac:dyDescent="0.25">
      <c r="A982" s="15" t="s">
        <v>72</v>
      </c>
      <c r="B982" s="16" t="s">
        <v>255</v>
      </c>
      <c r="C982" s="16" t="s">
        <v>210</v>
      </c>
      <c r="D982" s="16">
        <v>1</v>
      </c>
      <c r="E982" s="18">
        <v>970</v>
      </c>
      <c r="F982" s="18">
        <v>0</v>
      </c>
      <c r="G982" s="27">
        <f t="shared" si="250"/>
        <v>4.8</v>
      </c>
      <c r="H982" s="13">
        <f t="shared" si="251"/>
        <v>10217.60257159807</v>
      </c>
      <c r="I982" s="13">
        <f t="shared" si="252"/>
        <v>0</v>
      </c>
      <c r="J982" s="51">
        <f t="shared" si="247"/>
        <v>10217.60257159807</v>
      </c>
    </row>
    <row r="983" spans="1:10" s="3" customFormat="1" x14ac:dyDescent="0.25">
      <c r="A983" s="4"/>
      <c r="B983" s="20" t="s">
        <v>312</v>
      </c>
      <c r="C983" s="21"/>
      <c r="D983" s="21"/>
      <c r="E983" s="29"/>
      <c r="F983" s="29"/>
      <c r="G983" s="47">
        <f>SUM(G973:G982)</f>
        <v>96</v>
      </c>
      <c r="H983" s="47">
        <f t="shared" ref="H983:J983" si="253">SUM(H973:H982)</f>
        <v>4900615.0000000009</v>
      </c>
      <c r="I983" s="47">
        <f t="shared" si="253"/>
        <v>99385</v>
      </c>
      <c r="J983" s="47">
        <f t="shared" si="253"/>
        <v>5000000.0000000009</v>
      </c>
    </row>
    <row r="984" spans="1:10" x14ac:dyDescent="0.25">
      <c r="A984" s="23" t="s">
        <v>73</v>
      </c>
      <c r="B984" s="24" t="s">
        <v>215</v>
      </c>
      <c r="C984" s="24" t="s">
        <v>212</v>
      </c>
      <c r="D984" s="24">
        <v>1</v>
      </c>
      <c r="E984" s="30">
        <v>728</v>
      </c>
      <c r="F984" s="30">
        <v>0</v>
      </c>
      <c r="G984" s="27">
        <f>+D984*4.66666666666667</f>
        <v>4.6666666666666696</v>
      </c>
      <c r="H984" s="13">
        <f>+E984*602620/4140</f>
        <v>105967.961352657</v>
      </c>
      <c r="I984" s="13">
        <f>+F984*397380/2730</f>
        <v>0</v>
      </c>
      <c r="J984" s="51">
        <f t="shared" si="247"/>
        <v>105967.961352657</v>
      </c>
    </row>
    <row r="985" spans="1:10" x14ac:dyDescent="0.25">
      <c r="A985" s="15" t="s">
        <v>73</v>
      </c>
      <c r="B985" s="16" t="s">
        <v>247</v>
      </c>
      <c r="C985" s="16" t="s">
        <v>244</v>
      </c>
      <c r="D985" s="16">
        <v>2</v>
      </c>
      <c r="E985" s="18">
        <v>3412</v>
      </c>
      <c r="F985" s="18">
        <v>2730</v>
      </c>
      <c r="G985" s="27">
        <f>+D985*4.66666666666667</f>
        <v>9.3333333333333393</v>
      </c>
      <c r="H985" s="13">
        <f>+E985*602620/4140</f>
        <v>496652.038647343</v>
      </c>
      <c r="I985" s="13">
        <f>+F985*397380/2730</f>
        <v>397380</v>
      </c>
      <c r="J985" s="51">
        <f t="shared" si="247"/>
        <v>894032.03864734294</v>
      </c>
    </row>
    <row r="986" spans="1:10" s="3" customFormat="1" x14ac:dyDescent="0.25">
      <c r="A986" s="4"/>
      <c r="B986" s="20" t="s">
        <v>313</v>
      </c>
      <c r="C986" s="21"/>
      <c r="D986" s="21"/>
      <c r="E986" s="29"/>
      <c r="F986" s="29"/>
      <c r="G986" s="47">
        <f>SUM(G984:G985)</f>
        <v>14.000000000000009</v>
      </c>
      <c r="H986" s="47">
        <f t="shared" ref="H986:J986" si="254">SUM(H984:H985)</f>
        <v>602620</v>
      </c>
      <c r="I986" s="47">
        <f t="shared" si="254"/>
        <v>397380</v>
      </c>
      <c r="J986" s="47">
        <f t="shared" si="254"/>
        <v>1000000</v>
      </c>
    </row>
    <row r="987" spans="1:10" x14ac:dyDescent="0.25">
      <c r="A987" s="23" t="s">
        <v>74</v>
      </c>
      <c r="B987" s="24" t="s">
        <v>207</v>
      </c>
      <c r="C987" s="24" t="s">
        <v>208</v>
      </c>
      <c r="D987" s="24">
        <v>1</v>
      </c>
      <c r="E987" s="30">
        <v>11648</v>
      </c>
      <c r="F987" s="30">
        <v>4659</v>
      </c>
      <c r="G987" s="27">
        <f>+D987*4.78834355828221</f>
        <v>4.78834355828221</v>
      </c>
      <c r="H987" s="13">
        <f>+E987*54192025/3990306</f>
        <v>158190.55160180698</v>
      </c>
      <c r="I987" s="13">
        <f>+F987*5807975/427657</f>
        <v>63273.50078450721</v>
      </c>
      <c r="J987" s="51">
        <f t="shared" si="247"/>
        <v>221464.0523863142</v>
      </c>
    </row>
    <row r="988" spans="1:10" x14ac:dyDescent="0.25">
      <c r="A988" s="4" t="s">
        <v>74</v>
      </c>
      <c r="B988" s="5" t="s">
        <v>209</v>
      </c>
      <c r="C988" s="5" t="s">
        <v>210</v>
      </c>
      <c r="D988" s="5">
        <v>6</v>
      </c>
      <c r="E988" s="11">
        <v>5820</v>
      </c>
      <c r="F988" s="11">
        <v>0</v>
      </c>
      <c r="G988" s="27">
        <f t="shared" ref="G988:G1021" si="255">+D988*4.78834355828221</f>
        <v>28.730061349693258</v>
      </c>
      <c r="H988" s="13">
        <f t="shared" ref="H988:H1021" si="256">+E988*54192025/3990306</f>
        <v>79040.952122468807</v>
      </c>
      <c r="I988" s="13">
        <f t="shared" ref="I988:I1021" si="257">+F988*5807975/427657</f>
        <v>0</v>
      </c>
      <c r="J988" s="51">
        <f t="shared" si="247"/>
        <v>79040.952122468807</v>
      </c>
    </row>
    <row r="989" spans="1:10" x14ac:dyDescent="0.25">
      <c r="A989" s="4" t="s">
        <v>74</v>
      </c>
      <c r="B989" s="5" t="s">
        <v>211</v>
      </c>
      <c r="C989" s="5" t="s">
        <v>212</v>
      </c>
      <c r="D989" s="5">
        <v>3</v>
      </c>
      <c r="E989" s="11">
        <v>4368</v>
      </c>
      <c r="F989" s="11">
        <v>0</v>
      </c>
      <c r="G989" s="27">
        <f t="shared" si="255"/>
        <v>14.365030674846629</v>
      </c>
      <c r="H989" s="13">
        <f t="shared" si="256"/>
        <v>59321.45685067762</v>
      </c>
      <c r="I989" s="13">
        <f t="shared" si="257"/>
        <v>0</v>
      </c>
      <c r="J989" s="51">
        <f t="shared" si="247"/>
        <v>59321.45685067762</v>
      </c>
    </row>
    <row r="990" spans="1:10" x14ac:dyDescent="0.25">
      <c r="A990" s="4" t="s">
        <v>74</v>
      </c>
      <c r="B990" s="5" t="s">
        <v>213</v>
      </c>
      <c r="C990" s="5" t="s">
        <v>212</v>
      </c>
      <c r="D990" s="5">
        <v>17</v>
      </c>
      <c r="E990" s="11">
        <v>24752</v>
      </c>
      <c r="F990" s="11">
        <v>0</v>
      </c>
      <c r="G990" s="27">
        <f t="shared" si="255"/>
        <v>81.401840490797568</v>
      </c>
      <c r="H990" s="13">
        <f t="shared" si="256"/>
        <v>336154.92215383984</v>
      </c>
      <c r="I990" s="13">
        <f t="shared" si="257"/>
        <v>0</v>
      </c>
      <c r="J990" s="51">
        <f t="shared" si="247"/>
        <v>336154.92215383984</v>
      </c>
    </row>
    <row r="991" spans="1:10" x14ac:dyDescent="0.25">
      <c r="A991" s="4" t="s">
        <v>74</v>
      </c>
      <c r="B991" s="5" t="s">
        <v>214</v>
      </c>
      <c r="C991" s="5" t="s">
        <v>210</v>
      </c>
      <c r="D991" s="5">
        <v>13</v>
      </c>
      <c r="E991" s="11">
        <v>12610</v>
      </c>
      <c r="F991" s="11">
        <v>0</v>
      </c>
      <c r="G991" s="27">
        <f t="shared" si="255"/>
        <v>62.248466257668731</v>
      </c>
      <c r="H991" s="13">
        <f t="shared" si="256"/>
        <v>171255.39626534906</v>
      </c>
      <c r="I991" s="13">
        <f t="shared" si="257"/>
        <v>0</v>
      </c>
      <c r="J991" s="51">
        <f t="shared" si="247"/>
        <v>171255.39626534906</v>
      </c>
    </row>
    <row r="992" spans="1:10" x14ac:dyDescent="0.25">
      <c r="A992" s="4" t="s">
        <v>74</v>
      </c>
      <c r="B992" s="5" t="s">
        <v>215</v>
      </c>
      <c r="C992" s="5" t="s">
        <v>212</v>
      </c>
      <c r="D992" s="5">
        <v>7</v>
      </c>
      <c r="E992" s="11">
        <v>10192</v>
      </c>
      <c r="F992" s="11">
        <v>0</v>
      </c>
      <c r="G992" s="27">
        <f t="shared" si="255"/>
        <v>33.518404907975473</v>
      </c>
      <c r="H992" s="13">
        <f t="shared" si="256"/>
        <v>138416.73265158111</v>
      </c>
      <c r="I992" s="13">
        <f t="shared" si="257"/>
        <v>0</v>
      </c>
      <c r="J992" s="51">
        <f t="shared" si="247"/>
        <v>138416.73265158111</v>
      </c>
    </row>
    <row r="993" spans="1:10" x14ac:dyDescent="0.25">
      <c r="A993" s="4" t="s">
        <v>74</v>
      </c>
      <c r="B993" s="5" t="s">
        <v>216</v>
      </c>
      <c r="C993" s="5" t="s">
        <v>210</v>
      </c>
      <c r="D993" s="5">
        <v>7</v>
      </c>
      <c r="E993" s="11">
        <v>6790</v>
      </c>
      <c r="F993" s="11">
        <v>0</v>
      </c>
      <c r="G993" s="27">
        <f t="shared" si="255"/>
        <v>33.518404907975473</v>
      </c>
      <c r="H993" s="13">
        <f t="shared" si="256"/>
        <v>92214.444142880267</v>
      </c>
      <c r="I993" s="13">
        <f t="shared" si="257"/>
        <v>0</v>
      </c>
      <c r="J993" s="51">
        <f t="shared" si="247"/>
        <v>92214.444142880267</v>
      </c>
    </row>
    <row r="994" spans="1:10" x14ac:dyDescent="0.25">
      <c r="A994" s="4" t="s">
        <v>74</v>
      </c>
      <c r="B994" s="5" t="s">
        <v>217</v>
      </c>
      <c r="C994" s="5" t="s">
        <v>218</v>
      </c>
      <c r="D994" s="5">
        <v>34</v>
      </c>
      <c r="E994" s="11">
        <v>112642</v>
      </c>
      <c r="F994" s="11">
        <v>45050</v>
      </c>
      <c r="G994" s="27">
        <f t="shared" si="255"/>
        <v>162.80368098159514</v>
      </c>
      <c r="H994" s="13">
        <f t="shared" si="256"/>
        <v>1529781.9465599882</v>
      </c>
      <c r="I994" s="13">
        <f t="shared" si="257"/>
        <v>611820.39286156895</v>
      </c>
      <c r="J994" s="51">
        <f t="shared" si="247"/>
        <v>2141602.3394215573</v>
      </c>
    </row>
    <row r="995" spans="1:10" x14ac:dyDescent="0.25">
      <c r="A995" s="4" t="s">
        <v>74</v>
      </c>
      <c r="B995" s="5" t="s">
        <v>219</v>
      </c>
      <c r="C995" s="5" t="s">
        <v>220</v>
      </c>
      <c r="D995" s="5">
        <v>8</v>
      </c>
      <c r="E995" s="11">
        <v>27176</v>
      </c>
      <c r="F995" s="11">
        <v>10864</v>
      </c>
      <c r="G995" s="27">
        <f t="shared" si="255"/>
        <v>38.30674846625768</v>
      </c>
      <c r="H995" s="13">
        <f t="shared" si="256"/>
        <v>369075.07128525985</v>
      </c>
      <c r="I995" s="13">
        <f t="shared" si="257"/>
        <v>147543.1020654403</v>
      </c>
      <c r="J995" s="51">
        <f t="shared" si="247"/>
        <v>516618.17335070018</v>
      </c>
    </row>
    <row r="996" spans="1:10" x14ac:dyDescent="0.25">
      <c r="A996" s="4" t="s">
        <v>74</v>
      </c>
      <c r="B996" s="5" t="s">
        <v>260</v>
      </c>
      <c r="C996" s="5" t="s">
        <v>208</v>
      </c>
      <c r="D996" s="5">
        <v>1</v>
      </c>
      <c r="E996" s="11">
        <v>46592</v>
      </c>
      <c r="F996" s="11">
        <v>0</v>
      </c>
      <c r="G996" s="27">
        <f t="shared" si="255"/>
        <v>4.78834355828221</v>
      </c>
      <c r="H996" s="13">
        <f t="shared" si="256"/>
        <v>632762.2064072279</v>
      </c>
      <c r="I996" s="13">
        <f t="shared" si="257"/>
        <v>0</v>
      </c>
      <c r="J996" s="51">
        <f t="shared" si="247"/>
        <v>632762.2064072279</v>
      </c>
    </row>
    <row r="997" spans="1:10" x14ac:dyDescent="0.25">
      <c r="A997" s="4" t="s">
        <v>74</v>
      </c>
      <c r="B997" s="5" t="s">
        <v>223</v>
      </c>
      <c r="C997" s="5" t="s">
        <v>224</v>
      </c>
      <c r="D997" s="5">
        <v>57</v>
      </c>
      <c r="E997" s="11">
        <v>0</v>
      </c>
      <c r="F997" s="11">
        <v>0</v>
      </c>
      <c r="G997" s="27">
        <f t="shared" si="255"/>
        <v>272.93558282208596</v>
      </c>
      <c r="H997" s="13">
        <f t="shared" si="256"/>
        <v>0</v>
      </c>
      <c r="I997" s="13">
        <f t="shared" si="257"/>
        <v>0</v>
      </c>
      <c r="J997" s="51">
        <f t="shared" si="247"/>
        <v>0</v>
      </c>
    </row>
    <row r="998" spans="1:10" x14ac:dyDescent="0.25">
      <c r="A998" s="4" t="s">
        <v>74</v>
      </c>
      <c r="B998" s="5" t="s">
        <v>266</v>
      </c>
      <c r="C998" s="5" t="s">
        <v>210</v>
      </c>
      <c r="D998" s="5">
        <v>1</v>
      </c>
      <c r="E998" s="11">
        <v>970</v>
      </c>
      <c r="F998" s="11">
        <v>0</v>
      </c>
      <c r="G998" s="27">
        <f t="shared" si="255"/>
        <v>4.78834355828221</v>
      </c>
      <c r="H998" s="13">
        <f t="shared" si="256"/>
        <v>13173.492020411468</v>
      </c>
      <c r="I998" s="13">
        <f t="shared" si="257"/>
        <v>0</v>
      </c>
      <c r="J998" s="51">
        <f t="shared" si="247"/>
        <v>13173.492020411468</v>
      </c>
    </row>
    <row r="999" spans="1:10" x14ac:dyDescent="0.25">
      <c r="A999" s="4" t="s">
        <v>74</v>
      </c>
      <c r="B999" s="5" t="s">
        <v>225</v>
      </c>
      <c r="C999" s="5" t="s">
        <v>210</v>
      </c>
      <c r="D999" s="5">
        <v>1</v>
      </c>
      <c r="E999" s="11">
        <v>970</v>
      </c>
      <c r="F999" s="11">
        <v>0</v>
      </c>
      <c r="G999" s="27">
        <f t="shared" si="255"/>
        <v>4.78834355828221</v>
      </c>
      <c r="H999" s="13">
        <f t="shared" si="256"/>
        <v>13173.492020411468</v>
      </c>
      <c r="I999" s="13">
        <f t="shared" si="257"/>
        <v>0</v>
      </c>
      <c r="J999" s="51">
        <f t="shared" si="247"/>
        <v>13173.492020411468</v>
      </c>
    </row>
    <row r="1000" spans="1:10" x14ac:dyDescent="0.25">
      <c r="A1000" s="4" t="s">
        <v>74</v>
      </c>
      <c r="B1000" s="5" t="s">
        <v>226</v>
      </c>
      <c r="C1000" s="5" t="s">
        <v>210</v>
      </c>
      <c r="D1000" s="5">
        <v>43</v>
      </c>
      <c r="E1000" s="11">
        <v>41710</v>
      </c>
      <c r="F1000" s="11">
        <v>0</v>
      </c>
      <c r="G1000" s="27">
        <f t="shared" si="255"/>
        <v>205.89877300613503</v>
      </c>
      <c r="H1000" s="13">
        <f t="shared" si="256"/>
        <v>566460.15687769314</v>
      </c>
      <c r="I1000" s="13">
        <f t="shared" si="257"/>
        <v>0</v>
      </c>
      <c r="J1000" s="51">
        <f t="shared" si="247"/>
        <v>566460.15687769314</v>
      </c>
    </row>
    <row r="1001" spans="1:10" x14ac:dyDescent="0.25">
      <c r="A1001" s="4" t="s">
        <v>74</v>
      </c>
      <c r="B1001" s="5" t="s">
        <v>227</v>
      </c>
      <c r="C1001" s="5" t="s">
        <v>210</v>
      </c>
      <c r="D1001" s="5">
        <v>3</v>
      </c>
      <c r="E1001" s="11">
        <v>2910</v>
      </c>
      <c r="F1001" s="11">
        <v>0</v>
      </c>
      <c r="G1001" s="27">
        <f t="shared" si="255"/>
        <v>14.365030674846629</v>
      </c>
      <c r="H1001" s="13">
        <f t="shared" si="256"/>
        <v>39520.476061234403</v>
      </c>
      <c r="I1001" s="13">
        <f t="shared" si="257"/>
        <v>0</v>
      </c>
      <c r="J1001" s="51">
        <f t="shared" si="247"/>
        <v>39520.476061234403</v>
      </c>
    </row>
    <row r="1002" spans="1:10" x14ac:dyDescent="0.25">
      <c r="A1002" s="4" t="s">
        <v>74</v>
      </c>
      <c r="B1002" s="5" t="s">
        <v>228</v>
      </c>
      <c r="C1002" s="5" t="s">
        <v>229</v>
      </c>
      <c r="D1002" s="5">
        <v>139</v>
      </c>
      <c r="E1002" s="11">
        <v>269799</v>
      </c>
      <c r="F1002" s="11">
        <v>0</v>
      </c>
      <c r="G1002" s="27">
        <f t="shared" si="255"/>
        <v>665.57975460122725</v>
      </c>
      <c r="H1002" s="13">
        <f t="shared" si="256"/>
        <v>3664118.5294999932</v>
      </c>
      <c r="I1002" s="13">
        <f t="shared" si="257"/>
        <v>0</v>
      </c>
      <c r="J1002" s="51">
        <f t="shared" si="247"/>
        <v>3664118.5294999932</v>
      </c>
    </row>
    <row r="1003" spans="1:10" x14ac:dyDescent="0.25">
      <c r="A1003" s="4" t="s">
        <v>74</v>
      </c>
      <c r="B1003" s="5" t="s">
        <v>230</v>
      </c>
      <c r="C1003" s="5" t="s">
        <v>229</v>
      </c>
      <c r="D1003" s="5">
        <v>56</v>
      </c>
      <c r="E1003" s="11">
        <v>108696</v>
      </c>
      <c r="F1003" s="11">
        <v>0</v>
      </c>
      <c r="G1003" s="27">
        <f t="shared" si="255"/>
        <v>268.14723926380378</v>
      </c>
      <c r="H1003" s="13">
        <f t="shared" si="256"/>
        <v>1476191.63778417</v>
      </c>
      <c r="I1003" s="13">
        <f t="shared" si="257"/>
        <v>0</v>
      </c>
      <c r="J1003" s="51">
        <f t="shared" si="247"/>
        <v>1476191.63778417</v>
      </c>
    </row>
    <row r="1004" spans="1:10" x14ac:dyDescent="0.25">
      <c r="A1004" s="4" t="s">
        <v>74</v>
      </c>
      <c r="B1004" s="5" t="s">
        <v>231</v>
      </c>
      <c r="C1004" s="5" t="s">
        <v>232</v>
      </c>
      <c r="D1004" s="5">
        <v>3</v>
      </c>
      <c r="E1004" s="11">
        <v>636999</v>
      </c>
      <c r="F1004" s="11">
        <v>0</v>
      </c>
      <c r="G1004" s="27">
        <f t="shared" si="255"/>
        <v>14.365030674846629</v>
      </c>
      <c r="H1004" s="13">
        <f t="shared" si="256"/>
        <v>8651032.2098042108</v>
      </c>
      <c r="I1004" s="13">
        <f t="shared" si="257"/>
        <v>0</v>
      </c>
      <c r="J1004" s="51">
        <f t="shared" si="247"/>
        <v>8651032.2098042108</v>
      </c>
    </row>
    <row r="1005" spans="1:10" x14ac:dyDescent="0.25">
      <c r="A1005" s="4" t="s">
        <v>74</v>
      </c>
      <c r="B1005" s="5" t="s">
        <v>262</v>
      </c>
      <c r="C1005" s="5" t="s">
        <v>263</v>
      </c>
      <c r="D1005" s="5">
        <v>9</v>
      </c>
      <c r="E1005" s="11">
        <v>1364994</v>
      </c>
      <c r="F1005" s="11">
        <v>0</v>
      </c>
      <c r="G1005" s="27">
        <f t="shared" si="255"/>
        <v>43.095092024539888</v>
      </c>
      <c r="H1005" s="13">
        <f t="shared" si="256"/>
        <v>18537873.780319102</v>
      </c>
      <c r="I1005" s="13">
        <f t="shared" si="257"/>
        <v>0</v>
      </c>
      <c r="J1005" s="51">
        <f t="shared" si="247"/>
        <v>18537873.780319102</v>
      </c>
    </row>
    <row r="1006" spans="1:10" x14ac:dyDescent="0.25">
      <c r="A1006" s="4" t="s">
        <v>74</v>
      </c>
      <c r="B1006" s="5" t="s">
        <v>233</v>
      </c>
      <c r="C1006" s="5" t="s">
        <v>234</v>
      </c>
      <c r="D1006" s="5">
        <v>2</v>
      </c>
      <c r="E1006" s="11">
        <v>194132</v>
      </c>
      <c r="F1006" s="11">
        <v>0</v>
      </c>
      <c r="G1006" s="27">
        <f t="shared" si="255"/>
        <v>9.5766871165644201</v>
      </c>
      <c r="H1006" s="13">
        <f t="shared" si="256"/>
        <v>2636491.0854706382</v>
      </c>
      <c r="I1006" s="13">
        <f t="shared" si="257"/>
        <v>0</v>
      </c>
      <c r="J1006" s="51">
        <f t="shared" si="247"/>
        <v>2636491.0854706382</v>
      </c>
    </row>
    <row r="1007" spans="1:10" x14ac:dyDescent="0.25">
      <c r="A1007" s="4" t="s">
        <v>74</v>
      </c>
      <c r="B1007" s="5" t="s">
        <v>235</v>
      </c>
      <c r="C1007" s="5" t="s">
        <v>236</v>
      </c>
      <c r="D1007" s="5">
        <v>6</v>
      </c>
      <c r="E1007" s="11">
        <v>40950</v>
      </c>
      <c r="F1007" s="11">
        <v>16380</v>
      </c>
      <c r="G1007" s="27">
        <f t="shared" si="255"/>
        <v>28.730061349693258</v>
      </c>
      <c r="H1007" s="13">
        <f t="shared" si="256"/>
        <v>556138.65797510266</v>
      </c>
      <c r="I1007" s="13">
        <f t="shared" si="257"/>
        <v>222455.4502790788</v>
      </c>
      <c r="J1007" s="51">
        <f t="shared" si="247"/>
        <v>778594.10825418145</v>
      </c>
    </row>
    <row r="1008" spans="1:10" x14ac:dyDescent="0.25">
      <c r="A1008" s="4" t="s">
        <v>74</v>
      </c>
      <c r="B1008" s="5" t="s">
        <v>237</v>
      </c>
      <c r="C1008" s="5" t="s">
        <v>238</v>
      </c>
      <c r="D1008" s="5">
        <v>1</v>
      </c>
      <c r="E1008" s="11">
        <v>5126</v>
      </c>
      <c r="F1008" s="11">
        <v>2050</v>
      </c>
      <c r="G1008" s="27">
        <f t="shared" si="255"/>
        <v>4.78834355828221</v>
      </c>
      <c r="H1008" s="13">
        <f t="shared" si="256"/>
        <v>69615.793914050708</v>
      </c>
      <c r="I1008" s="13">
        <f t="shared" si="257"/>
        <v>27840.883581935992</v>
      </c>
      <c r="J1008" s="51">
        <f t="shared" si="247"/>
        <v>97456.677495986703</v>
      </c>
    </row>
    <row r="1009" spans="1:10" x14ac:dyDescent="0.25">
      <c r="A1009" s="4" t="s">
        <v>74</v>
      </c>
      <c r="B1009" s="5" t="s">
        <v>239</v>
      </c>
      <c r="C1009" s="5" t="s">
        <v>236</v>
      </c>
      <c r="D1009" s="5">
        <v>12</v>
      </c>
      <c r="E1009" s="11">
        <v>81900</v>
      </c>
      <c r="F1009" s="11">
        <v>32760</v>
      </c>
      <c r="G1009" s="27">
        <f t="shared" si="255"/>
        <v>57.460122699386517</v>
      </c>
      <c r="H1009" s="13">
        <f t="shared" si="256"/>
        <v>1112277.3159502053</v>
      </c>
      <c r="I1009" s="13">
        <f t="shared" si="257"/>
        <v>444910.90055815759</v>
      </c>
      <c r="J1009" s="51">
        <f t="shared" si="247"/>
        <v>1557188.2165083629</v>
      </c>
    </row>
    <row r="1010" spans="1:10" x14ac:dyDescent="0.25">
      <c r="A1010" s="4" t="s">
        <v>74</v>
      </c>
      <c r="B1010" s="5" t="s">
        <v>240</v>
      </c>
      <c r="C1010" s="5" t="s">
        <v>238</v>
      </c>
      <c r="D1010" s="5">
        <v>2</v>
      </c>
      <c r="E1010" s="11">
        <v>10252</v>
      </c>
      <c r="F1010" s="11">
        <v>4100</v>
      </c>
      <c r="G1010" s="27">
        <f t="shared" si="255"/>
        <v>9.5766871165644201</v>
      </c>
      <c r="H1010" s="13">
        <f t="shared" si="256"/>
        <v>139231.58782810142</v>
      </c>
      <c r="I1010" s="13">
        <f t="shared" si="257"/>
        <v>55681.767163871984</v>
      </c>
      <c r="J1010" s="51">
        <f t="shared" si="247"/>
        <v>194913.35499197341</v>
      </c>
    </row>
    <row r="1011" spans="1:10" x14ac:dyDescent="0.25">
      <c r="A1011" s="4" t="s">
        <v>74</v>
      </c>
      <c r="B1011" s="5" t="s">
        <v>241</v>
      </c>
      <c r="C1011" s="5" t="s">
        <v>236</v>
      </c>
      <c r="D1011" s="5">
        <v>53</v>
      </c>
      <c r="E1011" s="11">
        <v>361725</v>
      </c>
      <c r="F1011" s="11">
        <v>144690</v>
      </c>
      <c r="G1011" s="27">
        <f t="shared" si="255"/>
        <v>253.78220858895713</v>
      </c>
      <c r="H1011" s="13">
        <f t="shared" si="256"/>
        <v>4912558.1454467401</v>
      </c>
      <c r="I1011" s="13">
        <f t="shared" si="257"/>
        <v>1965023.1441318628</v>
      </c>
      <c r="J1011" s="51">
        <f t="shared" si="247"/>
        <v>6877581.2895786026</v>
      </c>
    </row>
    <row r="1012" spans="1:10" x14ac:dyDescent="0.25">
      <c r="A1012" s="4" t="s">
        <v>74</v>
      </c>
      <c r="B1012" s="5" t="s">
        <v>243</v>
      </c>
      <c r="C1012" s="5" t="s">
        <v>244</v>
      </c>
      <c r="D1012" s="5">
        <v>2</v>
      </c>
      <c r="E1012" s="11">
        <v>6824</v>
      </c>
      <c r="F1012" s="11">
        <v>2730</v>
      </c>
      <c r="G1012" s="27">
        <f t="shared" si="255"/>
        <v>9.5766871165644201</v>
      </c>
      <c r="H1012" s="13">
        <f t="shared" si="256"/>
        <v>92676.195409575099</v>
      </c>
      <c r="I1012" s="13">
        <f t="shared" si="257"/>
        <v>37075.908379846464</v>
      </c>
      <c r="J1012" s="51">
        <f t="shared" si="247"/>
        <v>129752.10378942156</v>
      </c>
    </row>
    <row r="1013" spans="1:10" x14ac:dyDescent="0.25">
      <c r="A1013" s="4" t="s">
        <v>74</v>
      </c>
      <c r="B1013" s="5" t="s">
        <v>247</v>
      </c>
      <c r="C1013" s="5" t="s">
        <v>244</v>
      </c>
      <c r="D1013" s="5">
        <v>1</v>
      </c>
      <c r="E1013" s="11">
        <v>3412</v>
      </c>
      <c r="F1013" s="11">
        <v>1365</v>
      </c>
      <c r="G1013" s="27">
        <f t="shared" si="255"/>
        <v>4.78834355828221</v>
      </c>
      <c r="H1013" s="13">
        <f t="shared" si="256"/>
        <v>46338.097704787549</v>
      </c>
      <c r="I1013" s="13">
        <f t="shared" si="257"/>
        <v>18537.954189923232</v>
      </c>
      <c r="J1013" s="51">
        <f t="shared" si="247"/>
        <v>64876.051894710778</v>
      </c>
    </row>
    <row r="1014" spans="1:10" x14ac:dyDescent="0.25">
      <c r="A1014" s="4" t="s">
        <v>74</v>
      </c>
      <c r="B1014" s="5" t="s">
        <v>248</v>
      </c>
      <c r="C1014" s="5" t="s">
        <v>246</v>
      </c>
      <c r="D1014" s="5">
        <v>1</v>
      </c>
      <c r="E1014" s="11">
        <v>2563</v>
      </c>
      <c r="F1014" s="11">
        <v>1025</v>
      </c>
      <c r="G1014" s="27">
        <f t="shared" si="255"/>
        <v>4.78834355828221</v>
      </c>
      <c r="H1014" s="13">
        <f t="shared" si="256"/>
        <v>34807.896957025354</v>
      </c>
      <c r="I1014" s="13">
        <f t="shared" si="257"/>
        <v>13920.441790967996</v>
      </c>
      <c r="J1014" s="51">
        <f t="shared" si="247"/>
        <v>48728.338747993352</v>
      </c>
    </row>
    <row r="1015" spans="1:10" x14ac:dyDescent="0.25">
      <c r="A1015" s="4" t="s">
        <v>74</v>
      </c>
      <c r="B1015" s="5" t="s">
        <v>269</v>
      </c>
      <c r="C1015" s="5" t="s">
        <v>238</v>
      </c>
      <c r="D1015" s="5">
        <v>8</v>
      </c>
      <c r="E1015" s="11">
        <v>41008</v>
      </c>
      <c r="F1015" s="11">
        <v>16400</v>
      </c>
      <c r="G1015" s="27">
        <f t="shared" si="255"/>
        <v>38.30674846625768</v>
      </c>
      <c r="H1015" s="13">
        <f t="shared" si="256"/>
        <v>556926.35131240566</v>
      </c>
      <c r="I1015" s="13">
        <f t="shared" si="257"/>
        <v>222727.06865548794</v>
      </c>
      <c r="J1015" s="51">
        <f t="shared" si="247"/>
        <v>779653.41996789363</v>
      </c>
    </row>
    <row r="1016" spans="1:10" x14ac:dyDescent="0.25">
      <c r="A1016" s="4" t="s">
        <v>74</v>
      </c>
      <c r="B1016" s="5" t="s">
        <v>249</v>
      </c>
      <c r="C1016" s="5" t="s">
        <v>250</v>
      </c>
      <c r="D1016" s="5">
        <v>24</v>
      </c>
      <c r="E1016" s="11">
        <v>363984</v>
      </c>
      <c r="F1016" s="11">
        <v>145584</v>
      </c>
      <c r="G1016" s="27">
        <f t="shared" si="255"/>
        <v>114.92024539877303</v>
      </c>
      <c r="H1016" s="13">
        <f t="shared" si="256"/>
        <v>4943237.4428427294</v>
      </c>
      <c r="I1016" s="13">
        <f t="shared" si="257"/>
        <v>1977164.4855573508</v>
      </c>
      <c r="J1016" s="51">
        <f t="shared" si="247"/>
        <v>6920401.9284000807</v>
      </c>
    </row>
    <row r="1017" spans="1:10" x14ac:dyDescent="0.25">
      <c r="A1017" s="4" t="s">
        <v>74</v>
      </c>
      <c r="B1017" s="5" t="s">
        <v>252</v>
      </c>
      <c r="C1017" s="5" t="s">
        <v>212</v>
      </c>
      <c r="D1017" s="5">
        <v>63</v>
      </c>
      <c r="E1017" s="11">
        <v>91728</v>
      </c>
      <c r="F1017" s="11">
        <v>0</v>
      </c>
      <c r="G1017" s="27">
        <f t="shared" si="255"/>
        <v>301.66564417177921</v>
      </c>
      <c r="H1017" s="13">
        <f t="shared" si="256"/>
        <v>1245750.59386423</v>
      </c>
      <c r="I1017" s="13">
        <f t="shared" si="257"/>
        <v>0</v>
      </c>
      <c r="J1017" s="51">
        <f t="shared" si="247"/>
        <v>1245750.59386423</v>
      </c>
    </row>
    <row r="1018" spans="1:10" x14ac:dyDescent="0.25">
      <c r="A1018" s="4" t="s">
        <v>74</v>
      </c>
      <c r="B1018" s="5" t="s">
        <v>253</v>
      </c>
      <c r="C1018" s="5" t="s">
        <v>210</v>
      </c>
      <c r="D1018" s="5">
        <v>3</v>
      </c>
      <c r="E1018" s="11">
        <v>2910</v>
      </c>
      <c r="F1018" s="11">
        <v>0</v>
      </c>
      <c r="G1018" s="27">
        <f t="shared" si="255"/>
        <v>14.365030674846629</v>
      </c>
      <c r="H1018" s="13">
        <f t="shared" si="256"/>
        <v>39520.476061234403</v>
      </c>
      <c r="I1018" s="13">
        <f t="shared" si="257"/>
        <v>0</v>
      </c>
      <c r="J1018" s="51">
        <f t="shared" si="247"/>
        <v>39520.476061234403</v>
      </c>
    </row>
    <row r="1019" spans="1:10" x14ac:dyDescent="0.25">
      <c r="A1019" s="4" t="s">
        <v>74</v>
      </c>
      <c r="B1019" s="5" t="s">
        <v>254</v>
      </c>
      <c r="C1019" s="5" t="s">
        <v>212</v>
      </c>
      <c r="D1019" s="5">
        <v>46</v>
      </c>
      <c r="E1019" s="11">
        <v>66976</v>
      </c>
      <c r="F1019" s="11">
        <v>0</v>
      </c>
      <c r="G1019" s="27">
        <f t="shared" si="255"/>
        <v>220.26380368098165</v>
      </c>
      <c r="H1019" s="13">
        <f t="shared" si="256"/>
        <v>909595.67171039013</v>
      </c>
      <c r="I1019" s="13">
        <f t="shared" si="257"/>
        <v>0</v>
      </c>
      <c r="J1019" s="51">
        <f t="shared" si="247"/>
        <v>909595.67171039013</v>
      </c>
    </row>
    <row r="1020" spans="1:10" x14ac:dyDescent="0.25">
      <c r="A1020" s="4" t="s">
        <v>74</v>
      </c>
      <c r="B1020" s="5" t="s">
        <v>255</v>
      </c>
      <c r="C1020" s="5" t="s">
        <v>210</v>
      </c>
      <c r="D1020" s="5">
        <v>1</v>
      </c>
      <c r="E1020" s="11">
        <v>970</v>
      </c>
      <c r="F1020" s="11">
        <v>0</v>
      </c>
      <c r="G1020" s="27">
        <f t="shared" si="255"/>
        <v>4.78834355828221</v>
      </c>
      <c r="H1020" s="13">
        <f t="shared" si="256"/>
        <v>13173.492020411468</v>
      </c>
      <c r="I1020" s="13">
        <f t="shared" si="257"/>
        <v>0</v>
      </c>
      <c r="J1020" s="51">
        <f t="shared" si="247"/>
        <v>13173.492020411468</v>
      </c>
    </row>
    <row r="1021" spans="1:10" x14ac:dyDescent="0.25">
      <c r="A1021" s="15" t="s">
        <v>74</v>
      </c>
      <c r="B1021" s="16" t="s">
        <v>256</v>
      </c>
      <c r="C1021" s="16" t="s">
        <v>212</v>
      </c>
      <c r="D1021" s="16">
        <v>18</v>
      </c>
      <c r="E1021" s="18">
        <v>26208</v>
      </c>
      <c r="F1021" s="18">
        <v>0</v>
      </c>
      <c r="G1021" s="27">
        <f t="shared" si="255"/>
        <v>86.190184049079775</v>
      </c>
      <c r="H1021" s="13">
        <f t="shared" si="256"/>
        <v>355928.74110406573</v>
      </c>
      <c r="I1021" s="13">
        <f t="shared" si="257"/>
        <v>0</v>
      </c>
      <c r="J1021" s="51">
        <f t="shared" ref="J1021" si="258">SUM(H1021:I1021)</f>
        <v>355928.74110406573</v>
      </c>
    </row>
    <row r="1022" spans="1:10" s="3" customFormat="1" x14ac:dyDescent="0.25">
      <c r="A1022" s="4"/>
      <c r="B1022" s="20" t="s">
        <v>314</v>
      </c>
      <c r="C1022" s="21"/>
      <c r="D1022" s="21"/>
      <c r="E1022" s="29"/>
      <c r="F1022" s="29"/>
      <c r="G1022" s="47">
        <f>SUM(G987:G1021)</f>
        <v>3122.0000000000005</v>
      </c>
      <c r="H1022" s="47">
        <f t="shared" ref="H1022:J1022" si="259">SUM(H987:H1021)</f>
        <v>54192025</v>
      </c>
      <c r="I1022" s="47">
        <f t="shared" si="259"/>
        <v>5807975</v>
      </c>
      <c r="J1022" s="47">
        <f t="shared" si="259"/>
        <v>59999999.999999993</v>
      </c>
    </row>
    <row r="1023" spans="1:10" x14ac:dyDescent="0.25">
      <c r="A1023" s="23" t="s">
        <v>75</v>
      </c>
      <c r="B1023" s="24" t="s">
        <v>209</v>
      </c>
      <c r="C1023" s="24" t="s">
        <v>210</v>
      </c>
      <c r="D1023" s="24">
        <v>2</v>
      </c>
      <c r="E1023" s="30">
        <v>970</v>
      </c>
      <c r="F1023" s="30">
        <v>0</v>
      </c>
      <c r="G1023" s="27">
        <f>+D1023*4.83333333333333</f>
        <v>9.6666666666666607</v>
      </c>
      <c r="H1023" s="13">
        <f>+E1023*880903/11975</f>
        <v>71354.98204592902</v>
      </c>
      <c r="I1023" s="13">
        <f>+F1023*619097/8416</f>
        <v>0</v>
      </c>
      <c r="J1023" s="51">
        <f t="shared" ref="J1023:J1089" si="260">SUM(H1023:I1023)</f>
        <v>71354.98204592902</v>
      </c>
    </row>
    <row r="1024" spans="1:10" x14ac:dyDescent="0.25">
      <c r="A1024" s="4" t="s">
        <v>75</v>
      </c>
      <c r="B1024" s="5" t="s">
        <v>214</v>
      </c>
      <c r="C1024" s="5" t="s">
        <v>210</v>
      </c>
      <c r="D1024" s="5">
        <v>1</v>
      </c>
      <c r="E1024" s="11">
        <v>485</v>
      </c>
      <c r="F1024" s="11">
        <v>0</v>
      </c>
      <c r="G1024" s="27">
        <f t="shared" ref="G1024:G1027" si="261">+D1024*4.83333333333333</f>
        <v>4.8333333333333304</v>
      </c>
      <c r="H1024" s="13">
        <f t="shared" ref="H1024:H1027" si="262">+E1024*880903/11975</f>
        <v>35677.49102296451</v>
      </c>
      <c r="I1024" s="13">
        <f t="shared" ref="I1024:I1027" si="263">+F1024*619097/8416</f>
        <v>0</v>
      </c>
      <c r="J1024" s="51">
        <f t="shared" si="260"/>
        <v>35677.49102296451</v>
      </c>
    </row>
    <row r="1025" spans="1:10" x14ac:dyDescent="0.25">
      <c r="A1025" s="4" t="s">
        <v>75</v>
      </c>
      <c r="B1025" s="5" t="s">
        <v>217</v>
      </c>
      <c r="C1025" s="5" t="s">
        <v>218</v>
      </c>
      <c r="D1025" s="5">
        <v>1</v>
      </c>
      <c r="E1025" s="11">
        <v>1656</v>
      </c>
      <c r="F1025" s="11">
        <v>1325</v>
      </c>
      <c r="G1025" s="27">
        <f t="shared" si="261"/>
        <v>4.8333333333333304</v>
      </c>
      <c r="H1025" s="13">
        <f t="shared" si="262"/>
        <v>121818.4023382046</v>
      </c>
      <c r="I1025" s="13">
        <f t="shared" si="263"/>
        <v>97469.525308935365</v>
      </c>
      <c r="J1025" s="51">
        <f t="shared" si="260"/>
        <v>219287.92764713996</v>
      </c>
    </row>
    <row r="1026" spans="1:10" x14ac:dyDescent="0.25">
      <c r="A1026" s="4" t="s">
        <v>75</v>
      </c>
      <c r="B1026" s="5" t="s">
        <v>248</v>
      </c>
      <c r="C1026" s="5" t="s">
        <v>246</v>
      </c>
      <c r="D1026" s="5">
        <v>1</v>
      </c>
      <c r="E1026" s="11">
        <v>1281</v>
      </c>
      <c r="F1026" s="11">
        <v>1025</v>
      </c>
      <c r="G1026" s="27">
        <f t="shared" si="261"/>
        <v>4.8333333333333304</v>
      </c>
      <c r="H1026" s="13">
        <f t="shared" si="262"/>
        <v>94232.71340292276</v>
      </c>
      <c r="I1026" s="13">
        <f t="shared" si="263"/>
        <v>75400.953540874529</v>
      </c>
      <c r="J1026" s="51">
        <f t="shared" si="260"/>
        <v>169633.66694379729</v>
      </c>
    </row>
    <row r="1027" spans="1:10" x14ac:dyDescent="0.25">
      <c r="A1027" s="15" t="s">
        <v>75</v>
      </c>
      <c r="B1027" s="16" t="s">
        <v>249</v>
      </c>
      <c r="C1027" s="16" t="s">
        <v>250</v>
      </c>
      <c r="D1027" s="16">
        <v>1</v>
      </c>
      <c r="E1027" s="18">
        <v>7583</v>
      </c>
      <c r="F1027" s="18">
        <v>6066</v>
      </c>
      <c r="G1027" s="27">
        <f t="shared" si="261"/>
        <v>4.8333333333333304</v>
      </c>
      <c r="H1027" s="13">
        <f t="shared" si="262"/>
        <v>557819.41118997918</v>
      </c>
      <c r="I1027" s="13">
        <f t="shared" si="263"/>
        <v>446226.52115019009</v>
      </c>
      <c r="J1027" s="51">
        <f t="shared" si="260"/>
        <v>1004045.9323401693</v>
      </c>
    </row>
    <row r="1028" spans="1:10" s="3" customFormat="1" x14ac:dyDescent="0.25">
      <c r="A1028" s="15"/>
      <c r="B1028" s="20" t="s">
        <v>315</v>
      </c>
      <c r="C1028" s="20"/>
      <c r="D1028" s="20"/>
      <c r="E1028" s="40"/>
      <c r="F1028" s="40"/>
      <c r="G1028" s="47">
        <f>SUM(G1023:G1027)</f>
        <v>28.999999999999979</v>
      </c>
      <c r="H1028" s="47">
        <f t="shared" ref="H1028:J1028" si="264">SUM(H1023:H1027)</f>
        <v>880903.00000000012</v>
      </c>
      <c r="I1028" s="47">
        <f t="shared" si="264"/>
        <v>619097</v>
      </c>
      <c r="J1028" s="47">
        <f t="shared" si="264"/>
        <v>1500000</v>
      </c>
    </row>
    <row r="1029" spans="1:10" x14ac:dyDescent="0.25">
      <c r="A1029" s="36" t="s">
        <v>76</v>
      </c>
      <c r="B1029" s="34" t="s">
        <v>217</v>
      </c>
      <c r="C1029" s="34" t="s">
        <v>218</v>
      </c>
      <c r="D1029" s="34">
        <v>1</v>
      </c>
      <c r="E1029" s="39">
        <v>3313</v>
      </c>
      <c r="F1029" s="39">
        <v>1325</v>
      </c>
      <c r="G1029" s="27">
        <f>+D1029*5</f>
        <v>5</v>
      </c>
      <c r="H1029" s="13">
        <f>+E1029*2500108/3313</f>
        <v>2500108</v>
      </c>
      <c r="I1029" s="13">
        <f>+F1029*999892/1325</f>
        <v>999892</v>
      </c>
      <c r="J1029" s="51">
        <f t="shared" si="260"/>
        <v>3500000</v>
      </c>
    </row>
    <row r="1030" spans="1:10" s="3" customFormat="1" x14ac:dyDescent="0.25">
      <c r="A1030" s="23"/>
      <c r="B1030" s="1" t="s">
        <v>316</v>
      </c>
      <c r="C1030" s="37"/>
      <c r="D1030" s="37"/>
      <c r="E1030" s="38"/>
      <c r="F1030" s="38"/>
      <c r="G1030" s="47">
        <f>SUM(G1029)</f>
        <v>5</v>
      </c>
      <c r="H1030" s="47">
        <f t="shared" ref="H1030:J1030" si="265">SUM(H1029)</f>
        <v>2500108</v>
      </c>
      <c r="I1030" s="47">
        <f t="shared" si="265"/>
        <v>999892</v>
      </c>
      <c r="J1030" s="47">
        <f t="shared" si="265"/>
        <v>3500000</v>
      </c>
    </row>
    <row r="1031" spans="1:10" x14ac:dyDescent="0.25">
      <c r="A1031" s="23" t="s">
        <v>77</v>
      </c>
      <c r="B1031" s="24" t="s">
        <v>214</v>
      </c>
      <c r="C1031" s="24" t="s">
        <v>210</v>
      </c>
      <c r="D1031" s="24">
        <v>1</v>
      </c>
      <c r="E1031" s="30">
        <v>485</v>
      </c>
      <c r="F1031" s="30">
        <v>0</v>
      </c>
      <c r="G1031" s="27">
        <f>+D1031*4.85714285714286</f>
        <v>4.8571428571428603</v>
      </c>
      <c r="H1031" s="13">
        <f>+E1031*994515/7978</f>
        <v>60458.733391827525</v>
      </c>
      <c r="I1031" s="13">
        <f>+F1031*505485/4055</f>
        <v>0</v>
      </c>
      <c r="J1031" s="51">
        <f t="shared" si="260"/>
        <v>60458.733391827525</v>
      </c>
    </row>
    <row r="1032" spans="1:10" x14ac:dyDescent="0.25">
      <c r="A1032" s="4" t="s">
        <v>77</v>
      </c>
      <c r="B1032" s="5" t="s">
        <v>216</v>
      </c>
      <c r="C1032" s="5" t="s">
        <v>210</v>
      </c>
      <c r="D1032" s="5">
        <v>2</v>
      </c>
      <c r="E1032" s="11">
        <v>970</v>
      </c>
      <c r="F1032" s="11">
        <v>0</v>
      </c>
      <c r="G1032" s="27">
        <f t="shared" ref="G1032:G1036" si="266">+D1032*4.85714285714286</f>
        <v>9.7142857142857206</v>
      </c>
      <c r="H1032" s="13">
        <f t="shared" ref="H1032:H1036" si="267">+E1032*994515/7978</f>
        <v>120917.46678365505</v>
      </c>
      <c r="I1032" s="13">
        <f t="shared" ref="I1032:I1036" si="268">+F1032*505485/4055</f>
        <v>0</v>
      </c>
      <c r="J1032" s="51">
        <f t="shared" si="260"/>
        <v>120917.46678365505</v>
      </c>
    </row>
    <row r="1033" spans="1:10" x14ac:dyDescent="0.25">
      <c r="A1033" s="4" t="s">
        <v>77</v>
      </c>
      <c r="B1033" s="5" t="s">
        <v>217</v>
      </c>
      <c r="C1033" s="5" t="s">
        <v>218</v>
      </c>
      <c r="D1033" s="5">
        <v>1</v>
      </c>
      <c r="E1033" s="11">
        <v>1656</v>
      </c>
      <c r="F1033" s="11">
        <v>1325</v>
      </c>
      <c r="G1033" s="27">
        <f t="shared" si="266"/>
        <v>4.8571428571428603</v>
      </c>
      <c r="H1033" s="13">
        <f t="shared" si="267"/>
        <v>206432.29380797193</v>
      </c>
      <c r="I1033" s="13">
        <f t="shared" si="268"/>
        <v>165170.80764488285</v>
      </c>
      <c r="J1033" s="51">
        <f t="shared" si="260"/>
        <v>371603.10145285481</v>
      </c>
    </row>
    <row r="1034" spans="1:10" x14ac:dyDescent="0.25">
      <c r="A1034" s="4" t="s">
        <v>77</v>
      </c>
      <c r="B1034" s="5" t="s">
        <v>230</v>
      </c>
      <c r="C1034" s="5" t="s">
        <v>229</v>
      </c>
      <c r="D1034" s="5">
        <v>1</v>
      </c>
      <c r="E1034" s="11">
        <v>970</v>
      </c>
      <c r="F1034" s="11">
        <v>0</v>
      </c>
      <c r="G1034" s="27">
        <f t="shared" si="266"/>
        <v>4.8571428571428603</v>
      </c>
      <c r="H1034" s="13">
        <f t="shared" si="267"/>
        <v>120917.46678365505</v>
      </c>
      <c r="I1034" s="13">
        <f t="shared" si="268"/>
        <v>0</v>
      </c>
      <c r="J1034" s="51">
        <f t="shared" si="260"/>
        <v>120917.46678365505</v>
      </c>
    </row>
    <row r="1035" spans="1:10" x14ac:dyDescent="0.25">
      <c r="A1035" s="4" t="s">
        <v>77</v>
      </c>
      <c r="B1035" s="5" t="s">
        <v>241</v>
      </c>
      <c r="C1035" s="5" t="s">
        <v>236</v>
      </c>
      <c r="D1035" s="5">
        <v>1</v>
      </c>
      <c r="E1035" s="11">
        <v>3412</v>
      </c>
      <c r="F1035" s="11">
        <v>2730</v>
      </c>
      <c r="G1035" s="27">
        <f t="shared" si="266"/>
        <v>4.8571428571428603</v>
      </c>
      <c r="H1035" s="13">
        <f t="shared" si="267"/>
        <v>425330.30584106292</v>
      </c>
      <c r="I1035" s="13">
        <f t="shared" si="268"/>
        <v>340314.19235511712</v>
      </c>
      <c r="J1035" s="51">
        <f t="shared" si="260"/>
        <v>765644.49819617998</v>
      </c>
    </row>
    <row r="1036" spans="1:10" x14ac:dyDescent="0.25">
      <c r="A1036" s="15" t="s">
        <v>77</v>
      </c>
      <c r="B1036" s="16" t="s">
        <v>257</v>
      </c>
      <c r="C1036" s="16" t="s">
        <v>210</v>
      </c>
      <c r="D1036" s="16">
        <v>1</v>
      </c>
      <c r="E1036" s="18">
        <v>485</v>
      </c>
      <c r="F1036" s="18">
        <v>0</v>
      </c>
      <c r="G1036" s="27">
        <f t="shared" si="266"/>
        <v>4.8571428571428603</v>
      </c>
      <c r="H1036" s="13">
        <f t="shared" si="267"/>
        <v>60458.733391827525</v>
      </c>
      <c r="I1036" s="13">
        <f t="shared" si="268"/>
        <v>0</v>
      </c>
      <c r="J1036" s="51">
        <f t="shared" si="260"/>
        <v>60458.733391827525</v>
      </c>
    </row>
    <row r="1037" spans="1:10" s="3" customFormat="1" x14ac:dyDescent="0.25">
      <c r="A1037" s="4"/>
      <c r="B1037" s="20" t="s">
        <v>317</v>
      </c>
      <c r="C1037" s="21"/>
      <c r="D1037" s="21"/>
      <c r="E1037" s="29"/>
      <c r="F1037" s="29"/>
      <c r="G1037" s="47">
        <f>SUM(G1031:G1036)</f>
        <v>34.000000000000021</v>
      </c>
      <c r="H1037" s="47">
        <f t="shared" ref="H1037:J1037" si="269">SUM(H1031:H1036)</f>
        <v>994515.00000000012</v>
      </c>
      <c r="I1037" s="47">
        <f t="shared" si="269"/>
        <v>505485</v>
      </c>
      <c r="J1037" s="47">
        <f t="shared" si="269"/>
        <v>1499999.9999999998</v>
      </c>
    </row>
    <row r="1038" spans="1:10" x14ac:dyDescent="0.25">
      <c r="A1038" s="23" t="s">
        <v>78</v>
      </c>
      <c r="B1038" s="24" t="s">
        <v>209</v>
      </c>
      <c r="C1038" s="24" t="s">
        <v>210</v>
      </c>
      <c r="D1038" s="24">
        <v>1</v>
      </c>
      <c r="E1038" s="30">
        <v>970</v>
      </c>
      <c r="F1038" s="30">
        <v>0</v>
      </c>
      <c r="G1038" s="27">
        <f>+D1038*4.8</f>
        <v>4.8</v>
      </c>
      <c r="H1038" s="13">
        <f>+E1038*1416717/185758</f>
        <v>7397.8805219694441</v>
      </c>
      <c r="I1038" s="13">
        <f>+F1038*83283/10920</f>
        <v>0</v>
      </c>
      <c r="J1038" s="51">
        <f t="shared" si="260"/>
        <v>7397.8805219694441</v>
      </c>
    </row>
    <row r="1039" spans="1:10" x14ac:dyDescent="0.25">
      <c r="A1039" s="4" t="s">
        <v>78</v>
      </c>
      <c r="B1039" s="5" t="s">
        <v>214</v>
      </c>
      <c r="C1039" s="5" t="s">
        <v>210</v>
      </c>
      <c r="D1039" s="5">
        <v>1</v>
      </c>
      <c r="E1039" s="11">
        <v>970</v>
      </c>
      <c r="F1039" s="11">
        <v>0</v>
      </c>
      <c r="G1039" s="27">
        <f t="shared" ref="G1039:G1044" si="270">+D1039*4.8</f>
        <v>4.8</v>
      </c>
      <c r="H1039" s="13">
        <f t="shared" ref="H1039:H1044" si="271">+E1039*1416717/185758</f>
        <v>7397.8805219694441</v>
      </c>
      <c r="I1039" s="13">
        <f t="shared" ref="I1039:I1044" si="272">+F1039*83283/10920</f>
        <v>0</v>
      </c>
      <c r="J1039" s="51">
        <f t="shared" si="260"/>
        <v>7397.8805219694441</v>
      </c>
    </row>
    <row r="1040" spans="1:10" x14ac:dyDescent="0.25">
      <c r="A1040" s="4" t="s">
        <v>78</v>
      </c>
      <c r="B1040" s="5" t="s">
        <v>226</v>
      </c>
      <c r="C1040" s="5" t="s">
        <v>210</v>
      </c>
      <c r="D1040" s="5">
        <v>1</v>
      </c>
      <c r="E1040" s="11">
        <v>970</v>
      </c>
      <c r="F1040" s="11">
        <v>0</v>
      </c>
      <c r="G1040" s="27">
        <f t="shared" si="270"/>
        <v>4.8</v>
      </c>
      <c r="H1040" s="13">
        <f t="shared" si="271"/>
        <v>7397.8805219694441</v>
      </c>
      <c r="I1040" s="13">
        <f t="shared" si="272"/>
        <v>0</v>
      </c>
      <c r="J1040" s="51">
        <f t="shared" si="260"/>
        <v>7397.8805219694441</v>
      </c>
    </row>
    <row r="1041" spans="1:10" x14ac:dyDescent="0.25">
      <c r="A1041" s="4" t="s">
        <v>78</v>
      </c>
      <c r="B1041" s="5" t="s">
        <v>228</v>
      </c>
      <c r="C1041" s="5" t="s">
        <v>229</v>
      </c>
      <c r="D1041" s="5">
        <v>1</v>
      </c>
      <c r="E1041" s="11">
        <v>1941</v>
      </c>
      <c r="F1041" s="11">
        <v>0</v>
      </c>
      <c r="G1041" s="27">
        <f t="shared" si="270"/>
        <v>4.8</v>
      </c>
      <c r="H1041" s="13">
        <f t="shared" si="271"/>
        <v>14803.387724889371</v>
      </c>
      <c r="I1041" s="13">
        <f t="shared" si="272"/>
        <v>0</v>
      </c>
      <c r="J1041" s="51">
        <f t="shared" si="260"/>
        <v>14803.387724889371</v>
      </c>
    </row>
    <row r="1042" spans="1:10" x14ac:dyDescent="0.25">
      <c r="A1042" s="4" t="s">
        <v>78</v>
      </c>
      <c r="B1042" s="5" t="s">
        <v>230</v>
      </c>
      <c r="C1042" s="5" t="s">
        <v>229</v>
      </c>
      <c r="D1042" s="5">
        <v>1</v>
      </c>
      <c r="E1042" s="11">
        <v>1941</v>
      </c>
      <c r="F1042" s="11">
        <v>0</v>
      </c>
      <c r="G1042" s="27">
        <f t="shared" si="270"/>
        <v>4.8</v>
      </c>
      <c r="H1042" s="13">
        <f t="shared" si="271"/>
        <v>14803.387724889371</v>
      </c>
      <c r="I1042" s="13">
        <f t="shared" si="272"/>
        <v>0</v>
      </c>
      <c r="J1042" s="51">
        <f t="shared" si="260"/>
        <v>14803.387724889371</v>
      </c>
    </row>
    <row r="1043" spans="1:10" x14ac:dyDescent="0.25">
      <c r="A1043" s="4" t="s">
        <v>78</v>
      </c>
      <c r="B1043" s="5" t="s">
        <v>262</v>
      </c>
      <c r="C1043" s="5" t="s">
        <v>263</v>
      </c>
      <c r="D1043" s="5">
        <v>1</v>
      </c>
      <c r="E1043" s="11">
        <v>151666</v>
      </c>
      <c r="F1043" s="11">
        <v>0</v>
      </c>
      <c r="G1043" s="27">
        <f t="shared" si="270"/>
        <v>4.8</v>
      </c>
      <c r="H1043" s="13">
        <f t="shared" si="271"/>
        <v>1156708.1930361008</v>
      </c>
      <c r="I1043" s="13">
        <f t="shared" si="272"/>
        <v>0</v>
      </c>
      <c r="J1043" s="51">
        <f t="shared" si="260"/>
        <v>1156708.1930361008</v>
      </c>
    </row>
    <row r="1044" spans="1:10" x14ac:dyDescent="0.25">
      <c r="A1044" s="15" t="s">
        <v>78</v>
      </c>
      <c r="B1044" s="16" t="s">
        <v>241</v>
      </c>
      <c r="C1044" s="16" t="s">
        <v>236</v>
      </c>
      <c r="D1044" s="16">
        <v>4</v>
      </c>
      <c r="E1044" s="18">
        <v>27300</v>
      </c>
      <c r="F1044" s="18">
        <v>10920</v>
      </c>
      <c r="G1044" s="27">
        <f t="shared" si="270"/>
        <v>19.2</v>
      </c>
      <c r="H1044" s="13">
        <f t="shared" si="271"/>
        <v>208208.38994821219</v>
      </c>
      <c r="I1044" s="13">
        <f t="shared" si="272"/>
        <v>83283</v>
      </c>
      <c r="J1044" s="51">
        <f t="shared" si="260"/>
        <v>291491.38994821219</v>
      </c>
    </row>
    <row r="1045" spans="1:10" s="3" customFormat="1" x14ac:dyDescent="0.25">
      <c r="A1045" s="4"/>
      <c r="B1045" s="20" t="s">
        <v>318</v>
      </c>
      <c r="C1045" s="21"/>
      <c r="D1045" s="21"/>
      <c r="E1045" s="29"/>
      <c r="F1045" s="29"/>
      <c r="G1045" s="47">
        <f>SUM(G1038:G1044)</f>
        <v>48</v>
      </c>
      <c r="H1045" s="47">
        <f t="shared" ref="H1045:J1045" si="273">SUM(H1038:H1044)</f>
        <v>1416717</v>
      </c>
      <c r="I1045" s="47">
        <f t="shared" si="273"/>
        <v>83283</v>
      </c>
      <c r="J1045" s="47">
        <f t="shared" si="273"/>
        <v>1500000</v>
      </c>
    </row>
    <row r="1046" spans="1:10" x14ac:dyDescent="0.25">
      <c r="A1046" s="23" t="s">
        <v>79</v>
      </c>
      <c r="B1046" s="24" t="s">
        <v>214</v>
      </c>
      <c r="C1046" s="24" t="s">
        <v>210</v>
      </c>
      <c r="D1046" s="24">
        <v>5</v>
      </c>
      <c r="E1046" s="30">
        <v>4850</v>
      </c>
      <c r="F1046" s="30">
        <v>0</v>
      </c>
      <c r="G1046" s="27">
        <f>+D1046*4.75</f>
        <v>23.75</v>
      </c>
      <c r="H1046" s="13">
        <f>+E1046*2653332/38374</f>
        <v>335348.41819982277</v>
      </c>
      <c r="I1046" s="13">
        <f>+F1046*846668/12245</f>
        <v>0</v>
      </c>
      <c r="J1046" s="51">
        <f t="shared" si="260"/>
        <v>335348.41819982277</v>
      </c>
    </row>
    <row r="1047" spans="1:10" x14ac:dyDescent="0.25">
      <c r="A1047" s="4" t="s">
        <v>79</v>
      </c>
      <c r="B1047" s="5" t="s">
        <v>217</v>
      </c>
      <c r="C1047" s="5" t="s">
        <v>218</v>
      </c>
      <c r="D1047" s="5">
        <v>1</v>
      </c>
      <c r="E1047" s="11">
        <v>3313</v>
      </c>
      <c r="F1047" s="11">
        <v>1325</v>
      </c>
      <c r="G1047" s="27">
        <f t="shared" ref="G1047:G1051" si="274">+D1047*4.75</f>
        <v>4.75</v>
      </c>
      <c r="H1047" s="13">
        <f t="shared" ref="H1047:H1051" si="275">+E1047*2653332/38374</f>
        <v>229074.08443216761</v>
      </c>
      <c r="I1047" s="13">
        <f t="shared" ref="I1047:I1051" si="276">+F1047*846668/12245</f>
        <v>91615.769701919155</v>
      </c>
      <c r="J1047" s="51">
        <f t="shared" si="260"/>
        <v>320689.85413408675</v>
      </c>
    </row>
    <row r="1048" spans="1:10" x14ac:dyDescent="0.25">
      <c r="A1048" s="4" t="s">
        <v>79</v>
      </c>
      <c r="B1048" s="5" t="s">
        <v>228</v>
      </c>
      <c r="C1048" s="5" t="s">
        <v>229</v>
      </c>
      <c r="D1048" s="5">
        <v>1</v>
      </c>
      <c r="E1048" s="11">
        <v>1941</v>
      </c>
      <c r="F1048" s="11">
        <v>0</v>
      </c>
      <c r="G1048" s="27">
        <f t="shared" si="274"/>
        <v>4.75</v>
      </c>
      <c r="H1048" s="13">
        <f t="shared" si="275"/>
        <v>134208.51128368167</v>
      </c>
      <c r="I1048" s="13">
        <f t="shared" si="276"/>
        <v>0</v>
      </c>
      <c r="J1048" s="51">
        <f t="shared" si="260"/>
        <v>134208.51128368167</v>
      </c>
    </row>
    <row r="1049" spans="1:10" x14ac:dyDescent="0.25">
      <c r="A1049" s="4" t="s">
        <v>79</v>
      </c>
      <c r="B1049" s="5" t="s">
        <v>239</v>
      </c>
      <c r="C1049" s="5" t="s">
        <v>236</v>
      </c>
      <c r="D1049" s="5">
        <v>1</v>
      </c>
      <c r="E1049" s="11">
        <v>6825</v>
      </c>
      <c r="F1049" s="11">
        <v>2730</v>
      </c>
      <c r="G1049" s="27">
        <f t="shared" si="274"/>
        <v>4.75</v>
      </c>
      <c r="H1049" s="13">
        <f t="shared" si="275"/>
        <v>471907.82561109087</v>
      </c>
      <c r="I1049" s="13">
        <f t="shared" si="276"/>
        <v>188763.05757452021</v>
      </c>
      <c r="J1049" s="51">
        <f t="shared" si="260"/>
        <v>660670.88318561111</v>
      </c>
    </row>
    <row r="1050" spans="1:10" x14ac:dyDescent="0.25">
      <c r="A1050" s="4" t="s">
        <v>79</v>
      </c>
      <c r="B1050" s="5" t="s">
        <v>241</v>
      </c>
      <c r="C1050" s="5" t="s">
        <v>236</v>
      </c>
      <c r="D1050" s="5">
        <v>3</v>
      </c>
      <c r="E1050" s="11">
        <v>20475</v>
      </c>
      <c r="F1050" s="11">
        <v>8190</v>
      </c>
      <c r="G1050" s="27">
        <f t="shared" si="274"/>
        <v>14.25</v>
      </c>
      <c r="H1050" s="13">
        <f t="shared" si="275"/>
        <v>1415723.4768332725</v>
      </c>
      <c r="I1050" s="13">
        <f t="shared" si="276"/>
        <v>566289.17272356059</v>
      </c>
      <c r="J1050" s="51">
        <f t="shared" si="260"/>
        <v>1982012.6495568331</v>
      </c>
    </row>
    <row r="1051" spans="1:10" x14ac:dyDescent="0.25">
      <c r="A1051" s="15" t="s">
        <v>79</v>
      </c>
      <c r="B1051" s="16" t="s">
        <v>253</v>
      </c>
      <c r="C1051" s="16" t="s">
        <v>210</v>
      </c>
      <c r="D1051" s="16">
        <v>1</v>
      </c>
      <c r="E1051" s="18">
        <v>970</v>
      </c>
      <c r="F1051" s="18">
        <v>0</v>
      </c>
      <c r="G1051" s="27">
        <f t="shared" si="274"/>
        <v>4.75</v>
      </c>
      <c r="H1051" s="13">
        <f t="shared" si="275"/>
        <v>67069.683639964554</v>
      </c>
      <c r="I1051" s="13">
        <f t="shared" si="276"/>
        <v>0</v>
      </c>
      <c r="J1051" s="51">
        <f t="shared" si="260"/>
        <v>67069.683639964554</v>
      </c>
    </row>
    <row r="1052" spans="1:10" s="3" customFormat="1" x14ac:dyDescent="0.25">
      <c r="A1052" s="4"/>
      <c r="B1052" s="20" t="s">
        <v>319</v>
      </c>
      <c r="C1052" s="21"/>
      <c r="D1052" s="21"/>
      <c r="E1052" s="29"/>
      <c r="F1052" s="29"/>
      <c r="G1052" s="47">
        <f>SUM(G1046:G1051)</f>
        <v>57</v>
      </c>
      <c r="H1052" s="47">
        <f t="shared" ref="H1052:J1052" si="277">SUM(H1046:H1051)</f>
        <v>2653331.9999999995</v>
      </c>
      <c r="I1052" s="47">
        <f t="shared" si="277"/>
        <v>846668</v>
      </c>
      <c r="J1052" s="47">
        <f t="shared" si="277"/>
        <v>3500000</v>
      </c>
    </row>
    <row r="1053" spans="1:10" s="3" customFormat="1" x14ac:dyDescent="0.25">
      <c r="A1053" s="34" t="s">
        <v>80</v>
      </c>
      <c r="B1053" s="5" t="s">
        <v>214</v>
      </c>
      <c r="C1053" s="5" t="s">
        <v>210</v>
      </c>
      <c r="D1053" s="21"/>
      <c r="E1053" s="29"/>
      <c r="F1053" s="29"/>
      <c r="G1053" s="48">
        <v>4</v>
      </c>
      <c r="H1053" s="35">
        <v>1500000</v>
      </c>
      <c r="I1053" s="35">
        <v>500000</v>
      </c>
      <c r="J1053" s="51">
        <f t="shared" si="260"/>
        <v>2000000</v>
      </c>
    </row>
    <row r="1054" spans="1:10" s="3" customFormat="1" x14ac:dyDescent="0.25">
      <c r="A1054" s="24" t="s">
        <v>80</v>
      </c>
      <c r="B1054" s="21"/>
      <c r="C1054" s="21"/>
      <c r="D1054" s="21"/>
      <c r="E1054" s="29"/>
      <c r="F1054" s="29"/>
      <c r="G1054" s="48"/>
      <c r="H1054" s="48"/>
      <c r="I1054" s="48"/>
      <c r="J1054" s="51">
        <f t="shared" si="260"/>
        <v>0</v>
      </c>
    </row>
    <row r="1055" spans="1:10" s="3" customFormat="1" x14ac:dyDescent="0.25">
      <c r="A1055" s="36"/>
      <c r="B1055" s="1" t="s">
        <v>467</v>
      </c>
      <c r="C1055" s="1"/>
      <c r="D1055" s="1"/>
      <c r="E1055" s="2"/>
      <c r="F1055" s="2"/>
      <c r="G1055" s="47">
        <f>SUM(G1053:G1054)</f>
        <v>4</v>
      </c>
      <c r="H1055" s="47">
        <f>SUM(H1053:H1054)</f>
        <v>1500000</v>
      </c>
      <c r="I1055" s="47">
        <f>SUM(I1053:I1054)</f>
        <v>500000</v>
      </c>
      <c r="J1055" s="47">
        <f>SUM(J1053:J1054)</f>
        <v>2000000</v>
      </c>
    </row>
    <row r="1056" spans="1:10" x14ac:dyDescent="0.25">
      <c r="A1056" s="4" t="s">
        <v>81</v>
      </c>
      <c r="B1056" s="5" t="s">
        <v>214</v>
      </c>
      <c r="C1056" s="5" t="s">
        <v>210</v>
      </c>
      <c r="D1056" s="5">
        <v>2</v>
      </c>
      <c r="E1056" s="11">
        <v>1940</v>
      </c>
      <c r="F1056" s="11">
        <v>0</v>
      </c>
      <c r="G1056" s="27">
        <f>+D1056*4.77777777777778</f>
        <v>9.5555555555555607</v>
      </c>
      <c r="H1056" s="13">
        <f>+E1056*3500000/157486</f>
        <v>43114.943550537828</v>
      </c>
      <c r="I1056" s="13">
        <v>0</v>
      </c>
      <c r="J1056" s="51">
        <f t="shared" si="260"/>
        <v>43114.943550537828</v>
      </c>
    </row>
    <row r="1057" spans="1:10" x14ac:dyDescent="0.25">
      <c r="A1057" s="4" t="s">
        <v>81</v>
      </c>
      <c r="B1057" s="5" t="s">
        <v>223</v>
      </c>
      <c r="C1057" s="5" t="s">
        <v>224</v>
      </c>
      <c r="D1057" s="5">
        <v>2</v>
      </c>
      <c r="E1057" s="11">
        <v>0</v>
      </c>
      <c r="F1057" s="11">
        <v>0</v>
      </c>
      <c r="G1057" s="27">
        <f t="shared" ref="G1057:G1059" si="278">+D1057*4.77777777777778</f>
        <v>9.5555555555555607</v>
      </c>
      <c r="H1057" s="13">
        <f t="shared" ref="H1057:H1059" si="279">+E1057*3500000/157486</f>
        <v>0</v>
      </c>
      <c r="I1057" s="13">
        <v>0</v>
      </c>
      <c r="J1057" s="51">
        <f t="shared" si="260"/>
        <v>0</v>
      </c>
    </row>
    <row r="1058" spans="1:10" x14ac:dyDescent="0.25">
      <c r="A1058" s="4" t="s">
        <v>81</v>
      </c>
      <c r="B1058" s="5" t="s">
        <v>262</v>
      </c>
      <c r="C1058" s="5" t="s">
        <v>263</v>
      </c>
      <c r="D1058" s="5">
        <v>1</v>
      </c>
      <c r="E1058" s="11">
        <v>151666</v>
      </c>
      <c r="F1058" s="11">
        <v>0</v>
      </c>
      <c r="G1058" s="27">
        <f t="shared" si="278"/>
        <v>4.7777777777777803</v>
      </c>
      <c r="H1058" s="13">
        <f t="shared" si="279"/>
        <v>3370655.1693483866</v>
      </c>
      <c r="I1058" s="13">
        <v>0</v>
      </c>
      <c r="J1058" s="51">
        <f t="shared" si="260"/>
        <v>3370655.1693483866</v>
      </c>
    </row>
    <row r="1059" spans="1:10" x14ac:dyDescent="0.25">
      <c r="A1059" s="15" t="s">
        <v>81</v>
      </c>
      <c r="B1059" s="16" t="s">
        <v>257</v>
      </c>
      <c r="C1059" s="16" t="s">
        <v>210</v>
      </c>
      <c r="D1059" s="16">
        <v>4</v>
      </c>
      <c r="E1059" s="18">
        <v>3880</v>
      </c>
      <c r="F1059" s="18">
        <v>0</v>
      </c>
      <c r="G1059" s="27">
        <f t="shared" si="278"/>
        <v>19.111111111111121</v>
      </c>
      <c r="H1059" s="13">
        <f t="shared" si="279"/>
        <v>86229.887101075656</v>
      </c>
      <c r="I1059" s="13">
        <v>0</v>
      </c>
      <c r="J1059" s="51">
        <f t="shared" si="260"/>
        <v>86229.887101075656</v>
      </c>
    </row>
    <row r="1060" spans="1:10" s="3" customFormat="1" x14ac:dyDescent="0.25">
      <c r="A1060" s="4"/>
      <c r="B1060" s="20" t="s">
        <v>320</v>
      </c>
      <c r="C1060" s="21"/>
      <c r="D1060" s="21"/>
      <c r="E1060" s="29"/>
      <c r="F1060" s="29"/>
      <c r="G1060" s="47">
        <f>SUM(G1056:G1059)</f>
        <v>43.000000000000021</v>
      </c>
      <c r="H1060" s="47">
        <f t="shared" ref="H1060:J1060" si="280">SUM(H1056:H1059)</f>
        <v>3500000</v>
      </c>
      <c r="I1060" s="47">
        <f t="shared" si="280"/>
        <v>0</v>
      </c>
      <c r="J1060" s="47">
        <f t="shared" si="280"/>
        <v>3500000</v>
      </c>
    </row>
    <row r="1061" spans="1:10" x14ac:dyDescent="0.25">
      <c r="A1061" s="23" t="s">
        <v>82</v>
      </c>
      <c r="B1061" s="24" t="s">
        <v>214</v>
      </c>
      <c r="C1061" s="24" t="s">
        <v>210</v>
      </c>
      <c r="D1061" s="24">
        <v>2</v>
      </c>
      <c r="E1061" s="30">
        <v>1940</v>
      </c>
      <c r="F1061" s="30">
        <v>0</v>
      </c>
      <c r="G1061" s="27">
        <f>+D1061*4.79545454545455</f>
        <v>9.5909090909091006</v>
      </c>
      <c r="H1061" s="13">
        <f>+E1061*3978131/261765</f>
        <v>29482.834374343398</v>
      </c>
      <c r="I1061" s="13">
        <f>+F1061*1021869/67240</f>
        <v>0</v>
      </c>
      <c r="J1061" s="51">
        <f t="shared" si="260"/>
        <v>29482.834374343398</v>
      </c>
    </row>
    <row r="1062" spans="1:10" x14ac:dyDescent="0.25">
      <c r="A1062" s="4" t="s">
        <v>82</v>
      </c>
      <c r="B1062" s="5" t="s">
        <v>216</v>
      </c>
      <c r="C1062" s="5" t="s">
        <v>210</v>
      </c>
      <c r="D1062" s="5">
        <v>2</v>
      </c>
      <c r="E1062" s="11">
        <v>1940</v>
      </c>
      <c r="F1062" s="11">
        <v>0</v>
      </c>
      <c r="G1062" s="27">
        <f t="shared" ref="G1062:G1074" si="281">+D1062*4.79545454545455</f>
        <v>9.5909090909091006</v>
      </c>
      <c r="H1062" s="13">
        <f t="shared" ref="H1062:H1074" si="282">+E1062*3978131/261765</f>
        <v>29482.834374343398</v>
      </c>
      <c r="I1062" s="13">
        <f t="shared" ref="I1062:I1074" si="283">+F1062*1021869/67240</f>
        <v>0</v>
      </c>
      <c r="J1062" s="51">
        <f t="shared" si="260"/>
        <v>29482.834374343398</v>
      </c>
    </row>
    <row r="1063" spans="1:10" x14ac:dyDescent="0.25">
      <c r="A1063" s="4" t="s">
        <v>82</v>
      </c>
      <c r="B1063" s="5" t="s">
        <v>219</v>
      </c>
      <c r="C1063" s="5" t="s">
        <v>220</v>
      </c>
      <c r="D1063" s="5">
        <v>2</v>
      </c>
      <c r="E1063" s="11">
        <v>6794</v>
      </c>
      <c r="F1063" s="11">
        <v>2716</v>
      </c>
      <c r="G1063" s="27">
        <f t="shared" si="281"/>
        <v>9.5909090909091006</v>
      </c>
      <c r="H1063" s="13">
        <f t="shared" si="282"/>
        <v>103250.70965942735</v>
      </c>
      <c r="I1063" s="13">
        <f t="shared" si="283"/>
        <v>41275.969720404522</v>
      </c>
      <c r="J1063" s="51">
        <f t="shared" si="260"/>
        <v>144526.67937983188</v>
      </c>
    </row>
    <row r="1064" spans="1:10" x14ac:dyDescent="0.25">
      <c r="A1064" s="4" t="s">
        <v>82</v>
      </c>
      <c r="B1064" s="5" t="s">
        <v>226</v>
      </c>
      <c r="C1064" s="5" t="s">
        <v>210</v>
      </c>
      <c r="D1064" s="5">
        <v>1</v>
      </c>
      <c r="E1064" s="11">
        <v>970</v>
      </c>
      <c r="F1064" s="11">
        <v>0</v>
      </c>
      <c r="G1064" s="27">
        <f t="shared" si="281"/>
        <v>4.7954545454545503</v>
      </c>
      <c r="H1064" s="13">
        <f t="shared" si="282"/>
        <v>14741.417187171699</v>
      </c>
      <c r="I1064" s="13">
        <f t="shared" si="283"/>
        <v>0</v>
      </c>
      <c r="J1064" s="51">
        <f t="shared" si="260"/>
        <v>14741.417187171699</v>
      </c>
    </row>
    <row r="1065" spans="1:10" x14ac:dyDescent="0.25">
      <c r="A1065" s="4" t="s">
        <v>82</v>
      </c>
      <c r="B1065" s="5" t="s">
        <v>228</v>
      </c>
      <c r="C1065" s="5" t="s">
        <v>229</v>
      </c>
      <c r="D1065" s="5">
        <v>1</v>
      </c>
      <c r="E1065" s="11">
        <v>1941</v>
      </c>
      <c r="F1065" s="11">
        <v>0</v>
      </c>
      <c r="G1065" s="27">
        <f t="shared" si="281"/>
        <v>4.7954545454545503</v>
      </c>
      <c r="H1065" s="13">
        <f t="shared" si="282"/>
        <v>29498.031711649761</v>
      </c>
      <c r="I1065" s="13">
        <f t="shared" si="283"/>
        <v>0</v>
      </c>
      <c r="J1065" s="51">
        <f t="shared" si="260"/>
        <v>29498.031711649761</v>
      </c>
    </row>
    <row r="1066" spans="1:10" x14ac:dyDescent="0.25">
      <c r="A1066" s="4" t="s">
        <v>82</v>
      </c>
      <c r="B1066" s="5" t="s">
        <v>235</v>
      </c>
      <c r="C1066" s="5" t="s">
        <v>236</v>
      </c>
      <c r="D1066" s="5">
        <v>5</v>
      </c>
      <c r="E1066" s="11">
        <v>34125</v>
      </c>
      <c r="F1066" s="11">
        <v>13650</v>
      </c>
      <c r="G1066" s="27">
        <f t="shared" si="281"/>
        <v>23.977272727272751</v>
      </c>
      <c r="H1066" s="13">
        <f t="shared" si="282"/>
        <v>518609.13557962293</v>
      </c>
      <c r="I1066" s="13">
        <f t="shared" si="283"/>
        <v>207443.66225461036</v>
      </c>
      <c r="J1066" s="51">
        <f t="shared" si="260"/>
        <v>726052.79783423326</v>
      </c>
    </row>
    <row r="1067" spans="1:10" x14ac:dyDescent="0.25">
      <c r="A1067" s="4" t="s">
        <v>82</v>
      </c>
      <c r="B1067" s="5" t="s">
        <v>239</v>
      </c>
      <c r="C1067" s="5" t="s">
        <v>236</v>
      </c>
      <c r="D1067" s="5">
        <v>1</v>
      </c>
      <c r="E1067" s="11">
        <v>6825</v>
      </c>
      <c r="F1067" s="11">
        <v>2730</v>
      </c>
      <c r="G1067" s="27">
        <f t="shared" si="281"/>
        <v>4.7954545454545503</v>
      </c>
      <c r="H1067" s="13">
        <f t="shared" si="282"/>
        <v>103721.82711592459</v>
      </c>
      <c r="I1067" s="13">
        <f t="shared" si="283"/>
        <v>41488.732450922071</v>
      </c>
      <c r="J1067" s="51">
        <f t="shared" si="260"/>
        <v>145210.55956684667</v>
      </c>
    </row>
    <row r="1068" spans="1:10" x14ac:dyDescent="0.25">
      <c r="A1068" s="4" t="s">
        <v>82</v>
      </c>
      <c r="B1068" s="5" t="s">
        <v>241</v>
      </c>
      <c r="C1068" s="5" t="s">
        <v>236</v>
      </c>
      <c r="D1068" s="5">
        <v>12</v>
      </c>
      <c r="E1068" s="11">
        <v>81900</v>
      </c>
      <c r="F1068" s="11">
        <v>32760</v>
      </c>
      <c r="G1068" s="27">
        <f t="shared" si="281"/>
        <v>57.545454545454604</v>
      </c>
      <c r="H1068" s="13">
        <f t="shared" si="282"/>
        <v>1244661.925391095</v>
      </c>
      <c r="I1068" s="13">
        <f t="shared" si="283"/>
        <v>497864.78941106482</v>
      </c>
      <c r="J1068" s="51">
        <f t="shared" si="260"/>
        <v>1742526.7148021599</v>
      </c>
    </row>
    <row r="1069" spans="1:10" x14ac:dyDescent="0.25">
      <c r="A1069" s="4" t="s">
        <v>82</v>
      </c>
      <c r="B1069" s="5" t="s">
        <v>265</v>
      </c>
      <c r="C1069" s="5" t="s">
        <v>208</v>
      </c>
      <c r="D1069" s="5">
        <v>2</v>
      </c>
      <c r="E1069" s="11">
        <v>93184</v>
      </c>
      <c r="F1069" s="11">
        <v>9318</v>
      </c>
      <c r="G1069" s="27">
        <f t="shared" si="281"/>
        <v>9.5909090909091006</v>
      </c>
      <c r="H1069" s="13">
        <f t="shared" si="282"/>
        <v>1416148.6795560904</v>
      </c>
      <c r="I1069" s="13">
        <f t="shared" si="283"/>
        <v>141608.79449732302</v>
      </c>
      <c r="J1069" s="51">
        <f t="shared" si="260"/>
        <v>1557757.4740534134</v>
      </c>
    </row>
    <row r="1070" spans="1:10" x14ac:dyDescent="0.25">
      <c r="A1070" s="4" t="s">
        <v>82</v>
      </c>
      <c r="B1070" s="5" t="s">
        <v>249</v>
      </c>
      <c r="C1070" s="5" t="s">
        <v>250</v>
      </c>
      <c r="D1070" s="5">
        <v>1</v>
      </c>
      <c r="E1070" s="11">
        <v>15166</v>
      </c>
      <c r="F1070" s="11">
        <v>6066</v>
      </c>
      <c r="G1070" s="27">
        <f t="shared" si="281"/>
        <v>4.7954545454545503</v>
      </c>
      <c r="H1070" s="13">
        <f t="shared" si="282"/>
        <v>230482.81758829486</v>
      </c>
      <c r="I1070" s="13">
        <f t="shared" si="283"/>
        <v>92187.051665675186</v>
      </c>
      <c r="J1070" s="51">
        <f t="shared" si="260"/>
        <v>322669.86925397004</v>
      </c>
    </row>
    <row r="1071" spans="1:10" x14ac:dyDescent="0.25">
      <c r="A1071" s="4" t="s">
        <v>82</v>
      </c>
      <c r="B1071" s="5" t="s">
        <v>252</v>
      </c>
      <c r="C1071" s="5" t="s">
        <v>212</v>
      </c>
      <c r="D1071" s="5">
        <v>4</v>
      </c>
      <c r="E1071" s="11">
        <v>5824</v>
      </c>
      <c r="F1071" s="11">
        <v>0</v>
      </c>
      <c r="G1071" s="27">
        <f t="shared" si="281"/>
        <v>19.181818181818201</v>
      </c>
      <c r="H1071" s="13">
        <f t="shared" si="282"/>
        <v>88509.292472255649</v>
      </c>
      <c r="I1071" s="13">
        <f t="shared" si="283"/>
        <v>0</v>
      </c>
      <c r="J1071" s="51">
        <f t="shared" si="260"/>
        <v>88509.292472255649</v>
      </c>
    </row>
    <row r="1072" spans="1:10" x14ac:dyDescent="0.25">
      <c r="A1072" s="4" t="s">
        <v>82</v>
      </c>
      <c r="B1072" s="5" t="s">
        <v>253</v>
      </c>
      <c r="C1072" s="5" t="s">
        <v>210</v>
      </c>
      <c r="D1072" s="5">
        <v>9</v>
      </c>
      <c r="E1072" s="11">
        <v>8730</v>
      </c>
      <c r="F1072" s="11">
        <v>0</v>
      </c>
      <c r="G1072" s="27">
        <f t="shared" si="281"/>
        <v>43.159090909090949</v>
      </c>
      <c r="H1072" s="13">
        <f t="shared" si="282"/>
        <v>132672.7546845453</v>
      </c>
      <c r="I1072" s="13">
        <f t="shared" si="283"/>
        <v>0</v>
      </c>
      <c r="J1072" s="51">
        <f t="shared" si="260"/>
        <v>132672.7546845453</v>
      </c>
    </row>
    <row r="1073" spans="1:10" x14ac:dyDescent="0.25">
      <c r="A1073" s="4" t="s">
        <v>82</v>
      </c>
      <c r="B1073" s="5" t="s">
        <v>256</v>
      </c>
      <c r="C1073" s="5" t="s">
        <v>212</v>
      </c>
      <c r="D1073" s="5">
        <v>1</v>
      </c>
      <c r="E1073" s="11">
        <v>1456</v>
      </c>
      <c r="F1073" s="11">
        <v>0</v>
      </c>
      <c r="G1073" s="27">
        <f t="shared" si="281"/>
        <v>4.7954545454545503</v>
      </c>
      <c r="H1073" s="13">
        <f t="shared" si="282"/>
        <v>22127.323118063912</v>
      </c>
      <c r="I1073" s="13">
        <f t="shared" si="283"/>
        <v>0</v>
      </c>
      <c r="J1073" s="51">
        <f t="shared" si="260"/>
        <v>22127.323118063912</v>
      </c>
    </row>
    <row r="1074" spans="1:10" x14ac:dyDescent="0.25">
      <c r="A1074" s="15" t="s">
        <v>82</v>
      </c>
      <c r="B1074" s="16" t="s">
        <v>257</v>
      </c>
      <c r="C1074" s="16" t="s">
        <v>210</v>
      </c>
      <c r="D1074" s="16">
        <v>1</v>
      </c>
      <c r="E1074" s="18">
        <v>970</v>
      </c>
      <c r="F1074" s="18">
        <v>0</v>
      </c>
      <c r="G1074" s="27">
        <f t="shared" si="281"/>
        <v>4.7954545454545503</v>
      </c>
      <c r="H1074" s="13">
        <f t="shared" si="282"/>
        <v>14741.417187171699</v>
      </c>
      <c r="I1074" s="13">
        <f t="shared" si="283"/>
        <v>0</v>
      </c>
      <c r="J1074" s="51">
        <f t="shared" si="260"/>
        <v>14741.417187171699</v>
      </c>
    </row>
    <row r="1075" spans="1:10" s="3" customFormat="1" x14ac:dyDescent="0.25">
      <c r="A1075" s="4"/>
      <c r="B1075" s="20" t="s">
        <v>321</v>
      </c>
      <c r="C1075" s="21"/>
      <c r="D1075" s="21"/>
      <c r="E1075" s="29"/>
      <c r="F1075" s="29"/>
      <c r="G1075" s="47">
        <f>SUM(G1061:G1074)</f>
        <v>211.00000000000023</v>
      </c>
      <c r="H1075" s="47">
        <f t="shared" ref="H1075:J1075" si="284">SUM(H1061:H1074)</f>
        <v>3978131</v>
      </c>
      <c r="I1075" s="47">
        <f t="shared" si="284"/>
        <v>1021869</v>
      </c>
      <c r="J1075" s="47">
        <f t="shared" si="284"/>
        <v>4999999.9999999991</v>
      </c>
    </row>
    <row r="1076" spans="1:10" x14ac:dyDescent="0.25">
      <c r="A1076" s="23" t="s">
        <v>83</v>
      </c>
      <c r="B1076" s="24" t="s">
        <v>207</v>
      </c>
      <c r="C1076" s="24" t="s">
        <v>208</v>
      </c>
      <c r="D1076" s="24">
        <v>1</v>
      </c>
      <c r="E1076" s="30">
        <v>11648</v>
      </c>
      <c r="F1076" s="30">
        <v>4659</v>
      </c>
      <c r="G1076" s="27">
        <f>+D1076*4.78571428571429</f>
        <v>4.78571428571429</v>
      </c>
      <c r="H1076" s="13">
        <f>+E1076*8598568/500864</f>
        <v>199966.6976744186</v>
      </c>
      <c r="I1076" s="13">
        <f>+F1076*1401432/81633</f>
        <v>79983.238249237445</v>
      </c>
      <c r="J1076" s="51">
        <f t="shared" si="260"/>
        <v>279949.93592365604</v>
      </c>
    </row>
    <row r="1077" spans="1:10" x14ac:dyDescent="0.25">
      <c r="A1077" s="4" t="s">
        <v>83</v>
      </c>
      <c r="B1077" s="5" t="s">
        <v>214</v>
      </c>
      <c r="C1077" s="5" t="s">
        <v>210</v>
      </c>
      <c r="D1077" s="5">
        <v>7</v>
      </c>
      <c r="E1077" s="11">
        <v>6790</v>
      </c>
      <c r="F1077" s="11">
        <v>0</v>
      </c>
      <c r="G1077" s="27">
        <f t="shared" ref="G1077:G1093" si="285">+D1077*4.78571428571429</f>
        <v>33.500000000000028</v>
      </c>
      <c r="H1077" s="13">
        <f t="shared" ref="H1077:H1093" si="286">+E1077*8598568/500864</f>
        <v>116567.1254472272</v>
      </c>
      <c r="I1077" s="13">
        <f t="shared" ref="I1077:I1093" si="287">+F1077*1401432/81633</f>
        <v>0</v>
      </c>
      <c r="J1077" s="51">
        <f t="shared" si="260"/>
        <v>116567.1254472272</v>
      </c>
    </row>
    <row r="1078" spans="1:10" x14ac:dyDescent="0.25">
      <c r="A1078" s="4" t="s">
        <v>83</v>
      </c>
      <c r="B1078" s="5" t="s">
        <v>217</v>
      </c>
      <c r="C1078" s="5" t="s">
        <v>218</v>
      </c>
      <c r="D1078" s="5">
        <v>4</v>
      </c>
      <c r="E1078" s="11">
        <v>13252</v>
      </c>
      <c r="F1078" s="11">
        <v>5300</v>
      </c>
      <c r="G1078" s="27">
        <f t="shared" si="285"/>
        <v>19.14285714285716</v>
      </c>
      <c r="H1078" s="13">
        <f t="shared" si="286"/>
        <v>227503.32053411705</v>
      </c>
      <c r="I1078" s="13">
        <f t="shared" si="287"/>
        <v>90987.585902759907</v>
      </c>
      <c r="J1078" s="51">
        <f t="shared" si="260"/>
        <v>318490.90643687698</v>
      </c>
    </row>
    <row r="1079" spans="1:10" x14ac:dyDescent="0.25">
      <c r="A1079" s="4" t="s">
        <v>83</v>
      </c>
      <c r="B1079" s="5" t="s">
        <v>219</v>
      </c>
      <c r="C1079" s="5" t="s">
        <v>220</v>
      </c>
      <c r="D1079" s="5">
        <v>5</v>
      </c>
      <c r="E1079" s="11">
        <v>16985</v>
      </c>
      <c r="F1079" s="11">
        <v>6790</v>
      </c>
      <c r="G1079" s="27">
        <f t="shared" si="285"/>
        <v>23.928571428571452</v>
      </c>
      <c r="H1079" s="13">
        <f t="shared" si="286"/>
        <v>291589.48832417582</v>
      </c>
      <c r="I1079" s="13">
        <f t="shared" si="287"/>
        <v>116567.11476976222</v>
      </c>
      <c r="J1079" s="51">
        <f t="shared" si="260"/>
        <v>408156.60309393803</v>
      </c>
    </row>
    <row r="1080" spans="1:10" x14ac:dyDescent="0.25">
      <c r="A1080" s="4" t="s">
        <v>83</v>
      </c>
      <c r="B1080" s="5" t="s">
        <v>226</v>
      </c>
      <c r="C1080" s="5" t="s">
        <v>210</v>
      </c>
      <c r="D1080" s="5">
        <v>9</v>
      </c>
      <c r="E1080" s="11">
        <v>8730</v>
      </c>
      <c r="F1080" s="11">
        <v>0</v>
      </c>
      <c r="G1080" s="27">
        <f t="shared" si="285"/>
        <v>43.071428571428612</v>
      </c>
      <c r="H1080" s="13">
        <f t="shared" si="286"/>
        <v>149872.01843214926</v>
      </c>
      <c r="I1080" s="13">
        <f t="shared" si="287"/>
        <v>0</v>
      </c>
      <c r="J1080" s="51">
        <f t="shared" si="260"/>
        <v>149872.01843214926</v>
      </c>
    </row>
    <row r="1081" spans="1:10" x14ac:dyDescent="0.25">
      <c r="A1081" s="4" t="s">
        <v>83</v>
      </c>
      <c r="B1081" s="5" t="s">
        <v>228</v>
      </c>
      <c r="C1081" s="5" t="s">
        <v>229</v>
      </c>
      <c r="D1081" s="5">
        <v>10</v>
      </c>
      <c r="E1081" s="11">
        <v>19410</v>
      </c>
      <c r="F1081" s="11">
        <v>0</v>
      </c>
      <c r="G1081" s="27">
        <f t="shared" si="285"/>
        <v>47.857142857142904</v>
      </c>
      <c r="H1081" s="13">
        <f t="shared" si="286"/>
        <v>333220.60455532838</v>
      </c>
      <c r="I1081" s="13">
        <f t="shared" si="287"/>
        <v>0</v>
      </c>
      <c r="J1081" s="51">
        <f t="shared" si="260"/>
        <v>333220.60455532838</v>
      </c>
    </row>
    <row r="1082" spans="1:10" x14ac:dyDescent="0.25">
      <c r="A1082" s="4" t="s">
        <v>83</v>
      </c>
      <c r="B1082" s="5" t="s">
        <v>230</v>
      </c>
      <c r="C1082" s="5" t="s">
        <v>229</v>
      </c>
      <c r="D1082" s="5">
        <v>1</v>
      </c>
      <c r="E1082" s="11">
        <v>1941</v>
      </c>
      <c r="F1082" s="11">
        <v>0</v>
      </c>
      <c r="G1082" s="27">
        <f t="shared" si="285"/>
        <v>4.78571428571429</v>
      </c>
      <c r="H1082" s="13">
        <f t="shared" si="286"/>
        <v>33322.060455532839</v>
      </c>
      <c r="I1082" s="13">
        <f t="shared" si="287"/>
        <v>0</v>
      </c>
      <c r="J1082" s="51">
        <f t="shared" si="260"/>
        <v>33322.060455532839</v>
      </c>
    </row>
    <row r="1083" spans="1:10" x14ac:dyDescent="0.25">
      <c r="A1083" s="4" t="s">
        <v>83</v>
      </c>
      <c r="B1083" s="5" t="s">
        <v>262</v>
      </c>
      <c r="C1083" s="5" t="s">
        <v>263</v>
      </c>
      <c r="D1083" s="5">
        <v>1</v>
      </c>
      <c r="E1083" s="11">
        <v>151666</v>
      </c>
      <c r="F1083" s="11">
        <v>0</v>
      </c>
      <c r="G1083" s="27">
        <f t="shared" si="285"/>
        <v>4.78571428571429</v>
      </c>
      <c r="H1083" s="13">
        <f t="shared" si="286"/>
        <v>2603721.5976552516</v>
      </c>
      <c r="I1083" s="13">
        <f t="shared" si="287"/>
        <v>0</v>
      </c>
      <c r="J1083" s="51">
        <f t="shared" si="260"/>
        <v>2603721.5976552516</v>
      </c>
    </row>
    <row r="1084" spans="1:10" x14ac:dyDescent="0.25">
      <c r="A1084" s="4" t="s">
        <v>83</v>
      </c>
      <c r="B1084" s="5" t="s">
        <v>233</v>
      </c>
      <c r="C1084" s="5" t="s">
        <v>234</v>
      </c>
      <c r="D1084" s="5">
        <v>1</v>
      </c>
      <c r="E1084" s="11">
        <v>97066</v>
      </c>
      <c r="F1084" s="11">
        <v>0</v>
      </c>
      <c r="G1084" s="27">
        <f t="shared" si="285"/>
        <v>4.78571428571429</v>
      </c>
      <c r="H1084" s="13">
        <f t="shared" si="286"/>
        <v>1666377.7023064145</v>
      </c>
      <c r="I1084" s="13">
        <f t="shared" si="287"/>
        <v>0</v>
      </c>
      <c r="J1084" s="51">
        <f t="shared" si="260"/>
        <v>1666377.7023064145</v>
      </c>
    </row>
    <row r="1085" spans="1:10" x14ac:dyDescent="0.25">
      <c r="A1085" s="4" t="s">
        <v>83</v>
      </c>
      <c r="B1085" s="5" t="s">
        <v>235</v>
      </c>
      <c r="C1085" s="5" t="s">
        <v>236</v>
      </c>
      <c r="D1085" s="5">
        <v>1</v>
      </c>
      <c r="E1085" s="11">
        <v>6825</v>
      </c>
      <c r="F1085" s="11">
        <v>2730</v>
      </c>
      <c r="G1085" s="27">
        <f t="shared" si="285"/>
        <v>4.78571428571429</v>
      </c>
      <c r="H1085" s="13">
        <f t="shared" si="286"/>
        <v>117167.98691860466</v>
      </c>
      <c r="I1085" s="13">
        <f t="shared" si="287"/>
        <v>46867.190474440482</v>
      </c>
      <c r="J1085" s="51">
        <f t="shared" si="260"/>
        <v>164035.17739304513</v>
      </c>
    </row>
    <row r="1086" spans="1:10" x14ac:dyDescent="0.25">
      <c r="A1086" s="4" t="s">
        <v>83</v>
      </c>
      <c r="B1086" s="5" t="s">
        <v>237</v>
      </c>
      <c r="C1086" s="5" t="s">
        <v>238</v>
      </c>
      <c r="D1086" s="5">
        <v>4</v>
      </c>
      <c r="E1086" s="11">
        <v>20504</v>
      </c>
      <c r="F1086" s="11">
        <v>8200</v>
      </c>
      <c r="G1086" s="27">
        <f t="shared" si="285"/>
        <v>19.14285714285716</v>
      </c>
      <c r="H1086" s="13">
        <f t="shared" si="286"/>
        <v>352001.81740352669</v>
      </c>
      <c r="I1086" s="13">
        <f t="shared" si="287"/>
        <v>140773.24611370402</v>
      </c>
      <c r="J1086" s="51">
        <f t="shared" si="260"/>
        <v>492775.06351723068</v>
      </c>
    </row>
    <row r="1087" spans="1:10" x14ac:dyDescent="0.25">
      <c r="A1087" s="4" t="s">
        <v>83</v>
      </c>
      <c r="B1087" s="5" t="s">
        <v>241</v>
      </c>
      <c r="C1087" s="5" t="s">
        <v>236</v>
      </c>
      <c r="D1087" s="5">
        <v>10</v>
      </c>
      <c r="E1087" s="11">
        <v>68250</v>
      </c>
      <c r="F1087" s="11">
        <v>27300</v>
      </c>
      <c r="G1087" s="27">
        <f t="shared" si="285"/>
        <v>47.857142857142904</v>
      </c>
      <c r="H1087" s="13">
        <f t="shared" si="286"/>
        <v>1171679.8691860465</v>
      </c>
      <c r="I1087" s="13">
        <f t="shared" si="287"/>
        <v>468671.90474440483</v>
      </c>
      <c r="J1087" s="51">
        <f t="shared" si="260"/>
        <v>1640351.7739304514</v>
      </c>
    </row>
    <row r="1088" spans="1:10" x14ac:dyDescent="0.25">
      <c r="A1088" s="4" t="s">
        <v>83</v>
      </c>
      <c r="B1088" s="5" t="s">
        <v>243</v>
      </c>
      <c r="C1088" s="5" t="s">
        <v>244</v>
      </c>
      <c r="D1088" s="5">
        <v>1</v>
      </c>
      <c r="E1088" s="11">
        <v>3412</v>
      </c>
      <c r="F1088" s="11">
        <v>1365</v>
      </c>
      <c r="G1088" s="27">
        <f t="shared" si="285"/>
        <v>4.78571428571429</v>
      </c>
      <c r="H1088" s="13">
        <f t="shared" si="286"/>
        <v>58575.409723996934</v>
      </c>
      <c r="I1088" s="13">
        <f t="shared" si="287"/>
        <v>23433.595237220241</v>
      </c>
      <c r="J1088" s="51">
        <f t="shared" si="260"/>
        <v>82009.004961217172</v>
      </c>
    </row>
    <row r="1089" spans="1:10" x14ac:dyDescent="0.25">
      <c r="A1089" s="4" t="s">
        <v>83</v>
      </c>
      <c r="B1089" s="5" t="s">
        <v>245</v>
      </c>
      <c r="C1089" s="5" t="s">
        <v>246</v>
      </c>
      <c r="D1089" s="5">
        <v>1</v>
      </c>
      <c r="E1089" s="11">
        <v>2563</v>
      </c>
      <c r="F1089" s="11">
        <v>1025</v>
      </c>
      <c r="G1089" s="27">
        <f t="shared" si="285"/>
        <v>4.78571428571429</v>
      </c>
      <c r="H1089" s="13">
        <f t="shared" si="286"/>
        <v>44000.227175440836</v>
      </c>
      <c r="I1089" s="13">
        <f t="shared" si="287"/>
        <v>17596.655764213003</v>
      </c>
      <c r="J1089" s="51">
        <f t="shared" si="260"/>
        <v>61596.882939653835</v>
      </c>
    </row>
    <row r="1090" spans="1:10" x14ac:dyDescent="0.25">
      <c r="A1090" s="4" t="s">
        <v>83</v>
      </c>
      <c r="B1090" s="5" t="s">
        <v>249</v>
      </c>
      <c r="C1090" s="5" t="s">
        <v>250</v>
      </c>
      <c r="D1090" s="5">
        <v>4</v>
      </c>
      <c r="E1090" s="11">
        <v>60664</v>
      </c>
      <c r="F1090" s="11">
        <v>24264</v>
      </c>
      <c r="G1090" s="27">
        <f t="shared" si="285"/>
        <v>19.14285714285716</v>
      </c>
      <c r="H1090" s="13">
        <f t="shared" si="286"/>
        <v>1041447.4371326348</v>
      </c>
      <c r="I1090" s="13">
        <f t="shared" si="287"/>
        <v>416551.46874425781</v>
      </c>
      <c r="J1090" s="51">
        <f t="shared" ref="J1090:J1161" si="288">SUM(H1090:I1090)</f>
        <v>1457998.9058768926</v>
      </c>
    </row>
    <row r="1091" spans="1:10" x14ac:dyDescent="0.25">
      <c r="A1091" s="4" t="s">
        <v>83</v>
      </c>
      <c r="B1091" s="5" t="s">
        <v>252</v>
      </c>
      <c r="C1091" s="5" t="s">
        <v>212</v>
      </c>
      <c r="D1091" s="5">
        <v>2</v>
      </c>
      <c r="E1091" s="11">
        <v>2912</v>
      </c>
      <c r="F1091" s="11">
        <v>0</v>
      </c>
      <c r="G1091" s="27">
        <f t="shared" si="285"/>
        <v>9.5714285714285801</v>
      </c>
      <c r="H1091" s="13">
        <f t="shared" si="286"/>
        <v>49991.674418604649</v>
      </c>
      <c r="I1091" s="13">
        <f t="shared" si="287"/>
        <v>0</v>
      </c>
      <c r="J1091" s="51">
        <f t="shared" si="288"/>
        <v>49991.674418604649</v>
      </c>
    </row>
    <row r="1092" spans="1:10" x14ac:dyDescent="0.25">
      <c r="A1092" s="4" t="s">
        <v>83</v>
      </c>
      <c r="B1092" s="5" t="s">
        <v>253</v>
      </c>
      <c r="C1092" s="5" t="s">
        <v>210</v>
      </c>
      <c r="D1092" s="5">
        <v>7</v>
      </c>
      <c r="E1092" s="11">
        <v>6790</v>
      </c>
      <c r="F1092" s="11">
        <v>0</v>
      </c>
      <c r="G1092" s="27">
        <f t="shared" si="285"/>
        <v>33.500000000000028</v>
      </c>
      <c r="H1092" s="13">
        <f t="shared" si="286"/>
        <v>116567.1254472272</v>
      </c>
      <c r="I1092" s="13">
        <f t="shared" si="287"/>
        <v>0</v>
      </c>
      <c r="J1092" s="51">
        <f t="shared" si="288"/>
        <v>116567.1254472272</v>
      </c>
    </row>
    <row r="1093" spans="1:10" x14ac:dyDescent="0.25">
      <c r="A1093" s="15" t="s">
        <v>83</v>
      </c>
      <c r="B1093" s="16" t="s">
        <v>256</v>
      </c>
      <c r="C1093" s="16" t="s">
        <v>212</v>
      </c>
      <c r="D1093" s="16">
        <v>1</v>
      </c>
      <c r="E1093" s="18">
        <v>1456</v>
      </c>
      <c r="F1093" s="18">
        <v>0</v>
      </c>
      <c r="G1093" s="27">
        <f t="shared" si="285"/>
        <v>4.78571428571429</v>
      </c>
      <c r="H1093" s="13">
        <f t="shared" si="286"/>
        <v>24995.837209302324</v>
      </c>
      <c r="I1093" s="13">
        <f t="shared" si="287"/>
        <v>0</v>
      </c>
      <c r="J1093" s="51">
        <f t="shared" si="288"/>
        <v>24995.837209302324</v>
      </c>
    </row>
    <row r="1094" spans="1:10" s="3" customFormat="1" x14ac:dyDescent="0.25">
      <c r="A1094" s="4"/>
      <c r="B1094" s="20" t="s">
        <v>322</v>
      </c>
      <c r="C1094" s="21"/>
      <c r="D1094" s="21"/>
      <c r="E1094" s="29"/>
      <c r="F1094" s="29"/>
      <c r="G1094" s="47">
        <f>SUM(G1076:G1093)</f>
        <v>335.00000000000017</v>
      </c>
      <c r="H1094" s="47">
        <f t="shared" ref="H1094:J1094" si="289">SUM(H1076:H1093)</f>
        <v>8598568</v>
      </c>
      <c r="I1094" s="47">
        <f t="shared" si="289"/>
        <v>1401432</v>
      </c>
      <c r="J1094" s="47">
        <f t="shared" si="289"/>
        <v>10000000</v>
      </c>
    </row>
    <row r="1095" spans="1:10" x14ac:dyDescent="0.25">
      <c r="A1095" s="23" t="s">
        <v>84</v>
      </c>
      <c r="B1095" s="24" t="s">
        <v>209</v>
      </c>
      <c r="C1095" s="24" t="s">
        <v>210</v>
      </c>
      <c r="D1095" s="24">
        <v>1</v>
      </c>
      <c r="E1095" s="30">
        <v>970</v>
      </c>
      <c r="F1095" s="30">
        <v>0</v>
      </c>
      <c r="G1095" s="27">
        <f>+D1095*4.8</f>
        <v>4.8</v>
      </c>
      <c r="H1095" s="13">
        <f>+E1095*3388992/971868</f>
        <v>3382.4781143118203</v>
      </c>
      <c r="I1095" s="13">
        <f>+F1095*111008/31834</f>
        <v>0</v>
      </c>
      <c r="J1095" s="51">
        <f t="shared" si="288"/>
        <v>3382.4781143118203</v>
      </c>
    </row>
    <row r="1096" spans="1:10" x14ac:dyDescent="0.25">
      <c r="A1096" s="4" t="s">
        <v>84</v>
      </c>
      <c r="B1096" s="5" t="s">
        <v>214</v>
      </c>
      <c r="C1096" s="5" t="s">
        <v>210</v>
      </c>
      <c r="D1096" s="5">
        <v>2</v>
      </c>
      <c r="E1096" s="11">
        <v>1940</v>
      </c>
      <c r="F1096" s="11">
        <v>0</v>
      </c>
      <c r="G1096" s="27">
        <f t="shared" ref="G1096:G1106" si="290">+D1096*4.8</f>
        <v>9.6</v>
      </c>
      <c r="H1096" s="13">
        <f t="shared" ref="H1096:H1106" si="291">+E1096*3388992/971868</f>
        <v>6764.9562286236405</v>
      </c>
      <c r="I1096" s="13">
        <f t="shared" ref="I1096:I1106" si="292">+F1096*111008/31834</f>
        <v>0</v>
      </c>
      <c r="J1096" s="51">
        <f t="shared" si="288"/>
        <v>6764.9562286236405</v>
      </c>
    </row>
    <row r="1097" spans="1:10" x14ac:dyDescent="0.25">
      <c r="A1097" s="4" t="s">
        <v>84</v>
      </c>
      <c r="B1097" s="5" t="s">
        <v>216</v>
      </c>
      <c r="C1097" s="5" t="s">
        <v>210</v>
      </c>
      <c r="D1097" s="5">
        <v>3</v>
      </c>
      <c r="E1097" s="11">
        <v>2910</v>
      </c>
      <c r="F1097" s="11">
        <v>0</v>
      </c>
      <c r="G1097" s="27">
        <f t="shared" si="290"/>
        <v>14.399999999999999</v>
      </c>
      <c r="H1097" s="13">
        <f t="shared" si="291"/>
        <v>10147.434342935461</v>
      </c>
      <c r="I1097" s="13">
        <f t="shared" si="292"/>
        <v>0</v>
      </c>
      <c r="J1097" s="51">
        <f t="shared" si="288"/>
        <v>10147.434342935461</v>
      </c>
    </row>
    <row r="1098" spans="1:10" x14ac:dyDescent="0.25">
      <c r="A1098" s="4" t="s">
        <v>84</v>
      </c>
      <c r="B1098" s="5" t="s">
        <v>219</v>
      </c>
      <c r="C1098" s="5" t="s">
        <v>220</v>
      </c>
      <c r="D1098" s="5">
        <v>2</v>
      </c>
      <c r="E1098" s="11">
        <v>6794</v>
      </c>
      <c r="F1098" s="11">
        <v>2716</v>
      </c>
      <c r="G1098" s="27">
        <f t="shared" si="290"/>
        <v>9.6</v>
      </c>
      <c r="H1098" s="13">
        <f t="shared" si="291"/>
        <v>23691.295163540726</v>
      </c>
      <c r="I1098" s="13">
        <f t="shared" si="292"/>
        <v>9470.9344725764913</v>
      </c>
      <c r="J1098" s="51">
        <f t="shared" si="288"/>
        <v>33162.229636117219</v>
      </c>
    </row>
    <row r="1099" spans="1:10" x14ac:dyDescent="0.25">
      <c r="A1099" s="4" t="s">
        <v>84</v>
      </c>
      <c r="B1099" s="5" t="s">
        <v>228</v>
      </c>
      <c r="C1099" s="5" t="s">
        <v>229</v>
      </c>
      <c r="D1099" s="5">
        <v>2</v>
      </c>
      <c r="E1099" s="11">
        <v>3882</v>
      </c>
      <c r="F1099" s="11">
        <v>0</v>
      </c>
      <c r="G1099" s="27">
        <f t="shared" si="290"/>
        <v>9.6</v>
      </c>
      <c r="H1099" s="13">
        <f t="shared" si="291"/>
        <v>13536.886638926275</v>
      </c>
      <c r="I1099" s="13">
        <f t="shared" si="292"/>
        <v>0</v>
      </c>
      <c r="J1099" s="51">
        <f t="shared" si="288"/>
        <v>13536.886638926275</v>
      </c>
    </row>
    <row r="1100" spans="1:10" x14ac:dyDescent="0.25">
      <c r="A1100" s="4" t="s">
        <v>84</v>
      </c>
      <c r="B1100" s="5" t="s">
        <v>231</v>
      </c>
      <c r="C1100" s="5" t="s">
        <v>232</v>
      </c>
      <c r="D1100" s="5">
        <v>2</v>
      </c>
      <c r="E1100" s="11">
        <v>424666</v>
      </c>
      <c r="F1100" s="11">
        <v>0</v>
      </c>
      <c r="G1100" s="27">
        <f t="shared" si="290"/>
        <v>9.6</v>
      </c>
      <c r="H1100" s="13">
        <f t="shared" si="291"/>
        <v>1480848.9184457147</v>
      </c>
      <c r="I1100" s="13">
        <f t="shared" si="292"/>
        <v>0</v>
      </c>
      <c r="J1100" s="51">
        <f t="shared" si="288"/>
        <v>1480848.9184457147</v>
      </c>
    </row>
    <row r="1101" spans="1:10" x14ac:dyDescent="0.25">
      <c r="A1101" s="4" t="s">
        <v>84</v>
      </c>
      <c r="B1101" s="5" t="s">
        <v>262</v>
      </c>
      <c r="C1101" s="5" t="s">
        <v>263</v>
      </c>
      <c r="D1101" s="5">
        <v>3</v>
      </c>
      <c r="E1101" s="11">
        <v>454998</v>
      </c>
      <c r="F1101" s="11">
        <v>0</v>
      </c>
      <c r="G1101" s="27">
        <f t="shared" si="290"/>
        <v>14.399999999999999</v>
      </c>
      <c r="H1101" s="13">
        <f t="shared" si="291"/>
        <v>1586619.3577893295</v>
      </c>
      <c r="I1101" s="13">
        <f t="shared" si="292"/>
        <v>0</v>
      </c>
      <c r="J1101" s="51">
        <f t="shared" si="288"/>
        <v>1586619.3577893295</v>
      </c>
    </row>
    <row r="1102" spans="1:10" x14ac:dyDescent="0.25">
      <c r="A1102" s="4" t="s">
        <v>84</v>
      </c>
      <c r="B1102" s="5" t="s">
        <v>235</v>
      </c>
      <c r="C1102" s="5" t="s">
        <v>236</v>
      </c>
      <c r="D1102" s="5">
        <v>1</v>
      </c>
      <c r="E1102" s="11">
        <v>6825</v>
      </c>
      <c r="F1102" s="11">
        <v>2730</v>
      </c>
      <c r="G1102" s="27">
        <f t="shared" si="290"/>
        <v>4.8</v>
      </c>
      <c r="H1102" s="13">
        <f t="shared" si="291"/>
        <v>23799.394979565128</v>
      </c>
      <c r="I1102" s="13">
        <f t="shared" si="292"/>
        <v>9519.7537224351327</v>
      </c>
      <c r="J1102" s="51">
        <f t="shared" si="288"/>
        <v>33319.148702000261</v>
      </c>
    </row>
    <row r="1103" spans="1:10" x14ac:dyDescent="0.25">
      <c r="A1103" s="4" t="s">
        <v>84</v>
      </c>
      <c r="B1103" s="5" t="s">
        <v>241</v>
      </c>
      <c r="C1103" s="5" t="s">
        <v>236</v>
      </c>
      <c r="D1103" s="5">
        <v>3</v>
      </c>
      <c r="E1103" s="11">
        <v>20475</v>
      </c>
      <c r="F1103" s="11">
        <v>8190</v>
      </c>
      <c r="G1103" s="27">
        <f t="shared" si="290"/>
        <v>14.399999999999999</v>
      </c>
      <c r="H1103" s="13">
        <f t="shared" si="291"/>
        <v>71398.184938695384</v>
      </c>
      <c r="I1103" s="13">
        <f t="shared" si="292"/>
        <v>28559.261167305398</v>
      </c>
      <c r="J1103" s="51">
        <f t="shared" si="288"/>
        <v>99957.446106000774</v>
      </c>
    </row>
    <row r="1104" spans="1:10" x14ac:dyDescent="0.25">
      <c r="A1104" s="4" t="s">
        <v>84</v>
      </c>
      <c r="B1104" s="5" t="s">
        <v>249</v>
      </c>
      <c r="C1104" s="5" t="s">
        <v>250</v>
      </c>
      <c r="D1104" s="5">
        <v>3</v>
      </c>
      <c r="E1104" s="11">
        <v>45498</v>
      </c>
      <c r="F1104" s="11">
        <v>18198</v>
      </c>
      <c r="G1104" s="27">
        <f t="shared" si="290"/>
        <v>14.399999999999999</v>
      </c>
      <c r="H1104" s="13">
        <f t="shared" si="291"/>
        <v>158655.65901542184</v>
      </c>
      <c r="I1104" s="13">
        <f t="shared" si="292"/>
        <v>63458.05063768298</v>
      </c>
      <c r="J1104" s="51">
        <f t="shared" si="288"/>
        <v>222113.70965310483</v>
      </c>
    </row>
    <row r="1105" spans="1:10" x14ac:dyDescent="0.25">
      <c r="A1105" s="4" t="s">
        <v>84</v>
      </c>
      <c r="B1105" s="5" t="s">
        <v>253</v>
      </c>
      <c r="C1105" s="5" t="s">
        <v>210</v>
      </c>
      <c r="D1105" s="5">
        <v>1</v>
      </c>
      <c r="E1105" s="11">
        <v>970</v>
      </c>
      <c r="F1105" s="11">
        <v>0</v>
      </c>
      <c r="G1105" s="27">
        <f t="shared" si="290"/>
        <v>4.8</v>
      </c>
      <c r="H1105" s="13">
        <f t="shared" si="291"/>
        <v>3382.4781143118203</v>
      </c>
      <c r="I1105" s="13">
        <f t="shared" si="292"/>
        <v>0</v>
      </c>
      <c r="J1105" s="51">
        <f t="shared" si="288"/>
        <v>3382.4781143118203</v>
      </c>
    </row>
    <row r="1106" spans="1:10" x14ac:dyDescent="0.25">
      <c r="A1106" s="15" t="s">
        <v>84</v>
      </c>
      <c r="B1106" s="16" t="s">
        <v>255</v>
      </c>
      <c r="C1106" s="16" t="s">
        <v>210</v>
      </c>
      <c r="D1106" s="16">
        <v>2</v>
      </c>
      <c r="E1106" s="18">
        <v>1940</v>
      </c>
      <c r="F1106" s="18">
        <v>0</v>
      </c>
      <c r="G1106" s="27">
        <f t="shared" si="290"/>
        <v>9.6</v>
      </c>
      <c r="H1106" s="13">
        <f t="shared" si="291"/>
        <v>6764.9562286236405</v>
      </c>
      <c r="I1106" s="13">
        <f t="shared" si="292"/>
        <v>0</v>
      </c>
      <c r="J1106" s="51">
        <f t="shared" si="288"/>
        <v>6764.9562286236405</v>
      </c>
    </row>
    <row r="1107" spans="1:10" s="3" customFormat="1" x14ac:dyDescent="0.25">
      <c r="A1107" s="4"/>
      <c r="B1107" s="20" t="s">
        <v>323</v>
      </c>
      <c r="C1107" s="21"/>
      <c r="D1107" s="21"/>
      <c r="E1107" s="29"/>
      <c r="F1107" s="29"/>
      <c r="G1107" s="47">
        <f>SUM(G1095:G1106)</f>
        <v>119.99999999999999</v>
      </c>
      <c r="H1107" s="47">
        <f t="shared" ref="H1107:J1107" si="293">SUM(H1095:H1106)</f>
        <v>3388991.9999999995</v>
      </c>
      <c r="I1107" s="47">
        <f t="shared" si="293"/>
        <v>111008</v>
      </c>
      <c r="J1107" s="47">
        <f t="shared" si="293"/>
        <v>3500000</v>
      </c>
    </row>
    <row r="1108" spans="1:10" x14ac:dyDescent="0.25">
      <c r="A1108" s="23" t="s">
        <v>85</v>
      </c>
      <c r="B1108" s="24" t="s">
        <v>217</v>
      </c>
      <c r="C1108" s="24" t="s">
        <v>218</v>
      </c>
      <c r="D1108" s="24">
        <v>1</v>
      </c>
      <c r="E1108" s="30">
        <v>3313</v>
      </c>
      <c r="F1108" s="30">
        <v>1325</v>
      </c>
      <c r="G1108" s="27">
        <f>+D1108*4.83333333333333</f>
        <v>4.8333333333333304</v>
      </c>
      <c r="H1108" s="13">
        <f>+E1108*1525541/21816</f>
        <v>231670.2114503117</v>
      </c>
      <c r="I1108" s="13">
        <f>+F1108*474459/6785</f>
        <v>92654.115696389097</v>
      </c>
      <c r="J1108" s="51">
        <f t="shared" si="288"/>
        <v>324324.32714670082</v>
      </c>
    </row>
    <row r="1109" spans="1:10" x14ac:dyDescent="0.25">
      <c r="A1109" s="4" t="s">
        <v>85</v>
      </c>
      <c r="B1109" s="5" t="s">
        <v>228</v>
      </c>
      <c r="C1109" s="5" t="s">
        <v>229</v>
      </c>
      <c r="D1109" s="5">
        <v>1</v>
      </c>
      <c r="E1109" s="11">
        <v>1941</v>
      </c>
      <c r="F1109" s="11">
        <v>0</v>
      </c>
      <c r="G1109" s="27">
        <f t="shared" ref="G1109:G1112" si="294">+D1109*4.83333333333333</f>
        <v>4.8333333333333304</v>
      </c>
      <c r="H1109" s="13">
        <f t="shared" ref="H1109:H1112" si="295">+E1109*1525541/21816</f>
        <v>135729.51416391638</v>
      </c>
      <c r="I1109" s="13">
        <f t="shared" ref="I1109:I1112" si="296">+F1109*474459/6785</f>
        <v>0</v>
      </c>
      <c r="J1109" s="51">
        <f t="shared" si="288"/>
        <v>135729.51416391638</v>
      </c>
    </row>
    <row r="1110" spans="1:10" x14ac:dyDescent="0.25">
      <c r="A1110" s="4" t="s">
        <v>85</v>
      </c>
      <c r="B1110" s="5" t="s">
        <v>241</v>
      </c>
      <c r="C1110" s="5" t="s">
        <v>236</v>
      </c>
      <c r="D1110" s="5">
        <v>2</v>
      </c>
      <c r="E1110" s="11">
        <v>13650</v>
      </c>
      <c r="F1110" s="11">
        <v>5460</v>
      </c>
      <c r="G1110" s="27">
        <f t="shared" si="294"/>
        <v>9.6666666666666607</v>
      </c>
      <c r="H1110" s="13">
        <f t="shared" si="295"/>
        <v>954512.03932893288</v>
      </c>
      <c r="I1110" s="13">
        <f t="shared" si="296"/>
        <v>381804.88430361089</v>
      </c>
      <c r="J1110" s="51">
        <f t="shared" si="288"/>
        <v>1336316.9236325438</v>
      </c>
    </row>
    <row r="1111" spans="1:10" x14ac:dyDescent="0.25">
      <c r="A1111" s="4" t="s">
        <v>85</v>
      </c>
      <c r="B1111" s="5" t="s">
        <v>252</v>
      </c>
      <c r="C1111" s="5" t="s">
        <v>212</v>
      </c>
      <c r="D1111" s="5">
        <v>1</v>
      </c>
      <c r="E1111" s="11">
        <v>1456</v>
      </c>
      <c r="F1111" s="11">
        <v>0</v>
      </c>
      <c r="G1111" s="27">
        <f t="shared" si="294"/>
        <v>4.8333333333333304</v>
      </c>
      <c r="H1111" s="13">
        <f t="shared" si="295"/>
        <v>101814.61752841951</v>
      </c>
      <c r="I1111" s="13">
        <f t="shared" si="296"/>
        <v>0</v>
      </c>
      <c r="J1111" s="51">
        <f t="shared" si="288"/>
        <v>101814.61752841951</v>
      </c>
    </row>
    <row r="1112" spans="1:10" x14ac:dyDescent="0.25">
      <c r="A1112" s="15" t="s">
        <v>85</v>
      </c>
      <c r="B1112" s="16" t="s">
        <v>254</v>
      </c>
      <c r="C1112" s="16" t="s">
        <v>212</v>
      </c>
      <c r="D1112" s="16">
        <v>1</v>
      </c>
      <c r="E1112" s="18">
        <v>1456</v>
      </c>
      <c r="F1112" s="18">
        <v>0</v>
      </c>
      <c r="G1112" s="27">
        <f t="shared" si="294"/>
        <v>4.8333333333333304</v>
      </c>
      <c r="H1112" s="13">
        <f t="shared" si="295"/>
        <v>101814.61752841951</v>
      </c>
      <c r="I1112" s="13">
        <f t="shared" si="296"/>
        <v>0</v>
      </c>
      <c r="J1112" s="51">
        <f t="shared" si="288"/>
        <v>101814.61752841951</v>
      </c>
    </row>
    <row r="1113" spans="1:10" s="3" customFormat="1" x14ac:dyDescent="0.25">
      <c r="A1113" s="4"/>
      <c r="B1113" s="20" t="s">
        <v>324</v>
      </c>
      <c r="C1113" s="21"/>
      <c r="D1113" s="21"/>
      <c r="E1113" s="29"/>
      <c r="F1113" s="29"/>
      <c r="G1113" s="47">
        <f>SUM(G1108:G1112)</f>
        <v>28.999999999999979</v>
      </c>
      <c r="H1113" s="47">
        <f t="shared" ref="H1113:J1113" si="297">SUM(H1108:H1112)</f>
        <v>1525541</v>
      </c>
      <c r="I1113" s="47">
        <f t="shared" si="297"/>
        <v>474459</v>
      </c>
      <c r="J1113" s="47">
        <f t="shared" si="297"/>
        <v>2000000</v>
      </c>
    </row>
    <row r="1114" spans="1:10" x14ac:dyDescent="0.25">
      <c r="A1114" s="23" t="s">
        <v>86</v>
      </c>
      <c r="B1114" s="24" t="s">
        <v>217</v>
      </c>
      <c r="C1114" s="24" t="s">
        <v>218</v>
      </c>
      <c r="D1114" s="24">
        <v>4</v>
      </c>
      <c r="E1114" s="30">
        <v>13252</v>
      </c>
      <c r="F1114" s="30">
        <v>5300</v>
      </c>
      <c r="G1114" s="27">
        <f>+D1114*4.8</f>
        <v>19.2</v>
      </c>
      <c r="H1114" s="13">
        <f>+E1114*4751667/359532</f>
        <v>175141.8262741564</v>
      </c>
      <c r="I1114" s="13">
        <f>+F1114*248333/18790</f>
        <v>70046.029803086742</v>
      </c>
      <c r="J1114" s="51">
        <f t="shared" si="288"/>
        <v>245187.85607724314</v>
      </c>
    </row>
    <row r="1115" spans="1:10" x14ac:dyDescent="0.25">
      <c r="A1115" s="4" t="s">
        <v>86</v>
      </c>
      <c r="B1115" s="5" t="s">
        <v>219</v>
      </c>
      <c r="C1115" s="5" t="s">
        <v>220</v>
      </c>
      <c r="D1115" s="5">
        <v>1</v>
      </c>
      <c r="E1115" s="11">
        <v>3397</v>
      </c>
      <c r="F1115" s="11">
        <v>1358</v>
      </c>
      <c r="G1115" s="27">
        <f t="shared" ref="G1115:G1121" si="298">+D1115*4.8</f>
        <v>4.8</v>
      </c>
      <c r="H1115" s="13">
        <f t="shared" ref="H1115:H1121" si="299">+E1115*4751667/359532</f>
        <v>44895.622083708819</v>
      </c>
      <c r="I1115" s="13">
        <f t="shared" ref="I1115:I1121" si="300">+F1115*248333/18790</f>
        <v>17947.643108036191</v>
      </c>
      <c r="J1115" s="51">
        <f t="shared" si="288"/>
        <v>62843.265191745013</v>
      </c>
    </row>
    <row r="1116" spans="1:10" x14ac:dyDescent="0.25">
      <c r="A1116" s="4" t="s">
        <v>86</v>
      </c>
      <c r="B1116" s="5" t="s">
        <v>228</v>
      </c>
      <c r="C1116" s="5" t="s">
        <v>229</v>
      </c>
      <c r="D1116" s="5">
        <v>1</v>
      </c>
      <c r="E1116" s="11">
        <v>1941</v>
      </c>
      <c r="F1116" s="11">
        <v>0</v>
      </c>
      <c r="G1116" s="27">
        <f t="shared" si="298"/>
        <v>4.8</v>
      </c>
      <c r="H1116" s="13">
        <f t="shared" si="299"/>
        <v>25652.75315410033</v>
      </c>
      <c r="I1116" s="13">
        <f t="shared" si="300"/>
        <v>0</v>
      </c>
      <c r="J1116" s="51">
        <f t="shared" si="288"/>
        <v>25652.75315410033</v>
      </c>
    </row>
    <row r="1117" spans="1:10" x14ac:dyDescent="0.25">
      <c r="A1117" s="4" t="s">
        <v>86</v>
      </c>
      <c r="B1117" s="5" t="s">
        <v>230</v>
      </c>
      <c r="C1117" s="5" t="s">
        <v>229</v>
      </c>
      <c r="D1117" s="5">
        <v>2</v>
      </c>
      <c r="E1117" s="11">
        <v>3882</v>
      </c>
      <c r="F1117" s="11">
        <v>0</v>
      </c>
      <c r="G1117" s="27">
        <f t="shared" si="298"/>
        <v>9.6</v>
      </c>
      <c r="H1117" s="13">
        <f t="shared" si="299"/>
        <v>51305.50630820066</v>
      </c>
      <c r="I1117" s="13">
        <f t="shared" si="300"/>
        <v>0</v>
      </c>
      <c r="J1117" s="51">
        <f t="shared" si="288"/>
        <v>51305.50630820066</v>
      </c>
    </row>
    <row r="1118" spans="1:10" x14ac:dyDescent="0.25">
      <c r="A1118" s="4" t="s">
        <v>86</v>
      </c>
      <c r="B1118" s="5" t="s">
        <v>262</v>
      </c>
      <c r="C1118" s="5" t="s">
        <v>263</v>
      </c>
      <c r="D1118" s="5">
        <v>2</v>
      </c>
      <c r="E1118" s="11">
        <v>303332</v>
      </c>
      <c r="F1118" s="11">
        <v>0</v>
      </c>
      <c r="G1118" s="27">
        <f t="shared" si="298"/>
        <v>9.6</v>
      </c>
      <c r="H1118" s="13">
        <f t="shared" si="299"/>
        <v>4008913.4053269252</v>
      </c>
      <c r="I1118" s="13">
        <f t="shared" si="300"/>
        <v>0</v>
      </c>
      <c r="J1118" s="51">
        <f t="shared" si="288"/>
        <v>4008913.4053269252</v>
      </c>
    </row>
    <row r="1119" spans="1:10" x14ac:dyDescent="0.25">
      <c r="A1119" s="4" t="s">
        <v>86</v>
      </c>
      <c r="B1119" s="5" t="s">
        <v>249</v>
      </c>
      <c r="C1119" s="5" t="s">
        <v>250</v>
      </c>
      <c r="D1119" s="5">
        <v>2</v>
      </c>
      <c r="E1119" s="11">
        <v>30332</v>
      </c>
      <c r="F1119" s="11">
        <v>12132</v>
      </c>
      <c r="G1119" s="27">
        <f t="shared" si="298"/>
        <v>9.6</v>
      </c>
      <c r="H1119" s="13">
        <f t="shared" si="299"/>
        <v>400875.48102533293</v>
      </c>
      <c r="I1119" s="13">
        <f t="shared" si="300"/>
        <v>160339.32708887706</v>
      </c>
      <c r="J1119" s="51">
        <f t="shared" si="288"/>
        <v>561214.80811421003</v>
      </c>
    </row>
    <row r="1120" spans="1:10" x14ac:dyDescent="0.25">
      <c r="A1120" s="4" t="s">
        <v>86</v>
      </c>
      <c r="B1120" s="5" t="s">
        <v>252</v>
      </c>
      <c r="C1120" s="5" t="s">
        <v>212</v>
      </c>
      <c r="D1120" s="5">
        <v>1</v>
      </c>
      <c r="E1120" s="11">
        <v>1456</v>
      </c>
      <c r="F1120" s="11">
        <v>0</v>
      </c>
      <c r="G1120" s="27">
        <f t="shared" si="298"/>
        <v>4.8</v>
      </c>
      <c r="H1120" s="13">
        <f t="shared" si="299"/>
        <v>19242.868929608492</v>
      </c>
      <c r="I1120" s="13">
        <f t="shared" si="300"/>
        <v>0</v>
      </c>
      <c r="J1120" s="51">
        <f t="shared" si="288"/>
        <v>19242.868929608492</v>
      </c>
    </row>
    <row r="1121" spans="1:10" x14ac:dyDescent="0.25">
      <c r="A1121" s="15" t="s">
        <v>86</v>
      </c>
      <c r="B1121" s="16" t="s">
        <v>257</v>
      </c>
      <c r="C1121" s="16" t="s">
        <v>210</v>
      </c>
      <c r="D1121" s="16">
        <v>2</v>
      </c>
      <c r="E1121" s="18">
        <v>1940</v>
      </c>
      <c r="F1121" s="18">
        <v>0</v>
      </c>
      <c r="G1121" s="27">
        <f t="shared" si="298"/>
        <v>9.6</v>
      </c>
      <c r="H1121" s="13">
        <f t="shared" si="299"/>
        <v>25639.536897967359</v>
      </c>
      <c r="I1121" s="13">
        <f t="shared" si="300"/>
        <v>0</v>
      </c>
      <c r="J1121" s="51">
        <f t="shared" si="288"/>
        <v>25639.536897967359</v>
      </c>
    </row>
    <row r="1122" spans="1:10" s="3" customFormat="1" x14ac:dyDescent="0.25">
      <c r="A1122" s="4"/>
      <c r="B1122" s="20" t="s">
        <v>325</v>
      </c>
      <c r="C1122" s="21"/>
      <c r="D1122" s="21"/>
      <c r="E1122" s="29"/>
      <c r="F1122" s="29"/>
      <c r="G1122" s="47">
        <f>SUM(G1114:G1121)</f>
        <v>72</v>
      </c>
      <c r="H1122" s="47">
        <f t="shared" ref="H1122:J1122" si="301">SUM(H1114:H1121)</f>
        <v>4751667</v>
      </c>
      <c r="I1122" s="47">
        <f t="shared" si="301"/>
        <v>248333</v>
      </c>
      <c r="J1122" s="47">
        <f t="shared" si="301"/>
        <v>5000000.0000000009</v>
      </c>
    </row>
    <row r="1123" spans="1:10" x14ac:dyDescent="0.25">
      <c r="A1123" s="23" t="s">
        <v>87</v>
      </c>
      <c r="B1123" s="24" t="s">
        <v>213</v>
      </c>
      <c r="C1123" s="24" t="s">
        <v>212</v>
      </c>
      <c r="D1123" s="24">
        <v>2</v>
      </c>
      <c r="E1123" s="30">
        <v>2912</v>
      </c>
      <c r="F1123" s="30">
        <v>0</v>
      </c>
      <c r="G1123" s="27">
        <f>+D1123*4.78181818181818</f>
        <v>9.5636363636363608</v>
      </c>
      <c r="H1123" s="13">
        <f>+E1123*1689750/214398</f>
        <v>22950.549911846192</v>
      </c>
      <c r="I1123" s="13">
        <f>+F1123*310250/39365</f>
        <v>0</v>
      </c>
      <c r="J1123" s="51">
        <f t="shared" si="288"/>
        <v>22950.549911846192</v>
      </c>
    </row>
    <row r="1124" spans="1:10" x14ac:dyDescent="0.25">
      <c r="A1124" s="4" t="s">
        <v>87</v>
      </c>
      <c r="B1124" s="5" t="s">
        <v>258</v>
      </c>
      <c r="C1124" s="5" t="s">
        <v>259</v>
      </c>
      <c r="D1124" s="5">
        <v>1</v>
      </c>
      <c r="E1124" s="11">
        <v>36400</v>
      </c>
      <c r="F1124" s="11">
        <v>0</v>
      </c>
      <c r="G1124" s="27">
        <f t="shared" ref="G1124:G1133" si="302">+D1124*4.78181818181818</f>
        <v>4.7818181818181804</v>
      </c>
      <c r="H1124" s="13">
        <f t="shared" ref="H1124:H1133" si="303">+E1124*1689750/214398</f>
        <v>286881.87389807741</v>
      </c>
      <c r="I1124" s="13">
        <f t="shared" ref="I1124:I1133" si="304">+F1124*310250/39365</f>
        <v>0</v>
      </c>
      <c r="J1124" s="51">
        <f t="shared" si="288"/>
        <v>286881.87389807741</v>
      </c>
    </row>
    <row r="1125" spans="1:10" x14ac:dyDescent="0.25">
      <c r="A1125" s="4" t="s">
        <v>87</v>
      </c>
      <c r="B1125" s="5" t="s">
        <v>221</v>
      </c>
      <c r="C1125" s="5" t="s">
        <v>222</v>
      </c>
      <c r="D1125" s="5">
        <v>1</v>
      </c>
      <c r="E1125" s="11">
        <v>72800</v>
      </c>
      <c r="F1125" s="11">
        <v>29120</v>
      </c>
      <c r="G1125" s="27">
        <f t="shared" si="302"/>
        <v>4.7818181818181804</v>
      </c>
      <c r="H1125" s="13">
        <f t="shared" si="303"/>
        <v>573763.74779615481</v>
      </c>
      <c r="I1125" s="13">
        <f t="shared" si="304"/>
        <v>229505.39819636734</v>
      </c>
      <c r="J1125" s="51">
        <f t="shared" si="288"/>
        <v>803269.14599252213</v>
      </c>
    </row>
    <row r="1126" spans="1:10" x14ac:dyDescent="0.25">
      <c r="A1126" s="4" t="s">
        <v>87</v>
      </c>
      <c r="B1126" s="5" t="s">
        <v>228</v>
      </c>
      <c r="C1126" s="5" t="s">
        <v>229</v>
      </c>
      <c r="D1126" s="5">
        <v>25</v>
      </c>
      <c r="E1126" s="11">
        <v>48525</v>
      </c>
      <c r="F1126" s="11">
        <v>0</v>
      </c>
      <c r="G1126" s="27">
        <f t="shared" si="302"/>
        <v>119.5454545454545</v>
      </c>
      <c r="H1126" s="13">
        <f t="shared" si="303"/>
        <v>382443.48711275292</v>
      </c>
      <c r="I1126" s="13">
        <f t="shared" si="304"/>
        <v>0</v>
      </c>
      <c r="J1126" s="51">
        <f t="shared" si="288"/>
        <v>382443.48711275292</v>
      </c>
    </row>
    <row r="1127" spans="1:10" x14ac:dyDescent="0.25">
      <c r="A1127" s="4" t="s">
        <v>87</v>
      </c>
      <c r="B1127" s="5" t="s">
        <v>230</v>
      </c>
      <c r="C1127" s="5" t="s">
        <v>229</v>
      </c>
      <c r="D1127" s="5">
        <v>1</v>
      </c>
      <c r="E1127" s="11">
        <v>1941</v>
      </c>
      <c r="F1127" s="11">
        <v>0</v>
      </c>
      <c r="G1127" s="27">
        <f t="shared" si="302"/>
        <v>4.7818181818181804</v>
      </c>
      <c r="H1127" s="13">
        <f t="shared" si="303"/>
        <v>15297.739484510117</v>
      </c>
      <c r="I1127" s="13">
        <f t="shared" si="304"/>
        <v>0</v>
      </c>
      <c r="J1127" s="51">
        <f t="shared" si="288"/>
        <v>15297.739484510117</v>
      </c>
    </row>
    <row r="1128" spans="1:10" x14ac:dyDescent="0.25">
      <c r="A1128" s="4" t="s">
        <v>87</v>
      </c>
      <c r="B1128" s="5" t="s">
        <v>243</v>
      </c>
      <c r="C1128" s="5" t="s">
        <v>244</v>
      </c>
      <c r="D1128" s="5">
        <v>3</v>
      </c>
      <c r="E1128" s="11">
        <v>10236</v>
      </c>
      <c r="F1128" s="11">
        <v>4095</v>
      </c>
      <c r="G1128" s="27">
        <f t="shared" si="302"/>
        <v>14.34545454545454</v>
      </c>
      <c r="H1128" s="13">
        <f t="shared" si="303"/>
        <v>80673.704978591224</v>
      </c>
      <c r="I1128" s="13">
        <f t="shared" si="304"/>
        <v>32274.196621364157</v>
      </c>
      <c r="J1128" s="51">
        <f t="shared" si="288"/>
        <v>112947.90159995538</v>
      </c>
    </row>
    <row r="1129" spans="1:10" x14ac:dyDescent="0.25">
      <c r="A1129" s="4" t="s">
        <v>87</v>
      </c>
      <c r="B1129" s="5" t="s">
        <v>269</v>
      </c>
      <c r="C1129" s="5" t="s">
        <v>238</v>
      </c>
      <c r="D1129" s="5">
        <v>3</v>
      </c>
      <c r="E1129" s="11">
        <v>15378</v>
      </c>
      <c r="F1129" s="11">
        <v>6150</v>
      </c>
      <c r="G1129" s="27">
        <f t="shared" si="302"/>
        <v>14.34545454545454</v>
      </c>
      <c r="H1129" s="13">
        <f t="shared" si="303"/>
        <v>121199.71035177566</v>
      </c>
      <c r="I1129" s="13">
        <f t="shared" si="304"/>
        <v>48470.405182268514</v>
      </c>
      <c r="J1129" s="51">
        <f t="shared" si="288"/>
        <v>169670.11553404416</v>
      </c>
    </row>
    <row r="1130" spans="1:10" x14ac:dyDescent="0.25">
      <c r="A1130" s="4" t="s">
        <v>87</v>
      </c>
      <c r="B1130" s="5" t="s">
        <v>252</v>
      </c>
      <c r="C1130" s="5" t="s">
        <v>212</v>
      </c>
      <c r="D1130" s="5">
        <v>12</v>
      </c>
      <c r="E1130" s="11">
        <v>17472</v>
      </c>
      <c r="F1130" s="11">
        <v>0</v>
      </c>
      <c r="G1130" s="27">
        <f t="shared" si="302"/>
        <v>57.381818181818161</v>
      </c>
      <c r="H1130" s="13">
        <f t="shared" si="303"/>
        <v>137703.29947107716</v>
      </c>
      <c r="I1130" s="13">
        <f t="shared" si="304"/>
        <v>0</v>
      </c>
      <c r="J1130" s="51">
        <f t="shared" si="288"/>
        <v>137703.29947107716</v>
      </c>
    </row>
    <row r="1131" spans="1:10" x14ac:dyDescent="0.25">
      <c r="A1131" s="4" t="s">
        <v>87</v>
      </c>
      <c r="B1131" s="5" t="s">
        <v>253</v>
      </c>
      <c r="C1131" s="5" t="s">
        <v>210</v>
      </c>
      <c r="D1131" s="5">
        <v>1</v>
      </c>
      <c r="E1131" s="11">
        <v>970</v>
      </c>
      <c r="F1131" s="11">
        <v>0</v>
      </c>
      <c r="G1131" s="27">
        <f t="shared" si="302"/>
        <v>4.7818181818181804</v>
      </c>
      <c r="H1131" s="13">
        <f t="shared" si="303"/>
        <v>7644.9290571740412</v>
      </c>
      <c r="I1131" s="13">
        <f t="shared" si="304"/>
        <v>0</v>
      </c>
      <c r="J1131" s="51">
        <f t="shared" si="288"/>
        <v>7644.9290571740412</v>
      </c>
    </row>
    <row r="1132" spans="1:10" x14ac:dyDescent="0.25">
      <c r="A1132" s="4" t="s">
        <v>87</v>
      </c>
      <c r="B1132" s="5" t="s">
        <v>256</v>
      </c>
      <c r="C1132" s="5" t="s">
        <v>212</v>
      </c>
      <c r="D1132" s="5">
        <v>4</v>
      </c>
      <c r="E1132" s="11">
        <v>5824</v>
      </c>
      <c r="F1132" s="11">
        <v>0</v>
      </c>
      <c r="G1132" s="27">
        <f t="shared" si="302"/>
        <v>19.127272727272722</v>
      </c>
      <c r="H1132" s="13">
        <f t="shared" si="303"/>
        <v>45901.099823692384</v>
      </c>
      <c r="I1132" s="13">
        <f t="shared" si="304"/>
        <v>0</v>
      </c>
      <c r="J1132" s="51">
        <f t="shared" si="288"/>
        <v>45901.099823692384</v>
      </c>
    </row>
    <row r="1133" spans="1:10" x14ac:dyDescent="0.25">
      <c r="A1133" s="15" t="s">
        <v>87</v>
      </c>
      <c r="B1133" s="16" t="s">
        <v>257</v>
      </c>
      <c r="C1133" s="16" t="s">
        <v>210</v>
      </c>
      <c r="D1133" s="16">
        <v>2</v>
      </c>
      <c r="E1133" s="18">
        <v>1940</v>
      </c>
      <c r="F1133" s="18">
        <v>0</v>
      </c>
      <c r="G1133" s="27">
        <f t="shared" si="302"/>
        <v>9.5636363636363608</v>
      </c>
      <c r="H1133" s="13">
        <f t="shared" si="303"/>
        <v>15289.858114348082</v>
      </c>
      <c r="I1133" s="13">
        <f t="shared" si="304"/>
        <v>0</v>
      </c>
      <c r="J1133" s="51">
        <f t="shared" si="288"/>
        <v>15289.858114348082</v>
      </c>
    </row>
    <row r="1134" spans="1:10" s="3" customFormat="1" x14ac:dyDescent="0.25">
      <c r="A1134" s="4"/>
      <c r="B1134" s="20" t="s">
        <v>326</v>
      </c>
      <c r="C1134" s="21"/>
      <c r="D1134" s="21"/>
      <c r="E1134" s="29"/>
      <c r="F1134" s="29"/>
      <c r="G1134" s="47">
        <f>SUM(G1123:G1133)</f>
        <v>262.99999999999989</v>
      </c>
      <c r="H1134" s="47">
        <f t="shared" ref="H1134:J1134" si="305">SUM(H1123:H1133)</f>
        <v>1689750</v>
      </c>
      <c r="I1134" s="47">
        <f t="shared" si="305"/>
        <v>310250</v>
      </c>
      <c r="J1134" s="47">
        <f t="shared" si="305"/>
        <v>2000000</v>
      </c>
    </row>
    <row r="1135" spans="1:10" s="3" customFormat="1" x14ac:dyDescent="0.25">
      <c r="A1135" s="34" t="s">
        <v>88</v>
      </c>
      <c r="B1135" s="5" t="s">
        <v>214</v>
      </c>
      <c r="C1135" s="5" t="s">
        <v>210</v>
      </c>
      <c r="D1135" s="21"/>
      <c r="E1135" s="29"/>
      <c r="F1135" s="29"/>
      <c r="G1135" s="48">
        <v>4</v>
      </c>
      <c r="H1135" s="35">
        <v>1540000</v>
      </c>
      <c r="I1135" s="35">
        <v>460000</v>
      </c>
      <c r="J1135" s="51">
        <f t="shared" si="288"/>
        <v>2000000</v>
      </c>
    </row>
    <row r="1136" spans="1:10" s="3" customFormat="1" x14ac:dyDescent="0.25">
      <c r="A1136" s="34" t="s">
        <v>88</v>
      </c>
      <c r="B1136" s="21"/>
      <c r="C1136" s="21"/>
      <c r="D1136" s="21"/>
      <c r="E1136" s="29"/>
      <c r="F1136" s="29"/>
      <c r="G1136" s="48"/>
      <c r="H1136" s="48"/>
      <c r="I1136" s="48"/>
      <c r="J1136" s="51">
        <f t="shared" si="288"/>
        <v>0</v>
      </c>
    </row>
    <row r="1137" spans="1:10" s="3" customFormat="1" x14ac:dyDescent="0.25">
      <c r="A1137" s="34"/>
      <c r="B1137" s="1" t="s">
        <v>465</v>
      </c>
      <c r="C1137" s="1"/>
      <c r="D1137" s="1"/>
      <c r="E1137" s="2"/>
      <c r="F1137" s="2"/>
      <c r="G1137" s="47">
        <f>SUM(G1135:G1136)</f>
        <v>4</v>
      </c>
      <c r="H1137" s="47">
        <f>SUM(H1135:H1136)</f>
        <v>1540000</v>
      </c>
      <c r="I1137" s="47">
        <f>SUM(I1135:I1136)</f>
        <v>460000</v>
      </c>
      <c r="J1137" s="52">
        <f t="shared" si="288"/>
        <v>2000000</v>
      </c>
    </row>
    <row r="1138" spans="1:10" s="3" customFormat="1" x14ac:dyDescent="0.25">
      <c r="A1138" s="16" t="s">
        <v>89</v>
      </c>
      <c r="B1138" s="5" t="s">
        <v>214</v>
      </c>
      <c r="C1138" s="5" t="s">
        <v>210</v>
      </c>
      <c r="D1138" s="21"/>
      <c r="E1138" s="29"/>
      <c r="F1138" s="29"/>
      <c r="G1138" s="48">
        <v>4</v>
      </c>
      <c r="H1138" s="17">
        <v>1200000</v>
      </c>
      <c r="I1138" s="17">
        <v>800000</v>
      </c>
      <c r="J1138" s="51">
        <f t="shared" si="288"/>
        <v>2000000</v>
      </c>
    </row>
    <row r="1139" spans="1:10" s="3" customFormat="1" x14ac:dyDescent="0.25">
      <c r="A1139" s="16" t="s">
        <v>89</v>
      </c>
      <c r="B1139" s="21"/>
      <c r="C1139" s="21"/>
      <c r="D1139" s="21"/>
      <c r="E1139" s="29"/>
      <c r="F1139" s="29"/>
      <c r="G1139" s="48"/>
      <c r="H1139" s="48"/>
      <c r="I1139" s="48"/>
      <c r="J1139" s="51">
        <f t="shared" si="288"/>
        <v>0</v>
      </c>
    </row>
    <row r="1140" spans="1:10" s="3" customFormat="1" x14ac:dyDescent="0.25">
      <c r="A1140" s="36"/>
      <c r="B1140" s="1" t="s">
        <v>466</v>
      </c>
      <c r="C1140" s="1"/>
      <c r="D1140" s="1"/>
      <c r="E1140" s="2"/>
      <c r="F1140" s="2"/>
      <c r="G1140" s="47">
        <f>SUM(G1138:G1139)</f>
        <v>4</v>
      </c>
      <c r="H1140" s="47">
        <f>SUM(H1138:H1139)</f>
        <v>1200000</v>
      </c>
      <c r="I1140" s="47">
        <f>SUM(I1138:I1139)</f>
        <v>800000</v>
      </c>
      <c r="J1140" s="52">
        <f t="shared" si="288"/>
        <v>2000000</v>
      </c>
    </row>
    <row r="1141" spans="1:10" x14ac:dyDescent="0.25">
      <c r="A1141" s="23" t="s">
        <v>90</v>
      </c>
      <c r="B1141" s="24" t="s">
        <v>207</v>
      </c>
      <c r="C1141" s="24" t="s">
        <v>208</v>
      </c>
      <c r="D1141" s="24">
        <v>1</v>
      </c>
      <c r="E1141" s="30">
        <v>11648</v>
      </c>
      <c r="F1141" s="30">
        <v>4659</v>
      </c>
      <c r="G1141" s="27">
        <f>+D1141*4.78625954198473</f>
        <v>4.7862595419847302</v>
      </c>
      <c r="H1141" s="13">
        <f>+E1141*5233057/733774</f>
        <v>83070.056905804784</v>
      </c>
      <c r="I1141" s="13">
        <f>+F1141*766943/107540</f>
        <v>33226.589520178539</v>
      </c>
      <c r="J1141" s="51">
        <f t="shared" si="288"/>
        <v>116296.64642598332</v>
      </c>
    </row>
    <row r="1142" spans="1:10" x14ac:dyDescent="0.25">
      <c r="A1142" s="4" t="s">
        <v>90</v>
      </c>
      <c r="B1142" s="5" t="s">
        <v>214</v>
      </c>
      <c r="C1142" s="5" t="s">
        <v>210</v>
      </c>
      <c r="D1142" s="5">
        <v>3</v>
      </c>
      <c r="E1142" s="11">
        <v>2910</v>
      </c>
      <c r="F1142" s="11">
        <v>0</v>
      </c>
      <c r="G1142" s="27">
        <f t="shared" ref="G1142:G1158" si="306">+D1142*4.78625954198473</f>
        <v>14.358778625954191</v>
      </c>
      <c r="H1142" s="13">
        <f t="shared" ref="H1142:H1158" si="307">+E1142*5233057/733774</f>
        <v>20753.250823823138</v>
      </c>
      <c r="I1142" s="13">
        <f t="shared" ref="I1142:I1158" si="308">+F1142*766943/107540</f>
        <v>0</v>
      </c>
      <c r="J1142" s="51">
        <f t="shared" si="288"/>
        <v>20753.250823823138</v>
      </c>
    </row>
    <row r="1143" spans="1:10" x14ac:dyDescent="0.25">
      <c r="A1143" s="4" t="s">
        <v>90</v>
      </c>
      <c r="B1143" s="5" t="s">
        <v>216</v>
      </c>
      <c r="C1143" s="5" t="s">
        <v>210</v>
      </c>
      <c r="D1143" s="5">
        <v>2</v>
      </c>
      <c r="E1143" s="11">
        <v>1940</v>
      </c>
      <c r="F1143" s="11">
        <v>0</v>
      </c>
      <c r="G1143" s="27">
        <f t="shared" si="306"/>
        <v>9.5725190839694605</v>
      </c>
      <c r="H1143" s="13">
        <f t="shared" si="307"/>
        <v>13835.500549215427</v>
      </c>
      <c r="I1143" s="13">
        <f t="shared" si="308"/>
        <v>0</v>
      </c>
      <c r="J1143" s="51">
        <f t="shared" si="288"/>
        <v>13835.500549215427</v>
      </c>
    </row>
    <row r="1144" spans="1:10" x14ac:dyDescent="0.25">
      <c r="A1144" s="4" t="s">
        <v>90</v>
      </c>
      <c r="B1144" s="5" t="s">
        <v>217</v>
      </c>
      <c r="C1144" s="5" t="s">
        <v>218</v>
      </c>
      <c r="D1144" s="5">
        <v>6</v>
      </c>
      <c r="E1144" s="11">
        <v>19878</v>
      </c>
      <c r="F1144" s="11">
        <v>7950</v>
      </c>
      <c r="G1144" s="27">
        <f t="shared" si="306"/>
        <v>28.717557251908381</v>
      </c>
      <c r="H1144" s="13">
        <f t="shared" si="307"/>
        <v>141763.95872025992</v>
      </c>
      <c r="I1144" s="13">
        <f t="shared" si="308"/>
        <v>56697.013669332344</v>
      </c>
      <c r="J1144" s="51">
        <f t="shared" si="288"/>
        <v>198460.97238959227</v>
      </c>
    </row>
    <row r="1145" spans="1:10" x14ac:dyDescent="0.25">
      <c r="A1145" s="4" t="s">
        <v>90</v>
      </c>
      <c r="B1145" s="5" t="s">
        <v>219</v>
      </c>
      <c r="C1145" s="5" t="s">
        <v>220</v>
      </c>
      <c r="D1145" s="5">
        <v>1</v>
      </c>
      <c r="E1145" s="11">
        <v>3397</v>
      </c>
      <c r="F1145" s="11">
        <v>1358</v>
      </c>
      <c r="G1145" s="27">
        <f t="shared" si="306"/>
        <v>4.7862595419847302</v>
      </c>
      <c r="H1145" s="13">
        <f t="shared" si="307"/>
        <v>24226.389363755054</v>
      </c>
      <c r="I1145" s="13">
        <f t="shared" si="308"/>
        <v>9684.8483726985305</v>
      </c>
      <c r="J1145" s="51">
        <f t="shared" si="288"/>
        <v>33911.237736453586</v>
      </c>
    </row>
    <row r="1146" spans="1:10" x14ac:dyDescent="0.25">
      <c r="A1146" s="4" t="s">
        <v>90</v>
      </c>
      <c r="B1146" s="5" t="s">
        <v>223</v>
      </c>
      <c r="C1146" s="5" t="s">
        <v>224</v>
      </c>
      <c r="D1146" s="5">
        <v>1</v>
      </c>
      <c r="E1146" s="11">
        <v>0</v>
      </c>
      <c r="F1146" s="11">
        <v>0</v>
      </c>
      <c r="G1146" s="27">
        <f t="shared" si="306"/>
        <v>4.7862595419847302</v>
      </c>
      <c r="H1146" s="13">
        <f t="shared" si="307"/>
        <v>0</v>
      </c>
      <c r="I1146" s="13">
        <f t="shared" si="308"/>
        <v>0</v>
      </c>
      <c r="J1146" s="51">
        <f t="shared" si="288"/>
        <v>0</v>
      </c>
    </row>
    <row r="1147" spans="1:10" x14ac:dyDescent="0.25">
      <c r="A1147" s="4" t="s">
        <v>90</v>
      </c>
      <c r="B1147" s="5" t="s">
        <v>226</v>
      </c>
      <c r="C1147" s="5" t="s">
        <v>210</v>
      </c>
      <c r="D1147" s="5">
        <v>10</v>
      </c>
      <c r="E1147" s="11">
        <v>9700</v>
      </c>
      <c r="F1147" s="11">
        <v>0</v>
      </c>
      <c r="G1147" s="27">
        <f t="shared" si="306"/>
        <v>47.862595419847302</v>
      </c>
      <c r="H1147" s="13">
        <f t="shared" si="307"/>
        <v>69177.502746077123</v>
      </c>
      <c r="I1147" s="13">
        <f t="shared" si="308"/>
        <v>0</v>
      </c>
      <c r="J1147" s="51">
        <f t="shared" si="288"/>
        <v>69177.502746077123</v>
      </c>
    </row>
    <row r="1148" spans="1:10" x14ac:dyDescent="0.25">
      <c r="A1148" s="4" t="s">
        <v>90</v>
      </c>
      <c r="B1148" s="5" t="s">
        <v>227</v>
      </c>
      <c r="C1148" s="5" t="s">
        <v>210</v>
      </c>
      <c r="D1148" s="5">
        <v>4</v>
      </c>
      <c r="E1148" s="11">
        <v>3880</v>
      </c>
      <c r="F1148" s="11">
        <v>0</v>
      </c>
      <c r="G1148" s="27">
        <f t="shared" si="306"/>
        <v>19.145038167938921</v>
      </c>
      <c r="H1148" s="13">
        <f t="shared" si="307"/>
        <v>27671.001098430854</v>
      </c>
      <c r="I1148" s="13">
        <f t="shared" si="308"/>
        <v>0</v>
      </c>
      <c r="J1148" s="51">
        <f t="shared" si="288"/>
        <v>27671.001098430854</v>
      </c>
    </row>
    <row r="1149" spans="1:10" x14ac:dyDescent="0.25">
      <c r="A1149" s="4" t="s">
        <v>90</v>
      </c>
      <c r="B1149" s="5" t="s">
        <v>228</v>
      </c>
      <c r="C1149" s="5" t="s">
        <v>229</v>
      </c>
      <c r="D1149" s="5">
        <v>36</v>
      </c>
      <c r="E1149" s="11">
        <v>69876</v>
      </c>
      <c r="F1149" s="11">
        <v>0</v>
      </c>
      <c r="G1149" s="27">
        <f t="shared" si="306"/>
        <v>172.3053435114503</v>
      </c>
      <c r="H1149" s="13">
        <f t="shared" si="307"/>
        <v>498334.76101906039</v>
      </c>
      <c r="I1149" s="13">
        <f t="shared" si="308"/>
        <v>0</v>
      </c>
      <c r="J1149" s="51">
        <f t="shared" si="288"/>
        <v>498334.76101906039</v>
      </c>
    </row>
    <row r="1150" spans="1:10" x14ac:dyDescent="0.25">
      <c r="A1150" s="4" t="s">
        <v>90</v>
      </c>
      <c r="B1150" s="5" t="s">
        <v>230</v>
      </c>
      <c r="C1150" s="5" t="s">
        <v>229</v>
      </c>
      <c r="D1150" s="5">
        <v>33</v>
      </c>
      <c r="E1150" s="11">
        <v>64053</v>
      </c>
      <c r="F1150" s="11">
        <v>0</v>
      </c>
      <c r="G1150" s="27">
        <f t="shared" si="306"/>
        <v>157.94656488549609</v>
      </c>
      <c r="H1150" s="13">
        <f t="shared" si="307"/>
        <v>456806.864267472</v>
      </c>
      <c r="I1150" s="13">
        <f t="shared" si="308"/>
        <v>0</v>
      </c>
      <c r="J1150" s="51">
        <f t="shared" si="288"/>
        <v>456806.864267472</v>
      </c>
    </row>
    <row r="1151" spans="1:10" x14ac:dyDescent="0.25">
      <c r="A1151" s="4" t="s">
        <v>90</v>
      </c>
      <c r="B1151" s="5" t="s">
        <v>262</v>
      </c>
      <c r="C1151" s="5" t="s">
        <v>263</v>
      </c>
      <c r="D1151" s="5">
        <v>2</v>
      </c>
      <c r="E1151" s="11">
        <v>303332</v>
      </c>
      <c r="F1151" s="11">
        <v>0</v>
      </c>
      <c r="G1151" s="27">
        <f t="shared" si="306"/>
        <v>9.5725190839694605</v>
      </c>
      <c r="H1151" s="13">
        <f t="shared" si="307"/>
        <v>2163273.2229869142</v>
      </c>
      <c r="I1151" s="13">
        <f t="shared" si="308"/>
        <v>0</v>
      </c>
      <c r="J1151" s="51">
        <f t="shared" si="288"/>
        <v>2163273.2229869142</v>
      </c>
    </row>
    <row r="1152" spans="1:10" x14ac:dyDescent="0.25">
      <c r="A1152" s="4" t="s">
        <v>90</v>
      </c>
      <c r="B1152" s="5" t="s">
        <v>235</v>
      </c>
      <c r="C1152" s="5" t="s">
        <v>236</v>
      </c>
      <c r="D1152" s="5">
        <v>1</v>
      </c>
      <c r="E1152" s="11">
        <v>6825</v>
      </c>
      <c r="F1152" s="11">
        <v>2730</v>
      </c>
      <c r="G1152" s="27">
        <f t="shared" si="306"/>
        <v>4.7862595419847302</v>
      </c>
      <c r="H1152" s="13">
        <f t="shared" si="307"/>
        <v>48673.861468244992</v>
      </c>
      <c r="I1152" s="13">
        <f t="shared" si="308"/>
        <v>19469.540543053747</v>
      </c>
      <c r="J1152" s="51">
        <f t="shared" si="288"/>
        <v>68143.402011298735</v>
      </c>
    </row>
    <row r="1153" spans="1:10" x14ac:dyDescent="0.25">
      <c r="A1153" s="4" t="s">
        <v>90</v>
      </c>
      <c r="B1153" s="5" t="s">
        <v>241</v>
      </c>
      <c r="C1153" s="5" t="s">
        <v>236</v>
      </c>
      <c r="D1153" s="5">
        <v>15</v>
      </c>
      <c r="E1153" s="11">
        <v>102375</v>
      </c>
      <c r="F1153" s="11">
        <v>40950</v>
      </c>
      <c r="G1153" s="27">
        <f t="shared" si="306"/>
        <v>71.79389312977095</v>
      </c>
      <c r="H1153" s="13">
        <f t="shared" si="307"/>
        <v>730107.92202367482</v>
      </c>
      <c r="I1153" s="13">
        <f t="shared" si="308"/>
        <v>292043.10814580624</v>
      </c>
      <c r="J1153" s="51">
        <f t="shared" si="288"/>
        <v>1022151.0301694811</v>
      </c>
    </row>
    <row r="1154" spans="1:10" x14ac:dyDescent="0.25">
      <c r="A1154" s="4" t="s">
        <v>90</v>
      </c>
      <c r="B1154" s="5" t="s">
        <v>243</v>
      </c>
      <c r="C1154" s="5" t="s">
        <v>244</v>
      </c>
      <c r="D1154" s="5">
        <v>1</v>
      </c>
      <c r="E1154" s="11">
        <v>3412</v>
      </c>
      <c r="F1154" s="11">
        <v>1365</v>
      </c>
      <c r="G1154" s="27">
        <f t="shared" si="306"/>
        <v>4.7862595419847302</v>
      </c>
      <c r="H1154" s="13">
        <f t="shared" si="307"/>
        <v>24333.364883465481</v>
      </c>
      <c r="I1154" s="13">
        <f t="shared" si="308"/>
        <v>9734.7702715268733</v>
      </c>
      <c r="J1154" s="51">
        <f t="shared" si="288"/>
        <v>34068.135154992357</v>
      </c>
    </row>
    <row r="1155" spans="1:10" x14ac:dyDescent="0.25">
      <c r="A1155" s="4" t="s">
        <v>90</v>
      </c>
      <c r="B1155" s="5" t="s">
        <v>249</v>
      </c>
      <c r="C1155" s="5" t="s">
        <v>250</v>
      </c>
      <c r="D1155" s="5">
        <v>8</v>
      </c>
      <c r="E1155" s="11">
        <v>121328</v>
      </c>
      <c r="F1155" s="11">
        <v>48528</v>
      </c>
      <c r="G1155" s="27">
        <f t="shared" si="306"/>
        <v>38.290076335877842</v>
      </c>
      <c r="H1155" s="13">
        <f t="shared" si="307"/>
        <v>865275.05702845834</v>
      </c>
      <c r="I1155" s="13">
        <f t="shared" si="308"/>
        <v>346087.12947740377</v>
      </c>
      <c r="J1155" s="51">
        <f t="shared" si="288"/>
        <v>1211362.186505862</v>
      </c>
    </row>
    <row r="1156" spans="1:10" x14ac:dyDescent="0.25">
      <c r="A1156" s="4" t="s">
        <v>90</v>
      </c>
      <c r="B1156" s="5" t="s">
        <v>252</v>
      </c>
      <c r="C1156" s="5" t="s">
        <v>212</v>
      </c>
      <c r="D1156" s="5">
        <v>4</v>
      </c>
      <c r="E1156" s="11">
        <v>5824</v>
      </c>
      <c r="F1156" s="11">
        <v>0</v>
      </c>
      <c r="G1156" s="27">
        <f t="shared" si="306"/>
        <v>19.145038167938921</v>
      </c>
      <c r="H1156" s="13">
        <f t="shared" si="307"/>
        <v>41535.028452902392</v>
      </c>
      <c r="I1156" s="13">
        <f t="shared" si="308"/>
        <v>0</v>
      </c>
      <c r="J1156" s="51">
        <f t="shared" si="288"/>
        <v>41535.028452902392</v>
      </c>
    </row>
    <row r="1157" spans="1:10" x14ac:dyDescent="0.25">
      <c r="A1157" s="4" t="s">
        <v>90</v>
      </c>
      <c r="B1157" s="5" t="s">
        <v>256</v>
      </c>
      <c r="C1157" s="5" t="s">
        <v>212</v>
      </c>
      <c r="D1157" s="5">
        <v>1</v>
      </c>
      <c r="E1157" s="11">
        <v>1456</v>
      </c>
      <c r="F1157" s="11">
        <v>0</v>
      </c>
      <c r="G1157" s="27">
        <f t="shared" si="306"/>
        <v>4.7862595419847302</v>
      </c>
      <c r="H1157" s="13">
        <f t="shared" si="307"/>
        <v>10383.757113225598</v>
      </c>
      <c r="I1157" s="13">
        <f t="shared" si="308"/>
        <v>0</v>
      </c>
      <c r="J1157" s="51">
        <f t="shared" si="288"/>
        <v>10383.757113225598</v>
      </c>
    </row>
    <row r="1158" spans="1:10" x14ac:dyDescent="0.25">
      <c r="A1158" s="15" t="s">
        <v>90</v>
      </c>
      <c r="B1158" s="16" t="s">
        <v>257</v>
      </c>
      <c r="C1158" s="16" t="s">
        <v>210</v>
      </c>
      <c r="D1158" s="16">
        <v>2</v>
      </c>
      <c r="E1158" s="18">
        <v>1940</v>
      </c>
      <c r="F1158" s="18">
        <v>0</v>
      </c>
      <c r="G1158" s="27">
        <f t="shared" si="306"/>
        <v>9.5725190839694605</v>
      </c>
      <c r="H1158" s="13">
        <f t="shared" si="307"/>
        <v>13835.500549215427</v>
      </c>
      <c r="I1158" s="13">
        <f t="shared" si="308"/>
        <v>0</v>
      </c>
      <c r="J1158" s="51">
        <f t="shared" si="288"/>
        <v>13835.500549215427</v>
      </c>
    </row>
    <row r="1159" spans="1:10" s="3" customFormat="1" x14ac:dyDescent="0.25">
      <c r="A1159" s="4"/>
      <c r="B1159" s="20" t="s">
        <v>327</v>
      </c>
      <c r="C1159" s="21"/>
      <c r="D1159" s="21"/>
      <c r="E1159" s="29"/>
      <c r="F1159" s="29"/>
      <c r="G1159" s="47">
        <f>SUM(G1141:G1158)</f>
        <v>626.99999999999955</v>
      </c>
      <c r="H1159" s="47">
        <f t="shared" ref="H1159:J1159" si="309">SUM(H1141:H1158)</f>
        <v>5233057</v>
      </c>
      <c r="I1159" s="47">
        <f t="shared" si="309"/>
        <v>766943</v>
      </c>
      <c r="J1159" s="47">
        <f t="shared" si="309"/>
        <v>6000000.0000000009</v>
      </c>
    </row>
    <row r="1160" spans="1:10" x14ac:dyDescent="0.25">
      <c r="A1160" s="23" t="s">
        <v>91</v>
      </c>
      <c r="B1160" s="24" t="s">
        <v>207</v>
      </c>
      <c r="C1160" s="24" t="s">
        <v>208</v>
      </c>
      <c r="D1160" s="24">
        <v>1</v>
      </c>
      <c r="E1160" s="30">
        <v>11648</v>
      </c>
      <c r="F1160" s="30">
        <v>4659</v>
      </c>
      <c r="G1160" s="27">
        <f>+D1160*4.7741935483871</f>
        <v>4.7741935483870996</v>
      </c>
      <c r="H1160" s="13">
        <f>+E1160*2217577/156405</f>
        <v>165150.32701000606</v>
      </c>
      <c r="I1160" s="13">
        <f>+F1160*782423/55184</f>
        <v>66057.349177297772</v>
      </c>
      <c r="J1160" s="51">
        <f t="shared" si="288"/>
        <v>231207.67618730385</v>
      </c>
    </row>
    <row r="1161" spans="1:10" x14ac:dyDescent="0.25">
      <c r="A1161" s="4" t="s">
        <v>91</v>
      </c>
      <c r="B1161" s="5" t="s">
        <v>209</v>
      </c>
      <c r="C1161" s="5" t="s">
        <v>210</v>
      </c>
      <c r="D1161" s="5">
        <v>2</v>
      </c>
      <c r="E1161" s="11">
        <v>1940</v>
      </c>
      <c r="F1161" s="11">
        <v>0</v>
      </c>
      <c r="G1161" s="27">
        <f t="shared" ref="G1161:G1171" si="310">+D1161*4.7741935483871</f>
        <v>9.5483870967741993</v>
      </c>
      <c r="H1161" s="13">
        <f t="shared" ref="H1161:H1171" si="311">+E1161*2217577/156405</f>
        <v>27506.149931268181</v>
      </c>
      <c r="I1161" s="13">
        <f t="shared" ref="I1161:I1171" si="312">+F1161*782423/55184</f>
        <v>0</v>
      </c>
      <c r="J1161" s="51">
        <f t="shared" si="288"/>
        <v>27506.149931268181</v>
      </c>
    </row>
    <row r="1162" spans="1:10" x14ac:dyDescent="0.25">
      <c r="A1162" s="4" t="s">
        <v>91</v>
      </c>
      <c r="B1162" s="5" t="s">
        <v>214</v>
      </c>
      <c r="C1162" s="5" t="s">
        <v>210</v>
      </c>
      <c r="D1162" s="5">
        <v>3</v>
      </c>
      <c r="E1162" s="11">
        <v>2910</v>
      </c>
      <c r="F1162" s="11">
        <v>0</v>
      </c>
      <c r="G1162" s="27">
        <f t="shared" si="310"/>
        <v>14.322580645161299</v>
      </c>
      <c r="H1162" s="13">
        <f t="shared" si="311"/>
        <v>41259.224896902269</v>
      </c>
      <c r="I1162" s="13">
        <f t="shared" si="312"/>
        <v>0</v>
      </c>
      <c r="J1162" s="51">
        <f t="shared" ref="J1162:J1225" si="313">SUM(H1162:I1162)</f>
        <v>41259.224896902269</v>
      </c>
    </row>
    <row r="1163" spans="1:10" x14ac:dyDescent="0.25">
      <c r="A1163" s="4" t="s">
        <v>91</v>
      </c>
      <c r="B1163" s="5" t="s">
        <v>216</v>
      </c>
      <c r="C1163" s="5" t="s">
        <v>210</v>
      </c>
      <c r="D1163" s="5">
        <v>2</v>
      </c>
      <c r="E1163" s="11">
        <v>1940</v>
      </c>
      <c r="F1163" s="11">
        <v>0</v>
      </c>
      <c r="G1163" s="27">
        <f t="shared" si="310"/>
        <v>9.5483870967741993</v>
      </c>
      <c r="H1163" s="13">
        <f t="shared" si="311"/>
        <v>27506.149931268181</v>
      </c>
      <c r="I1163" s="13">
        <f t="shared" si="312"/>
        <v>0</v>
      </c>
      <c r="J1163" s="51">
        <f t="shared" si="313"/>
        <v>27506.149931268181</v>
      </c>
    </row>
    <row r="1164" spans="1:10" x14ac:dyDescent="0.25">
      <c r="A1164" s="4" t="s">
        <v>91</v>
      </c>
      <c r="B1164" s="5" t="s">
        <v>217</v>
      </c>
      <c r="C1164" s="5" t="s">
        <v>218</v>
      </c>
      <c r="D1164" s="5">
        <v>7</v>
      </c>
      <c r="E1164" s="11">
        <v>23191</v>
      </c>
      <c r="F1164" s="11">
        <v>9275</v>
      </c>
      <c r="G1164" s="27">
        <f t="shared" si="310"/>
        <v>33.419354838709694</v>
      </c>
      <c r="H1164" s="13">
        <f t="shared" si="311"/>
        <v>328811.91910105175</v>
      </c>
      <c r="I1164" s="13">
        <f t="shared" si="312"/>
        <v>131505.02546027835</v>
      </c>
      <c r="J1164" s="51">
        <f t="shared" si="313"/>
        <v>460316.94456133014</v>
      </c>
    </row>
    <row r="1165" spans="1:10" x14ac:dyDescent="0.25">
      <c r="A1165" s="4" t="s">
        <v>91</v>
      </c>
      <c r="B1165" s="5" t="s">
        <v>228</v>
      </c>
      <c r="C1165" s="5" t="s">
        <v>229</v>
      </c>
      <c r="D1165" s="5">
        <v>4</v>
      </c>
      <c r="E1165" s="11">
        <v>7764</v>
      </c>
      <c r="F1165" s="11">
        <v>0</v>
      </c>
      <c r="G1165" s="27">
        <f t="shared" si="310"/>
        <v>19.096774193548399</v>
      </c>
      <c r="H1165" s="13">
        <f t="shared" si="311"/>
        <v>110081.31343627122</v>
      </c>
      <c r="I1165" s="13">
        <f t="shared" si="312"/>
        <v>0</v>
      </c>
      <c r="J1165" s="51">
        <f t="shared" si="313"/>
        <v>110081.31343627122</v>
      </c>
    </row>
    <row r="1166" spans="1:10" x14ac:dyDescent="0.25">
      <c r="A1166" s="4" t="s">
        <v>91</v>
      </c>
      <c r="B1166" s="5" t="s">
        <v>235</v>
      </c>
      <c r="C1166" s="5" t="s">
        <v>236</v>
      </c>
      <c r="D1166" s="5">
        <v>1</v>
      </c>
      <c r="E1166" s="11">
        <v>6825</v>
      </c>
      <c r="F1166" s="11">
        <v>2730</v>
      </c>
      <c r="G1166" s="27">
        <f t="shared" si="310"/>
        <v>4.7741935483870996</v>
      </c>
      <c r="H1166" s="13">
        <f t="shared" si="311"/>
        <v>96767.76973242544</v>
      </c>
      <c r="I1166" s="13">
        <f t="shared" si="312"/>
        <v>38707.13956944042</v>
      </c>
      <c r="J1166" s="51">
        <f t="shared" si="313"/>
        <v>135474.90930186585</v>
      </c>
    </row>
    <row r="1167" spans="1:10" x14ac:dyDescent="0.25">
      <c r="A1167" s="4" t="s">
        <v>91</v>
      </c>
      <c r="B1167" s="5" t="s">
        <v>241</v>
      </c>
      <c r="C1167" s="5" t="s">
        <v>236</v>
      </c>
      <c r="D1167" s="5">
        <v>3</v>
      </c>
      <c r="E1167" s="11">
        <v>20475</v>
      </c>
      <c r="F1167" s="11">
        <v>8190</v>
      </c>
      <c r="G1167" s="27">
        <f t="shared" si="310"/>
        <v>14.322580645161299</v>
      </c>
      <c r="H1167" s="13">
        <f t="shared" si="311"/>
        <v>290303.30919727631</v>
      </c>
      <c r="I1167" s="13">
        <f t="shared" si="312"/>
        <v>116121.41870832125</v>
      </c>
      <c r="J1167" s="51">
        <f t="shared" si="313"/>
        <v>406424.72790559754</v>
      </c>
    </row>
    <row r="1168" spans="1:10" x14ac:dyDescent="0.25">
      <c r="A1168" s="4" t="s">
        <v>91</v>
      </c>
      <c r="B1168" s="5" t="s">
        <v>249</v>
      </c>
      <c r="C1168" s="5" t="s">
        <v>250</v>
      </c>
      <c r="D1168" s="5">
        <v>5</v>
      </c>
      <c r="E1168" s="11">
        <v>75830</v>
      </c>
      <c r="F1168" s="11">
        <v>30330</v>
      </c>
      <c r="G1168" s="27">
        <f t="shared" si="310"/>
        <v>23.870967741935498</v>
      </c>
      <c r="H1168" s="13">
        <f t="shared" si="311"/>
        <v>1075150.1800453949</v>
      </c>
      <c r="I1168" s="13">
        <f t="shared" si="312"/>
        <v>430032.06708466221</v>
      </c>
      <c r="J1168" s="51">
        <f t="shared" si="313"/>
        <v>1505182.2471300571</v>
      </c>
    </row>
    <row r="1169" spans="1:10" x14ac:dyDescent="0.25">
      <c r="A1169" s="4" t="s">
        <v>91</v>
      </c>
      <c r="B1169" s="5" t="s">
        <v>252</v>
      </c>
      <c r="C1169" s="5" t="s">
        <v>212</v>
      </c>
      <c r="D1169" s="5">
        <v>1</v>
      </c>
      <c r="E1169" s="11">
        <v>1456</v>
      </c>
      <c r="F1169" s="11">
        <v>0</v>
      </c>
      <c r="G1169" s="27">
        <f t="shared" si="310"/>
        <v>4.7741935483870996</v>
      </c>
      <c r="H1169" s="13">
        <f t="shared" si="311"/>
        <v>20643.790876250758</v>
      </c>
      <c r="I1169" s="13">
        <f t="shared" si="312"/>
        <v>0</v>
      </c>
      <c r="J1169" s="51">
        <f t="shared" si="313"/>
        <v>20643.790876250758</v>
      </c>
    </row>
    <row r="1170" spans="1:10" x14ac:dyDescent="0.25">
      <c r="A1170" s="4" t="s">
        <v>91</v>
      </c>
      <c r="B1170" s="5" t="s">
        <v>253</v>
      </c>
      <c r="C1170" s="5" t="s">
        <v>210</v>
      </c>
      <c r="D1170" s="5">
        <v>1</v>
      </c>
      <c r="E1170" s="11">
        <v>970</v>
      </c>
      <c r="F1170" s="11">
        <v>0</v>
      </c>
      <c r="G1170" s="27">
        <f t="shared" si="310"/>
        <v>4.7741935483870996</v>
      </c>
      <c r="H1170" s="13">
        <f t="shared" si="311"/>
        <v>13753.07496563409</v>
      </c>
      <c r="I1170" s="13">
        <f t="shared" si="312"/>
        <v>0</v>
      </c>
      <c r="J1170" s="51">
        <f t="shared" si="313"/>
        <v>13753.07496563409</v>
      </c>
    </row>
    <row r="1171" spans="1:10" x14ac:dyDescent="0.25">
      <c r="A1171" s="15" t="s">
        <v>91</v>
      </c>
      <c r="B1171" s="16" t="s">
        <v>254</v>
      </c>
      <c r="C1171" s="16" t="s">
        <v>212</v>
      </c>
      <c r="D1171" s="16">
        <v>1</v>
      </c>
      <c r="E1171" s="18">
        <v>1456</v>
      </c>
      <c r="F1171" s="18">
        <v>0</v>
      </c>
      <c r="G1171" s="27">
        <f t="shared" si="310"/>
        <v>4.7741935483870996</v>
      </c>
      <c r="H1171" s="13">
        <f t="shared" si="311"/>
        <v>20643.790876250758</v>
      </c>
      <c r="I1171" s="13">
        <f t="shared" si="312"/>
        <v>0</v>
      </c>
      <c r="J1171" s="51">
        <f t="shared" si="313"/>
        <v>20643.790876250758</v>
      </c>
    </row>
    <row r="1172" spans="1:10" s="3" customFormat="1" x14ac:dyDescent="0.25">
      <c r="A1172" s="4"/>
      <c r="B1172" s="20" t="s">
        <v>328</v>
      </c>
      <c r="C1172" s="21"/>
      <c r="D1172" s="21"/>
      <c r="E1172" s="29"/>
      <c r="F1172" s="29"/>
      <c r="G1172" s="47">
        <f>SUM(G1160:G1171)</f>
        <v>148.00000000000009</v>
      </c>
      <c r="H1172" s="47">
        <f t="shared" ref="H1172:J1172" si="314">SUM(H1160:H1171)</f>
        <v>2217576.9999999995</v>
      </c>
      <c r="I1172" s="47">
        <f t="shared" si="314"/>
        <v>782423</v>
      </c>
      <c r="J1172" s="47">
        <f t="shared" si="314"/>
        <v>2999999.9999999995</v>
      </c>
    </row>
    <row r="1173" spans="1:10" x14ac:dyDescent="0.25">
      <c r="A1173" s="23" t="s">
        <v>92</v>
      </c>
      <c r="B1173" s="24" t="s">
        <v>207</v>
      </c>
      <c r="C1173" s="24" t="s">
        <v>208</v>
      </c>
      <c r="D1173" s="24">
        <v>1</v>
      </c>
      <c r="E1173" s="30">
        <v>11648</v>
      </c>
      <c r="F1173" s="30">
        <v>4659</v>
      </c>
      <c r="G1173" s="27">
        <f>+D1173*4.79591836734694</f>
        <v>4.7959183673469399</v>
      </c>
      <c r="H1173" s="13">
        <f>+E1173*4620114/460009</f>
        <v>116987.0325841451</v>
      </c>
      <c r="I1173" s="13">
        <f>+F1173*379886/37824</f>
        <v>46792.747303299489</v>
      </c>
      <c r="J1173" s="51">
        <f t="shared" si="313"/>
        <v>163779.77988744457</v>
      </c>
    </row>
    <row r="1174" spans="1:10" x14ac:dyDescent="0.25">
      <c r="A1174" s="4" t="s">
        <v>92</v>
      </c>
      <c r="B1174" s="5" t="s">
        <v>214</v>
      </c>
      <c r="C1174" s="5" t="s">
        <v>210</v>
      </c>
      <c r="D1174" s="5">
        <v>1</v>
      </c>
      <c r="E1174" s="11">
        <v>970</v>
      </c>
      <c r="F1174" s="11">
        <v>0</v>
      </c>
      <c r="G1174" s="27">
        <f t="shared" ref="G1174:G1185" si="315">+D1174*4.79591836734694</f>
        <v>4.7959183673469399</v>
      </c>
      <c r="H1174" s="13">
        <f t="shared" ref="H1174:H1185" si="316">+E1174*4620114/460009</f>
        <v>9742.2236956233464</v>
      </c>
      <c r="I1174" s="13">
        <f t="shared" ref="I1174:I1185" si="317">+F1174*379886/37824</f>
        <v>0</v>
      </c>
      <c r="J1174" s="51">
        <f t="shared" si="313"/>
        <v>9742.2236956233464</v>
      </c>
    </row>
    <row r="1175" spans="1:10" x14ac:dyDescent="0.25">
      <c r="A1175" s="4" t="s">
        <v>92</v>
      </c>
      <c r="B1175" s="5" t="s">
        <v>217</v>
      </c>
      <c r="C1175" s="5" t="s">
        <v>218</v>
      </c>
      <c r="D1175" s="5">
        <v>3</v>
      </c>
      <c r="E1175" s="11">
        <v>9939</v>
      </c>
      <c r="F1175" s="11">
        <v>3975</v>
      </c>
      <c r="G1175" s="27">
        <f t="shared" si="315"/>
        <v>14.387755102040821</v>
      </c>
      <c r="H1175" s="13">
        <f t="shared" si="316"/>
        <v>99822.640526598392</v>
      </c>
      <c r="I1175" s="13">
        <f t="shared" si="317"/>
        <v>39922.981440355332</v>
      </c>
      <c r="J1175" s="51">
        <f t="shared" si="313"/>
        <v>139745.62196695374</v>
      </c>
    </row>
    <row r="1176" spans="1:10" x14ac:dyDescent="0.25">
      <c r="A1176" s="4" t="s">
        <v>92</v>
      </c>
      <c r="B1176" s="5" t="s">
        <v>219</v>
      </c>
      <c r="C1176" s="5" t="s">
        <v>220</v>
      </c>
      <c r="D1176" s="5">
        <v>1</v>
      </c>
      <c r="E1176" s="11">
        <v>3397</v>
      </c>
      <c r="F1176" s="11">
        <v>1358</v>
      </c>
      <c r="G1176" s="27">
        <f t="shared" si="315"/>
        <v>4.7959183673469399</v>
      </c>
      <c r="H1176" s="13">
        <f t="shared" si="316"/>
        <v>34117.869993847948</v>
      </c>
      <c r="I1176" s="13">
        <f t="shared" si="317"/>
        <v>13639.096552453469</v>
      </c>
      <c r="J1176" s="51">
        <f t="shared" si="313"/>
        <v>47756.966546301417</v>
      </c>
    </row>
    <row r="1177" spans="1:10" x14ac:dyDescent="0.25">
      <c r="A1177" s="4" t="s">
        <v>92</v>
      </c>
      <c r="B1177" s="5" t="s">
        <v>266</v>
      </c>
      <c r="C1177" s="5" t="s">
        <v>210</v>
      </c>
      <c r="D1177" s="5">
        <v>1</v>
      </c>
      <c r="E1177" s="11">
        <v>970</v>
      </c>
      <c r="F1177" s="11">
        <v>0</v>
      </c>
      <c r="G1177" s="27">
        <f t="shared" si="315"/>
        <v>4.7959183673469399</v>
      </c>
      <c r="H1177" s="13">
        <f t="shared" si="316"/>
        <v>9742.2236956233464</v>
      </c>
      <c r="I1177" s="13">
        <f t="shared" si="317"/>
        <v>0</v>
      </c>
      <c r="J1177" s="51">
        <f t="shared" si="313"/>
        <v>9742.2236956233464</v>
      </c>
    </row>
    <row r="1178" spans="1:10" x14ac:dyDescent="0.25">
      <c r="A1178" s="4" t="s">
        <v>92</v>
      </c>
      <c r="B1178" s="5" t="s">
        <v>225</v>
      </c>
      <c r="C1178" s="5" t="s">
        <v>210</v>
      </c>
      <c r="D1178" s="5">
        <v>1</v>
      </c>
      <c r="E1178" s="11">
        <v>970</v>
      </c>
      <c r="F1178" s="11">
        <v>0</v>
      </c>
      <c r="G1178" s="27">
        <f t="shared" si="315"/>
        <v>4.7959183673469399</v>
      </c>
      <c r="H1178" s="13">
        <f t="shared" si="316"/>
        <v>9742.2236956233464</v>
      </c>
      <c r="I1178" s="13">
        <f t="shared" si="317"/>
        <v>0</v>
      </c>
      <c r="J1178" s="51">
        <f t="shared" si="313"/>
        <v>9742.2236956233464</v>
      </c>
    </row>
    <row r="1179" spans="1:10" x14ac:dyDescent="0.25">
      <c r="A1179" s="4" t="s">
        <v>92</v>
      </c>
      <c r="B1179" s="5" t="s">
        <v>228</v>
      </c>
      <c r="C1179" s="5" t="s">
        <v>229</v>
      </c>
      <c r="D1179" s="5">
        <v>24</v>
      </c>
      <c r="E1179" s="11">
        <v>46584</v>
      </c>
      <c r="F1179" s="11">
        <v>0</v>
      </c>
      <c r="G1179" s="27">
        <f t="shared" si="315"/>
        <v>115.10204081632656</v>
      </c>
      <c r="H1179" s="13">
        <f t="shared" si="316"/>
        <v>467867.78209991544</v>
      </c>
      <c r="I1179" s="13">
        <f t="shared" si="317"/>
        <v>0</v>
      </c>
      <c r="J1179" s="51">
        <f t="shared" si="313"/>
        <v>467867.78209991544</v>
      </c>
    </row>
    <row r="1180" spans="1:10" x14ac:dyDescent="0.25">
      <c r="A1180" s="4" t="s">
        <v>92</v>
      </c>
      <c r="B1180" s="5" t="s">
        <v>230</v>
      </c>
      <c r="C1180" s="5" t="s">
        <v>229</v>
      </c>
      <c r="D1180" s="5">
        <v>6</v>
      </c>
      <c r="E1180" s="11">
        <v>11646</v>
      </c>
      <c r="F1180" s="11">
        <v>0</v>
      </c>
      <c r="G1180" s="27">
        <f t="shared" si="315"/>
        <v>28.775510204081641</v>
      </c>
      <c r="H1180" s="13">
        <f t="shared" si="316"/>
        <v>116966.94552497886</v>
      </c>
      <c r="I1180" s="13">
        <f t="shared" si="317"/>
        <v>0</v>
      </c>
      <c r="J1180" s="51">
        <f t="shared" si="313"/>
        <v>116966.94552497886</v>
      </c>
    </row>
    <row r="1181" spans="1:10" x14ac:dyDescent="0.25">
      <c r="A1181" s="4" t="s">
        <v>92</v>
      </c>
      <c r="B1181" s="5" t="s">
        <v>262</v>
      </c>
      <c r="C1181" s="5" t="s">
        <v>263</v>
      </c>
      <c r="D1181" s="5">
        <v>2</v>
      </c>
      <c r="E1181" s="11">
        <v>303332</v>
      </c>
      <c r="F1181" s="11">
        <v>0</v>
      </c>
      <c r="G1181" s="27">
        <f t="shared" si="315"/>
        <v>9.5918367346938798</v>
      </c>
      <c r="H1181" s="13">
        <f t="shared" si="316"/>
        <v>3046523.9155060011</v>
      </c>
      <c r="I1181" s="13">
        <f t="shared" si="317"/>
        <v>0</v>
      </c>
      <c r="J1181" s="51">
        <f t="shared" si="313"/>
        <v>3046523.9155060011</v>
      </c>
    </row>
    <row r="1182" spans="1:10" x14ac:dyDescent="0.25">
      <c r="A1182" s="4" t="s">
        <v>92</v>
      </c>
      <c r="B1182" s="5" t="s">
        <v>240</v>
      </c>
      <c r="C1182" s="5" t="s">
        <v>238</v>
      </c>
      <c r="D1182" s="5">
        <v>1</v>
      </c>
      <c r="E1182" s="11">
        <v>5126</v>
      </c>
      <c r="F1182" s="11">
        <v>2050</v>
      </c>
      <c r="G1182" s="27">
        <f t="shared" si="315"/>
        <v>4.7959183673469399</v>
      </c>
      <c r="H1182" s="13">
        <f t="shared" si="316"/>
        <v>51483.132643056982</v>
      </c>
      <c r="I1182" s="13">
        <f t="shared" si="317"/>
        <v>20589.210554145517</v>
      </c>
      <c r="J1182" s="51">
        <f t="shared" si="313"/>
        <v>72072.343197202499</v>
      </c>
    </row>
    <row r="1183" spans="1:10" x14ac:dyDescent="0.25">
      <c r="A1183" s="4" t="s">
        <v>92</v>
      </c>
      <c r="B1183" s="5" t="s">
        <v>241</v>
      </c>
      <c r="C1183" s="5" t="s">
        <v>236</v>
      </c>
      <c r="D1183" s="5">
        <v>5</v>
      </c>
      <c r="E1183" s="11">
        <v>34125</v>
      </c>
      <c r="F1183" s="11">
        <v>13650</v>
      </c>
      <c r="G1183" s="27">
        <f t="shared" si="315"/>
        <v>23.979591836734699</v>
      </c>
      <c r="H1183" s="13">
        <f t="shared" si="316"/>
        <v>342735.44702386257</v>
      </c>
      <c r="I1183" s="13">
        <f t="shared" si="317"/>
        <v>137094.01173857867</v>
      </c>
      <c r="J1183" s="51">
        <f t="shared" si="313"/>
        <v>479829.45876244124</v>
      </c>
    </row>
    <row r="1184" spans="1:10" x14ac:dyDescent="0.25">
      <c r="A1184" s="4" t="s">
        <v>92</v>
      </c>
      <c r="B1184" s="5" t="s">
        <v>249</v>
      </c>
      <c r="C1184" s="5" t="s">
        <v>250</v>
      </c>
      <c r="D1184" s="5">
        <v>2</v>
      </c>
      <c r="E1184" s="11">
        <v>30332</v>
      </c>
      <c r="F1184" s="11">
        <v>12132</v>
      </c>
      <c r="G1184" s="27">
        <f t="shared" si="315"/>
        <v>9.5918367346938798</v>
      </c>
      <c r="H1184" s="13">
        <f t="shared" si="316"/>
        <v>304640.33931510034</v>
      </c>
      <c r="I1184" s="13">
        <f t="shared" si="317"/>
        <v>121847.95241116751</v>
      </c>
      <c r="J1184" s="51">
        <f t="shared" si="313"/>
        <v>426488.29172626784</v>
      </c>
    </row>
    <row r="1185" spans="1:10" x14ac:dyDescent="0.25">
      <c r="A1185" s="15" t="s">
        <v>92</v>
      </c>
      <c r="B1185" s="16" t="s">
        <v>257</v>
      </c>
      <c r="C1185" s="16" t="s">
        <v>210</v>
      </c>
      <c r="D1185" s="16">
        <v>1</v>
      </c>
      <c r="E1185" s="18">
        <v>970</v>
      </c>
      <c r="F1185" s="18">
        <v>0</v>
      </c>
      <c r="G1185" s="27">
        <f t="shared" si="315"/>
        <v>4.7959183673469399</v>
      </c>
      <c r="H1185" s="13">
        <f t="shared" si="316"/>
        <v>9742.2236956233464</v>
      </c>
      <c r="I1185" s="13">
        <f t="shared" si="317"/>
        <v>0</v>
      </c>
      <c r="J1185" s="51">
        <f t="shared" si="313"/>
        <v>9742.2236956233464</v>
      </c>
    </row>
    <row r="1186" spans="1:10" s="3" customFormat="1" x14ac:dyDescent="0.25">
      <c r="A1186" s="4"/>
      <c r="B1186" s="20" t="s">
        <v>329</v>
      </c>
      <c r="C1186" s="21"/>
      <c r="D1186" s="21"/>
      <c r="E1186" s="29"/>
      <c r="F1186" s="29"/>
      <c r="G1186" s="47">
        <f>SUM(G1173:G1185)</f>
        <v>235.00000000000006</v>
      </c>
      <c r="H1186" s="47">
        <f t="shared" ref="H1186:J1186" si="318">SUM(H1173:H1185)</f>
        <v>4620114.0000000009</v>
      </c>
      <c r="I1186" s="47">
        <f t="shared" si="318"/>
        <v>379886</v>
      </c>
      <c r="J1186" s="47">
        <f t="shared" si="318"/>
        <v>5000000</v>
      </c>
    </row>
    <row r="1187" spans="1:10" x14ac:dyDescent="0.25">
      <c r="A1187" s="23" t="s">
        <v>93</v>
      </c>
      <c r="B1187" s="24" t="s">
        <v>207</v>
      </c>
      <c r="C1187" s="24" t="s">
        <v>208</v>
      </c>
      <c r="D1187" s="24">
        <v>2</v>
      </c>
      <c r="E1187" s="30">
        <v>23296</v>
      </c>
      <c r="F1187" s="30">
        <v>9318</v>
      </c>
      <c r="G1187" s="27">
        <f>+D1187*4.78333333333333</f>
        <v>9.5666666666666593</v>
      </c>
      <c r="H1187" s="13">
        <f>+E1187*3831150/245448</f>
        <v>363622.72416153317</v>
      </c>
      <c r="I1187" s="13">
        <f>+F1187*1168850/74884</f>
        <v>145442.87564766841</v>
      </c>
      <c r="J1187" s="51">
        <f t="shared" si="313"/>
        <v>509065.59980920155</v>
      </c>
    </row>
    <row r="1188" spans="1:10" x14ac:dyDescent="0.25">
      <c r="A1188" s="4" t="s">
        <v>93</v>
      </c>
      <c r="B1188" s="5" t="s">
        <v>216</v>
      </c>
      <c r="C1188" s="5" t="s">
        <v>210</v>
      </c>
      <c r="D1188" s="5">
        <v>1</v>
      </c>
      <c r="E1188" s="11">
        <v>970</v>
      </c>
      <c r="F1188" s="11">
        <v>0</v>
      </c>
      <c r="G1188" s="27">
        <f t="shared" ref="G1188:G1199" si="319">+D1188*4.78333333333333</f>
        <v>4.7833333333333297</v>
      </c>
      <c r="H1188" s="13">
        <f t="shared" ref="H1188:H1199" si="320">+E1188*3831150/245448</f>
        <v>15140.540969981421</v>
      </c>
      <c r="I1188" s="13">
        <f t="shared" ref="I1188:I1199" si="321">+F1188*1168850/74884</f>
        <v>0</v>
      </c>
      <c r="J1188" s="51">
        <f t="shared" si="313"/>
        <v>15140.540969981421</v>
      </c>
    </row>
    <row r="1189" spans="1:10" x14ac:dyDescent="0.25">
      <c r="A1189" s="4" t="s">
        <v>93</v>
      </c>
      <c r="B1189" s="5" t="s">
        <v>217</v>
      </c>
      <c r="C1189" s="5" t="s">
        <v>218</v>
      </c>
      <c r="D1189" s="5">
        <v>6</v>
      </c>
      <c r="E1189" s="11">
        <v>19878</v>
      </c>
      <c r="F1189" s="11">
        <v>7950</v>
      </c>
      <c r="G1189" s="27">
        <f t="shared" si="319"/>
        <v>28.699999999999978</v>
      </c>
      <c r="H1189" s="13">
        <f t="shared" si="320"/>
        <v>310271.82824875333</v>
      </c>
      <c r="I1189" s="13">
        <f t="shared" si="321"/>
        <v>124090.02590673575</v>
      </c>
      <c r="J1189" s="51">
        <f t="shared" si="313"/>
        <v>434361.85415548907</v>
      </c>
    </row>
    <row r="1190" spans="1:10" x14ac:dyDescent="0.25">
      <c r="A1190" s="4" t="s">
        <v>93</v>
      </c>
      <c r="B1190" s="5" t="s">
        <v>219</v>
      </c>
      <c r="C1190" s="5" t="s">
        <v>220</v>
      </c>
      <c r="D1190" s="5">
        <v>2</v>
      </c>
      <c r="E1190" s="11">
        <v>6794</v>
      </c>
      <c r="F1190" s="11">
        <v>2716</v>
      </c>
      <c r="G1190" s="27">
        <f t="shared" si="319"/>
        <v>9.5666666666666593</v>
      </c>
      <c r="H1190" s="13">
        <f t="shared" si="320"/>
        <v>106046.22201036473</v>
      </c>
      <c r="I1190" s="13">
        <f t="shared" si="321"/>
        <v>42393.523316062179</v>
      </c>
      <c r="J1190" s="51">
        <f t="shared" si="313"/>
        <v>148439.7453264269</v>
      </c>
    </row>
    <row r="1191" spans="1:10" x14ac:dyDescent="0.25">
      <c r="A1191" s="4" t="s">
        <v>93</v>
      </c>
      <c r="B1191" s="5" t="s">
        <v>225</v>
      </c>
      <c r="C1191" s="5" t="s">
        <v>210</v>
      </c>
      <c r="D1191" s="5">
        <v>1</v>
      </c>
      <c r="E1191" s="11">
        <v>970</v>
      </c>
      <c r="F1191" s="11">
        <v>0</v>
      </c>
      <c r="G1191" s="27">
        <f t="shared" si="319"/>
        <v>4.7833333333333297</v>
      </c>
      <c r="H1191" s="13">
        <f t="shared" si="320"/>
        <v>15140.540969981421</v>
      </c>
      <c r="I1191" s="13">
        <f t="shared" si="321"/>
        <v>0</v>
      </c>
      <c r="J1191" s="51">
        <f t="shared" si="313"/>
        <v>15140.540969981421</v>
      </c>
    </row>
    <row r="1192" spans="1:10" x14ac:dyDescent="0.25">
      <c r="A1192" s="4" t="s">
        <v>93</v>
      </c>
      <c r="B1192" s="5" t="s">
        <v>226</v>
      </c>
      <c r="C1192" s="5" t="s">
        <v>210</v>
      </c>
      <c r="D1192" s="5">
        <v>5</v>
      </c>
      <c r="E1192" s="11">
        <v>4850</v>
      </c>
      <c r="F1192" s="11">
        <v>0</v>
      </c>
      <c r="G1192" s="27">
        <f t="shared" si="319"/>
        <v>23.91666666666665</v>
      </c>
      <c r="H1192" s="13">
        <f t="shared" si="320"/>
        <v>75702.70484990711</v>
      </c>
      <c r="I1192" s="13">
        <f t="shared" si="321"/>
        <v>0</v>
      </c>
      <c r="J1192" s="51">
        <f t="shared" si="313"/>
        <v>75702.70484990711</v>
      </c>
    </row>
    <row r="1193" spans="1:10" x14ac:dyDescent="0.25">
      <c r="A1193" s="4" t="s">
        <v>93</v>
      </c>
      <c r="B1193" s="5" t="s">
        <v>227</v>
      </c>
      <c r="C1193" s="5" t="s">
        <v>210</v>
      </c>
      <c r="D1193" s="5">
        <v>1</v>
      </c>
      <c r="E1193" s="11">
        <v>970</v>
      </c>
      <c r="F1193" s="11">
        <v>0</v>
      </c>
      <c r="G1193" s="27">
        <f t="shared" si="319"/>
        <v>4.7833333333333297</v>
      </c>
      <c r="H1193" s="13">
        <f t="shared" si="320"/>
        <v>15140.540969981421</v>
      </c>
      <c r="I1193" s="13">
        <f t="shared" si="321"/>
        <v>0</v>
      </c>
      <c r="J1193" s="51">
        <f t="shared" si="313"/>
        <v>15140.540969981421</v>
      </c>
    </row>
    <row r="1194" spans="1:10" x14ac:dyDescent="0.25">
      <c r="A1194" s="4" t="s">
        <v>93</v>
      </c>
      <c r="B1194" s="5" t="s">
        <v>228</v>
      </c>
      <c r="C1194" s="5" t="s">
        <v>229</v>
      </c>
      <c r="D1194" s="5">
        <v>23</v>
      </c>
      <c r="E1194" s="11">
        <v>44643</v>
      </c>
      <c r="F1194" s="11">
        <v>0</v>
      </c>
      <c r="G1194" s="27">
        <f t="shared" si="319"/>
        <v>110.01666666666658</v>
      </c>
      <c r="H1194" s="13">
        <f t="shared" si="320"/>
        <v>696823.88713699032</v>
      </c>
      <c r="I1194" s="13">
        <f t="shared" si="321"/>
        <v>0</v>
      </c>
      <c r="J1194" s="51">
        <f t="shared" si="313"/>
        <v>696823.88713699032</v>
      </c>
    </row>
    <row r="1195" spans="1:10" x14ac:dyDescent="0.25">
      <c r="A1195" s="4" t="s">
        <v>93</v>
      </c>
      <c r="B1195" s="5" t="s">
        <v>241</v>
      </c>
      <c r="C1195" s="5" t="s">
        <v>236</v>
      </c>
      <c r="D1195" s="5">
        <v>9</v>
      </c>
      <c r="E1195" s="11">
        <v>61425</v>
      </c>
      <c r="F1195" s="11">
        <v>24570</v>
      </c>
      <c r="G1195" s="27">
        <f t="shared" si="319"/>
        <v>43.049999999999969</v>
      </c>
      <c r="H1195" s="13">
        <f t="shared" si="320"/>
        <v>958770.85472279263</v>
      </c>
      <c r="I1195" s="13">
        <f t="shared" si="321"/>
        <v>383508.41968911915</v>
      </c>
      <c r="J1195" s="51">
        <f t="shared" si="313"/>
        <v>1342279.2744119118</v>
      </c>
    </row>
    <row r="1196" spans="1:10" x14ac:dyDescent="0.25">
      <c r="A1196" s="4" t="s">
        <v>93</v>
      </c>
      <c r="B1196" s="5" t="s">
        <v>249</v>
      </c>
      <c r="C1196" s="5" t="s">
        <v>250</v>
      </c>
      <c r="D1196" s="5">
        <v>5</v>
      </c>
      <c r="E1196" s="11">
        <v>75830</v>
      </c>
      <c r="F1196" s="11">
        <v>30330</v>
      </c>
      <c r="G1196" s="27">
        <f t="shared" si="319"/>
        <v>23.91666666666665</v>
      </c>
      <c r="H1196" s="13">
        <f t="shared" si="320"/>
        <v>1183615.6925295785</v>
      </c>
      <c r="I1196" s="13">
        <f t="shared" si="321"/>
        <v>473415.1554404145</v>
      </c>
      <c r="J1196" s="51">
        <f t="shared" si="313"/>
        <v>1657030.847969993</v>
      </c>
    </row>
    <row r="1197" spans="1:10" x14ac:dyDescent="0.25">
      <c r="A1197" s="4" t="s">
        <v>93</v>
      </c>
      <c r="B1197" s="5" t="s">
        <v>253</v>
      </c>
      <c r="C1197" s="5" t="s">
        <v>210</v>
      </c>
      <c r="D1197" s="5">
        <v>2</v>
      </c>
      <c r="E1197" s="11">
        <v>1940</v>
      </c>
      <c r="F1197" s="11">
        <v>0</v>
      </c>
      <c r="G1197" s="27">
        <f t="shared" si="319"/>
        <v>9.5666666666666593</v>
      </c>
      <c r="H1197" s="13">
        <f t="shared" si="320"/>
        <v>30281.081939962842</v>
      </c>
      <c r="I1197" s="13">
        <f t="shared" si="321"/>
        <v>0</v>
      </c>
      <c r="J1197" s="51">
        <f t="shared" si="313"/>
        <v>30281.081939962842</v>
      </c>
    </row>
    <row r="1198" spans="1:10" x14ac:dyDescent="0.25">
      <c r="A1198" s="4" t="s">
        <v>93</v>
      </c>
      <c r="B1198" s="5" t="s">
        <v>254</v>
      </c>
      <c r="C1198" s="5" t="s">
        <v>212</v>
      </c>
      <c r="D1198" s="5">
        <v>2</v>
      </c>
      <c r="E1198" s="11">
        <v>2912</v>
      </c>
      <c r="F1198" s="11">
        <v>0</v>
      </c>
      <c r="G1198" s="27">
        <f t="shared" si="319"/>
        <v>9.5666666666666593</v>
      </c>
      <c r="H1198" s="13">
        <f t="shared" si="320"/>
        <v>45452.840520191647</v>
      </c>
      <c r="I1198" s="13">
        <f t="shared" si="321"/>
        <v>0</v>
      </c>
      <c r="J1198" s="51">
        <f t="shared" si="313"/>
        <v>45452.840520191647</v>
      </c>
    </row>
    <row r="1199" spans="1:10" x14ac:dyDescent="0.25">
      <c r="A1199" s="15" t="s">
        <v>93</v>
      </c>
      <c r="B1199" s="16" t="s">
        <v>255</v>
      </c>
      <c r="C1199" s="16" t="s">
        <v>210</v>
      </c>
      <c r="D1199" s="16">
        <v>1</v>
      </c>
      <c r="E1199" s="18">
        <v>970</v>
      </c>
      <c r="F1199" s="18">
        <v>0</v>
      </c>
      <c r="G1199" s="27">
        <f t="shared" si="319"/>
        <v>4.7833333333333297</v>
      </c>
      <c r="H1199" s="13">
        <f t="shared" si="320"/>
        <v>15140.540969981421</v>
      </c>
      <c r="I1199" s="13">
        <f t="shared" si="321"/>
        <v>0</v>
      </c>
      <c r="J1199" s="51">
        <f t="shared" si="313"/>
        <v>15140.540969981421</v>
      </c>
    </row>
    <row r="1200" spans="1:10" s="3" customFormat="1" x14ac:dyDescent="0.25">
      <c r="A1200" s="4"/>
      <c r="B1200" s="20" t="s">
        <v>330</v>
      </c>
      <c r="C1200" s="21"/>
      <c r="D1200" s="21"/>
      <c r="E1200" s="29"/>
      <c r="F1200" s="29"/>
      <c r="G1200" s="47">
        <f>SUM(G1187:G1199)</f>
        <v>286.99999999999972</v>
      </c>
      <c r="H1200" s="47">
        <f t="shared" ref="H1200:J1200" si="322">SUM(H1187:H1199)</f>
        <v>3831150</v>
      </c>
      <c r="I1200" s="47">
        <f t="shared" si="322"/>
        <v>1168850</v>
      </c>
      <c r="J1200" s="47">
        <f t="shared" si="322"/>
        <v>5000000</v>
      </c>
    </row>
    <row r="1201" spans="1:10" x14ac:dyDescent="0.25">
      <c r="A1201" s="23" t="s">
        <v>94</v>
      </c>
      <c r="B1201" s="24" t="s">
        <v>211</v>
      </c>
      <c r="C1201" s="24" t="s">
        <v>212</v>
      </c>
      <c r="D1201" s="24">
        <v>1</v>
      </c>
      <c r="E1201" s="30">
        <v>1456</v>
      </c>
      <c r="F1201" s="30">
        <v>0</v>
      </c>
      <c r="G1201" s="27">
        <f>+D1201*4.79166666666667</f>
        <v>4.7916666666666696</v>
      </c>
      <c r="H1201" s="13">
        <f>+E1201*4149526/62701</f>
        <v>96357.472065836264</v>
      </c>
      <c r="I1201" s="13">
        <f>+F1201*850474/12851</f>
        <v>0</v>
      </c>
      <c r="J1201" s="51">
        <f t="shared" si="313"/>
        <v>96357.472065836264</v>
      </c>
    </row>
    <row r="1202" spans="1:10" x14ac:dyDescent="0.25">
      <c r="A1202" s="4" t="s">
        <v>94</v>
      </c>
      <c r="B1202" s="5" t="s">
        <v>213</v>
      </c>
      <c r="C1202" s="5" t="s">
        <v>212</v>
      </c>
      <c r="D1202" s="5">
        <v>3</v>
      </c>
      <c r="E1202" s="11">
        <v>4368</v>
      </c>
      <c r="F1202" s="11">
        <v>0</v>
      </c>
      <c r="G1202" s="27">
        <f t="shared" ref="G1202:G1212" si="323">+D1202*4.79166666666667</f>
        <v>14.375000000000009</v>
      </c>
      <c r="H1202" s="13">
        <f t="shared" ref="H1202:H1212" si="324">+E1202*4149526/62701</f>
        <v>289072.41619750881</v>
      </c>
      <c r="I1202" s="13">
        <f t="shared" ref="I1202:I1212" si="325">+F1202*850474/12851</f>
        <v>0</v>
      </c>
      <c r="J1202" s="51">
        <f t="shared" si="313"/>
        <v>289072.41619750881</v>
      </c>
    </row>
    <row r="1203" spans="1:10" x14ac:dyDescent="0.25">
      <c r="A1203" s="4" t="s">
        <v>94</v>
      </c>
      <c r="B1203" s="5" t="s">
        <v>215</v>
      </c>
      <c r="C1203" s="5" t="s">
        <v>212</v>
      </c>
      <c r="D1203" s="5">
        <v>1</v>
      </c>
      <c r="E1203" s="11">
        <v>1456</v>
      </c>
      <c r="F1203" s="11">
        <v>0</v>
      </c>
      <c r="G1203" s="27">
        <f t="shared" si="323"/>
        <v>4.7916666666666696</v>
      </c>
      <c r="H1203" s="13">
        <f t="shared" si="324"/>
        <v>96357.472065836264</v>
      </c>
      <c r="I1203" s="13">
        <f t="shared" si="325"/>
        <v>0</v>
      </c>
      <c r="J1203" s="51">
        <f t="shared" si="313"/>
        <v>96357.472065836264</v>
      </c>
    </row>
    <row r="1204" spans="1:10" x14ac:dyDescent="0.25">
      <c r="A1204" s="4" t="s">
        <v>94</v>
      </c>
      <c r="B1204" s="5" t="s">
        <v>217</v>
      </c>
      <c r="C1204" s="5" t="s">
        <v>218</v>
      </c>
      <c r="D1204" s="5">
        <v>1</v>
      </c>
      <c r="E1204" s="11">
        <v>3313</v>
      </c>
      <c r="F1204" s="11">
        <v>1325</v>
      </c>
      <c r="G1204" s="27">
        <f t="shared" si="323"/>
        <v>4.7916666666666696</v>
      </c>
      <c r="H1204" s="13">
        <f t="shared" si="324"/>
        <v>219252.95669925518</v>
      </c>
      <c r="I1204" s="13">
        <f t="shared" si="325"/>
        <v>87687.965917049252</v>
      </c>
      <c r="J1204" s="51">
        <f t="shared" si="313"/>
        <v>306940.92261630442</v>
      </c>
    </row>
    <row r="1205" spans="1:10" x14ac:dyDescent="0.25">
      <c r="A1205" s="4" t="s">
        <v>94</v>
      </c>
      <c r="B1205" s="5" t="s">
        <v>268</v>
      </c>
      <c r="C1205" s="5" t="s">
        <v>210</v>
      </c>
      <c r="D1205" s="5">
        <v>1</v>
      </c>
      <c r="E1205" s="11">
        <v>970</v>
      </c>
      <c r="F1205" s="11">
        <v>0</v>
      </c>
      <c r="G1205" s="27">
        <f t="shared" si="323"/>
        <v>4.7916666666666696</v>
      </c>
      <c r="H1205" s="13">
        <f t="shared" si="324"/>
        <v>64194.194988915646</v>
      </c>
      <c r="I1205" s="13">
        <f t="shared" si="325"/>
        <v>0</v>
      </c>
      <c r="J1205" s="51">
        <f t="shared" si="313"/>
        <v>64194.194988915646</v>
      </c>
    </row>
    <row r="1206" spans="1:10" x14ac:dyDescent="0.25">
      <c r="A1206" s="4" t="s">
        <v>94</v>
      </c>
      <c r="B1206" s="5" t="s">
        <v>226</v>
      </c>
      <c r="C1206" s="5" t="s">
        <v>210</v>
      </c>
      <c r="D1206" s="5">
        <v>1</v>
      </c>
      <c r="E1206" s="11">
        <v>970</v>
      </c>
      <c r="F1206" s="11">
        <v>0</v>
      </c>
      <c r="G1206" s="27">
        <f t="shared" si="323"/>
        <v>4.7916666666666696</v>
      </c>
      <c r="H1206" s="13">
        <f t="shared" si="324"/>
        <v>64194.194988915646</v>
      </c>
      <c r="I1206" s="13">
        <f t="shared" si="325"/>
        <v>0</v>
      </c>
      <c r="J1206" s="51">
        <f t="shared" si="313"/>
        <v>64194.194988915646</v>
      </c>
    </row>
    <row r="1207" spans="1:10" x14ac:dyDescent="0.25">
      <c r="A1207" s="4" t="s">
        <v>94</v>
      </c>
      <c r="B1207" s="5" t="s">
        <v>228</v>
      </c>
      <c r="C1207" s="5" t="s">
        <v>229</v>
      </c>
      <c r="D1207" s="5">
        <v>6</v>
      </c>
      <c r="E1207" s="11">
        <v>11646</v>
      </c>
      <c r="F1207" s="11">
        <v>0</v>
      </c>
      <c r="G1207" s="27">
        <f t="shared" si="323"/>
        <v>28.750000000000018</v>
      </c>
      <c r="H1207" s="13">
        <f t="shared" si="324"/>
        <v>770727.41736176459</v>
      </c>
      <c r="I1207" s="13">
        <f t="shared" si="325"/>
        <v>0</v>
      </c>
      <c r="J1207" s="51">
        <f t="shared" si="313"/>
        <v>770727.41736176459</v>
      </c>
    </row>
    <row r="1208" spans="1:10" x14ac:dyDescent="0.25">
      <c r="A1208" s="4" t="s">
        <v>94</v>
      </c>
      <c r="B1208" s="5" t="s">
        <v>235</v>
      </c>
      <c r="C1208" s="5" t="s">
        <v>236</v>
      </c>
      <c r="D1208" s="5">
        <v>1</v>
      </c>
      <c r="E1208" s="11">
        <v>6825</v>
      </c>
      <c r="F1208" s="11">
        <v>2730</v>
      </c>
      <c r="G1208" s="27">
        <f t="shared" si="323"/>
        <v>4.7916666666666696</v>
      </c>
      <c r="H1208" s="13">
        <f t="shared" si="324"/>
        <v>451675.6503086075</v>
      </c>
      <c r="I1208" s="13">
        <f t="shared" si="325"/>
        <v>180670.29958758072</v>
      </c>
      <c r="J1208" s="51">
        <f t="shared" si="313"/>
        <v>632345.94989618822</v>
      </c>
    </row>
    <row r="1209" spans="1:10" x14ac:dyDescent="0.25">
      <c r="A1209" s="4" t="s">
        <v>94</v>
      </c>
      <c r="B1209" s="5" t="s">
        <v>241</v>
      </c>
      <c r="C1209" s="5" t="s">
        <v>236</v>
      </c>
      <c r="D1209" s="5">
        <v>1</v>
      </c>
      <c r="E1209" s="11">
        <v>6825</v>
      </c>
      <c r="F1209" s="11">
        <v>2730</v>
      </c>
      <c r="G1209" s="27">
        <f t="shared" si="323"/>
        <v>4.7916666666666696</v>
      </c>
      <c r="H1209" s="13">
        <f t="shared" si="324"/>
        <v>451675.6503086075</v>
      </c>
      <c r="I1209" s="13">
        <f t="shared" si="325"/>
        <v>180670.29958758072</v>
      </c>
      <c r="J1209" s="51">
        <f t="shared" si="313"/>
        <v>632345.94989618822</v>
      </c>
    </row>
    <row r="1210" spans="1:10" x14ac:dyDescent="0.25">
      <c r="A1210" s="4" t="s">
        <v>94</v>
      </c>
      <c r="B1210" s="5" t="s">
        <v>249</v>
      </c>
      <c r="C1210" s="5" t="s">
        <v>250</v>
      </c>
      <c r="D1210" s="5">
        <v>1</v>
      </c>
      <c r="E1210" s="11">
        <v>15166</v>
      </c>
      <c r="F1210" s="11">
        <v>6066</v>
      </c>
      <c r="G1210" s="27">
        <f t="shared" si="323"/>
        <v>4.7916666666666696</v>
      </c>
      <c r="H1210" s="13">
        <f t="shared" si="324"/>
        <v>1003679.5476308193</v>
      </c>
      <c r="I1210" s="13">
        <f t="shared" si="325"/>
        <v>401445.43490778928</v>
      </c>
      <c r="J1210" s="51">
        <f t="shared" si="313"/>
        <v>1405124.9825386086</v>
      </c>
    </row>
    <row r="1211" spans="1:10" x14ac:dyDescent="0.25">
      <c r="A1211" s="4" t="s">
        <v>94</v>
      </c>
      <c r="B1211" s="5" t="s">
        <v>252</v>
      </c>
      <c r="C1211" s="5" t="s">
        <v>212</v>
      </c>
      <c r="D1211" s="5">
        <v>6</v>
      </c>
      <c r="E1211" s="11">
        <v>8736</v>
      </c>
      <c r="F1211" s="11">
        <v>0</v>
      </c>
      <c r="G1211" s="27">
        <f t="shared" si="323"/>
        <v>28.750000000000018</v>
      </c>
      <c r="H1211" s="13">
        <f t="shared" si="324"/>
        <v>578144.83239501761</v>
      </c>
      <c r="I1211" s="13">
        <f t="shared" si="325"/>
        <v>0</v>
      </c>
      <c r="J1211" s="51">
        <f t="shared" si="313"/>
        <v>578144.83239501761</v>
      </c>
    </row>
    <row r="1212" spans="1:10" x14ac:dyDescent="0.25">
      <c r="A1212" s="15" t="s">
        <v>94</v>
      </c>
      <c r="B1212" s="16" t="s">
        <v>253</v>
      </c>
      <c r="C1212" s="16" t="s">
        <v>210</v>
      </c>
      <c r="D1212" s="16">
        <v>1</v>
      </c>
      <c r="E1212" s="18">
        <v>970</v>
      </c>
      <c r="F1212" s="18">
        <v>0</v>
      </c>
      <c r="G1212" s="27">
        <f t="shared" si="323"/>
        <v>4.7916666666666696</v>
      </c>
      <c r="H1212" s="13">
        <f t="shared" si="324"/>
        <v>64194.194988915646</v>
      </c>
      <c r="I1212" s="13">
        <f t="shared" si="325"/>
        <v>0</v>
      </c>
      <c r="J1212" s="51">
        <f t="shared" si="313"/>
        <v>64194.194988915646</v>
      </c>
    </row>
    <row r="1213" spans="1:10" s="3" customFormat="1" x14ac:dyDescent="0.25">
      <c r="A1213" s="4"/>
      <c r="B1213" s="20" t="s">
        <v>331</v>
      </c>
      <c r="C1213" s="21"/>
      <c r="D1213" s="21"/>
      <c r="E1213" s="29"/>
      <c r="F1213" s="29"/>
      <c r="G1213" s="47">
        <f>SUM(G1201:G1212)</f>
        <v>115.00000000000009</v>
      </c>
      <c r="H1213" s="47">
        <f t="shared" ref="H1213:J1213" si="326">SUM(H1201:H1212)</f>
        <v>4149526.0000000005</v>
      </c>
      <c r="I1213" s="47">
        <f t="shared" si="326"/>
        <v>850474</v>
      </c>
      <c r="J1213" s="47">
        <f t="shared" si="326"/>
        <v>5000000</v>
      </c>
    </row>
    <row r="1214" spans="1:10" x14ac:dyDescent="0.25">
      <c r="A1214" s="23" t="s">
        <v>95</v>
      </c>
      <c r="B1214" s="24" t="s">
        <v>211</v>
      </c>
      <c r="C1214" s="24" t="s">
        <v>212</v>
      </c>
      <c r="D1214" s="24">
        <v>2</v>
      </c>
      <c r="E1214" s="30">
        <v>1456</v>
      </c>
      <c r="F1214" s="30">
        <v>0</v>
      </c>
      <c r="G1214" s="27">
        <f>+D1214*4.8125</f>
        <v>9.625</v>
      </c>
      <c r="H1214" s="13">
        <f>+E1214*1287020/19712</f>
        <v>95063.977272727279</v>
      </c>
      <c r="I1214" s="13">
        <f>+F1214*712980/10920</f>
        <v>0</v>
      </c>
      <c r="J1214" s="51">
        <f t="shared" si="313"/>
        <v>95063.977272727279</v>
      </c>
    </row>
    <row r="1215" spans="1:10" x14ac:dyDescent="0.25">
      <c r="A1215" s="4" t="s">
        <v>95</v>
      </c>
      <c r="B1215" s="5" t="s">
        <v>213</v>
      </c>
      <c r="C1215" s="5" t="s">
        <v>212</v>
      </c>
      <c r="D1215" s="5">
        <v>1</v>
      </c>
      <c r="E1215" s="11">
        <v>728</v>
      </c>
      <c r="F1215" s="11">
        <v>0</v>
      </c>
      <c r="G1215" s="27">
        <f t="shared" ref="G1215:G1221" si="327">+D1215*4.8125</f>
        <v>4.8125</v>
      </c>
      <c r="H1215" s="13">
        <f t="shared" ref="H1215:H1221" si="328">+E1215*1287020/19712</f>
        <v>47531.98863636364</v>
      </c>
      <c r="I1215" s="13">
        <f t="shared" ref="I1215:I1221" si="329">+F1215*712980/10920</f>
        <v>0</v>
      </c>
      <c r="J1215" s="51">
        <f t="shared" si="313"/>
        <v>47531.98863636364</v>
      </c>
    </row>
    <row r="1216" spans="1:10" x14ac:dyDescent="0.25">
      <c r="A1216" s="4" t="s">
        <v>95</v>
      </c>
      <c r="B1216" s="5" t="s">
        <v>223</v>
      </c>
      <c r="C1216" s="5" t="s">
        <v>224</v>
      </c>
      <c r="D1216" s="5">
        <v>3</v>
      </c>
      <c r="E1216" s="11">
        <v>0</v>
      </c>
      <c r="F1216" s="11">
        <v>0</v>
      </c>
      <c r="G1216" s="27">
        <f t="shared" si="327"/>
        <v>14.4375</v>
      </c>
      <c r="H1216" s="13">
        <f t="shared" si="328"/>
        <v>0</v>
      </c>
      <c r="I1216" s="13">
        <f t="shared" si="329"/>
        <v>0</v>
      </c>
      <c r="J1216" s="51">
        <f t="shared" si="313"/>
        <v>0</v>
      </c>
    </row>
    <row r="1217" spans="1:10" x14ac:dyDescent="0.25">
      <c r="A1217" s="4" t="s">
        <v>95</v>
      </c>
      <c r="B1217" s="5" t="s">
        <v>226</v>
      </c>
      <c r="C1217" s="5" t="s">
        <v>210</v>
      </c>
      <c r="D1217" s="5">
        <v>2</v>
      </c>
      <c r="E1217" s="11">
        <v>970</v>
      </c>
      <c r="F1217" s="11">
        <v>0</v>
      </c>
      <c r="G1217" s="27">
        <f t="shared" si="327"/>
        <v>9.625</v>
      </c>
      <c r="H1217" s="13">
        <f t="shared" si="328"/>
        <v>63332.45738636364</v>
      </c>
      <c r="I1217" s="13">
        <f t="shared" si="329"/>
        <v>0</v>
      </c>
      <c r="J1217" s="51">
        <f t="shared" si="313"/>
        <v>63332.45738636364</v>
      </c>
    </row>
    <row r="1218" spans="1:10" x14ac:dyDescent="0.25">
      <c r="A1218" s="4" t="s">
        <v>95</v>
      </c>
      <c r="B1218" s="5" t="s">
        <v>228</v>
      </c>
      <c r="C1218" s="5" t="s">
        <v>229</v>
      </c>
      <c r="D1218" s="5">
        <v>2</v>
      </c>
      <c r="E1218" s="11">
        <v>1940</v>
      </c>
      <c r="F1218" s="11">
        <v>0</v>
      </c>
      <c r="G1218" s="27">
        <f t="shared" si="327"/>
        <v>9.625</v>
      </c>
      <c r="H1218" s="13">
        <f t="shared" si="328"/>
        <v>126664.91477272728</v>
      </c>
      <c r="I1218" s="13">
        <f t="shared" si="329"/>
        <v>0</v>
      </c>
      <c r="J1218" s="51">
        <f t="shared" si="313"/>
        <v>126664.91477272728</v>
      </c>
    </row>
    <row r="1219" spans="1:10" x14ac:dyDescent="0.25">
      <c r="A1219" s="4" t="s">
        <v>95</v>
      </c>
      <c r="B1219" s="5" t="s">
        <v>230</v>
      </c>
      <c r="C1219" s="5" t="s">
        <v>229</v>
      </c>
      <c r="D1219" s="5">
        <v>1</v>
      </c>
      <c r="E1219" s="11">
        <v>970</v>
      </c>
      <c r="F1219" s="11">
        <v>0</v>
      </c>
      <c r="G1219" s="27">
        <f t="shared" si="327"/>
        <v>4.8125</v>
      </c>
      <c r="H1219" s="13">
        <f t="shared" si="328"/>
        <v>63332.45738636364</v>
      </c>
      <c r="I1219" s="13">
        <f t="shared" si="329"/>
        <v>0</v>
      </c>
      <c r="J1219" s="51">
        <f t="shared" si="313"/>
        <v>63332.45738636364</v>
      </c>
    </row>
    <row r="1220" spans="1:10" x14ac:dyDescent="0.25">
      <c r="A1220" s="4" t="s">
        <v>95</v>
      </c>
      <c r="B1220" s="5" t="s">
        <v>241</v>
      </c>
      <c r="C1220" s="5" t="s">
        <v>236</v>
      </c>
      <c r="D1220" s="5">
        <v>3</v>
      </c>
      <c r="E1220" s="11">
        <v>10236</v>
      </c>
      <c r="F1220" s="11">
        <v>8190</v>
      </c>
      <c r="G1220" s="27">
        <f t="shared" si="327"/>
        <v>14.4375</v>
      </c>
      <c r="H1220" s="13">
        <f t="shared" si="328"/>
        <v>668320.65340909094</v>
      </c>
      <c r="I1220" s="13">
        <f t="shared" si="329"/>
        <v>534735</v>
      </c>
      <c r="J1220" s="51">
        <f t="shared" si="313"/>
        <v>1203055.6534090908</v>
      </c>
    </row>
    <row r="1221" spans="1:10" x14ac:dyDescent="0.25">
      <c r="A1221" s="15" t="s">
        <v>95</v>
      </c>
      <c r="B1221" s="16" t="s">
        <v>247</v>
      </c>
      <c r="C1221" s="16" t="s">
        <v>244</v>
      </c>
      <c r="D1221" s="16">
        <v>2</v>
      </c>
      <c r="E1221" s="18">
        <v>3412</v>
      </c>
      <c r="F1221" s="18">
        <v>2730</v>
      </c>
      <c r="G1221" s="27">
        <f t="shared" si="327"/>
        <v>9.625</v>
      </c>
      <c r="H1221" s="13">
        <f t="shared" si="328"/>
        <v>222773.55113636365</v>
      </c>
      <c r="I1221" s="13">
        <f t="shared" si="329"/>
        <v>178245</v>
      </c>
      <c r="J1221" s="51">
        <f t="shared" si="313"/>
        <v>401018.55113636365</v>
      </c>
    </row>
    <row r="1222" spans="1:10" s="3" customFormat="1" x14ac:dyDescent="0.25">
      <c r="A1222" s="4"/>
      <c r="B1222" s="20" t="s">
        <v>332</v>
      </c>
      <c r="C1222" s="21"/>
      <c r="D1222" s="21"/>
      <c r="E1222" s="29"/>
      <c r="F1222" s="29"/>
      <c r="G1222" s="47">
        <f>SUM(G1214:G1221)</f>
        <v>77</v>
      </c>
      <c r="H1222" s="47">
        <f t="shared" ref="H1222:J1222" si="330">SUM(H1214:H1221)</f>
        <v>1287020</v>
      </c>
      <c r="I1222" s="47">
        <f t="shared" si="330"/>
        <v>712980</v>
      </c>
      <c r="J1222" s="47">
        <f t="shared" si="330"/>
        <v>2000000</v>
      </c>
    </row>
    <row r="1223" spans="1:10" x14ac:dyDescent="0.25">
      <c r="A1223" s="23" t="s">
        <v>96</v>
      </c>
      <c r="B1223" s="24" t="s">
        <v>215</v>
      </c>
      <c r="C1223" s="24" t="s">
        <v>212</v>
      </c>
      <c r="D1223" s="24">
        <v>1</v>
      </c>
      <c r="E1223" s="30">
        <v>1456</v>
      </c>
      <c r="F1223" s="30">
        <v>0</v>
      </c>
      <c r="G1223" s="27">
        <f>+D1223*4.77777777777778</f>
        <v>4.7777777777777803</v>
      </c>
      <c r="H1223" s="13">
        <f>+E1223*1544671/57193</f>
        <v>39323.71052401518</v>
      </c>
      <c r="I1223" s="13">
        <f>+F1223*455329/16859</f>
        <v>0</v>
      </c>
      <c r="J1223" s="51">
        <f t="shared" si="313"/>
        <v>39323.71052401518</v>
      </c>
    </row>
    <row r="1224" spans="1:10" x14ac:dyDescent="0.25">
      <c r="A1224" s="4" t="s">
        <v>96</v>
      </c>
      <c r="B1224" s="5" t="s">
        <v>217</v>
      </c>
      <c r="C1224" s="5" t="s">
        <v>218</v>
      </c>
      <c r="D1224" s="5">
        <v>3</v>
      </c>
      <c r="E1224" s="11">
        <v>9939</v>
      </c>
      <c r="F1224" s="11">
        <v>3975</v>
      </c>
      <c r="G1224" s="27">
        <f t="shared" ref="G1224:G1236" si="331">+D1224*4.77777777777778</f>
        <v>14.333333333333341</v>
      </c>
      <c r="H1224" s="13">
        <f t="shared" ref="H1224:H1236" si="332">+E1224*1544671/57193</f>
        <v>268432.93880369974</v>
      </c>
      <c r="I1224" s="13">
        <f t="shared" ref="I1224:I1236" si="333">+F1224*455329/16859</f>
        <v>107357.06595883504</v>
      </c>
      <c r="J1224" s="51">
        <f t="shared" si="313"/>
        <v>375790.00476253475</v>
      </c>
    </row>
    <row r="1225" spans="1:10" x14ac:dyDescent="0.25">
      <c r="A1225" s="4" t="s">
        <v>96</v>
      </c>
      <c r="B1225" s="5" t="s">
        <v>219</v>
      </c>
      <c r="C1225" s="5" t="s">
        <v>220</v>
      </c>
      <c r="D1225" s="5">
        <v>1</v>
      </c>
      <c r="E1225" s="11">
        <v>3397</v>
      </c>
      <c r="F1225" s="11">
        <v>1358</v>
      </c>
      <c r="G1225" s="27">
        <f t="shared" si="331"/>
        <v>4.7777777777777803</v>
      </c>
      <c r="H1225" s="13">
        <f t="shared" si="332"/>
        <v>91746.321875054637</v>
      </c>
      <c r="I1225" s="13">
        <f t="shared" si="333"/>
        <v>36676.954860905156</v>
      </c>
      <c r="J1225" s="51">
        <f t="shared" si="313"/>
        <v>128423.27673595979</v>
      </c>
    </row>
    <row r="1226" spans="1:10" x14ac:dyDescent="0.25">
      <c r="A1226" s="4" t="s">
        <v>96</v>
      </c>
      <c r="B1226" s="5" t="s">
        <v>227</v>
      </c>
      <c r="C1226" s="5" t="s">
        <v>210</v>
      </c>
      <c r="D1226" s="5">
        <v>1</v>
      </c>
      <c r="E1226" s="11">
        <v>970</v>
      </c>
      <c r="F1226" s="11">
        <v>0</v>
      </c>
      <c r="G1226" s="27">
        <f t="shared" si="331"/>
        <v>4.7777777777777803</v>
      </c>
      <c r="H1226" s="13">
        <f t="shared" si="332"/>
        <v>26197.801654048573</v>
      </c>
      <c r="I1226" s="13">
        <f t="shared" si="333"/>
        <v>0</v>
      </c>
      <c r="J1226" s="51">
        <f t="shared" ref="J1226:J1298" si="334">SUM(H1226:I1226)</f>
        <v>26197.801654048573</v>
      </c>
    </row>
    <row r="1227" spans="1:10" x14ac:dyDescent="0.25">
      <c r="A1227" s="4" t="s">
        <v>96</v>
      </c>
      <c r="B1227" s="5" t="s">
        <v>228</v>
      </c>
      <c r="C1227" s="5" t="s">
        <v>229</v>
      </c>
      <c r="D1227" s="5">
        <v>2</v>
      </c>
      <c r="E1227" s="11">
        <v>3882</v>
      </c>
      <c r="F1227" s="11">
        <v>0</v>
      </c>
      <c r="G1227" s="27">
        <f t="shared" si="331"/>
        <v>9.5555555555555607</v>
      </c>
      <c r="H1227" s="13">
        <f t="shared" si="332"/>
        <v>104845.22270207893</v>
      </c>
      <c r="I1227" s="13">
        <f t="shared" si="333"/>
        <v>0</v>
      </c>
      <c r="J1227" s="51">
        <f t="shared" si="334"/>
        <v>104845.22270207893</v>
      </c>
    </row>
    <row r="1228" spans="1:10" x14ac:dyDescent="0.25">
      <c r="A1228" s="4" t="s">
        <v>96</v>
      </c>
      <c r="B1228" s="5" t="s">
        <v>230</v>
      </c>
      <c r="C1228" s="5" t="s">
        <v>229</v>
      </c>
      <c r="D1228" s="5">
        <v>1</v>
      </c>
      <c r="E1228" s="11">
        <v>1941</v>
      </c>
      <c r="F1228" s="11">
        <v>0</v>
      </c>
      <c r="G1228" s="27">
        <f t="shared" si="331"/>
        <v>4.7777777777777803</v>
      </c>
      <c r="H1228" s="13">
        <f t="shared" si="332"/>
        <v>52422.611351039464</v>
      </c>
      <c r="I1228" s="13">
        <f t="shared" si="333"/>
        <v>0</v>
      </c>
      <c r="J1228" s="51">
        <f t="shared" si="334"/>
        <v>52422.611351039464</v>
      </c>
    </row>
    <row r="1229" spans="1:10" x14ac:dyDescent="0.25">
      <c r="A1229" s="4" t="s">
        <v>96</v>
      </c>
      <c r="B1229" s="5" t="s">
        <v>239</v>
      </c>
      <c r="C1229" s="5" t="s">
        <v>236</v>
      </c>
      <c r="D1229" s="5">
        <v>1</v>
      </c>
      <c r="E1229" s="11">
        <v>6825</v>
      </c>
      <c r="F1229" s="11">
        <v>2730</v>
      </c>
      <c r="G1229" s="27">
        <f t="shared" si="331"/>
        <v>4.7777777777777803</v>
      </c>
      <c r="H1229" s="13">
        <f t="shared" si="332"/>
        <v>184329.89308132115</v>
      </c>
      <c r="I1229" s="13">
        <f t="shared" si="333"/>
        <v>73732.022658520669</v>
      </c>
      <c r="J1229" s="51">
        <f t="shared" si="334"/>
        <v>258061.91573984182</v>
      </c>
    </row>
    <row r="1230" spans="1:10" x14ac:dyDescent="0.25">
      <c r="A1230" s="4" t="s">
        <v>96</v>
      </c>
      <c r="B1230" s="5" t="s">
        <v>241</v>
      </c>
      <c r="C1230" s="5" t="s">
        <v>236</v>
      </c>
      <c r="D1230" s="5">
        <v>1</v>
      </c>
      <c r="E1230" s="11">
        <v>6825</v>
      </c>
      <c r="F1230" s="11">
        <v>2730</v>
      </c>
      <c r="G1230" s="27">
        <f t="shared" si="331"/>
        <v>4.7777777777777803</v>
      </c>
      <c r="H1230" s="13">
        <f t="shared" si="332"/>
        <v>184329.89308132115</v>
      </c>
      <c r="I1230" s="13">
        <f t="shared" si="333"/>
        <v>73732.022658520669</v>
      </c>
      <c r="J1230" s="51">
        <f t="shared" si="334"/>
        <v>258061.91573984182</v>
      </c>
    </row>
    <row r="1231" spans="1:10" x14ac:dyDescent="0.25">
      <c r="A1231" s="4" t="s">
        <v>96</v>
      </c>
      <c r="B1231" s="5" t="s">
        <v>249</v>
      </c>
      <c r="C1231" s="5" t="s">
        <v>250</v>
      </c>
      <c r="D1231" s="5">
        <v>1</v>
      </c>
      <c r="E1231" s="11">
        <v>15166</v>
      </c>
      <c r="F1231" s="11">
        <v>6066</v>
      </c>
      <c r="G1231" s="27">
        <f t="shared" si="331"/>
        <v>4.7777777777777803</v>
      </c>
      <c r="H1231" s="13">
        <f t="shared" si="332"/>
        <v>409603.97926319652</v>
      </c>
      <c r="I1231" s="13">
        <f t="shared" si="333"/>
        <v>163830.93386321847</v>
      </c>
      <c r="J1231" s="51">
        <f t="shared" si="334"/>
        <v>573434.91312641499</v>
      </c>
    </row>
    <row r="1232" spans="1:10" x14ac:dyDescent="0.25">
      <c r="A1232" s="4" t="s">
        <v>96</v>
      </c>
      <c r="B1232" s="5" t="s">
        <v>252</v>
      </c>
      <c r="C1232" s="5" t="s">
        <v>212</v>
      </c>
      <c r="D1232" s="5">
        <v>1</v>
      </c>
      <c r="E1232" s="11">
        <v>1456</v>
      </c>
      <c r="F1232" s="11">
        <v>0</v>
      </c>
      <c r="G1232" s="27">
        <f t="shared" si="331"/>
        <v>4.7777777777777803</v>
      </c>
      <c r="H1232" s="13">
        <f t="shared" si="332"/>
        <v>39323.71052401518</v>
      </c>
      <c r="I1232" s="13">
        <f t="shared" si="333"/>
        <v>0</v>
      </c>
      <c r="J1232" s="51">
        <f t="shared" si="334"/>
        <v>39323.71052401518</v>
      </c>
    </row>
    <row r="1233" spans="1:10" x14ac:dyDescent="0.25">
      <c r="A1233" s="4" t="s">
        <v>96</v>
      </c>
      <c r="B1233" s="5" t="s">
        <v>253</v>
      </c>
      <c r="C1233" s="5" t="s">
        <v>210</v>
      </c>
      <c r="D1233" s="5">
        <v>2</v>
      </c>
      <c r="E1233" s="11">
        <v>1940</v>
      </c>
      <c r="F1233" s="11">
        <v>0</v>
      </c>
      <c r="G1233" s="27">
        <f t="shared" si="331"/>
        <v>9.5555555555555607</v>
      </c>
      <c r="H1233" s="13">
        <f t="shared" si="332"/>
        <v>52395.603308097147</v>
      </c>
      <c r="I1233" s="13">
        <f t="shared" si="333"/>
        <v>0</v>
      </c>
      <c r="J1233" s="51">
        <f t="shared" si="334"/>
        <v>52395.603308097147</v>
      </c>
    </row>
    <row r="1234" spans="1:10" x14ac:dyDescent="0.25">
      <c r="A1234" s="4" t="s">
        <v>96</v>
      </c>
      <c r="B1234" s="5" t="s">
        <v>255</v>
      </c>
      <c r="C1234" s="5" t="s">
        <v>210</v>
      </c>
      <c r="D1234" s="5">
        <v>1</v>
      </c>
      <c r="E1234" s="11">
        <v>970</v>
      </c>
      <c r="F1234" s="11">
        <v>0</v>
      </c>
      <c r="G1234" s="27">
        <f t="shared" si="331"/>
        <v>4.7777777777777803</v>
      </c>
      <c r="H1234" s="13">
        <f t="shared" si="332"/>
        <v>26197.801654048573</v>
      </c>
      <c r="I1234" s="13">
        <f t="shared" si="333"/>
        <v>0</v>
      </c>
      <c r="J1234" s="51">
        <f t="shared" si="334"/>
        <v>26197.801654048573</v>
      </c>
    </row>
    <row r="1235" spans="1:10" x14ac:dyDescent="0.25">
      <c r="A1235" s="4" t="s">
        <v>96</v>
      </c>
      <c r="B1235" s="5" t="s">
        <v>256</v>
      </c>
      <c r="C1235" s="5" t="s">
        <v>212</v>
      </c>
      <c r="D1235" s="5">
        <v>1</v>
      </c>
      <c r="E1235" s="11">
        <v>1456</v>
      </c>
      <c r="F1235" s="11">
        <v>0</v>
      </c>
      <c r="G1235" s="27">
        <f t="shared" si="331"/>
        <v>4.7777777777777803</v>
      </c>
      <c r="H1235" s="13">
        <f t="shared" si="332"/>
        <v>39323.71052401518</v>
      </c>
      <c r="I1235" s="13">
        <f t="shared" si="333"/>
        <v>0</v>
      </c>
      <c r="J1235" s="51">
        <f t="shared" si="334"/>
        <v>39323.71052401518</v>
      </c>
    </row>
    <row r="1236" spans="1:10" x14ac:dyDescent="0.25">
      <c r="A1236" s="15" t="s">
        <v>96</v>
      </c>
      <c r="B1236" s="16" t="s">
        <v>257</v>
      </c>
      <c r="C1236" s="16" t="s">
        <v>210</v>
      </c>
      <c r="D1236" s="16">
        <v>1</v>
      </c>
      <c r="E1236" s="18">
        <v>970</v>
      </c>
      <c r="F1236" s="18">
        <v>0</v>
      </c>
      <c r="G1236" s="27">
        <f t="shared" si="331"/>
        <v>4.7777777777777803</v>
      </c>
      <c r="H1236" s="13">
        <f t="shared" si="332"/>
        <v>26197.801654048573</v>
      </c>
      <c r="I1236" s="13">
        <f t="shared" si="333"/>
        <v>0</v>
      </c>
      <c r="J1236" s="51">
        <f t="shared" si="334"/>
        <v>26197.801654048573</v>
      </c>
    </row>
    <row r="1237" spans="1:10" s="3" customFormat="1" x14ac:dyDescent="0.25">
      <c r="A1237" s="4"/>
      <c r="B1237" s="20" t="s">
        <v>333</v>
      </c>
      <c r="C1237" s="21"/>
      <c r="D1237" s="21"/>
      <c r="E1237" s="29"/>
      <c r="F1237" s="29"/>
      <c r="G1237" s="47">
        <f>SUM(G1223:G1236)</f>
        <v>86.000000000000057</v>
      </c>
      <c r="H1237" s="47">
        <f t="shared" ref="H1237:J1237" si="335">SUM(H1223:H1236)</f>
        <v>1544670.9999999998</v>
      </c>
      <c r="I1237" s="47">
        <f t="shared" si="335"/>
        <v>455329</v>
      </c>
      <c r="J1237" s="47">
        <f t="shared" si="335"/>
        <v>1999999.9999999998</v>
      </c>
    </row>
    <row r="1238" spans="1:10" s="3" customFormat="1" x14ac:dyDescent="0.25">
      <c r="A1238" s="36" t="s">
        <v>97</v>
      </c>
      <c r="B1238" s="5" t="s">
        <v>214</v>
      </c>
      <c r="C1238" s="5" t="s">
        <v>210</v>
      </c>
      <c r="D1238" s="21"/>
      <c r="E1238" s="29"/>
      <c r="F1238" s="29"/>
      <c r="G1238" s="48">
        <v>4</v>
      </c>
      <c r="H1238" s="35">
        <v>2000000</v>
      </c>
      <c r="I1238" s="35">
        <v>0</v>
      </c>
      <c r="J1238" s="51">
        <f t="shared" si="334"/>
        <v>2000000</v>
      </c>
    </row>
    <row r="1239" spans="1:10" s="3" customFormat="1" x14ac:dyDescent="0.25">
      <c r="A1239" s="36" t="s">
        <v>97</v>
      </c>
      <c r="B1239" s="21"/>
      <c r="C1239" s="21"/>
      <c r="D1239" s="21"/>
      <c r="E1239" s="29"/>
      <c r="F1239" s="29"/>
      <c r="G1239" s="48"/>
      <c r="H1239" s="48"/>
      <c r="I1239" s="48"/>
      <c r="J1239" s="51">
        <f t="shared" si="334"/>
        <v>0</v>
      </c>
    </row>
    <row r="1240" spans="1:10" s="3" customFormat="1" x14ac:dyDescent="0.25">
      <c r="A1240" s="36"/>
      <c r="B1240" s="1" t="s">
        <v>464</v>
      </c>
      <c r="C1240" s="1"/>
      <c r="D1240" s="1"/>
      <c r="E1240" s="2"/>
      <c r="F1240" s="2"/>
      <c r="G1240" s="47">
        <f>SUM(G1238:G1239)</f>
        <v>4</v>
      </c>
      <c r="H1240" s="47">
        <f>SUM(H1238:H1239)</f>
        <v>2000000</v>
      </c>
      <c r="I1240" s="47">
        <f t="shared" ref="I1240:J1240" si="336">SUM(I1238:I1239)</f>
        <v>0</v>
      </c>
      <c r="J1240" s="47">
        <f t="shared" si="336"/>
        <v>2000000</v>
      </c>
    </row>
    <row r="1241" spans="1:10" x14ac:dyDescent="0.25">
      <c r="A1241" s="4" t="s">
        <v>98</v>
      </c>
      <c r="B1241" s="5" t="s">
        <v>226</v>
      </c>
      <c r="C1241" s="5" t="s">
        <v>210</v>
      </c>
      <c r="D1241" s="5">
        <v>2</v>
      </c>
      <c r="E1241" s="11">
        <v>1940</v>
      </c>
      <c r="F1241" s="11">
        <v>0</v>
      </c>
      <c r="G1241" s="27">
        <f>+D1241*4.66666666666667</f>
        <v>9.3333333333333393</v>
      </c>
      <c r="H1241" s="13">
        <f>+E1241*2000000/153606</f>
        <v>25259.429970183457</v>
      </c>
      <c r="I1241" s="13">
        <v>0</v>
      </c>
      <c r="J1241" s="51">
        <f t="shared" si="334"/>
        <v>25259.429970183457</v>
      </c>
    </row>
    <row r="1242" spans="1:10" x14ac:dyDescent="0.25">
      <c r="A1242" s="15" t="s">
        <v>98</v>
      </c>
      <c r="B1242" s="16" t="s">
        <v>262</v>
      </c>
      <c r="C1242" s="16" t="s">
        <v>263</v>
      </c>
      <c r="D1242" s="16">
        <v>1</v>
      </c>
      <c r="E1242" s="18">
        <v>151666</v>
      </c>
      <c r="F1242" s="18">
        <v>0</v>
      </c>
      <c r="G1242" s="27">
        <f>+D1242*4.66666666666667</f>
        <v>4.6666666666666696</v>
      </c>
      <c r="H1242" s="13">
        <f>+E1242*2000000/153606</f>
        <v>1974740.5700298166</v>
      </c>
      <c r="I1242" s="13">
        <v>0</v>
      </c>
      <c r="J1242" s="51">
        <f t="shared" si="334"/>
        <v>1974740.5700298166</v>
      </c>
    </row>
    <row r="1243" spans="1:10" s="3" customFormat="1" x14ac:dyDescent="0.25">
      <c r="A1243" s="4"/>
      <c r="B1243" s="20" t="s">
        <v>334</v>
      </c>
      <c r="C1243" s="21"/>
      <c r="D1243" s="21"/>
      <c r="E1243" s="29"/>
      <c r="F1243" s="29"/>
      <c r="G1243" s="47">
        <f>SUM(G1241:G1242)</f>
        <v>14.000000000000009</v>
      </c>
      <c r="H1243" s="47">
        <f t="shared" ref="H1243:J1243" si="337">SUM(H1241:H1242)</f>
        <v>2000000</v>
      </c>
      <c r="I1243" s="47">
        <f t="shared" si="337"/>
        <v>0</v>
      </c>
      <c r="J1243" s="47">
        <f t="shared" si="337"/>
        <v>2000000</v>
      </c>
    </row>
    <row r="1244" spans="1:10" x14ac:dyDescent="0.25">
      <c r="A1244" s="23" t="s">
        <v>99</v>
      </c>
      <c r="B1244" s="24" t="s">
        <v>214</v>
      </c>
      <c r="C1244" s="24" t="s">
        <v>210</v>
      </c>
      <c r="D1244" s="24">
        <v>2</v>
      </c>
      <c r="E1244" s="30">
        <v>970</v>
      </c>
      <c r="F1244" s="30">
        <v>0</v>
      </c>
      <c r="G1244" s="27">
        <f>+D1244*4.66666666666667</f>
        <v>9.3333333333333393</v>
      </c>
      <c r="H1244" s="13">
        <f>+E1244*1500000/1940</f>
        <v>750000</v>
      </c>
      <c r="I1244" s="13">
        <v>0</v>
      </c>
      <c r="J1244" s="51">
        <f t="shared" si="334"/>
        <v>750000</v>
      </c>
    </row>
    <row r="1245" spans="1:10" x14ac:dyDescent="0.25">
      <c r="A1245" s="15" t="s">
        <v>99</v>
      </c>
      <c r="B1245" s="16" t="s">
        <v>228</v>
      </c>
      <c r="C1245" s="16" t="s">
        <v>229</v>
      </c>
      <c r="D1245" s="16">
        <v>1</v>
      </c>
      <c r="E1245" s="18">
        <v>970</v>
      </c>
      <c r="F1245" s="18">
        <v>0</v>
      </c>
      <c r="G1245" s="27">
        <f>+D1245*4.66666666666667</f>
        <v>4.6666666666666696</v>
      </c>
      <c r="H1245" s="13">
        <f>+E1245*1500000/1940</f>
        <v>750000</v>
      </c>
      <c r="I1245" s="13">
        <v>0</v>
      </c>
      <c r="J1245" s="51">
        <f t="shared" si="334"/>
        <v>750000</v>
      </c>
    </row>
    <row r="1246" spans="1:10" s="3" customFormat="1" x14ac:dyDescent="0.25">
      <c r="A1246" s="4"/>
      <c r="B1246" s="20" t="s">
        <v>335</v>
      </c>
      <c r="C1246" s="21"/>
      <c r="D1246" s="21"/>
      <c r="E1246" s="29"/>
      <c r="F1246" s="29"/>
      <c r="G1246" s="47">
        <f>SUM(G1244:G1245)</f>
        <v>14.000000000000009</v>
      </c>
      <c r="H1246" s="47">
        <f t="shared" ref="H1246:J1246" si="338">SUM(H1244:H1245)</f>
        <v>1500000</v>
      </c>
      <c r="I1246" s="47">
        <f t="shared" si="338"/>
        <v>0</v>
      </c>
      <c r="J1246" s="47">
        <f t="shared" si="338"/>
        <v>1500000</v>
      </c>
    </row>
    <row r="1247" spans="1:10" x14ac:dyDescent="0.25">
      <c r="A1247" s="23" t="s">
        <v>100</v>
      </c>
      <c r="B1247" s="24" t="s">
        <v>217</v>
      </c>
      <c r="C1247" s="24" t="s">
        <v>218</v>
      </c>
      <c r="D1247" s="24">
        <v>10</v>
      </c>
      <c r="E1247" s="30">
        <v>66260</v>
      </c>
      <c r="F1247" s="30">
        <v>13250</v>
      </c>
      <c r="G1247" s="27">
        <f>+D1247*4.78947368421053</f>
        <v>47.894736842105303</v>
      </c>
      <c r="H1247" s="13">
        <f>+E1247*5845811/153435</f>
        <v>2524479.0097435396</v>
      </c>
      <c r="I1247" s="13">
        <f>+F1247*1154189/30294</f>
        <v>504819.57648379216</v>
      </c>
      <c r="J1247" s="51">
        <f t="shared" si="334"/>
        <v>3029298.5862273318</v>
      </c>
    </row>
    <row r="1248" spans="1:10" x14ac:dyDescent="0.25">
      <c r="A1248" s="4" t="s">
        <v>100</v>
      </c>
      <c r="B1248" s="5" t="s">
        <v>219</v>
      </c>
      <c r="C1248" s="5" t="s">
        <v>220</v>
      </c>
      <c r="D1248" s="5">
        <v>3</v>
      </c>
      <c r="E1248" s="11">
        <v>20382</v>
      </c>
      <c r="F1248" s="11">
        <v>4074</v>
      </c>
      <c r="G1248" s="27">
        <f t="shared" ref="G1248:G1251" si="339">+D1248*4.78947368421053</f>
        <v>14.368421052631589</v>
      </c>
      <c r="H1248" s="13">
        <f t="shared" ref="H1248:H1251" si="340">+E1248*5845811/153435</f>
        <v>776545.89762440126</v>
      </c>
      <c r="I1248" s="13">
        <f t="shared" ref="I1248:I1251" si="341">+F1248*1154189/30294</f>
        <v>155217.73242226185</v>
      </c>
      <c r="J1248" s="51">
        <f t="shared" si="334"/>
        <v>931763.63004666311</v>
      </c>
    </row>
    <row r="1249" spans="1:10" x14ac:dyDescent="0.25">
      <c r="A1249" s="4" t="s">
        <v>100</v>
      </c>
      <c r="B1249" s="5" t="s">
        <v>237</v>
      </c>
      <c r="C1249" s="5" t="s">
        <v>238</v>
      </c>
      <c r="D1249" s="5">
        <v>1</v>
      </c>
      <c r="E1249" s="11">
        <v>10252</v>
      </c>
      <c r="F1249" s="11">
        <v>2050</v>
      </c>
      <c r="G1249" s="27">
        <f t="shared" si="339"/>
        <v>4.7894736842105301</v>
      </c>
      <c r="H1249" s="13">
        <f t="shared" si="340"/>
        <v>390597.02396454522</v>
      </c>
      <c r="I1249" s="13">
        <f t="shared" si="341"/>
        <v>78104.160889945197</v>
      </c>
      <c r="J1249" s="51">
        <f t="shared" si="334"/>
        <v>468701.18485449045</v>
      </c>
    </row>
    <row r="1250" spans="1:10" x14ac:dyDescent="0.25">
      <c r="A1250" s="4" t="s">
        <v>100</v>
      </c>
      <c r="B1250" s="5" t="s">
        <v>241</v>
      </c>
      <c r="C1250" s="5" t="s">
        <v>236</v>
      </c>
      <c r="D1250" s="5">
        <v>4</v>
      </c>
      <c r="E1250" s="11">
        <v>54600</v>
      </c>
      <c r="F1250" s="11">
        <v>10920</v>
      </c>
      <c r="G1250" s="27">
        <f t="shared" si="339"/>
        <v>19.15789473684212</v>
      </c>
      <c r="H1250" s="13">
        <f t="shared" si="340"/>
        <v>2080237.7593117608</v>
      </c>
      <c r="I1250" s="13">
        <f t="shared" si="341"/>
        <v>416047.53020400077</v>
      </c>
      <c r="J1250" s="51">
        <f t="shared" si="334"/>
        <v>2496285.2895157617</v>
      </c>
    </row>
    <row r="1251" spans="1:10" x14ac:dyDescent="0.25">
      <c r="A1251" s="15" t="s">
        <v>100</v>
      </c>
      <c r="B1251" s="16" t="s">
        <v>253</v>
      </c>
      <c r="C1251" s="16" t="s">
        <v>210</v>
      </c>
      <c r="D1251" s="16">
        <v>1</v>
      </c>
      <c r="E1251" s="18">
        <v>1941</v>
      </c>
      <c r="F1251" s="18">
        <v>0</v>
      </c>
      <c r="G1251" s="27">
        <f t="shared" si="339"/>
        <v>4.7894736842105301</v>
      </c>
      <c r="H1251" s="13">
        <f t="shared" si="340"/>
        <v>73951.309355753256</v>
      </c>
      <c r="I1251" s="13">
        <f t="shared" si="341"/>
        <v>0</v>
      </c>
      <c r="J1251" s="51">
        <f t="shared" si="334"/>
        <v>73951.309355753256</v>
      </c>
    </row>
    <row r="1252" spans="1:10" s="3" customFormat="1" x14ac:dyDescent="0.25">
      <c r="A1252" s="4"/>
      <c r="B1252" s="20" t="s">
        <v>336</v>
      </c>
      <c r="C1252" s="21"/>
      <c r="D1252" s="21"/>
      <c r="E1252" s="29"/>
      <c r="F1252" s="29"/>
      <c r="G1252" s="47">
        <f>SUM(G1247:G1251)</f>
        <v>91.000000000000085</v>
      </c>
      <c r="H1252" s="47">
        <f t="shared" ref="H1252:J1252" si="342">SUM(H1247:H1251)</f>
        <v>5845811.0000000009</v>
      </c>
      <c r="I1252" s="47">
        <f t="shared" si="342"/>
        <v>1154189</v>
      </c>
      <c r="J1252" s="47">
        <f t="shared" si="342"/>
        <v>7000000.0000000009</v>
      </c>
    </row>
    <row r="1253" spans="1:10" x14ac:dyDescent="0.25">
      <c r="A1253" s="23" t="s">
        <v>101</v>
      </c>
      <c r="B1253" s="24" t="s">
        <v>219</v>
      </c>
      <c r="C1253" s="24" t="s">
        <v>220</v>
      </c>
      <c r="D1253" s="24">
        <v>2</v>
      </c>
      <c r="E1253" s="30">
        <v>6794</v>
      </c>
      <c r="F1253" s="30">
        <v>2716</v>
      </c>
      <c r="G1253" s="27">
        <f>+D1253*4.75</f>
        <v>9.5</v>
      </c>
      <c r="H1253" s="13">
        <f>+E1253*1071557/11920</f>
        <v>610751.53171140945</v>
      </c>
      <c r="I1253" s="13">
        <f>+F1253*428443/4766</f>
        <v>244156.77465379774</v>
      </c>
      <c r="J1253" s="51">
        <f t="shared" si="334"/>
        <v>854908.30636520719</v>
      </c>
    </row>
    <row r="1254" spans="1:10" x14ac:dyDescent="0.25">
      <c r="A1254" s="4" t="s">
        <v>101</v>
      </c>
      <c r="B1254" s="5" t="s">
        <v>223</v>
      </c>
      <c r="C1254" s="5" t="s">
        <v>224</v>
      </c>
      <c r="D1254" s="5">
        <v>1</v>
      </c>
      <c r="E1254" s="11">
        <v>0</v>
      </c>
      <c r="F1254" s="11">
        <v>0</v>
      </c>
      <c r="G1254" s="27">
        <f t="shared" ref="G1254:G1255" si="343">+D1254*4.75</f>
        <v>4.75</v>
      </c>
      <c r="H1254" s="13">
        <f t="shared" ref="H1254:H1255" si="344">+E1254*1071557/11920</f>
        <v>0</v>
      </c>
      <c r="I1254" s="13">
        <f t="shared" ref="I1254:I1255" si="345">+F1254*428443/4766</f>
        <v>0</v>
      </c>
      <c r="J1254" s="51">
        <f t="shared" si="334"/>
        <v>0</v>
      </c>
    </row>
    <row r="1255" spans="1:10" x14ac:dyDescent="0.25">
      <c r="A1255" s="15" t="s">
        <v>101</v>
      </c>
      <c r="B1255" s="16" t="s">
        <v>240</v>
      </c>
      <c r="C1255" s="16" t="s">
        <v>238</v>
      </c>
      <c r="D1255" s="16">
        <v>1</v>
      </c>
      <c r="E1255" s="18">
        <v>5126</v>
      </c>
      <c r="F1255" s="18">
        <v>2050</v>
      </c>
      <c r="G1255" s="27">
        <f t="shared" si="343"/>
        <v>4.75</v>
      </c>
      <c r="H1255" s="13">
        <f t="shared" si="344"/>
        <v>460805.46828859061</v>
      </c>
      <c r="I1255" s="13">
        <f t="shared" si="345"/>
        <v>184286.22534620226</v>
      </c>
      <c r="J1255" s="51">
        <f t="shared" si="334"/>
        <v>645091.69363479293</v>
      </c>
    </row>
    <row r="1256" spans="1:10" s="3" customFormat="1" x14ac:dyDescent="0.25">
      <c r="A1256" s="4"/>
      <c r="B1256" s="20" t="s">
        <v>337</v>
      </c>
      <c r="C1256" s="21"/>
      <c r="D1256" s="21"/>
      <c r="E1256" s="29"/>
      <c r="F1256" s="29"/>
      <c r="G1256" s="47">
        <f>SUM(G1253:G1255)</f>
        <v>19</v>
      </c>
      <c r="H1256" s="47">
        <f t="shared" ref="H1256:J1256" si="346">SUM(H1253:H1255)</f>
        <v>1071557</v>
      </c>
      <c r="I1256" s="47">
        <f t="shared" si="346"/>
        <v>428443</v>
      </c>
      <c r="J1256" s="47">
        <f t="shared" si="346"/>
        <v>1500000</v>
      </c>
    </row>
    <row r="1257" spans="1:10" x14ac:dyDescent="0.25">
      <c r="A1257" s="23" t="s">
        <v>102</v>
      </c>
      <c r="B1257" s="24" t="s">
        <v>214</v>
      </c>
      <c r="C1257" s="24" t="s">
        <v>210</v>
      </c>
      <c r="D1257" s="24">
        <v>3</v>
      </c>
      <c r="E1257" s="30">
        <v>1455</v>
      </c>
      <c r="F1257" s="30">
        <v>0</v>
      </c>
      <c r="G1257" s="27">
        <f>+D1257*4.81818181818182</f>
        <v>14.45454545454546</v>
      </c>
      <c r="H1257" s="13">
        <f>+E1257*993678/10688</f>
        <v>135273.34300149701</v>
      </c>
      <c r="I1257" s="13">
        <f>+F1257*506322/5446</f>
        <v>0</v>
      </c>
      <c r="J1257" s="51">
        <f t="shared" si="334"/>
        <v>135273.34300149701</v>
      </c>
    </row>
    <row r="1258" spans="1:10" x14ac:dyDescent="0.25">
      <c r="A1258" s="4" t="s">
        <v>102</v>
      </c>
      <c r="B1258" s="5" t="s">
        <v>216</v>
      </c>
      <c r="C1258" s="5" t="s">
        <v>210</v>
      </c>
      <c r="D1258" s="5">
        <v>2</v>
      </c>
      <c r="E1258" s="11">
        <v>970</v>
      </c>
      <c r="F1258" s="11">
        <v>0</v>
      </c>
      <c r="G1258" s="27">
        <f t="shared" ref="G1258:G1263" si="347">+D1258*4.81818181818182</f>
        <v>9.6363636363636402</v>
      </c>
      <c r="H1258" s="13">
        <f t="shared" ref="H1258:H1263" si="348">+E1258*993678/10688</f>
        <v>90182.228667664676</v>
      </c>
      <c r="I1258" s="13">
        <f t="shared" ref="I1258:I1263" si="349">+F1258*506322/5446</f>
        <v>0</v>
      </c>
      <c r="J1258" s="51">
        <f t="shared" si="334"/>
        <v>90182.228667664676</v>
      </c>
    </row>
    <row r="1259" spans="1:10" x14ac:dyDescent="0.25">
      <c r="A1259" s="4" t="s">
        <v>102</v>
      </c>
      <c r="B1259" s="5" t="s">
        <v>219</v>
      </c>
      <c r="C1259" s="5" t="s">
        <v>220</v>
      </c>
      <c r="D1259" s="5">
        <v>2</v>
      </c>
      <c r="E1259" s="11">
        <v>3396</v>
      </c>
      <c r="F1259" s="11">
        <v>2716</v>
      </c>
      <c r="G1259" s="27">
        <f t="shared" si="347"/>
        <v>9.6363636363636402</v>
      </c>
      <c r="H1259" s="13">
        <f t="shared" si="348"/>
        <v>315730.77170658682</v>
      </c>
      <c r="I1259" s="13">
        <f t="shared" si="349"/>
        <v>252510.20051413882</v>
      </c>
      <c r="J1259" s="51">
        <f t="shared" si="334"/>
        <v>568240.97222072561</v>
      </c>
    </row>
    <row r="1260" spans="1:10" x14ac:dyDescent="0.25">
      <c r="A1260" s="4" t="s">
        <v>102</v>
      </c>
      <c r="B1260" s="5" t="s">
        <v>223</v>
      </c>
      <c r="C1260" s="5" t="s">
        <v>224</v>
      </c>
      <c r="D1260" s="5">
        <v>1</v>
      </c>
      <c r="E1260" s="11">
        <v>0</v>
      </c>
      <c r="F1260" s="11">
        <v>0</v>
      </c>
      <c r="G1260" s="27">
        <f t="shared" si="347"/>
        <v>4.8181818181818201</v>
      </c>
      <c r="H1260" s="13">
        <f t="shared" si="348"/>
        <v>0</v>
      </c>
      <c r="I1260" s="13">
        <f t="shared" si="349"/>
        <v>0</v>
      </c>
      <c r="J1260" s="51">
        <f t="shared" si="334"/>
        <v>0</v>
      </c>
    </row>
    <row r="1261" spans="1:10" x14ac:dyDescent="0.25">
      <c r="A1261" s="4" t="s">
        <v>102</v>
      </c>
      <c r="B1261" s="5" t="s">
        <v>226</v>
      </c>
      <c r="C1261" s="5" t="s">
        <v>210</v>
      </c>
      <c r="D1261" s="5">
        <v>1</v>
      </c>
      <c r="E1261" s="11">
        <v>485</v>
      </c>
      <c r="F1261" s="11">
        <v>0</v>
      </c>
      <c r="G1261" s="27">
        <f t="shared" si="347"/>
        <v>4.8181818181818201</v>
      </c>
      <c r="H1261" s="13">
        <f t="shared" si="348"/>
        <v>45091.114333832338</v>
      </c>
      <c r="I1261" s="13">
        <f t="shared" si="349"/>
        <v>0</v>
      </c>
      <c r="J1261" s="51">
        <f t="shared" si="334"/>
        <v>45091.114333832338</v>
      </c>
    </row>
    <row r="1262" spans="1:10" x14ac:dyDescent="0.25">
      <c r="A1262" s="4" t="s">
        <v>102</v>
      </c>
      <c r="B1262" s="5" t="s">
        <v>228</v>
      </c>
      <c r="C1262" s="5" t="s">
        <v>229</v>
      </c>
      <c r="D1262" s="5">
        <v>1</v>
      </c>
      <c r="E1262" s="11">
        <v>970</v>
      </c>
      <c r="F1262" s="11">
        <v>0</v>
      </c>
      <c r="G1262" s="27">
        <f t="shared" si="347"/>
        <v>4.8181818181818201</v>
      </c>
      <c r="H1262" s="13">
        <f t="shared" si="348"/>
        <v>90182.228667664676</v>
      </c>
      <c r="I1262" s="13">
        <f t="shared" si="349"/>
        <v>0</v>
      </c>
      <c r="J1262" s="51">
        <f t="shared" si="334"/>
        <v>90182.228667664676</v>
      </c>
    </row>
    <row r="1263" spans="1:10" x14ac:dyDescent="0.25">
      <c r="A1263" s="15" t="s">
        <v>102</v>
      </c>
      <c r="B1263" s="16" t="s">
        <v>241</v>
      </c>
      <c r="C1263" s="16" t="s">
        <v>236</v>
      </c>
      <c r="D1263" s="16">
        <v>1</v>
      </c>
      <c r="E1263" s="18">
        <v>3412</v>
      </c>
      <c r="F1263" s="18">
        <v>2730</v>
      </c>
      <c r="G1263" s="27">
        <f t="shared" si="347"/>
        <v>4.8181818181818201</v>
      </c>
      <c r="H1263" s="13">
        <f t="shared" si="348"/>
        <v>317218.31362275447</v>
      </c>
      <c r="I1263" s="13">
        <f t="shared" si="349"/>
        <v>253811.79948586118</v>
      </c>
      <c r="J1263" s="51">
        <f t="shared" si="334"/>
        <v>571030.11310861562</v>
      </c>
    </row>
    <row r="1264" spans="1:10" s="3" customFormat="1" x14ac:dyDescent="0.25">
      <c r="A1264" s="4"/>
      <c r="B1264" s="20" t="s">
        <v>338</v>
      </c>
      <c r="C1264" s="21"/>
      <c r="D1264" s="21"/>
      <c r="E1264" s="29"/>
      <c r="F1264" s="29"/>
      <c r="G1264" s="47">
        <f>SUM(G1257:G1263)</f>
        <v>53.000000000000021</v>
      </c>
      <c r="H1264" s="47">
        <f t="shared" ref="H1264:J1264" si="350">SUM(H1257:H1263)</f>
        <v>993678</v>
      </c>
      <c r="I1264" s="47">
        <f t="shared" si="350"/>
        <v>506322</v>
      </c>
      <c r="J1264" s="47">
        <f t="shared" si="350"/>
        <v>1500000</v>
      </c>
    </row>
    <row r="1265" spans="1:10" x14ac:dyDescent="0.25">
      <c r="A1265" s="23" t="s">
        <v>103</v>
      </c>
      <c r="B1265" s="24" t="s">
        <v>214</v>
      </c>
      <c r="C1265" s="24" t="s">
        <v>210</v>
      </c>
      <c r="D1265" s="24">
        <v>3</v>
      </c>
      <c r="E1265" s="30">
        <v>1455</v>
      </c>
      <c r="F1265" s="30">
        <v>0</v>
      </c>
      <c r="G1265" s="27">
        <f>+D1265*4.75</f>
        <v>14.25</v>
      </c>
      <c r="H1265" s="13">
        <f>+E1265*1051961/3111</f>
        <v>491997.18900675024</v>
      </c>
      <c r="I1265" s="13">
        <f>+F1265*448039/1325</f>
        <v>0</v>
      </c>
      <c r="J1265" s="51">
        <f t="shared" si="334"/>
        <v>491997.18900675024</v>
      </c>
    </row>
    <row r="1266" spans="1:10" x14ac:dyDescent="0.25">
      <c r="A1266" s="15" t="s">
        <v>103</v>
      </c>
      <c r="B1266" s="16" t="s">
        <v>217</v>
      </c>
      <c r="C1266" s="16" t="s">
        <v>218</v>
      </c>
      <c r="D1266" s="16">
        <v>1</v>
      </c>
      <c r="E1266" s="18">
        <v>1656</v>
      </c>
      <c r="F1266" s="18">
        <v>1325</v>
      </c>
      <c r="G1266" s="27">
        <f>+D1266*4.75</f>
        <v>4.75</v>
      </c>
      <c r="H1266" s="13">
        <f>+E1266*1051961/3111</f>
        <v>559963.81099324976</v>
      </c>
      <c r="I1266" s="13">
        <f>+F1266*448039/1325</f>
        <v>448039</v>
      </c>
      <c r="J1266" s="51">
        <f t="shared" si="334"/>
        <v>1008002.8109932498</v>
      </c>
    </row>
    <row r="1267" spans="1:10" s="3" customFormat="1" x14ac:dyDescent="0.25">
      <c r="A1267" s="15"/>
      <c r="B1267" s="20" t="s">
        <v>339</v>
      </c>
      <c r="C1267" s="20"/>
      <c r="D1267" s="20"/>
      <c r="E1267" s="40"/>
      <c r="F1267" s="40"/>
      <c r="G1267" s="47">
        <f>SUM(G1265:G1266)</f>
        <v>19</v>
      </c>
      <c r="H1267" s="47">
        <f t="shared" ref="H1267:J1267" si="351">SUM(H1265:H1266)</f>
        <v>1051961</v>
      </c>
      <c r="I1267" s="47">
        <f t="shared" si="351"/>
        <v>448039</v>
      </c>
      <c r="J1267" s="47">
        <f t="shared" si="351"/>
        <v>1500000</v>
      </c>
    </row>
    <row r="1268" spans="1:10" x14ac:dyDescent="0.25">
      <c r="A1268" s="36" t="s">
        <v>104</v>
      </c>
      <c r="B1268" s="34" t="s">
        <v>214</v>
      </c>
      <c r="C1268" s="34" t="s">
        <v>210</v>
      </c>
      <c r="D1268" s="34">
        <v>1</v>
      </c>
      <c r="E1268" s="39">
        <v>485</v>
      </c>
      <c r="F1268" s="39">
        <v>0</v>
      </c>
      <c r="G1268" s="27">
        <v>1</v>
      </c>
      <c r="H1268" s="13">
        <f>+E1268*2000000/485</f>
        <v>2000000</v>
      </c>
      <c r="I1268" s="13"/>
      <c r="J1268" s="51">
        <f t="shared" si="334"/>
        <v>2000000</v>
      </c>
    </row>
    <row r="1269" spans="1:10" s="3" customFormat="1" x14ac:dyDescent="0.25">
      <c r="A1269" s="23"/>
      <c r="B1269" s="1" t="s">
        <v>340</v>
      </c>
      <c r="C1269" s="37"/>
      <c r="D1269" s="37"/>
      <c r="E1269" s="38"/>
      <c r="F1269" s="38"/>
      <c r="G1269" s="47">
        <f>SUM(G1268)</f>
        <v>1</v>
      </c>
      <c r="H1269" s="47">
        <f t="shared" ref="H1269:J1269" si="352">SUM(H1268)</f>
        <v>2000000</v>
      </c>
      <c r="I1269" s="47">
        <f t="shared" si="352"/>
        <v>0</v>
      </c>
      <c r="J1269" s="47">
        <f t="shared" si="352"/>
        <v>2000000</v>
      </c>
    </row>
    <row r="1270" spans="1:10" s="3" customFormat="1" x14ac:dyDescent="0.25">
      <c r="A1270" s="36" t="s">
        <v>105</v>
      </c>
      <c r="B1270" s="5" t="s">
        <v>214</v>
      </c>
      <c r="C1270" s="5" t="s">
        <v>210</v>
      </c>
      <c r="D1270" s="37"/>
      <c r="E1270" s="38"/>
      <c r="F1270" s="38"/>
      <c r="G1270" s="48">
        <v>4</v>
      </c>
      <c r="H1270" s="35">
        <v>1285000</v>
      </c>
      <c r="I1270" s="39">
        <v>715000</v>
      </c>
      <c r="J1270" s="51">
        <f t="shared" si="334"/>
        <v>2000000</v>
      </c>
    </row>
    <row r="1271" spans="1:10" s="3" customFormat="1" x14ac:dyDescent="0.25">
      <c r="A1271" s="36" t="s">
        <v>105</v>
      </c>
      <c r="B1271" s="37"/>
      <c r="C1271" s="37"/>
      <c r="D1271" s="37"/>
      <c r="E1271" s="38"/>
      <c r="F1271" s="38"/>
      <c r="G1271" s="48"/>
      <c r="H1271" s="48"/>
      <c r="I1271" s="48"/>
      <c r="J1271" s="51">
        <f t="shared" si="334"/>
        <v>0</v>
      </c>
    </row>
    <row r="1272" spans="1:10" s="3" customFormat="1" x14ac:dyDescent="0.25">
      <c r="A1272" s="36"/>
      <c r="B1272" s="1" t="s">
        <v>462</v>
      </c>
      <c r="C1272" s="1"/>
      <c r="D1272" s="1"/>
      <c r="E1272" s="2"/>
      <c r="F1272" s="2"/>
      <c r="G1272" s="47">
        <f>SUM(G1270:G1271)</f>
        <v>4</v>
      </c>
      <c r="H1272" s="47">
        <f>SUM(H1270:H1271)</f>
        <v>1285000</v>
      </c>
      <c r="I1272" s="47">
        <f t="shared" ref="I1272:J1272" si="353">SUM(I1270:I1271)</f>
        <v>715000</v>
      </c>
      <c r="J1272" s="47">
        <f t="shared" si="353"/>
        <v>2000000</v>
      </c>
    </row>
    <row r="1273" spans="1:10" s="3" customFormat="1" x14ac:dyDescent="0.25">
      <c r="A1273" s="15" t="s">
        <v>106</v>
      </c>
      <c r="B1273" s="5" t="s">
        <v>214</v>
      </c>
      <c r="C1273" s="5" t="s">
        <v>210</v>
      </c>
      <c r="D1273" s="21"/>
      <c r="E1273" s="29"/>
      <c r="F1273" s="29"/>
      <c r="G1273" s="48">
        <v>4</v>
      </c>
      <c r="H1273" s="17">
        <v>2000000</v>
      </c>
      <c r="I1273" s="18">
        <v>500000</v>
      </c>
      <c r="J1273" s="51">
        <f t="shared" si="334"/>
        <v>2500000</v>
      </c>
    </row>
    <row r="1274" spans="1:10" s="3" customFormat="1" x14ac:dyDescent="0.25">
      <c r="A1274" s="15" t="s">
        <v>106</v>
      </c>
      <c r="B1274" s="37"/>
      <c r="C1274" s="37"/>
      <c r="D1274" s="37"/>
      <c r="E1274" s="38"/>
      <c r="F1274" s="38"/>
      <c r="G1274" s="48"/>
      <c r="H1274" s="48"/>
      <c r="I1274" s="48"/>
      <c r="J1274" s="51">
        <f t="shared" si="334"/>
        <v>0</v>
      </c>
    </row>
    <row r="1275" spans="1:10" s="3" customFormat="1" x14ac:dyDescent="0.25">
      <c r="A1275" s="36"/>
      <c r="B1275" s="1" t="s">
        <v>463</v>
      </c>
      <c r="C1275" s="1"/>
      <c r="D1275" s="1"/>
      <c r="E1275" s="2"/>
      <c r="F1275" s="2"/>
      <c r="G1275" s="47">
        <f>SUM(G1273:G1274)</f>
        <v>4</v>
      </c>
      <c r="H1275" s="47">
        <f>SUM(H1273:H1274)</f>
        <v>2000000</v>
      </c>
      <c r="I1275" s="47">
        <f t="shared" ref="I1275:J1275" si="354">SUM(I1273:I1274)</f>
        <v>500000</v>
      </c>
      <c r="J1275" s="47">
        <f t="shared" si="354"/>
        <v>2500000</v>
      </c>
    </row>
    <row r="1276" spans="1:10" x14ac:dyDescent="0.25">
      <c r="A1276" s="4" t="s">
        <v>107</v>
      </c>
      <c r="B1276" s="5" t="s">
        <v>211</v>
      </c>
      <c r="C1276" s="5" t="s">
        <v>212</v>
      </c>
      <c r="D1276" s="5">
        <v>1</v>
      </c>
      <c r="E1276" s="11">
        <v>2912</v>
      </c>
      <c r="F1276" s="11">
        <v>0</v>
      </c>
      <c r="G1276" s="27">
        <f>+D1276*4.78731343283582</f>
        <v>4.7873134328358198</v>
      </c>
      <c r="H1276" s="13">
        <f>+E1276*19271461/5423840</f>
        <v>10346.63530487625</v>
      </c>
      <c r="I1276" s="13">
        <f>+F1276*728539/205043</f>
        <v>0</v>
      </c>
      <c r="J1276" s="51">
        <f t="shared" si="334"/>
        <v>10346.63530487625</v>
      </c>
    </row>
    <row r="1277" spans="1:10" x14ac:dyDescent="0.25">
      <c r="A1277" s="4" t="s">
        <v>107</v>
      </c>
      <c r="B1277" s="5" t="s">
        <v>213</v>
      </c>
      <c r="C1277" s="5" t="s">
        <v>212</v>
      </c>
      <c r="D1277" s="5">
        <v>12</v>
      </c>
      <c r="E1277" s="11">
        <v>34944</v>
      </c>
      <c r="F1277" s="11">
        <v>0</v>
      </c>
      <c r="G1277" s="27">
        <f t="shared" ref="G1277:G1302" si="355">+D1277*4.78731343283582</f>
        <v>57.447761194029837</v>
      </c>
      <c r="H1277" s="13">
        <f t="shared" ref="H1277:H1302" si="356">+E1277*19271461/5423840</f>
        <v>124159.623658515</v>
      </c>
      <c r="I1277" s="13">
        <f t="shared" ref="I1277:I1302" si="357">+F1277*728539/205043</f>
        <v>0</v>
      </c>
      <c r="J1277" s="51">
        <f t="shared" si="334"/>
        <v>124159.623658515</v>
      </c>
    </row>
    <row r="1278" spans="1:10" x14ac:dyDescent="0.25">
      <c r="A1278" s="4" t="s">
        <v>107</v>
      </c>
      <c r="B1278" s="5" t="s">
        <v>214</v>
      </c>
      <c r="C1278" s="5" t="s">
        <v>210</v>
      </c>
      <c r="D1278" s="5">
        <v>5</v>
      </c>
      <c r="E1278" s="11">
        <v>9705</v>
      </c>
      <c r="F1278" s="11">
        <v>0</v>
      </c>
      <c r="G1278" s="27">
        <f t="shared" si="355"/>
        <v>23.936567164179099</v>
      </c>
      <c r="H1278" s="13">
        <f t="shared" si="356"/>
        <v>34482.862511615385</v>
      </c>
      <c r="I1278" s="13">
        <f t="shared" si="357"/>
        <v>0</v>
      </c>
      <c r="J1278" s="51">
        <f t="shared" si="334"/>
        <v>34482.862511615385</v>
      </c>
    </row>
    <row r="1279" spans="1:10" x14ac:dyDescent="0.25">
      <c r="A1279" s="4" t="s">
        <v>107</v>
      </c>
      <c r="B1279" s="5" t="s">
        <v>215</v>
      </c>
      <c r="C1279" s="5" t="s">
        <v>212</v>
      </c>
      <c r="D1279" s="5">
        <v>1</v>
      </c>
      <c r="E1279" s="11">
        <v>2912</v>
      </c>
      <c r="F1279" s="11">
        <v>0</v>
      </c>
      <c r="G1279" s="27">
        <f t="shared" si="355"/>
        <v>4.7873134328358198</v>
      </c>
      <c r="H1279" s="13">
        <f t="shared" si="356"/>
        <v>10346.63530487625</v>
      </c>
      <c r="I1279" s="13">
        <f t="shared" si="357"/>
        <v>0</v>
      </c>
      <c r="J1279" s="51">
        <f t="shared" si="334"/>
        <v>10346.63530487625</v>
      </c>
    </row>
    <row r="1280" spans="1:10" x14ac:dyDescent="0.25">
      <c r="A1280" s="4" t="s">
        <v>107</v>
      </c>
      <c r="B1280" s="5" t="s">
        <v>217</v>
      </c>
      <c r="C1280" s="5" t="s">
        <v>218</v>
      </c>
      <c r="D1280" s="5">
        <v>19</v>
      </c>
      <c r="E1280" s="11">
        <v>125894</v>
      </c>
      <c r="F1280" s="11">
        <v>25175</v>
      </c>
      <c r="G1280" s="27">
        <f t="shared" si="355"/>
        <v>90.958955223880579</v>
      </c>
      <c r="H1280" s="13">
        <f t="shared" si="356"/>
        <v>447314.32179673441</v>
      </c>
      <c r="I1280" s="13">
        <f t="shared" si="357"/>
        <v>89449.380495798439</v>
      </c>
      <c r="J1280" s="51">
        <f t="shared" si="334"/>
        <v>536763.70229253289</v>
      </c>
    </row>
    <row r="1281" spans="1:10" x14ac:dyDescent="0.25">
      <c r="A1281" s="4" t="s">
        <v>107</v>
      </c>
      <c r="B1281" s="5" t="s">
        <v>219</v>
      </c>
      <c r="C1281" s="5" t="s">
        <v>220</v>
      </c>
      <c r="D1281" s="5">
        <v>12</v>
      </c>
      <c r="E1281" s="11">
        <v>81528</v>
      </c>
      <c r="F1281" s="11">
        <v>16296</v>
      </c>
      <c r="G1281" s="27">
        <f t="shared" si="355"/>
        <v>57.447761194029837</v>
      </c>
      <c r="H1281" s="13">
        <f t="shared" si="356"/>
        <v>289677.36371426884</v>
      </c>
      <c r="I1281" s="13">
        <f t="shared" si="357"/>
        <v>57901.374560458047</v>
      </c>
      <c r="J1281" s="51">
        <f t="shared" si="334"/>
        <v>347578.7382747269</v>
      </c>
    </row>
    <row r="1282" spans="1:10" x14ac:dyDescent="0.25">
      <c r="A1282" s="4" t="s">
        <v>107</v>
      </c>
      <c r="B1282" s="5" t="s">
        <v>223</v>
      </c>
      <c r="C1282" s="5" t="s">
        <v>224</v>
      </c>
      <c r="D1282" s="5">
        <v>22</v>
      </c>
      <c r="E1282" s="11">
        <v>0</v>
      </c>
      <c r="F1282" s="11">
        <v>0</v>
      </c>
      <c r="G1282" s="27">
        <f t="shared" si="355"/>
        <v>105.32089552238804</v>
      </c>
      <c r="H1282" s="13">
        <f t="shared" si="356"/>
        <v>0</v>
      </c>
      <c r="I1282" s="13">
        <f t="shared" si="357"/>
        <v>0</v>
      </c>
      <c r="J1282" s="51">
        <f t="shared" si="334"/>
        <v>0</v>
      </c>
    </row>
    <row r="1283" spans="1:10" x14ac:dyDescent="0.25">
      <c r="A1283" s="4" t="s">
        <v>107</v>
      </c>
      <c r="B1283" s="5" t="s">
        <v>225</v>
      </c>
      <c r="C1283" s="5" t="s">
        <v>210</v>
      </c>
      <c r="D1283" s="5">
        <v>1</v>
      </c>
      <c r="E1283" s="11">
        <v>1941</v>
      </c>
      <c r="F1283" s="11">
        <v>0</v>
      </c>
      <c r="G1283" s="27">
        <f t="shared" si="355"/>
        <v>4.7873134328358198</v>
      </c>
      <c r="H1283" s="13">
        <f t="shared" si="356"/>
        <v>6896.5725023230771</v>
      </c>
      <c r="I1283" s="13">
        <f t="shared" si="357"/>
        <v>0</v>
      </c>
      <c r="J1283" s="51">
        <f t="shared" si="334"/>
        <v>6896.5725023230771</v>
      </c>
    </row>
    <row r="1284" spans="1:10" x14ac:dyDescent="0.25">
      <c r="A1284" s="4" t="s">
        <v>107</v>
      </c>
      <c r="B1284" s="5" t="s">
        <v>226</v>
      </c>
      <c r="C1284" s="5" t="s">
        <v>210</v>
      </c>
      <c r="D1284" s="5">
        <v>50</v>
      </c>
      <c r="E1284" s="11">
        <v>97050</v>
      </c>
      <c r="F1284" s="11">
        <v>0</v>
      </c>
      <c r="G1284" s="27">
        <f t="shared" si="355"/>
        <v>239.36567164179098</v>
      </c>
      <c r="H1284" s="13">
        <f t="shared" si="356"/>
        <v>344828.62511615385</v>
      </c>
      <c r="I1284" s="13">
        <f t="shared" si="357"/>
        <v>0</v>
      </c>
      <c r="J1284" s="51">
        <f t="shared" si="334"/>
        <v>344828.62511615385</v>
      </c>
    </row>
    <row r="1285" spans="1:10" x14ac:dyDescent="0.25">
      <c r="A1285" s="4" t="s">
        <v>107</v>
      </c>
      <c r="B1285" s="5" t="s">
        <v>227</v>
      </c>
      <c r="C1285" s="5" t="s">
        <v>210</v>
      </c>
      <c r="D1285" s="5">
        <v>1</v>
      </c>
      <c r="E1285" s="11">
        <v>1941</v>
      </c>
      <c r="F1285" s="11">
        <v>0</v>
      </c>
      <c r="G1285" s="27">
        <f t="shared" si="355"/>
        <v>4.7873134328358198</v>
      </c>
      <c r="H1285" s="13">
        <f t="shared" si="356"/>
        <v>6896.5725023230771</v>
      </c>
      <c r="I1285" s="13">
        <f t="shared" si="357"/>
        <v>0</v>
      </c>
      <c r="J1285" s="51">
        <f t="shared" si="334"/>
        <v>6896.5725023230771</v>
      </c>
    </row>
    <row r="1286" spans="1:10" x14ac:dyDescent="0.25">
      <c r="A1286" s="4" t="s">
        <v>107</v>
      </c>
      <c r="B1286" s="5" t="s">
        <v>228</v>
      </c>
      <c r="C1286" s="5" t="s">
        <v>229</v>
      </c>
      <c r="D1286" s="5">
        <v>45</v>
      </c>
      <c r="E1286" s="11">
        <v>174690</v>
      </c>
      <c r="F1286" s="11">
        <v>0</v>
      </c>
      <c r="G1286" s="27">
        <f t="shared" si="355"/>
        <v>215.4291044776119</v>
      </c>
      <c r="H1286" s="13">
        <f t="shared" si="356"/>
        <v>620691.52520907694</v>
      </c>
      <c r="I1286" s="13">
        <f t="shared" si="357"/>
        <v>0</v>
      </c>
      <c r="J1286" s="51">
        <f t="shared" si="334"/>
        <v>620691.52520907694</v>
      </c>
    </row>
    <row r="1287" spans="1:10" x14ac:dyDescent="0.25">
      <c r="A1287" s="4" t="s">
        <v>107</v>
      </c>
      <c r="B1287" s="5" t="s">
        <v>230</v>
      </c>
      <c r="C1287" s="5" t="s">
        <v>229</v>
      </c>
      <c r="D1287" s="5">
        <v>2</v>
      </c>
      <c r="E1287" s="11">
        <v>7764</v>
      </c>
      <c r="F1287" s="11">
        <v>0</v>
      </c>
      <c r="G1287" s="27">
        <f t="shared" si="355"/>
        <v>9.5746268656716396</v>
      </c>
      <c r="H1287" s="13">
        <f t="shared" si="356"/>
        <v>27586.290009292308</v>
      </c>
      <c r="I1287" s="13">
        <f t="shared" si="357"/>
        <v>0</v>
      </c>
      <c r="J1287" s="51">
        <f t="shared" si="334"/>
        <v>27586.290009292308</v>
      </c>
    </row>
    <row r="1288" spans="1:10" x14ac:dyDescent="0.25">
      <c r="A1288" s="4" t="s">
        <v>107</v>
      </c>
      <c r="B1288" s="5" t="s">
        <v>262</v>
      </c>
      <c r="C1288" s="5" t="s">
        <v>263</v>
      </c>
      <c r="D1288" s="5">
        <v>1</v>
      </c>
      <c r="E1288" s="11">
        <v>303333</v>
      </c>
      <c r="F1288" s="11">
        <v>0</v>
      </c>
      <c r="G1288" s="27">
        <f t="shared" si="355"/>
        <v>4.7873134328358198</v>
      </c>
      <c r="H1288" s="13">
        <f t="shared" si="356"/>
        <v>1077773.3265570151</v>
      </c>
      <c r="I1288" s="13">
        <f t="shared" si="357"/>
        <v>0</v>
      </c>
      <c r="J1288" s="51">
        <f t="shared" si="334"/>
        <v>1077773.3265570151</v>
      </c>
    </row>
    <row r="1289" spans="1:10" x14ac:dyDescent="0.25">
      <c r="A1289" s="4" t="s">
        <v>107</v>
      </c>
      <c r="B1289" s="5" t="s">
        <v>233</v>
      </c>
      <c r="C1289" s="5" t="s">
        <v>234</v>
      </c>
      <c r="D1289" s="5">
        <v>19</v>
      </c>
      <c r="E1289" s="11">
        <v>3688527</v>
      </c>
      <c r="F1289" s="11">
        <v>0</v>
      </c>
      <c r="G1289" s="27">
        <f t="shared" si="355"/>
        <v>90.958955223880579</v>
      </c>
      <c r="H1289" s="13">
        <f t="shared" si="356"/>
        <v>13105715.549858956</v>
      </c>
      <c r="I1289" s="13">
        <f t="shared" si="357"/>
        <v>0</v>
      </c>
      <c r="J1289" s="51">
        <f t="shared" si="334"/>
        <v>13105715.549858956</v>
      </c>
    </row>
    <row r="1290" spans="1:10" x14ac:dyDescent="0.25">
      <c r="A1290" s="4" t="s">
        <v>107</v>
      </c>
      <c r="B1290" s="5" t="s">
        <v>235</v>
      </c>
      <c r="C1290" s="5" t="s">
        <v>236</v>
      </c>
      <c r="D1290" s="5">
        <v>8</v>
      </c>
      <c r="E1290" s="11">
        <v>109200</v>
      </c>
      <c r="F1290" s="11">
        <v>21840</v>
      </c>
      <c r="G1290" s="27">
        <f t="shared" si="355"/>
        <v>38.298507462686558</v>
      </c>
      <c r="H1290" s="13">
        <f t="shared" si="356"/>
        <v>387998.82393285935</v>
      </c>
      <c r="I1290" s="13">
        <f t="shared" si="357"/>
        <v>77599.78033875821</v>
      </c>
      <c r="J1290" s="51">
        <f t="shared" si="334"/>
        <v>465598.60427161754</v>
      </c>
    </row>
    <row r="1291" spans="1:10" x14ac:dyDescent="0.25">
      <c r="A1291" s="4" t="s">
        <v>107</v>
      </c>
      <c r="B1291" s="5" t="s">
        <v>237</v>
      </c>
      <c r="C1291" s="5" t="s">
        <v>238</v>
      </c>
      <c r="D1291" s="5">
        <v>1</v>
      </c>
      <c r="E1291" s="11">
        <v>10252</v>
      </c>
      <c r="F1291" s="11">
        <v>2050</v>
      </c>
      <c r="G1291" s="27">
        <f t="shared" si="355"/>
        <v>4.7873134328358198</v>
      </c>
      <c r="H1291" s="13">
        <f t="shared" si="356"/>
        <v>36426.409734062952</v>
      </c>
      <c r="I1291" s="13">
        <f t="shared" si="357"/>
        <v>7283.8621654969929</v>
      </c>
      <c r="J1291" s="51">
        <f t="shared" si="334"/>
        <v>43710.271899559943</v>
      </c>
    </row>
    <row r="1292" spans="1:10" x14ac:dyDescent="0.25">
      <c r="A1292" s="4" t="s">
        <v>107</v>
      </c>
      <c r="B1292" s="5" t="s">
        <v>241</v>
      </c>
      <c r="C1292" s="5" t="s">
        <v>236</v>
      </c>
      <c r="D1292" s="5">
        <v>21</v>
      </c>
      <c r="E1292" s="11">
        <v>286650</v>
      </c>
      <c r="F1292" s="11">
        <v>57330</v>
      </c>
      <c r="G1292" s="27">
        <f t="shared" si="355"/>
        <v>100.53358208955221</v>
      </c>
      <c r="H1292" s="13">
        <f t="shared" si="356"/>
        <v>1018496.9128237559</v>
      </c>
      <c r="I1292" s="13">
        <f t="shared" si="357"/>
        <v>203699.42338924031</v>
      </c>
      <c r="J1292" s="51">
        <f t="shared" si="334"/>
        <v>1222196.3362129962</v>
      </c>
    </row>
    <row r="1293" spans="1:10" x14ac:dyDescent="0.25">
      <c r="A1293" s="4" t="s">
        <v>107</v>
      </c>
      <c r="B1293" s="5" t="s">
        <v>242</v>
      </c>
      <c r="C1293" s="5" t="s">
        <v>238</v>
      </c>
      <c r="D1293" s="5">
        <v>1</v>
      </c>
      <c r="E1293" s="11">
        <v>10252</v>
      </c>
      <c r="F1293" s="11">
        <v>2050</v>
      </c>
      <c r="G1293" s="27">
        <f t="shared" si="355"/>
        <v>4.7873134328358198</v>
      </c>
      <c r="H1293" s="13">
        <f t="shared" si="356"/>
        <v>36426.409734062952</v>
      </c>
      <c r="I1293" s="13">
        <f t="shared" si="357"/>
        <v>7283.8621654969929</v>
      </c>
      <c r="J1293" s="51">
        <f t="shared" si="334"/>
        <v>43710.271899559943</v>
      </c>
    </row>
    <row r="1294" spans="1:10" x14ac:dyDescent="0.25">
      <c r="A1294" s="4" t="s">
        <v>107</v>
      </c>
      <c r="B1294" s="5" t="s">
        <v>243</v>
      </c>
      <c r="C1294" s="5" t="s">
        <v>244</v>
      </c>
      <c r="D1294" s="5">
        <v>3</v>
      </c>
      <c r="E1294" s="11">
        <v>20475</v>
      </c>
      <c r="F1294" s="11">
        <v>4095</v>
      </c>
      <c r="G1294" s="27">
        <f t="shared" si="355"/>
        <v>14.361940298507459</v>
      </c>
      <c r="H1294" s="13">
        <f t="shared" si="356"/>
        <v>72749.779487411128</v>
      </c>
      <c r="I1294" s="13">
        <f t="shared" si="357"/>
        <v>14549.958813517165</v>
      </c>
      <c r="J1294" s="51">
        <f t="shared" si="334"/>
        <v>87299.738300928293</v>
      </c>
    </row>
    <row r="1295" spans="1:10" x14ac:dyDescent="0.25">
      <c r="A1295" s="4" t="s">
        <v>107</v>
      </c>
      <c r="B1295" s="5" t="s">
        <v>245</v>
      </c>
      <c r="C1295" s="5" t="s">
        <v>246</v>
      </c>
      <c r="D1295" s="5">
        <v>2</v>
      </c>
      <c r="E1295" s="11">
        <v>10252</v>
      </c>
      <c r="F1295" s="11">
        <v>2050</v>
      </c>
      <c r="G1295" s="27">
        <f t="shared" si="355"/>
        <v>9.5746268656716396</v>
      </c>
      <c r="H1295" s="13">
        <f t="shared" si="356"/>
        <v>36426.409734062952</v>
      </c>
      <c r="I1295" s="13">
        <f t="shared" si="357"/>
        <v>7283.8621654969929</v>
      </c>
      <c r="J1295" s="51">
        <f t="shared" si="334"/>
        <v>43710.271899559943</v>
      </c>
    </row>
    <row r="1296" spans="1:10" x14ac:dyDescent="0.25">
      <c r="A1296" s="4" t="s">
        <v>107</v>
      </c>
      <c r="B1296" s="5" t="s">
        <v>247</v>
      </c>
      <c r="C1296" s="5" t="s">
        <v>244</v>
      </c>
      <c r="D1296" s="5">
        <v>1</v>
      </c>
      <c r="E1296" s="11">
        <v>6825</v>
      </c>
      <c r="F1296" s="11">
        <v>1365</v>
      </c>
      <c r="G1296" s="27">
        <f t="shared" si="355"/>
        <v>4.7873134328358198</v>
      </c>
      <c r="H1296" s="13">
        <f t="shared" si="356"/>
        <v>24249.926495803709</v>
      </c>
      <c r="I1296" s="13">
        <f t="shared" si="357"/>
        <v>4849.9862711723881</v>
      </c>
      <c r="J1296" s="51">
        <f t="shared" si="334"/>
        <v>29099.912766976096</v>
      </c>
    </row>
    <row r="1297" spans="1:10" x14ac:dyDescent="0.25">
      <c r="A1297" s="4" t="s">
        <v>107</v>
      </c>
      <c r="B1297" s="5" t="s">
        <v>249</v>
      </c>
      <c r="C1297" s="5" t="s">
        <v>250</v>
      </c>
      <c r="D1297" s="5">
        <v>12</v>
      </c>
      <c r="E1297" s="11">
        <v>363996</v>
      </c>
      <c r="F1297" s="11">
        <v>72792</v>
      </c>
      <c r="G1297" s="27">
        <f t="shared" si="355"/>
        <v>57.447761194029837</v>
      </c>
      <c r="H1297" s="13">
        <f t="shared" si="356"/>
        <v>1293315.2006983983</v>
      </c>
      <c r="I1297" s="13">
        <f t="shared" si="357"/>
        <v>258637.50963456446</v>
      </c>
      <c r="J1297" s="51">
        <f t="shared" si="334"/>
        <v>1551952.7103329627</v>
      </c>
    </row>
    <row r="1298" spans="1:10" x14ac:dyDescent="0.25">
      <c r="A1298" s="4" t="s">
        <v>107</v>
      </c>
      <c r="B1298" s="5" t="s">
        <v>252</v>
      </c>
      <c r="C1298" s="5" t="s">
        <v>212</v>
      </c>
      <c r="D1298" s="5">
        <v>10</v>
      </c>
      <c r="E1298" s="11">
        <v>29120</v>
      </c>
      <c r="F1298" s="11">
        <v>0</v>
      </c>
      <c r="G1298" s="27">
        <f t="shared" si="355"/>
        <v>47.873134328358198</v>
      </c>
      <c r="H1298" s="13">
        <f t="shared" si="356"/>
        <v>103466.3530487625</v>
      </c>
      <c r="I1298" s="13">
        <f t="shared" si="357"/>
        <v>0</v>
      </c>
      <c r="J1298" s="51">
        <f t="shared" si="334"/>
        <v>103466.3530487625</v>
      </c>
    </row>
    <row r="1299" spans="1:10" x14ac:dyDescent="0.25">
      <c r="A1299" s="4" t="s">
        <v>107</v>
      </c>
      <c r="B1299" s="5" t="s">
        <v>253</v>
      </c>
      <c r="C1299" s="5" t="s">
        <v>210</v>
      </c>
      <c r="D1299" s="5">
        <v>5</v>
      </c>
      <c r="E1299" s="11">
        <v>9705</v>
      </c>
      <c r="F1299" s="11">
        <v>0</v>
      </c>
      <c r="G1299" s="27">
        <f t="shared" si="355"/>
        <v>23.936567164179099</v>
      </c>
      <c r="H1299" s="13">
        <f t="shared" si="356"/>
        <v>34482.862511615385</v>
      </c>
      <c r="I1299" s="13">
        <f t="shared" si="357"/>
        <v>0</v>
      </c>
      <c r="J1299" s="51">
        <f t="shared" ref="J1299:J1368" si="358">SUM(H1299:I1299)</f>
        <v>34482.862511615385</v>
      </c>
    </row>
    <row r="1300" spans="1:10" x14ac:dyDescent="0.25">
      <c r="A1300" s="4" t="s">
        <v>107</v>
      </c>
      <c r="B1300" s="5" t="s">
        <v>254</v>
      </c>
      <c r="C1300" s="5" t="s">
        <v>212</v>
      </c>
      <c r="D1300" s="5">
        <v>9</v>
      </c>
      <c r="E1300" s="11">
        <v>26208</v>
      </c>
      <c r="F1300" s="11">
        <v>0</v>
      </c>
      <c r="G1300" s="27">
        <f t="shared" si="355"/>
        <v>43.085820895522374</v>
      </c>
      <c r="H1300" s="13">
        <f t="shared" si="356"/>
        <v>93119.717743886256</v>
      </c>
      <c r="I1300" s="13">
        <f t="shared" si="357"/>
        <v>0</v>
      </c>
      <c r="J1300" s="51">
        <f t="shared" si="358"/>
        <v>93119.717743886256</v>
      </c>
    </row>
    <row r="1301" spans="1:10" x14ac:dyDescent="0.25">
      <c r="A1301" s="4" t="s">
        <v>107</v>
      </c>
      <c r="B1301" s="5" t="s">
        <v>255</v>
      </c>
      <c r="C1301" s="5" t="s">
        <v>210</v>
      </c>
      <c r="D1301" s="5">
        <v>2</v>
      </c>
      <c r="E1301" s="11">
        <v>3882</v>
      </c>
      <c r="F1301" s="11">
        <v>0</v>
      </c>
      <c r="G1301" s="27">
        <f t="shared" si="355"/>
        <v>9.5746268656716396</v>
      </c>
      <c r="H1301" s="13">
        <f t="shared" si="356"/>
        <v>13793.145004646154</v>
      </c>
      <c r="I1301" s="13">
        <f t="shared" si="357"/>
        <v>0</v>
      </c>
      <c r="J1301" s="51">
        <f t="shared" si="358"/>
        <v>13793.145004646154</v>
      </c>
    </row>
    <row r="1302" spans="1:10" x14ac:dyDescent="0.25">
      <c r="A1302" s="15" t="s">
        <v>107</v>
      </c>
      <c r="B1302" s="16" t="s">
        <v>257</v>
      </c>
      <c r="C1302" s="16" t="s">
        <v>210</v>
      </c>
      <c r="D1302" s="16">
        <v>2</v>
      </c>
      <c r="E1302" s="18">
        <v>3882</v>
      </c>
      <c r="F1302" s="18">
        <v>0</v>
      </c>
      <c r="G1302" s="27">
        <f t="shared" si="355"/>
        <v>9.5746268656716396</v>
      </c>
      <c r="H1302" s="13">
        <f t="shared" si="356"/>
        <v>13793.145004646154</v>
      </c>
      <c r="I1302" s="13">
        <f t="shared" si="357"/>
        <v>0</v>
      </c>
      <c r="J1302" s="51">
        <f t="shared" si="358"/>
        <v>13793.145004646154</v>
      </c>
    </row>
    <row r="1303" spans="1:10" s="3" customFormat="1" x14ac:dyDescent="0.25">
      <c r="A1303" s="4"/>
      <c r="B1303" s="20" t="s">
        <v>341</v>
      </c>
      <c r="C1303" s="21"/>
      <c r="D1303" s="21"/>
      <c r="E1303" s="29"/>
      <c r="F1303" s="29"/>
      <c r="G1303" s="47">
        <f>SUM(G1276:G1302)</f>
        <v>1283</v>
      </c>
      <c r="H1303" s="47">
        <f t="shared" ref="H1303:J1303" si="359">SUM(H1276:H1302)</f>
        <v>19271461</v>
      </c>
      <c r="I1303" s="47">
        <f t="shared" si="359"/>
        <v>728539</v>
      </c>
      <c r="J1303" s="47">
        <f t="shared" si="359"/>
        <v>19999999.999999993</v>
      </c>
    </row>
    <row r="1304" spans="1:10" x14ac:dyDescent="0.25">
      <c r="A1304" s="23" t="s">
        <v>108</v>
      </c>
      <c r="B1304" s="24" t="s">
        <v>228</v>
      </c>
      <c r="C1304" s="24" t="s">
        <v>229</v>
      </c>
      <c r="D1304" s="24">
        <v>1</v>
      </c>
      <c r="E1304" s="30">
        <v>1941</v>
      </c>
      <c r="F1304" s="30">
        <v>0</v>
      </c>
      <c r="G1304" s="27">
        <f>+D1304*4.66666666666667</f>
        <v>4.6666666666666696</v>
      </c>
      <c r="H1304" s="13">
        <f>+E1304*1480875/158733</f>
        <v>18108.259624652717</v>
      </c>
      <c r="I1304" s="13">
        <f>+F1304*9.32926829268293</f>
        <v>0</v>
      </c>
      <c r="J1304" s="51">
        <f t="shared" si="358"/>
        <v>18108.259624652717</v>
      </c>
    </row>
    <row r="1305" spans="1:10" x14ac:dyDescent="0.25">
      <c r="A1305" s="4" t="s">
        <v>108</v>
      </c>
      <c r="B1305" s="5" t="s">
        <v>262</v>
      </c>
      <c r="C1305" s="5" t="s">
        <v>263</v>
      </c>
      <c r="D1305" s="5">
        <v>1</v>
      </c>
      <c r="E1305" s="11">
        <v>151666</v>
      </c>
      <c r="F1305" s="11">
        <v>0</v>
      </c>
      <c r="G1305" s="27">
        <f t="shared" ref="G1305:G1306" si="360">+D1305*4.66666666666667</f>
        <v>4.6666666666666696</v>
      </c>
      <c r="H1305" s="13">
        <f t="shared" ref="H1305:H1306" si="361">+E1305*1480875/158733</f>
        <v>1414944.5153181758</v>
      </c>
      <c r="I1305" s="13">
        <f t="shared" ref="I1305:I1306" si="362">+F1305*9.32926829268293</f>
        <v>0</v>
      </c>
      <c r="J1305" s="51">
        <f t="shared" si="358"/>
        <v>1414944.5153181758</v>
      </c>
    </row>
    <row r="1306" spans="1:10" x14ac:dyDescent="0.25">
      <c r="A1306" s="15" t="s">
        <v>108</v>
      </c>
      <c r="B1306" s="16" t="s">
        <v>240</v>
      </c>
      <c r="C1306" s="16" t="s">
        <v>238</v>
      </c>
      <c r="D1306" s="16">
        <v>1</v>
      </c>
      <c r="E1306" s="18">
        <v>5126</v>
      </c>
      <c r="F1306" s="18">
        <v>2050</v>
      </c>
      <c r="G1306" s="27">
        <f t="shared" si="360"/>
        <v>4.6666666666666696</v>
      </c>
      <c r="H1306" s="13">
        <f t="shared" si="361"/>
        <v>47822.225057171476</v>
      </c>
      <c r="I1306" s="13">
        <f t="shared" si="362"/>
        <v>19125.000000000004</v>
      </c>
      <c r="J1306" s="51">
        <f t="shared" si="358"/>
        <v>66947.225057171483</v>
      </c>
    </row>
    <row r="1307" spans="1:10" s="3" customFormat="1" x14ac:dyDescent="0.25">
      <c r="A1307" s="4"/>
      <c r="B1307" s="20" t="s">
        <v>342</v>
      </c>
      <c r="C1307" s="21"/>
      <c r="D1307" s="21"/>
      <c r="E1307" s="29"/>
      <c r="F1307" s="29"/>
      <c r="G1307" s="47">
        <f>SUM(G1304:G1306)</f>
        <v>14.000000000000009</v>
      </c>
      <c r="H1307" s="47">
        <f t="shared" ref="H1307:J1307" si="363">SUM(H1304:H1306)</f>
        <v>1480875</v>
      </c>
      <c r="I1307" s="47">
        <f t="shared" si="363"/>
        <v>19125.000000000004</v>
      </c>
      <c r="J1307" s="47">
        <f t="shared" si="363"/>
        <v>1500000</v>
      </c>
    </row>
    <row r="1308" spans="1:10" x14ac:dyDescent="0.25">
      <c r="A1308" s="23" t="s">
        <v>109</v>
      </c>
      <c r="B1308" s="24" t="s">
        <v>228</v>
      </c>
      <c r="C1308" s="24" t="s">
        <v>229</v>
      </c>
      <c r="D1308" s="24">
        <v>2</v>
      </c>
      <c r="E1308" s="30">
        <v>1940</v>
      </c>
      <c r="F1308" s="30">
        <v>0</v>
      </c>
      <c r="G1308" s="27">
        <f>+D1308*4.75</f>
        <v>9.5</v>
      </c>
      <c r="H1308" s="13">
        <f>+E1308*1952209/111518</f>
        <v>33961.203213830951</v>
      </c>
      <c r="I1308" s="13">
        <f>+F1308*47791/2730</f>
        <v>0</v>
      </c>
      <c r="J1308" s="51">
        <f t="shared" si="358"/>
        <v>33961.203213830951</v>
      </c>
    </row>
    <row r="1309" spans="1:10" x14ac:dyDescent="0.25">
      <c r="A1309" s="4" t="s">
        <v>109</v>
      </c>
      <c r="B1309" s="5" t="s">
        <v>231</v>
      </c>
      <c r="C1309" s="5" t="s">
        <v>232</v>
      </c>
      <c r="D1309" s="5">
        <v>1</v>
      </c>
      <c r="E1309" s="11">
        <v>106166</v>
      </c>
      <c r="F1309" s="11">
        <v>0</v>
      </c>
      <c r="G1309" s="27">
        <f t="shared" ref="G1309:G1310" si="364">+D1309*4.75</f>
        <v>4.75</v>
      </c>
      <c r="H1309" s="13">
        <f t="shared" ref="H1309:H1310" si="365">+E1309*1952209/111518</f>
        <v>1858518.0929894724</v>
      </c>
      <c r="I1309" s="13">
        <f t="shared" ref="I1309:I1310" si="366">+F1309*47791/2730</f>
        <v>0</v>
      </c>
      <c r="J1309" s="51">
        <f t="shared" si="358"/>
        <v>1858518.0929894724</v>
      </c>
    </row>
    <row r="1310" spans="1:10" x14ac:dyDescent="0.25">
      <c r="A1310" s="15" t="s">
        <v>109</v>
      </c>
      <c r="B1310" s="16" t="s">
        <v>241</v>
      </c>
      <c r="C1310" s="16" t="s">
        <v>236</v>
      </c>
      <c r="D1310" s="16">
        <v>1</v>
      </c>
      <c r="E1310" s="18">
        <v>3412</v>
      </c>
      <c r="F1310" s="18">
        <v>2730</v>
      </c>
      <c r="G1310" s="27">
        <f t="shared" si="364"/>
        <v>4.75</v>
      </c>
      <c r="H1310" s="13">
        <f t="shared" si="365"/>
        <v>59729.7037966965</v>
      </c>
      <c r="I1310" s="13">
        <f t="shared" si="366"/>
        <v>47791</v>
      </c>
      <c r="J1310" s="51">
        <f t="shared" si="358"/>
        <v>107520.7037966965</v>
      </c>
    </row>
    <row r="1311" spans="1:10" s="3" customFormat="1" x14ac:dyDescent="0.25">
      <c r="A1311" s="4"/>
      <c r="B1311" s="20" t="s">
        <v>343</v>
      </c>
      <c r="C1311" s="21"/>
      <c r="D1311" s="21"/>
      <c r="E1311" s="29"/>
      <c r="F1311" s="29"/>
      <c r="G1311" s="47">
        <f>SUM(G1308:G1310)</f>
        <v>19</v>
      </c>
      <c r="H1311" s="47">
        <f t="shared" ref="H1311:J1311" si="367">SUM(H1308:H1310)</f>
        <v>1952209</v>
      </c>
      <c r="I1311" s="47">
        <f t="shared" si="367"/>
        <v>47791</v>
      </c>
      <c r="J1311" s="47">
        <f t="shared" si="367"/>
        <v>2000000</v>
      </c>
    </row>
    <row r="1312" spans="1:10" x14ac:dyDescent="0.25">
      <c r="A1312" s="23" t="s">
        <v>110</v>
      </c>
      <c r="B1312" s="24" t="s">
        <v>216</v>
      </c>
      <c r="C1312" s="24" t="s">
        <v>210</v>
      </c>
      <c r="D1312" s="24">
        <v>1</v>
      </c>
      <c r="E1312" s="30">
        <v>485</v>
      </c>
      <c r="F1312" s="30">
        <v>0</v>
      </c>
      <c r="G1312" s="27">
        <f>+D1312*4.66666666666667</f>
        <v>4.6666666666666696</v>
      </c>
      <c r="H1312" s="13">
        <f>+E1312*1746137/4746</f>
        <v>178440.04319426886</v>
      </c>
      <c r="I1312" s="13">
        <f>+F1312*1253863/3408</f>
        <v>0</v>
      </c>
      <c r="J1312" s="51">
        <f t="shared" si="358"/>
        <v>178440.04319426886</v>
      </c>
    </row>
    <row r="1313" spans="1:10" x14ac:dyDescent="0.25">
      <c r="A1313" s="4" t="s">
        <v>110</v>
      </c>
      <c r="B1313" s="5" t="s">
        <v>219</v>
      </c>
      <c r="C1313" s="5" t="s">
        <v>220</v>
      </c>
      <c r="D1313" s="5">
        <v>1</v>
      </c>
      <c r="E1313" s="11">
        <v>1698</v>
      </c>
      <c r="F1313" s="11">
        <v>1358</v>
      </c>
      <c r="G1313" s="27">
        <f t="shared" ref="G1313:G1314" si="368">+D1313*4.66666666666667</f>
        <v>4.6666666666666696</v>
      </c>
      <c r="H1313" s="13">
        <f t="shared" ref="H1313:H1314" si="369">+E1313*1746137/4746</f>
        <v>624724.10998735775</v>
      </c>
      <c r="I1313" s="13">
        <f t="shared" ref="I1313:I1314" si="370">+F1313*1253863/3408</f>
        <v>499632.02875586855</v>
      </c>
      <c r="J1313" s="51">
        <f t="shared" si="358"/>
        <v>1124356.1387432264</v>
      </c>
    </row>
    <row r="1314" spans="1:10" x14ac:dyDescent="0.25">
      <c r="A1314" s="15" t="s">
        <v>110</v>
      </c>
      <c r="B1314" s="16" t="s">
        <v>240</v>
      </c>
      <c r="C1314" s="16" t="s">
        <v>238</v>
      </c>
      <c r="D1314" s="16">
        <v>1</v>
      </c>
      <c r="E1314" s="18">
        <v>2563</v>
      </c>
      <c r="F1314" s="18">
        <v>2050</v>
      </c>
      <c r="G1314" s="27">
        <f t="shared" si="368"/>
        <v>4.6666666666666696</v>
      </c>
      <c r="H1314" s="13">
        <f t="shared" si="369"/>
        <v>942972.84681837342</v>
      </c>
      <c r="I1314" s="13">
        <f t="shared" si="370"/>
        <v>754230.97124413145</v>
      </c>
      <c r="J1314" s="51">
        <f t="shared" si="358"/>
        <v>1697203.8180625048</v>
      </c>
    </row>
    <row r="1315" spans="1:10" s="3" customFormat="1" x14ac:dyDescent="0.25">
      <c r="A1315" s="4"/>
      <c r="B1315" s="20" t="s">
        <v>344</v>
      </c>
      <c r="C1315" s="21"/>
      <c r="D1315" s="21"/>
      <c r="E1315" s="29"/>
      <c r="F1315" s="29"/>
      <c r="G1315" s="47">
        <f>SUM(G1312:G1314)</f>
        <v>14.000000000000009</v>
      </c>
      <c r="H1315" s="47">
        <f t="shared" ref="H1315:J1315" si="371">SUM(H1312:H1314)</f>
        <v>1746137</v>
      </c>
      <c r="I1315" s="47">
        <f t="shared" si="371"/>
        <v>1253863</v>
      </c>
      <c r="J1315" s="47">
        <f t="shared" si="371"/>
        <v>3000000</v>
      </c>
    </row>
    <row r="1316" spans="1:10" x14ac:dyDescent="0.25">
      <c r="A1316" s="23" t="s">
        <v>111</v>
      </c>
      <c r="B1316" s="24" t="s">
        <v>209</v>
      </c>
      <c r="C1316" s="24" t="s">
        <v>210</v>
      </c>
      <c r="D1316" s="24">
        <v>2</v>
      </c>
      <c r="E1316" s="30">
        <v>1940</v>
      </c>
      <c r="F1316" s="30">
        <v>0</v>
      </c>
      <c r="G1316" s="27">
        <f>+D1316*4.8</f>
        <v>9.6</v>
      </c>
      <c r="H1316" s="13">
        <f>+E1316*2952354/169164</f>
        <v>33858.071220827129</v>
      </c>
      <c r="I1316" s="13">
        <f>+F1316*47646/2730</f>
        <v>0</v>
      </c>
      <c r="J1316" s="51">
        <f t="shared" si="358"/>
        <v>33858.071220827129</v>
      </c>
    </row>
    <row r="1317" spans="1:10" x14ac:dyDescent="0.25">
      <c r="A1317" s="4" t="s">
        <v>111</v>
      </c>
      <c r="B1317" s="5" t="s">
        <v>214</v>
      </c>
      <c r="C1317" s="5" t="s">
        <v>210</v>
      </c>
      <c r="D1317" s="5">
        <v>1</v>
      </c>
      <c r="E1317" s="11">
        <v>970</v>
      </c>
      <c r="F1317" s="11">
        <v>0</v>
      </c>
      <c r="G1317" s="27">
        <f t="shared" ref="G1317:G1322" si="372">+D1317*4.8</f>
        <v>4.8</v>
      </c>
      <c r="H1317" s="13">
        <f t="shared" ref="H1317:H1322" si="373">+E1317*2952354/169164</f>
        <v>16929.035610413564</v>
      </c>
      <c r="I1317" s="13">
        <f t="shared" ref="I1317:I1322" si="374">+F1317*47646/2730</f>
        <v>0</v>
      </c>
      <c r="J1317" s="51">
        <f t="shared" si="358"/>
        <v>16929.035610413564</v>
      </c>
    </row>
    <row r="1318" spans="1:10" x14ac:dyDescent="0.25">
      <c r="A1318" s="4" t="s">
        <v>111</v>
      </c>
      <c r="B1318" s="5" t="s">
        <v>226</v>
      </c>
      <c r="C1318" s="5" t="s">
        <v>210</v>
      </c>
      <c r="D1318" s="5">
        <v>2</v>
      </c>
      <c r="E1318" s="11">
        <v>1940</v>
      </c>
      <c r="F1318" s="11">
        <v>0</v>
      </c>
      <c r="G1318" s="27">
        <f t="shared" si="372"/>
        <v>9.6</v>
      </c>
      <c r="H1318" s="13">
        <f t="shared" si="373"/>
        <v>33858.071220827129</v>
      </c>
      <c r="I1318" s="13">
        <f t="shared" si="374"/>
        <v>0</v>
      </c>
      <c r="J1318" s="51">
        <f t="shared" si="358"/>
        <v>33858.071220827129</v>
      </c>
    </row>
    <row r="1319" spans="1:10" x14ac:dyDescent="0.25">
      <c r="A1319" s="4" t="s">
        <v>111</v>
      </c>
      <c r="B1319" s="5" t="s">
        <v>228</v>
      </c>
      <c r="C1319" s="5" t="s">
        <v>229</v>
      </c>
      <c r="D1319" s="5">
        <v>1</v>
      </c>
      <c r="E1319" s="11">
        <v>1941</v>
      </c>
      <c r="F1319" s="11">
        <v>0</v>
      </c>
      <c r="G1319" s="27">
        <f t="shared" si="372"/>
        <v>4.8</v>
      </c>
      <c r="H1319" s="13">
        <f t="shared" si="373"/>
        <v>33875.523834858483</v>
      </c>
      <c r="I1319" s="13">
        <f t="shared" si="374"/>
        <v>0</v>
      </c>
      <c r="J1319" s="51">
        <f t="shared" si="358"/>
        <v>33875.523834858483</v>
      </c>
    </row>
    <row r="1320" spans="1:10" x14ac:dyDescent="0.25">
      <c r="A1320" s="4" t="s">
        <v>111</v>
      </c>
      <c r="B1320" s="5" t="s">
        <v>230</v>
      </c>
      <c r="C1320" s="5" t="s">
        <v>229</v>
      </c>
      <c r="D1320" s="5">
        <v>2</v>
      </c>
      <c r="E1320" s="11">
        <v>3882</v>
      </c>
      <c r="F1320" s="11">
        <v>0</v>
      </c>
      <c r="G1320" s="27">
        <f t="shared" si="372"/>
        <v>9.6</v>
      </c>
      <c r="H1320" s="13">
        <f t="shared" si="373"/>
        <v>67751.047669716965</v>
      </c>
      <c r="I1320" s="13">
        <f t="shared" si="374"/>
        <v>0</v>
      </c>
      <c r="J1320" s="51">
        <f t="shared" si="358"/>
        <v>67751.047669716965</v>
      </c>
    </row>
    <row r="1321" spans="1:10" x14ac:dyDescent="0.25">
      <c r="A1321" s="4" t="s">
        <v>111</v>
      </c>
      <c r="B1321" s="5" t="s">
        <v>262</v>
      </c>
      <c r="C1321" s="5" t="s">
        <v>263</v>
      </c>
      <c r="D1321" s="5">
        <v>1</v>
      </c>
      <c r="E1321" s="11">
        <v>151666</v>
      </c>
      <c r="F1321" s="11">
        <v>0</v>
      </c>
      <c r="G1321" s="27">
        <f t="shared" si="372"/>
        <v>4.8</v>
      </c>
      <c r="H1321" s="13">
        <f t="shared" si="373"/>
        <v>2646968.1596793644</v>
      </c>
      <c r="I1321" s="13">
        <f t="shared" si="374"/>
        <v>0</v>
      </c>
      <c r="J1321" s="51">
        <f t="shared" si="358"/>
        <v>2646968.1596793644</v>
      </c>
    </row>
    <row r="1322" spans="1:10" x14ac:dyDescent="0.25">
      <c r="A1322" s="15" t="s">
        <v>111</v>
      </c>
      <c r="B1322" s="16" t="s">
        <v>241</v>
      </c>
      <c r="C1322" s="16" t="s">
        <v>236</v>
      </c>
      <c r="D1322" s="16">
        <v>1</v>
      </c>
      <c r="E1322" s="18">
        <v>6825</v>
      </c>
      <c r="F1322" s="18">
        <v>2730</v>
      </c>
      <c r="G1322" s="27">
        <f t="shared" si="372"/>
        <v>4.8</v>
      </c>
      <c r="H1322" s="13">
        <f t="shared" si="373"/>
        <v>119114.09076399234</v>
      </c>
      <c r="I1322" s="13">
        <f t="shared" si="374"/>
        <v>47646</v>
      </c>
      <c r="J1322" s="51">
        <f t="shared" si="358"/>
        <v>166760.09076399234</v>
      </c>
    </row>
    <row r="1323" spans="1:10" s="3" customFormat="1" x14ac:dyDescent="0.25">
      <c r="A1323" s="4"/>
      <c r="B1323" s="20" t="s">
        <v>345</v>
      </c>
      <c r="C1323" s="21"/>
      <c r="D1323" s="21"/>
      <c r="E1323" s="29"/>
      <c r="F1323" s="29"/>
      <c r="G1323" s="47">
        <f>SUM(G1316:G1322)</f>
        <v>47.999999999999993</v>
      </c>
      <c r="H1323" s="47">
        <f t="shared" ref="H1323:J1323" si="375">SUM(H1316:H1322)</f>
        <v>2952354</v>
      </c>
      <c r="I1323" s="47">
        <f t="shared" si="375"/>
        <v>47646</v>
      </c>
      <c r="J1323" s="47">
        <f t="shared" si="375"/>
        <v>3000000</v>
      </c>
    </row>
    <row r="1324" spans="1:10" x14ac:dyDescent="0.25">
      <c r="A1324" s="23" t="s">
        <v>112</v>
      </c>
      <c r="B1324" s="24" t="s">
        <v>207</v>
      </c>
      <c r="C1324" s="24" t="s">
        <v>208</v>
      </c>
      <c r="D1324" s="24">
        <v>2</v>
      </c>
      <c r="E1324" s="30">
        <v>46592</v>
      </c>
      <c r="F1324" s="30">
        <v>9318</v>
      </c>
      <c r="G1324" s="27">
        <f>+D1324*4.78828125</f>
        <v>9.5765624999999996</v>
      </c>
      <c r="H1324" s="13">
        <f>+E1324*27288011/8717077</f>
        <v>145851.98782940657</v>
      </c>
      <c r="I1324" s="13">
        <f>+F1324*2711989/866337</f>
        <v>29169.149536496767</v>
      </c>
      <c r="J1324" s="51">
        <f t="shared" si="358"/>
        <v>175021.13736590333</v>
      </c>
    </row>
    <row r="1325" spans="1:10" x14ac:dyDescent="0.25">
      <c r="A1325" s="4" t="s">
        <v>112</v>
      </c>
      <c r="B1325" s="5" t="s">
        <v>209</v>
      </c>
      <c r="C1325" s="5" t="s">
        <v>210</v>
      </c>
      <c r="D1325" s="5">
        <v>47</v>
      </c>
      <c r="E1325" s="11">
        <v>91227</v>
      </c>
      <c r="F1325" s="11">
        <v>0</v>
      </c>
      <c r="G1325" s="27">
        <f t="shared" ref="G1325:G1357" si="376">+D1325*4.78828125</f>
        <v>225.04921874999999</v>
      </c>
      <c r="H1325" s="13">
        <f t="shared" ref="H1325:H1357" si="377">+E1325*27288011/8717077</f>
        <v>285577.76643443666</v>
      </c>
      <c r="I1325" s="13">
        <f t="shared" ref="I1325:I1357" si="378">+F1325*2711989/866337</f>
        <v>0</v>
      </c>
      <c r="J1325" s="51">
        <f t="shared" si="358"/>
        <v>285577.76643443666</v>
      </c>
    </row>
    <row r="1326" spans="1:10" x14ac:dyDescent="0.25">
      <c r="A1326" s="4" t="s">
        <v>112</v>
      </c>
      <c r="B1326" s="5" t="s">
        <v>211</v>
      </c>
      <c r="C1326" s="5" t="s">
        <v>212</v>
      </c>
      <c r="D1326" s="5">
        <v>7</v>
      </c>
      <c r="E1326" s="11">
        <v>20384</v>
      </c>
      <c r="F1326" s="11">
        <v>0</v>
      </c>
      <c r="G1326" s="27">
        <f t="shared" si="376"/>
        <v>33.517968750000001</v>
      </c>
      <c r="H1326" s="13">
        <f t="shared" si="377"/>
        <v>63810.244675365378</v>
      </c>
      <c r="I1326" s="13">
        <f t="shared" si="378"/>
        <v>0</v>
      </c>
      <c r="J1326" s="51">
        <f t="shared" si="358"/>
        <v>63810.244675365378</v>
      </c>
    </row>
    <row r="1327" spans="1:10" x14ac:dyDescent="0.25">
      <c r="A1327" s="4" t="s">
        <v>112</v>
      </c>
      <c r="B1327" s="5" t="s">
        <v>213</v>
      </c>
      <c r="C1327" s="5" t="s">
        <v>212</v>
      </c>
      <c r="D1327" s="5">
        <v>17</v>
      </c>
      <c r="E1327" s="11">
        <v>49504</v>
      </c>
      <c r="F1327" s="11">
        <v>0</v>
      </c>
      <c r="G1327" s="27">
        <f t="shared" si="376"/>
        <v>81.400781249999994</v>
      </c>
      <c r="H1327" s="13">
        <f t="shared" si="377"/>
        <v>154967.73706874449</v>
      </c>
      <c r="I1327" s="13">
        <f t="shared" si="378"/>
        <v>0</v>
      </c>
      <c r="J1327" s="51">
        <f t="shared" si="358"/>
        <v>154967.73706874449</v>
      </c>
    </row>
    <row r="1328" spans="1:10" x14ac:dyDescent="0.25">
      <c r="A1328" s="4" t="s">
        <v>112</v>
      </c>
      <c r="B1328" s="5" t="s">
        <v>214</v>
      </c>
      <c r="C1328" s="5" t="s">
        <v>210</v>
      </c>
      <c r="D1328" s="5">
        <v>80</v>
      </c>
      <c r="E1328" s="11">
        <v>155280</v>
      </c>
      <c r="F1328" s="11">
        <v>0</v>
      </c>
      <c r="G1328" s="27">
        <f t="shared" si="376"/>
        <v>383.0625</v>
      </c>
      <c r="H1328" s="13">
        <f t="shared" si="377"/>
        <v>486089.81520755182</v>
      </c>
      <c r="I1328" s="13">
        <f t="shared" si="378"/>
        <v>0</v>
      </c>
      <c r="J1328" s="51">
        <f t="shared" si="358"/>
        <v>486089.81520755182</v>
      </c>
    </row>
    <row r="1329" spans="1:10" x14ac:dyDescent="0.25">
      <c r="A1329" s="4" t="s">
        <v>112</v>
      </c>
      <c r="B1329" s="5" t="s">
        <v>215</v>
      </c>
      <c r="C1329" s="5" t="s">
        <v>212</v>
      </c>
      <c r="D1329" s="5">
        <v>8</v>
      </c>
      <c r="E1329" s="11">
        <v>23296</v>
      </c>
      <c r="F1329" s="11">
        <v>0</v>
      </c>
      <c r="G1329" s="27">
        <f t="shared" si="376"/>
        <v>38.306249999999999</v>
      </c>
      <c r="H1329" s="13">
        <f t="shared" si="377"/>
        <v>72925.993914703286</v>
      </c>
      <c r="I1329" s="13">
        <f t="shared" si="378"/>
        <v>0</v>
      </c>
      <c r="J1329" s="51">
        <f t="shared" si="358"/>
        <v>72925.993914703286</v>
      </c>
    </row>
    <row r="1330" spans="1:10" x14ac:dyDescent="0.25">
      <c r="A1330" s="4" t="s">
        <v>112</v>
      </c>
      <c r="B1330" s="5" t="s">
        <v>216</v>
      </c>
      <c r="C1330" s="5" t="s">
        <v>210</v>
      </c>
      <c r="D1330" s="5">
        <v>26</v>
      </c>
      <c r="E1330" s="11">
        <v>50466</v>
      </c>
      <c r="F1330" s="11">
        <v>0</v>
      </c>
      <c r="G1330" s="27">
        <f t="shared" si="376"/>
        <v>124.4953125</v>
      </c>
      <c r="H1330" s="13">
        <f t="shared" si="377"/>
        <v>157979.18994245434</v>
      </c>
      <c r="I1330" s="13">
        <f t="shared" si="378"/>
        <v>0</v>
      </c>
      <c r="J1330" s="51">
        <f t="shared" si="358"/>
        <v>157979.18994245434</v>
      </c>
    </row>
    <row r="1331" spans="1:10" x14ac:dyDescent="0.25">
      <c r="A1331" s="4" t="s">
        <v>112</v>
      </c>
      <c r="B1331" s="5" t="s">
        <v>217</v>
      </c>
      <c r="C1331" s="5" t="s">
        <v>218</v>
      </c>
      <c r="D1331" s="5">
        <v>43</v>
      </c>
      <c r="E1331" s="11">
        <v>284918</v>
      </c>
      <c r="F1331" s="11">
        <v>56975</v>
      </c>
      <c r="G1331" s="27">
        <f t="shared" si="376"/>
        <v>205.89609375000001</v>
      </c>
      <c r="H1331" s="13">
        <f t="shared" si="377"/>
        <v>891909.69841129088</v>
      </c>
      <c r="I1331" s="13">
        <f t="shared" si="378"/>
        <v>178355.0434472959</v>
      </c>
      <c r="J1331" s="51">
        <f t="shared" si="358"/>
        <v>1070264.7418585867</v>
      </c>
    </row>
    <row r="1332" spans="1:10" x14ac:dyDescent="0.25">
      <c r="A1332" s="4" t="s">
        <v>112</v>
      </c>
      <c r="B1332" s="5" t="s">
        <v>219</v>
      </c>
      <c r="C1332" s="5" t="s">
        <v>220</v>
      </c>
      <c r="D1332" s="5">
        <v>5</v>
      </c>
      <c r="E1332" s="11">
        <v>33970</v>
      </c>
      <c r="F1332" s="11">
        <v>6790</v>
      </c>
      <c r="G1332" s="27">
        <f t="shared" si="376"/>
        <v>23.94140625</v>
      </c>
      <c r="H1332" s="13">
        <f t="shared" si="377"/>
        <v>106339.97309763353</v>
      </c>
      <c r="I1332" s="13">
        <f t="shared" si="378"/>
        <v>21255.475998370148</v>
      </c>
      <c r="J1332" s="51">
        <f t="shared" si="358"/>
        <v>127595.44909600368</v>
      </c>
    </row>
    <row r="1333" spans="1:10" x14ac:dyDescent="0.25">
      <c r="A1333" s="4" t="s">
        <v>112</v>
      </c>
      <c r="B1333" s="5" t="s">
        <v>260</v>
      </c>
      <c r="C1333" s="5" t="s">
        <v>208</v>
      </c>
      <c r="D1333" s="5">
        <v>2</v>
      </c>
      <c r="E1333" s="11">
        <v>139776</v>
      </c>
      <c r="F1333" s="11">
        <v>0</v>
      </c>
      <c r="G1333" s="27">
        <f t="shared" si="376"/>
        <v>9.5765624999999996</v>
      </c>
      <c r="H1333" s="13">
        <f t="shared" si="377"/>
        <v>437555.96348821971</v>
      </c>
      <c r="I1333" s="13">
        <f t="shared" si="378"/>
        <v>0</v>
      </c>
      <c r="J1333" s="51">
        <f t="shared" si="358"/>
        <v>437555.96348821971</v>
      </c>
    </row>
    <row r="1334" spans="1:10" x14ac:dyDescent="0.25">
      <c r="A1334" s="4" t="s">
        <v>112</v>
      </c>
      <c r="B1334" s="5" t="s">
        <v>223</v>
      </c>
      <c r="C1334" s="5" t="s">
        <v>224</v>
      </c>
      <c r="D1334" s="5">
        <v>19</v>
      </c>
      <c r="E1334" s="11">
        <v>0</v>
      </c>
      <c r="F1334" s="11">
        <v>0</v>
      </c>
      <c r="G1334" s="27">
        <f t="shared" si="376"/>
        <v>90.977343750000003</v>
      </c>
      <c r="H1334" s="13">
        <f t="shared" si="377"/>
        <v>0</v>
      </c>
      <c r="I1334" s="13">
        <f t="shared" si="378"/>
        <v>0</v>
      </c>
      <c r="J1334" s="51">
        <f t="shared" si="358"/>
        <v>0</v>
      </c>
    </row>
    <row r="1335" spans="1:10" x14ac:dyDescent="0.25">
      <c r="A1335" s="4" t="s">
        <v>112</v>
      </c>
      <c r="B1335" s="5" t="s">
        <v>266</v>
      </c>
      <c r="C1335" s="5" t="s">
        <v>210</v>
      </c>
      <c r="D1335" s="5">
        <v>5</v>
      </c>
      <c r="E1335" s="11">
        <v>9705</v>
      </c>
      <c r="F1335" s="11">
        <v>0</v>
      </c>
      <c r="G1335" s="27">
        <f t="shared" si="376"/>
        <v>23.94140625</v>
      </c>
      <c r="H1335" s="13">
        <f t="shared" si="377"/>
        <v>30380.613450471988</v>
      </c>
      <c r="I1335" s="13">
        <f t="shared" si="378"/>
        <v>0</v>
      </c>
      <c r="J1335" s="51">
        <f t="shared" si="358"/>
        <v>30380.613450471988</v>
      </c>
    </row>
    <row r="1336" spans="1:10" x14ac:dyDescent="0.25">
      <c r="A1336" s="4" t="s">
        <v>112</v>
      </c>
      <c r="B1336" s="5" t="s">
        <v>225</v>
      </c>
      <c r="C1336" s="5" t="s">
        <v>210</v>
      </c>
      <c r="D1336" s="5">
        <v>1</v>
      </c>
      <c r="E1336" s="11">
        <v>1941</v>
      </c>
      <c r="F1336" s="11">
        <v>0</v>
      </c>
      <c r="G1336" s="27">
        <f t="shared" si="376"/>
        <v>4.7882812499999998</v>
      </c>
      <c r="H1336" s="13">
        <f t="shared" si="377"/>
        <v>6076.1226900943975</v>
      </c>
      <c r="I1336" s="13">
        <f t="shared" si="378"/>
        <v>0</v>
      </c>
      <c r="J1336" s="51">
        <f t="shared" si="358"/>
        <v>6076.1226900943975</v>
      </c>
    </row>
    <row r="1337" spans="1:10" x14ac:dyDescent="0.25">
      <c r="A1337" s="4" t="s">
        <v>112</v>
      </c>
      <c r="B1337" s="5" t="s">
        <v>226</v>
      </c>
      <c r="C1337" s="5" t="s">
        <v>210</v>
      </c>
      <c r="D1337" s="5">
        <v>40</v>
      </c>
      <c r="E1337" s="11">
        <v>77640</v>
      </c>
      <c r="F1337" s="11">
        <v>0</v>
      </c>
      <c r="G1337" s="27">
        <f t="shared" si="376"/>
        <v>191.53125</v>
      </c>
      <c r="H1337" s="13">
        <f t="shared" si="377"/>
        <v>243044.90760377591</v>
      </c>
      <c r="I1337" s="13">
        <f t="shared" si="378"/>
        <v>0</v>
      </c>
      <c r="J1337" s="51">
        <f t="shared" si="358"/>
        <v>243044.90760377591</v>
      </c>
    </row>
    <row r="1338" spans="1:10" x14ac:dyDescent="0.25">
      <c r="A1338" s="4" t="s">
        <v>112</v>
      </c>
      <c r="B1338" s="5" t="s">
        <v>227</v>
      </c>
      <c r="C1338" s="5" t="s">
        <v>210</v>
      </c>
      <c r="D1338" s="5">
        <v>5</v>
      </c>
      <c r="E1338" s="11">
        <v>9705</v>
      </c>
      <c r="F1338" s="11">
        <v>0</v>
      </c>
      <c r="G1338" s="27">
        <f t="shared" si="376"/>
        <v>23.94140625</v>
      </c>
      <c r="H1338" s="13">
        <f t="shared" si="377"/>
        <v>30380.613450471988</v>
      </c>
      <c r="I1338" s="13">
        <f t="shared" si="378"/>
        <v>0</v>
      </c>
      <c r="J1338" s="51">
        <f t="shared" si="358"/>
        <v>30380.613450471988</v>
      </c>
    </row>
    <row r="1339" spans="1:10" x14ac:dyDescent="0.25">
      <c r="A1339" s="4" t="s">
        <v>112</v>
      </c>
      <c r="B1339" s="5" t="s">
        <v>228</v>
      </c>
      <c r="C1339" s="5" t="s">
        <v>229</v>
      </c>
      <c r="D1339" s="5">
        <v>326</v>
      </c>
      <c r="E1339" s="11">
        <v>1265532</v>
      </c>
      <c r="F1339" s="11">
        <v>0</v>
      </c>
      <c r="G1339" s="27">
        <f t="shared" si="376"/>
        <v>1560.9796875</v>
      </c>
      <c r="H1339" s="13">
        <f t="shared" si="377"/>
        <v>3961631.9939415473</v>
      </c>
      <c r="I1339" s="13">
        <f t="shared" si="378"/>
        <v>0</v>
      </c>
      <c r="J1339" s="51">
        <f t="shared" si="358"/>
        <v>3961631.9939415473</v>
      </c>
    </row>
    <row r="1340" spans="1:10" x14ac:dyDescent="0.25">
      <c r="A1340" s="4" t="s">
        <v>112</v>
      </c>
      <c r="B1340" s="5" t="s">
        <v>230</v>
      </c>
      <c r="C1340" s="5" t="s">
        <v>229</v>
      </c>
      <c r="D1340" s="5">
        <v>21</v>
      </c>
      <c r="E1340" s="11">
        <v>81522</v>
      </c>
      <c r="F1340" s="11">
        <v>0</v>
      </c>
      <c r="G1340" s="27">
        <f t="shared" si="376"/>
        <v>100.55390625</v>
      </c>
      <c r="H1340" s="13">
        <f t="shared" si="377"/>
        <v>255197.15298396468</v>
      </c>
      <c r="I1340" s="13">
        <f t="shared" si="378"/>
        <v>0</v>
      </c>
      <c r="J1340" s="51">
        <f t="shared" si="358"/>
        <v>255197.15298396468</v>
      </c>
    </row>
    <row r="1341" spans="1:10" x14ac:dyDescent="0.25">
      <c r="A1341" s="4" t="s">
        <v>112</v>
      </c>
      <c r="B1341" s="5" t="s">
        <v>231</v>
      </c>
      <c r="C1341" s="5" t="s">
        <v>232</v>
      </c>
      <c r="D1341" s="5">
        <v>1</v>
      </c>
      <c r="E1341" s="11">
        <v>424666</v>
      </c>
      <c r="F1341" s="11">
        <v>0</v>
      </c>
      <c r="G1341" s="27">
        <f t="shared" si="376"/>
        <v>4.7882812499999998</v>
      </c>
      <c r="H1341" s="13">
        <f t="shared" si="377"/>
        <v>1329378.0104645169</v>
      </c>
      <c r="I1341" s="13">
        <f t="shared" si="378"/>
        <v>0</v>
      </c>
      <c r="J1341" s="51">
        <f t="shared" si="358"/>
        <v>1329378.0104645169</v>
      </c>
    </row>
    <row r="1342" spans="1:10" x14ac:dyDescent="0.25">
      <c r="A1342" s="4" t="s">
        <v>112</v>
      </c>
      <c r="B1342" s="5" t="s">
        <v>262</v>
      </c>
      <c r="C1342" s="5" t="s">
        <v>263</v>
      </c>
      <c r="D1342" s="5">
        <v>3</v>
      </c>
      <c r="E1342" s="11">
        <v>909999</v>
      </c>
      <c r="F1342" s="11">
        <v>0</v>
      </c>
      <c r="G1342" s="27">
        <f t="shared" si="376"/>
        <v>14.364843749999999</v>
      </c>
      <c r="H1342" s="13">
        <f t="shared" si="377"/>
        <v>2848668.5068847048</v>
      </c>
      <c r="I1342" s="13">
        <f t="shared" si="378"/>
        <v>0</v>
      </c>
      <c r="J1342" s="51">
        <f t="shared" si="358"/>
        <v>2848668.5068847048</v>
      </c>
    </row>
    <row r="1343" spans="1:10" x14ac:dyDescent="0.25">
      <c r="A1343" s="4" t="s">
        <v>112</v>
      </c>
      <c r="B1343" s="5" t="s">
        <v>233</v>
      </c>
      <c r="C1343" s="5" t="s">
        <v>234</v>
      </c>
      <c r="D1343" s="5">
        <v>1</v>
      </c>
      <c r="E1343" s="11">
        <v>194133</v>
      </c>
      <c r="F1343" s="11">
        <v>0</v>
      </c>
      <c r="G1343" s="27">
        <f t="shared" si="376"/>
        <v>4.7882812499999998</v>
      </c>
      <c r="H1343" s="13">
        <f t="shared" si="377"/>
        <v>607715.57248639653</v>
      </c>
      <c r="I1343" s="13">
        <f t="shared" si="378"/>
        <v>0</v>
      </c>
      <c r="J1343" s="51">
        <f t="shared" si="358"/>
        <v>607715.57248639653</v>
      </c>
    </row>
    <row r="1344" spans="1:10" x14ac:dyDescent="0.25">
      <c r="A1344" s="4" t="s">
        <v>112</v>
      </c>
      <c r="B1344" s="5" t="s">
        <v>235</v>
      </c>
      <c r="C1344" s="5" t="s">
        <v>236</v>
      </c>
      <c r="D1344" s="5">
        <v>23</v>
      </c>
      <c r="E1344" s="11">
        <v>313950</v>
      </c>
      <c r="F1344" s="11">
        <v>62790</v>
      </c>
      <c r="G1344" s="27">
        <f t="shared" si="376"/>
        <v>110.13046874999999</v>
      </c>
      <c r="H1344" s="13">
        <f t="shared" si="377"/>
        <v>982791.71486611851</v>
      </c>
      <c r="I1344" s="13">
        <f t="shared" si="378"/>
        <v>196558.37083028891</v>
      </c>
      <c r="J1344" s="51">
        <f t="shared" si="358"/>
        <v>1179350.0856964074</v>
      </c>
    </row>
    <row r="1345" spans="1:10" x14ac:dyDescent="0.25">
      <c r="A1345" s="4" t="s">
        <v>112</v>
      </c>
      <c r="B1345" s="5" t="s">
        <v>237</v>
      </c>
      <c r="C1345" s="5" t="s">
        <v>238</v>
      </c>
      <c r="D1345" s="5">
        <v>18</v>
      </c>
      <c r="E1345" s="11">
        <v>184536</v>
      </c>
      <c r="F1345" s="11">
        <v>36900</v>
      </c>
      <c r="G1345" s="27">
        <f t="shared" si="376"/>
        <v>86.189062499999991</v>
      </c>
      <c r="H1345" s="13">
        <f t="shared" si="377"/>
        <v>577673.0431423285</v>
      </c>
      <c r="I1345" s="13">
        <f t="shared" si="378"/>
        <v>115512.08605888933</v>
      </c>
      <c r="J1345" s="51">
        <f t="shared" si="358"/>
        <v>693185.12920121779</v>
      </c>
    </row>
    <row r="1346" spans="1:10" x14ac:dyDescent="0.25">
      <c r="A1346" s="4" t="s">
        <v>112</v>
      </c>
      <c r="B1346" s="5" t="s">
        <v>239</v>
      </c>
      <c r="C1346" s="5" t="s">
        <v>236</v>
      </c>
      <c r="D1346" s="5">
        <v>1</v>
      </c>
      <c r="E1346" s="11">
        <v>13650</v>
      </c>
      <c r="F1346" s="11">
        <v>2730</v>
      </c>
      <c r="G1346" s="27">
        <f t="shared" si="376"/>
        <v>4.7882812499999998</v>
      </c>
      <c r="H1346" s="13">
        <f t="shared" si="377"/>
        <v>42730.07455939646</v>
      </c>
      <c r="I1346" s="13">
        <f t="shared" si="378"/>
        <v>8546.0161230560389</v>
      </c>
      <c r="J1346" s="51">
        <f t="shared" si="358"/>
        <v>51276.090682452501</v>
      </c>
    </row>
    <row r="1347" spans="1:10" x14ac:dyDescent="0.25">
      <c r="A1347" s="4" t="s">
        <v>112</v>
      </c>
      <c r="B1347" s="5" t="s">
        <v>241</v>
      </c>
      <c r="C1347" s="5" t="s">
        <v>236</v>
      </c>
      <c r="D1347" s="5">
        <v>80</v>
      </c>
      <c r="E1347" s="11">
        <v>1092000</v>
      </c>
      <c r="F1347" s="11">
        <v>218400</v>
      </c>
      <c r="G1347" s="27">
        <f t="shared" si="376"/>
        <v>383.0625</v>
      </c>
      <c r="H1347" s="13">
        <f t="shared" si="377"/>
        <v>3418405.9647517167</v>
      </c>
      <c r="I1347" s="13">
        <f t="shared" si="378"/>
        <v>683681.28984448314</v>
      </c>
      <c r="J1347" s="51">
        <f t="shared" si="358"/>
        <v>4102087.2545961998</v>
      </c>
    </row>
    <row r="1348" spans="1:10" x14ac:dyDescent="0.25">
      <c r="A1348" s="4" t="s">
        <v>112</v>
      </c>
      <c r="B1348" s="5" t="s">
        <v>243</v>
      </c>
      <c r="C1348" s="5" t="s">
        <v>244</v>
      </c>
      <c r="D1348" s="5">
        <v>15</v>
      </c>
      <c r="E1348" s="11">
        <v>102375</v>
      </c>
      <c r="F1348" s="11">
        <v>20475</v>
      </c>
      <c r="G1348" s="27">
        <f t="shared" si="376"/>
        <v>71.82421875</v>
      </c>
      <c r="H1348" s="13">
        <f t="shared" si="377"/>
        <v>320475.55919547344</v>
      </c>
      <c r="I1348" s="13">
        <f t="shared" si="378"/>
        <v>64095.120922920294</v>
      </c>
      <c r="J1348" s="51">
        <f t="shared" si="358"/>
        <v>384570.68011839374</v>
      </c>
    </row>
    <row r="1349" spans="1:10" x14ac:dyDescent="0.25">
      <c r="A1349" s="4" t="s">
        <v>112</v>
      </c>
      <c r="B1349" s="5" t="s">
        <v>245</v>
      </c>
      <c r="C1349" s="5" t="s">
        <v>246</v>
      </c>
      <c r="D1349" s="5">
        <v>1</v>
      </c>
      <c r="E1349" s="11">
        <v>5126</v>
      </c>
      <c r="F1349" s="11">
        <v>1025</v>
      </c>
      <c r="G1349" s="27">
        <f t="shared" si="376"/>
        <v>4.7882812499999998</v>
      </c>
      <c r="H1349" s="13">
        <f t="shared" si="377"/>
        <v>16046.473420620237</v>
      </c>
      <c r="I1349" s="13">
        <f t="shared" si="378"/>
        <v>3208.66905719137</v>
      </c>
      <c r="J1349" s="51">
        <f t="shared" si="358"/>
        <v>19255.142477811609</v>
      </c>
    </row>
    <row r="1350" spans="1:10" x14ac:dyDescent="0.25">
      <c r="A1350" s="4" t="s">
        <v>112</v>
      </c>
      <c r="B1350" s="5" t="s">
        <v>248</v>
      </c>
      <c r="C1350" s="5" t="s">
        <v>246</v>
      </c>
      <c r="D1350" s="5">
        <v>2</v>
      </c>
      <c r="E1350" s="11">
        <v>10252</v>
      </c>
      <c r="F1350" s="11">
        <v>2050</v>
      </c>
      <c r="G1350" s="27">
        <f t="shared" si="376"/>
        <v>9.5765624999999996</v>
      </c>
      <c r="H1350" s="13">
        <f t="shared" si="377"/>
        <v>32092.946841240475</v>
      </c>
      <c r="I1350" s="13">
        <f t="shared" si="378"/>
        <v>6417.3381143827401</v>
      </c>
      <c r="J1350" s="51">
        <f t="shared" si="358"/>
        <v>38510.284955623218</v>
      </c>
    </row>
    <row r="1351" spans="1:10" x14ac:dyDescent="0.25">
      <c r="A1351" s="4" t="s">
        <v>112</v>
      </c>
      <c r="B1351" s="5" t="s">
        <v>249</v>
      </c>
      <c r="C1351" s="5" t="s">
        <v>250</v>
      </c>
      <c r="D1351" s="5">
        <v>74</v>
      </c>
      <c r="E1351" s="11">
        <v>2244642</v>
      </c>
      <c r="F1351" s="11">
        <v>448884</v>
      </c>
      <c r="G1351" s="27">
        <f t="shared" si="376"/>
        <v>354.33281249999999</v>
      </c>
      <c r="H1351" s="13">
        <f t="shared" si="377"/>
        <v>7026646.1552492883</v>
      </c>
      <c r="I1351" s="13">
        <f t="shared" si="378"/>
        <v>1405190.4400666254</v>
      </c>
      <c r="J1351" s="51">
        <f t="shared" si="358"/>
        <v>8431836.5953159146</v>
      </c>
    </row>
    <row r="1352" spans="1:10" x14ac:dyDescent="0.25">
      <c r="A1352" s="4" t="s">
        <v>112</v>
      </c>
      <c r="B1352" s="5" t="s">
        <v>252</v>
      </c>
      <c r="C1352" s="5" t="s">
        <v>212</v>
      </c>
      <c r="D1352" s="5">
        <v>39</v>
      </c>
      <c r="E1352" s="11">
        <v>113568</v>
      </c>
      <c r="F1352" s="11">
        <v>0</v>
      </c>
      <c r="G1352" s="27">
        <f t="shared" si="376"/>
        <v>186.74296874999999</v>
      </c>
      <c r="H1352" s="13">
        <f t="shared" si="377"/>
        <v>355514.22033417854</v>
      </c>
      <c r="I1352" s="13">
        <f t="shared" si="378"/>
        <v>0</v>
      </c>
      <c r="J1352" s="51">
        <f t="shared" si="358"/>
        <v>355514.22033417854</v>
      </c>
    </row>
    <row r="1353" spans="1:10" x14ac:dyDescent="0.25">
      <c r="A1353" s="4" t="s">
        <v>112</v>
      </c>
      <c r="B1353" s="5" t="s">
        <v>253</v>
      </c>
      <c r="C1353" s="5" t="s">
        <v>210</v>
      </c>
      <c r="D1353" s="5">
        <v>163</v>
      </c>
      <c r="E1353" s="11">
        <v>316383</v>
      </c>
      <c r="F1353" s="11">
        <v>0</v>
      </c>
      <c r="G1353" s="27">
        <f t="shared" si="376"/>
        <v>780.48984374999998</v>
      </c>
      <c r="H1353" s="13">
        <f t="shared" si="377"/>
        <v>990407.99848538684</v>
      </c>
      <c r="I1353" s="13">
        <f t="shared" si="378"/>
        <v>0</v>
      </c>
      <c r="J1353" s="51">
        <f t="shared" si="358"/>
        <v>990407.99848538684</v>
      </c>
    </row>
    <row r="1354" spans="1:10" x14ac:dyDescent="0.25">
      <c r="A1354" s="4" t="s">
        <v>112</v>
      </c>
      <c r="B1354" s="5" t="s">
        <v>254</v>
      </c>
      <c r="C1354" s="5" t="s">
        <v>212</v>
      </c>
      <c r="D1354" s="5">
        <v>39</v>
      </c>
      <c r="E1354" s="11">
        <v>113568</v>
      </c>
      <c r="F1354" s="11">
        <v>0</v>
      </c>
      <c r="G1354" s="27">
        <f t="shared" si="376"/>
        <v>186.74296874999999</v>
      </c>
      <c r="H1354" s="13">
        <f t="shared" si="377"/>
        <v>355514.22033417854</v>
      </c>
      <c r="I1354" s="13">
        <f t="shared" si="378"/>
        <v>0</v>
      </c>
      <c r="J1354" s="51">
        <f t="shared" si="358"/>
        <v>355514.22033417854</v>
      </c>
    </row>
    <row r="1355" spans="1:10" x14ac:dyDescent="0.25">
      <c r="A1355" s="4" t="s">
        <v>112</v>
      </c>
      <c r="B1355" s="5" t="s">
        <v>255</v>
      </c>
      <c r="C1355" s="5" t="s">
        <v>210</v>
      </c>
      <c r="D1355" s="5">
        <v>114</v>
      </c>
      <c r="E1355" s="11">
        <v>221274</v>
      </c>
      <c r="F1355" s="11">
        <v>0</v>
      </c>
      <c r="G1355" s="27">
        <f t="shared" si="376"/>
        <v>545.86406249999993</v>
      </c>
      <c r="H1355" s="13">
        <f t="shared" si="377"/>
        <v>692677.98667076137</v>
      </c>
      <c r="I1355" s="13">
        <f t="shared" si="378"/>
        <v>0</v>
      </c>
      <c r="J1355" s="51">
        <f t="shared" si="358"/>
        <v>692677.98667076137</v>
      </c>
    </row>
    <row r="1356" spans="1:10" x14ac:dyDescent="0.25">
      <c r="A1356" s="4" t="s">
        <v>112</v>
      </c>
      <c r="B1356" s="5" t="s">
        <v>256</v>
      </c>
      <c r="C1356" s="5" t="s">
        <v>212</v>
      </c>
      <c r="D1356" s="5">
        <v>15</v>
      </c>
      <c r="E1356" s="11">
        <v>43680</v>
      </c>
      <c r="F1356" s="11">
        <v>0</v>
      </c>
      <c r="G1356" s="27">
        <f t="shared" si="376"/>
        <v>71.82421875</v>
      </c>
      <c r="H1356" s="13">
        <f t="shared" si="377"/>
        <v>136736.23859006868</v>
      </c>
      <c r="I1356" s="13">
        <f t="shared" si="378"/>
        <v>0</v>
      </c>
      <c r="J1356" s="51">
        <f t="shared" si="358"/>
        <v>136736.23859006868</v>
      </c>
    </row>
    <row r="1357" spans="1:10" x14ac:dyDescent="0.25">
      <c r="A1357" s="15" t="s">
        <v>112</v>
      </c>
      <c r="B1357" s="16" t="s">
        <v>257</v>
      </c>
      <c r="C1357" s="16" t="s">
        <v>210</v>
      </c>
      <c r="D1357" s="16">
        <v>37</v>
      </c>
      <c r="E1357" s="18">
        <v>71817</v>
      </c>
      <c r="F1357" s="18">
        <v>0</v>
      </c>
      <c r="G1357" s="27">
        <f t="shared" si="376"/>
        <v>177.16640624999999</v>
      </c>
      <c r="H1357" s="13">
        <f t="shared" si="377"/>
        <v>224816.5395334927</v>
      </c>
      <c r="I1357" s="13">
        <f t="shared" si="378"/>
        <v>0</v>
      </c>
      <c r="J1357" s="51">
        <f t="shared" si="358"/>
        <v>224816.5395334927</v>
      </c>
    </row>
    <row r="1358" spans="1:10" s="3" customFormat="1" x14ac:dyDescent="0.25">
      <c r="A1358" s="4"/>
      <c r="B1358" s="21" t="s">
        <v>346</v>
      </c>
      <c r="C1358" s="21"/>
      <c r="D1358" s="21"/>
      <c r="E1358" s="29"/>
      <c r="F1358" s="29"/>
      <c r="G1358" s="49">
        <f>SUM(G1324:G1357)</f>
        <v>6129</v>
      </c>
      <c r="H1358" s="49">
        <f t="shared" ref="H1358:J1358" si="379">SUM(H1324:H1357)</f>
        <v>27288011.000000004</v>
      </c>
      <c r="I1358" s="49">
        <f t="shared" si="379"/>
        <v>2711989</v>
      </c>
      <c r="J1358" s="49">
        <f t="shared" si="379"/>
        <v>30000000.000000004</v>
      </c>
    </row>
    <row r="1359" spans="1:10" s="3" customFormat="1" x14ac:dyDescent="0.25">
      <c r="A1359" s="36" t="s">
        <v>113</v>
      </c>
      <c r="B1359" s="5" t="s">
        <v>214</v>
      </c>
      <c r="C1359" s="5" t="s">
        <v>210</v>
      </c>
      <c r="D1359" s="37"/>
      <c r="E1359" s="38"/>
      <c r="F1359" s="38"/>
      <c r="G1359" s="49">
        <v>4</v>
      </c>
      <c r="H1359" s="35">
        <v>2200000</v>
      </c>
      <c r="I1359" s="35">
        <v>300000</v>
      </c>
      <c r="J1359" s="50">
        <f t="shared" si="358"/>
        <v>2500000</v>
      </c>
    </row>
    <row r="1360" spans="1:10" s="3" customFormat="1" x14ac:dyDescent="0.25">
      <c r="A1360" s="23" t="s">
        <v>113</v>
      </c>
      <c r="B1360" s="21"/>
      <c r="C1360" s="21"/>
      <c r="D1360" s="21"/>
      <c r="E1360" s="29"/>
      <c r="F1360" s="29"/>
      <c r="G1360" s="48"/>
      <c r="H1360" s="48"/>
      <c r="I1360" s="48"/>
      <c r="J1360" s="51">
        <f t="shared" si="358"/>
        <v>0</v>
      </c>
    </row>
    <row r="1361" spans="1:10" s="3" customFormat="1" x14ac:dyDescent="0.25">
      <c r="A1361" s="36"/>
      <c r="B1361" s="1" t="s">
        <v>460</v>
      </c>
      <c r="C1361" s="1"/>
      <c r="D1361" s="1"/>
      <c r="E1361" s="2"/>
      <c r="F1361" s="2"/>
      <c r="G1361" s="47">
        <f>SUM(G1359:G1360)</f>
        <v>4</v>
      </c>
      <c r="H1361" s="47">
        <f>SUM(H1359:H1360)</f>
        <v>2200000</v>
      </c>
      <c r="I1361" s="47">
        <f t="shared" ref="I1361:J1361" si="380">SUM(I1359:I1360)</f>
        <v>300000</v>
      </c>
      <c r="J1361" s="47">
        <f t="shared" si="380"/>
        <v>2500000</v>
      </c>
    </row>
    <row r="1362" spans="1:10" s="3" customFormat="1" x14ac:dyDescent="0.25">
      <c r="A1362" s="36" t="s">
        <v>114</v>
      </c>
      <c r="B1362" s="5" t="s">
        <v>214</v>
      </c>
      <c r="C1362" s="5" t="s">
        <v>210</v>
      </c>
      <c r="D1362" s="21"/>
      <c r="E1362" s="29"/>
      <c r="F1362" s="29"/>
      <c r="G1362" s="48">
        <v>4</v>
      </c>
      <c r="H1362" s="35">
        <v>1550000</v>
      </c>
      <c r="I1362" s="35">
        <v>950000</v>
      </c>
      <c r="J1362" s="51">
        <f t="shared" si="358"/>
        <v>2500000</v>
      </c>
    </row>
    <row r="1363" spans="1:10" s="3" customFormat="1" x14ac:dyDescent="0.25">
      <c r="A1363" s="4"/>
      <c r="B1363" s="21"/>
      <c r="C1363" s="21"/>
      <c r="D1363" s="21"/>
      <c r="E1363" s="29"/>
      <c r="F1363" s="29"/>
      <c r="G1363" s="48"/>
      <c r="H1363" s="6"/>
      <c r="I1363" s="6"/>
      <c r="J1363" s="51">
        <f t="shared" si="358"/>
        <v>0</v>
      </c>
    </row>
    <row r="1364" spans="1:10" s="3" customFormat="1" x14ac:dyDescent="0.25">
      <c r="A1364" s="36"/>
      <c r="B1364" s="1" t="s">
        <v>461</v>
      </c>
      <c r="C1364" s="1"/>
      <c r="D1364" s="1"/>
      <c r="E1364" s="2"/>
      <c r="F1364" s="2"/>
      <c r="G1364" s="47">
        <f>SUM(G1362:G1363)</f>
        <v>4</v>
      </c>
      <c r="H1364" s="47">
        <f>SUM(H1362:H1363)</f>
        <v>1550000</v>
      </c>
      <c r="I1364" s="47">
        <f t="shared" ref="I1364:J1364" si="381">SUM(I1362:I1363)</f>
        <v>950000</v>
      </c>
      <c r="J1364" s="47">
        <f t="shared" si="381"/>
        <v>2500000</v>
      </c>
    </row>
    <row r="1365" spans="1:10" x14ac:dyDescent="0.25">
      <c r="A1365" s="23" t="s">
        <v>115</v>
      </c>
      <c r="B1365" s="24" t="s">
        <v>214</v>
      </c>
      <c r="C1365" s="24" t="s">
        <v>210</v>
      </c>
      <c r="D1365" s="24">
        <v>2</v>
      </c>
      <c r="E1365" s="30">
        <v>970</v>
      </c>
      <c r="F1365" s="30">
        <v>0</v>
      </c>
      <c r="G1365" s="27">
        <f>+D1365*4.75</f>
        <v>9.5</v>
      </c>
      <c r="H1365" s="13">
        <f>+E1365*1678606/104155</f>
        <v>15632.929960155538</v>
      </c>
      <c r="I1365" s="13">
        <f>+F1365*321394/19942</f>
        <v>0</v>
      </c>
      <c r="J1365" s="51">
        <f t="shared" si="358"/>
        <v>15632.929960155538</v>
      </c>
    </row>
    <row r="1366" spans="1:10" x14ac:dyDescent="0.25">
      <c r="A1366" s="4" t="s">
        <v>115</v>
      </c>
      <c r="B1366" s="5" t="s">
        <v>216</v>
      </c>
      <c r="C1366" s="5" t="s">
        <v>210</v>
      </c>
      <c r="D1366" s="5">
        <v>1</v>
      </c>
      <c r="E1366" s="11">
        <v>485</v>
      </c>
      <c r="F1366" s="11">
        <v>0</v>
      </c>
      <c r="G1366" s="27">
        <f t="shared" ref="G1366:G1373" si="382">+D1366*4.75</f>
        <v>4.75</v>
      </c>
      <c r="H1366" s="13">
        <f t="shared" ref="H1366:H1373" si="383">+E1366*1678606/104155</f>
        <v>7816.4649800777688</v>
      </c>
      <c r="I1366" s="13">
        <f t="shared" ref="I1366:I1373" si="384">+F1366*321394/19942</f>
        <v>0</v>
      </c>
      <c r="J1366" s="51">
        <f t="shared" si="358"/>
        <v>7816.4649800777688</v>
      </c>
    </row>
    <row r="1367" spans="1:10" x14ac:dyDescent="0.25">
      <c r="A1367" s="4" t="s">
        <v>115</v>
      </c>
      <c r="B1367" s="5" t="s">
        <v>217</v>
      </c>
      <c r="C1367" s="5" t="s">
        <v>218</v>
      </c>
      <c r="D1367" s="5">
        <v>1</v>
      </c>
      <c r="E1367" s="11">
        <v>1656</v>
      </c>
      <c r="F1367" s="11">
        <v>1325</v>
      </c>
      <c r="G1367" s="27">
        <f t="shared" si="382"/>
        <v>4.75</v>
      </c>
      <c r="H1367" s="13">
        <f t="shared" si="383"/>
        <v>26688.795890739762</v>
      </c>
      <c r="I1367" s="13">
        <f t="shared" si="384"/>
        <v>21354.279911744059</v>
      </c>
      <c r="J1367" s="51">
        <f t="shared" si="358"/>
        <v>48043.075802483821</v>
      </c>
    </row>
    <row r="1368" spans="1:10" x14ac:dyDescent="0.25">
      <c r="A1368" s="4" t="s">
        <v>115</v>
      </c>
      <c r="B1368" s="5" t="s">
        <v>228</v>
      </c>
      <c r="C1368" s="5" t="s">
        <v>229</v>
      </c>
      <c r="D1368" s="5">
        <v>1</v>
      </c>
      <c r="E1368" s="11">
        <v>970</v>
      </c>
      <c r="F1368" s="11">
        <v>0</v>
      </c>
      <c r="G1368" s="27">
        <f t="shared" si="382"/>
        <v>4.75</v>
      </c>
      <c r="H1368" s="13">
        <f t="shared" si="383"/>
        <v>15632.929960155538</v>
      </c>
      <c r="I1368" s="13">
        <f t="shared" si="384"/>
        <v>0</v>
      </c>
      <c r="J1368" s="51">
        <f t="shared" si="358"/>
        <v>15632.929960155538</v>
      </c>
    </row>
    <row r="1369" spans="1:10" x14ac:dyDescent="0.25">
      <c r="A1369" s="4" t="s">
        <v>115</v>
      </c>
      <c r="B1369" s="5" t="s">
        <v>230</v>
      </c>
      <c r="C1369" s="5" t="s">
        <v>229</v>
      </c>
      <c r="D1369" s="5">
        <v>1</v>
      </c>
      <c r="E1369" s="11">
        <v>970</v>
      </c>
      <c r="F1369" s="11">
        <v>0</v>
      </c>
      <c r="G1369" s="27">
        <f t="shared" si="382"/>
        <v>4.75</v>
      </c>
      <c r="H1369" s="13">
        <f t="shared" si="383"/>
        <v>15632.929960155538</v>
      </c>
      <c r="I1369" s="13">
        <f t="shared" si="384"/>
        <v>0</v>
      </c>
      <c r="J1369" s="51">
        <f t="shared" ref="J1369:J1435" si="385">SUM(H1369:I1369)</f>
        <v>15632.929960155538</v>
      </c>
    </row>
    <row r="1370" spans="1:10" x14ac:dyDescent="0.25">
      <c r="A1370" s="4" t="s">
        <v>115</v>
      </c>
      <c r="B1370" s="5" t="s">
        <v>262</v>
      </c>
      <c r="C1370" s="5" t="s">
        <v>263</v>
      </c>
      <c r="D1370" s="5">
        <v>1</v>
      </c>
      <c r="E1370" s="11">
        <v>75833</v>
      </c>
      <c r="F1370" s="11">
        <v>0</v>
      </c>
      <c r="G1370" s="27">
        <f t="shared" si="382"/>
        <v>4.75</v>
      </c>
      <c r="H1370" s="13">
        <f t="shared" si="383"/>
        <v>1222156.678008737</v>
      </c>
      <c r="I1370" s="13">
        <f t="shared" si="384"/>
        <v>0</v>
      </c>
      <c r="J1370" s="51">
        <f t="shared" si="385"/>
        <v>1222156.678008737</v>
      </c>
    </row>
    <row r="1371" spans="1:10" x14ac:dyDescent="0.25">
      <c r="A1371" s="4" t="s">
        <v>115</v>
      </c>
      <c r="B1371" s="5" t="s">
        <v>241</v>
      </c>
      <c r="C1371" s="5" t="s">
        <v>236</v>
      </c>
      <c r="D1371" s="5">
        <v>2</v>
      </c>
      <c r="E1371" s="11">
        <v>6824</v>
      </c>
      <c r="F1371" s="11">
        <v>5460</v>
      </c>
      <c r="G1371" s="27">
        <f t="shared" si="382"/>
        <v>9.5</v>
      </c>
      <c r="H1371" s="13">
        <f t="shared" si="383"/>
        <v>109978.46809082617</v>
      </c>
      <c r="I1371" s="13">
        <f t="shared" si="384"/>
        <v>87995.749674054765</v>
      </c>
      <c r="J1371" s="51">
        <f t="shared" si="385"/>
        <v>197974.21776488092</v>
      </c>
    </row>
    <row r="1372" spans="1:10" x14ac:dyDescent="0.25">
      <c r="A1372" s="4" t="s">
        <v>115</v>
      </c>
      <c r="B1372" s="5" t="s">
        <v>248</v>
      </c>
      <c r="C1372" s="5" t="s">
        <v>246</v>
      </c>
      <c r="D1372" s="5">
        <v>1</v>
      </c>
      <c r="E1372" s="11">
        <v>1281</v>
      </c>
      <c r="F1372" s="11">
        <v>1025</v>
      </c>
      <c r="G1372" s="27">
        <f t="shared" si="382"/>
        <v>4.75</v>
      </c>
      <c r="H1372" s="13">
        <f t="shared" si="383"/>
        <v>20645.137400988911</v>
      </c>
      <c r="I1372" s="13">
        <f t="shared" si="384"/>
        <v>16519.348610971818</v>
      </c>
      <c r="J1372" s="51">
        <f t="shared" si="385"/>
        <v>37164.486011960733</v>
      </c>
    </row>
    <row r="1373" spans="1:10" x14ac:dyDescent="0.25">
      <c r="A1373" s="15" t="s">
        <v>115</v>
      </c>
      <c r="B1373" s="16" t="s">
        <v>249</v>
      </c>
      <c r="C1373" s="16" t="s">
        <v>250</v>
      </c>
      <c r="D1373" s="16">
        <v>2</v>
      </c>
      <c r="E1373" s="18">
        <v>15166</v>
      </c>
      <c r="F1373" s="18">
        <v>12132</v>
      </c>
      <c r="G1373" s="27">
        <f t="shared" si="382"/>
        <v>9.5</v>
      </c>
      <c r="H1373" s="13">
        <f t="shared" si="383"/>
        <v>244421.6657481638</v>
      </c>
      <c r="I1373" s="13">
        <f t="shared" si="384"/>
        <v>195524.62180322935</v>
      </c>
      <c r="J1373" s="51">
        <f t="shared" si="385"/>
        <v>439946.28755139315</v>
      </c>
    </row>
    <row r="1374" spans="1:10" s="3" customFormat="1" x14ac:dyDescent="0.25">
      <c r="A1374" s="4"/>
      <c r="B1374" s="20" t="s">
        <v>347</v>
      </c>
      <c r="C1374" s="21"/>
      <c r="D1374" s="21"/>
      <c r="E1374" s="29"/>
      <c r="F1374" s="29"/>
      <c r="G1374" s="47">
        <f>SUM(G1365:G1373)</f>
        <v>57</v>
      </c>
      <c r="H1374" s="47">
        <f t="shared" ref="H1374:J1374" si="386">SUM(H1365:H1373)</f>
        <v>1678606.0000000002</v>
      </c>
      <c r="I1374" s="47">
        <f t="shared" si="386"/>
        <v>321394</v>
      </c>
      <c r="J1374" s="47">
        <f t="shared" si="386"/>
        <v>2000000</v>
      </c>
    </row>
    <row r="1375" spans="1:10" s="3" customFormat="1" x14ac:dyDescent="0.25">
      <c r="A1375" s="36" t="s">
        <v>116</v>
      </c>
      <c r="B1375" s="5" t="s">
        <v>214</v>
      </c>
      <c r="C1375" s="5" t="s">
        <v>210</v>
      </c>
      <c r="D1375" s="21"/>
      <c r="E1375" s="29"/>
      <c r="F1375" s="29"/>
      <c r="G1375" s="48">
        <v>4</v>
      </c>
      <c r="H1375" s="35">
        <v>2000000</v>
      </c>
      <c r="I1375" s="35">
        <v>500000</v>
      </c>
      <c r="J1375" s="51">
        <f t="shared" si="385"/>
        <v>2500000</v>
      </c>
    </row>
    <row r="1376" spans="1:10" s="3" customFormat="1" x14ac:dyDescent="0.25">
      <c r="A1376" s="36" t="s">
        <v>116</v>
      </c>
      <c r="B1376" s="21"/>
      <c r="C1376" s="21"/>
      <c r="D1376" s="21"/>
      <c r="E1376" s="29"/>
      <c r="F1376" s="29"/>
      <c r="G1376" s="48"/>
      <c r="H1376" s="48"/>
      <c r="I1376" s="48"/>
      <c r="J1376" s="51">
        <f t="shared" si="385"/>
        <v>0</v>
      </c>
    </row>
    <row r="1377" spans="1:10" s="3" customFormat="1" x14ac:dyDescent="0.25">
      <c r="A1377" s="4"/>
      <c r="B1377" s="1" t="s">
        <v>459</v>
      </c>
      <c r="C1377" s="21"/>
      <c r="D1377" s="21"/>
      <c r="E1377" s="29"/>
      <c r="F1377" s="29"/>
      <c r="G1377" s="48">
        <f>SUM(G1375:G1376)</f>
        <v>4</v>
      </c>
      <c r="H1377" s="48">
        <f>SUM(H1375:H1376)</f>
        <v>2000000</v>
      </c>
      <c r="I1377" s="48">
        <f t="shared" ref="I1377:J1377" si="387">SUM(I1375:I1376)</f>
        <v>500000</v>
      </c>
      <c r="J1377" s="48">
        <f t="shared" si="387"/>
        <v>2500000</v>
      </c>
    </row>
    <row r="1378" spans="1:10" x14ac:dyDescent="0.25">
      <c r="A1378" s="23" t="s">
        <v>117</v>
      </c>
      <c r="B1378" s="24" t="s">
        <v>214</v>
      </c>
      <c r="C1378" s="24" t="s">
        <v>210</v>
      </c>
      <c r="D1378" s="24">
        <v>10</v>
      </c>
      <c r="E1378" s="30">
        <v>4850</v>
      </c>
      <c r="F1378" s="30">
        <v>0</v>
      </c>
      <c r="G1378" s="27">
        <f>+D1378*4.8</f>
        <v>48</v>
      </c>
      <c r="H1378" s="13">
        <f>+E1378*1478993/192201</f>
        <v>37320.909100368888</v>
      </c>
      <c r="I1378" s="13">
        <f>+F1378*7.6948717948718</f>
        <v>0</v>
      </c>
      <c r="J1378" s="51">
        <f t="shared" si="385"/>
        <v>37320.909100368888</v>
      </c>
    </row>
    <row r="1379" spans="1:10" x14ac:dyDescent="0.25">
      <c r="A1379" s="4" t="s">
        <v>117</v>
      </c>
      <c r="B1379" s="5" t="s">
        <v>228</v>
      </c>
      <c r="C1379" s="5" t="s">
        <v>229</v>
      </c>
      <c r="D1379" s="5">
        <v>2</v>
      </c>
      <c r="E1379" s="11">
        <v>1940</v>
      </c>
      <c r="F1379" s="11">
        <v>0</v>
      </c>
      <c r="G1379" s="27">
        <f t="shared" ref="G1379:G1382" si="388">+D1379*4.8</f>
        <v>9.6</v>
      </c>
      <c r="H1379" s="13">
        <f t="shared" ref="H1379:H1382" si="389">+E1379*1478993/192201</f>
        <v>14928.363640147554</v>
      </c>
      <c r="I1379" s="13">
        <f t="shared" ref="I1379:I1382" si="390">+F1379*7.6948717948718</f>
        <v>0</v>
      </c>
      <c r="J1379" s="51">
        <f t="shared" si="385"/>
        <v>14928.363640147554</v>
      </c>
    </row>
    <row r="1380" spans="1:10" x14ac:dyDescent="0.25">
      <c r="A1380" s="4" t="s">
        <v>117</v>
      </c>
      <c r="B1380" s="5" t="s">
        <v>231</v>
      </c>
      <c r="C1380" s="5" t="s">
        <v>232</v>
      </c>
      <c r="D1380" s="5">
        <v>1</v>
      </c>
      <c r="E1380" s="11">
        <v>106166</v>
      </c>
      <c r="F1380" s="11">
        <v>0</v>
      </c>
      <c r="G1380" s="27">
        <f t="shared" si="388"/>
        <v>4.8</v>
      </c>
      <c r="H1380" s="13">
        <f t="shared" si="389"/>
        <v>816950.85269067273</v>
      </c>
      <c r="I1380" s="13">
        <f t="shared" si="390"/>
        <v>0</v>
      </c>
      <c r="J1380" s="51">
        <f t="shared" si="385"/>
        <v>816950.85269067273</v>
      </c>
    </row>
    <row r="1381" spans="1:10" x14ac:dyDescent="0.25">
      <c r="A1381" s="4" t="s">
        <v>117</v>
      </c>
      <c r="B1381" s="5" t="s">
        <v>262</v>
      </c>
      <c r="C1381" s="5" t="s">
        <v>263</v>
      </c>
      <c r="D1381" s="5">
        <v>1</v>
      </c>
      <c r="E1381" s="11">
        <v>75833</v>
      </c>
      <c r="F1381" s="11">
        <v>0</v>
      </c>
      <c r="G1381" s="27">
        <f t="shared" si="388"/>
        <v>4.8</v>
      </c>
      <c r="H1381" s="13">
        <f t="shared" si="389"/>
        <v>583537.42264088115</v>
      </c>
      <c r="I1381" s="13">
        <f t="shared" si="390"/>
        <v>0</v>
      </c>
      <c r="J1381" s="51">
        <f t="shared" si="385"/>
        <v>583537.42264088115</v>
      </c>
    </row>
    <row r="1382" spans="1:10" x14ac:dyDescent="0.25">
      <c r="A1382" s="15" t="s">
        <v>117</v>
      </c>
      <c r="B1382" s="16" t="s">
        <v>241</v>
      </c>
      <c r="C1382" s="16" t="s">
        <v>236</v>
      </c>
      <c r="D1382" s="16">
        <v>1</v>
      </c>
      <c r="E1382" s="18">
        <v>3412</v>
      </c>
      <c r="F1382" s="18">
        <v>2730</v>
      </c>
      <c r="G1382" s="27">
        <f t="shared" si="388"/>
        <v>4.8</v>
      </c>
      <c r="H1382" s="13">
        <f t="shared" si="389"/>
        <v>26255.451927929615</v>
      </c>
      <c r="I1382" s="13">
        <f t="shared" si="390"/>
        <v>21007.000000000015</v>
      </c>
      <c r="J1382" s="51">
        <f t="shared" si="385"/>
        <v>47262.451927929629</v>
      </c>
    </row>
    <row r="1383" spans="1:10" s="3" customFormat="1" x14ac:dyDescent="0.25">
      <c r="A1383" s="4"/>
      <c r="B1383" s="20" t="s">
        <v>348</v>
      </c>
      <c r="C1383" s="21"/>
      <c r="D1383" s="21"/>
      <c r="E1383" s="29"/>
      <c r="F1383" s="29"/>
      <c r="G1383" s="47">
        <f>SUM(G1378:G1382)</f>
        <v>72</v>
      </c>
      <c r="H1383" s="47">
        <f t="shared" ref="H1383:J1383" si="391">SUM(H1378:H1382)</f>
        <v>1478993</v>
      </c>
      <c r="I1383" s="47">
        <f t="shared" si="391"/>
        <v>21007.000000000015</v>
      </c>
      <c r="J1383" s="47">
        <f t="shared" si="391"/>
        <v>1500000</v>
      </c>
    </row>
    <row r="1384" spans="1:10" x14ac:dyDescent="0.25">
      <c r="A1384" s="23" t="s">
        <v>118</v>
      </c>
      <c r="B1384" s="24" t="s">
        <v>209</v>
      </c>
      <c r="C1384" s="24" t="s">
        <v>210</v>
      </c>
      <c r="D1384" s="24">
        <v>8</v>
      </c>
      <c r="E1384" s="30">
        <v>7760</v>
      </c>
      <c r="F1384" s="30">
        <v>0</v>
      </c>
      <c r="G1384" s="27">
        <f>+D1384*4.79032258064516</f>
        <v>38.322580645161281</v>
      </c>
      <c r="H1384" s="13">
        <f>+E1384*4555597/484608</f>
        <v>72948.512447173794</v>
      </c>
      <c r="I1384" s="13">
        <f>+F1384*444403/47274</f>
        <v>0</v>
      </c>
      <c r="J1384" s="51">
        <f t="shared" si="385"/>
        <v>72948.512447173794</v>
      </c>
    </row>
    <row r="1385" spans="1:10" x14ac:dyDescent="0.25">
      <c r="A1385" s="4" t="s">
        <v>118</v>
      </c>
      <c r="B1385" s="5" t="s">
        <v>211</v>
      </c>
      <c r="C1385" s="5" t="s">
        <v>212</v>
      </c>
      <c r="D1385" s="5">
        <v>1</v>
      </c>
      <c r="E1385" s="11">
        <v>1456</v>
      </c>
      <c r="F1385" s="11">
        <v>0</v>
      </c>
      <c r="G1385" s="27">
        <f t="shared" ref="G1385:G1398" si="392">+D1385*4.79032258064516</f>
        <v>4.7903225806451601</v>
      </c>
      <c r="H1385" s="13">
        <f t="shared" ref="H1385:H1398" si="393">+E1385*4555597/484608</f>
        <v>13687.246665346012</v>
      </c>
      <c r="I1385" s="13">
        <f t="shared" ref="I1385:I1398" si="394">+F1385*444403/47274</f>
        <v>0</v>
      </c>
      <c r="J1385" s="51">
        <f t="shared" si="385"/>
        <v>13687.246665346012</v>
      </c>
    </row>
    <row r="1386" spans="1:10" x14ac:dyDescent="0.25">
      <c r="A1386" s="4" t="s">
        <v>118</v>
      </c>
      <c r="B1386" s="5" t="s">
        <v>217</v>
      </c>
      <c r="C1386" s="5" t="s">
        <v>218</v>
      </c>
      <c r="D1386" s="5">
        <v>4</v>
      </c>
      <c r="E1386" s="11">
        <v>13252</v>
      </c>
      <c r="F1386" s="11">
        <v>5300</v>
      </c>
      <c r="G1386" s="27">
        <f t="shared" si="392"/>
        <v>19.161290322580641</v>
      </c>
      <c r="H1386" s="13">
        <f t="shared" si="393"/>
        <v>124576.50605025093</v>
      </c>
      <c r="I1386" s="13">
        <f t="shared" si="394"/>
        <v>49823.071878834031</v>
      </c>
      <c r="J1386" s="51">
        <f t="shared" si="385"/>
        <v>174399.57792908495</v>
      </c>
    </row>
    <row r="1387" spans="1:10" x14ac:dyDescent="0.25">
      <c r="A1387" s="4" t="s">
        <v>118</v>
      </c>
      <c r="B1387" s="5" t="s">
        <v>219</v>
      </c>
      <c r="C1387" s="5" t="s">
        <v>220</v>
      </c>
      <c r="D1387" s="5">
        <v>5</v>
      </c>
      <c r="E1387" s="11">
        <v>16985</v>
      </c>
      <c r="F1387" s="11">
        <v>6790</v>
      </c>
      <c r="G1387" s="27">
        <f t="shared" si="392"/>
        <v>23.951612903225801</v>
      </c>
      <c r="H1387" s="13">
        <f t="shared" si="393"/>
        <v>159668.87679320193</v>
      </c>
      <c r="I1387" s="13">
        <f t="shared" si="394"/>
        <v>63829.93548250624</v>
      </c>
      <c r="J1387" s="51">
        <f t="shared" si="385"/>
        <v>223498.81227570816</v>
      </c>
    </row>
    <row r="1388" spans="1:10" x14ac:dyDescent="0.25">
      <c r="A1388" s="4" t="s">
        <v>118</v>
      </c>
      <c r="B1388" s="5" t="s">
        <v>226</v>
      </c>
      <c r="C1388" s="5" t="s">
        <v>210</v>
      </c>
      <c r="D1388" s="5">
        <v>1</v>
      </c>
      <c r="E1388" s="11">
        <v>970</v>
      </c>
      <c r="F1388" s="11">
        <v>0</v>
      </c>
      <c r="G1388" s="27">
        <f t="shared" si="392"/>
        <v>4.7903225806451601</v>
      </c>
      <c r="H1388" s="13">
        <f t="shared" si="393"/>
        <v>9118.5640558967243</v>
      </c>
      <c r="I1388" s="13">
        <f t="shared" si="394"/>
        <v>0</v>
      </c>
      <c r="J1388" s="51">
        <f t="shared" si="385"/>
        <v>9118.5640558967243</v>
      </c>
    </row>
    <row r="1389" spans="1:10" x14ac:dyDescent="0.25">
      <c r="A1389" s="4" t="s">
        <v>118</v>
      </c>
      <c r="B1389" s="5" t="s">
        <v>228</v>
      </c>
      <c r="C1389" s="5" t="s">
        <v>229</v>
      </c>
      <c r="D1389" s="5">
        <v>21</v>
      </c>
      <c r="E1389" s="11">
        <v>38819</v>
      </c>
      <c r="F1389" s="11">
        <v>0</v>
      </c>
      <c r="G1389" s="27">
        <f t="shared" si="392"/>
        <v>100.59677419354836</v>
      </c>
      <c r="H1389" s="13">
        <f t="shared" si="393"/>
        <v>364921.17328438658</v>
      </c>
      <c r="I1389" s="13">
        <f t="shared" si="394"/>
        <v>0</v>
      </c>
      <c r="J1389" s="51">
        <f t="shared" si="385"/>
        <v>364921.17328438658</v>
      </c>
    </row>
    <row r="1390" spans="1:10" x14ac:dyDescent="0.25">
      <c r="A1390" s="4" t="s">
        <v>118</v>
      </c>
      <c r="B1390" s="5" t="s">
        <v>262</v>
      </c>
      <c r="C1390" s="5" t="s">
        <v>263</v>
      </c>
      <c r="D1390" s="5">
        <v>2</v>
      </c>
      <c r="E1390" s="11">
        <v>303332</v>
      </c>
      <c r="F1390" s="11">
        <v>0</v>
      </c>
      <c r="G1390" s="27">
        <f t="shared" si="392"/>
        <v>9.5806451612903203</v>
      </c>
      <c r="H1390" s="13">
        <f t="shared" si="393"/>
        <v>2851497.1878384179</v>
      </c>
      <c r="I1390" s="13">
        <f t="shared" si="394"/>
        <v>0</v>
      </c>
      <c r="J1390" s="51">
        <f t="shared" si="385"/>
        <v>2851497.1878384179</v>
      </c>
    </row>
    <row r="1391" spans="1:10" x14ac:dyDescent="0.25">
      <c r="A1391" s="4" t="s">
        <v>118</v>
      </c>
      <c r="B1391" s="5" t="s">
        <v>239</v>
      </c>
      <c r="C1391" s="5" t="s">
        <v>236</v>
      </c>
      <c r="D1391" s="5">
        <v>1</v>
      </c>
      <c r="E1391" s="11">
        <v>6825</v>
      </c>
      <c r="F1391" s="11">
        <v>2730</v>
      </c>
      <c r="G1391" s="27">
        <f t="shared" si="392"/>
        <v>4.7903225806451601</v>
      </c>
      <c r="H1391" s="13">
        <f t="shared" si="393"/>
        <v>64158.968743809426</v>
      </c>
      <c r="I1391" s="13">
        <f t="shared" si="394"/>
        <v>25663.582307399418</v>
      </c>
      <c r="J1391" s="51">
        <f t="shared" si="385"/>
        <v>89822.551051208837</v>
      </c>
    </row>
    <row r="1392" spans="1:10" x14ac:dyDescent="0.25">
      <c r="A1392" s="4" t="s">
        <v>118</v>
      </c>
      <c r="B1392" s="5" t="s">
        <v>241</v>
      </c>
      <c r="C1392" s="5" t="s">
        <v>236</v>
      </c>
      <c r="D1392" s="5">
        <v>3</v>
      </c>
      <c r="E1392" s="11">
        <v>20475</v>
      </c>
      <c r="F1392" s="11">
        <v>8190</v>
      </c>
      <c r="G1392" s="27">
        <f t="shared" si="392"/>
        <v>14.37096774193548</v>
      </c>
      <c r="H1392" s="13">
        <f t="shared" si="393"/>
        <v>192476.90623142829</v>
      </c>
      <c r="I1392" s="13">
        <f t="shared" si="394"/>
        <v>76990.746922198246</v>
      </c>
      <c r="J1392" s="51">
        <f t="shared" si="385"/>
        <v>269467.65315362654</v>
      </c>
    </row>
    <row r="1393" spans="1:10" x14ac:dyDescent="0.25">
      <c r="A1393" s="4" t="s">
        <v>118</v>
      </c>
      <c r="B1393" s="5" t="s">
        <v>249</v>
      </c>
      <c r="C1393" s="5" t="s">
        <v>250</v>
      </c>
      <c r="D1393" s="5">
        <v>4</v>
      </c>
      <c r="E1393" s="11">
        <v>60664</v>
      </c>
      <c r="F1393" s="11">
        <v>24264</v>
      </c>
      <c r="G1393" s="27">
        <f t="shared" si="392"/>
        <v>19.161290322580641</v>
      </c>
      <c r="H1393" s="13">
        <f t="shared" si="393"/>
        <v>570276.87617208133</v>
      </c>
      <c r="I1393" s="13">
        <f t="shared" si="394"/>
        <v>228095.66340906205</v>
      </c>
      <c r="J1393" s="51">
        <f t="shared" si="385"/>
        <v>798372.53958114341</v>
      </c>
    </row>
    <row r="1394" spans="1:10" x14ac:dyDescent="0.25">
      <c r="A1394" s="4" t="s">
        <v>118</v>
      </c>
      <c r="B1394" s="5" t="s">
        <v>252</v>
      </c>
      <c r="C1394" s="5" t="s">
        <v>212</v>
      </c>
      <c r="D1394" s="5">
        <v>2</v>
      </c>
      <c r="E1394" s="11">
        <v>2912</v>
      </c>
      <c r="F1394" s="11">
        <v>0</v>
      </c>
      <c r="G1394" s="27">
        <f t="shared" si="392"/>
        <v>9.5806451612903203</v>
      </c>
      <c r="H1394" s="13">
        <f t="shared" si="393"/>
        <v>27374.493330692025</v>
      </c>
      <c r="I1394" s="13">
        <f t="shared" si="394"/>
        <v>0</v>
      </c>
      <c r="J1394" s="51">
        <f t="shared" si="385"/>
        <v>27374.493330692025</v>
      </c>
    </row>
    <row r="1395" spans="1:10" x14ac:dyDescent="0.25">
      <c r="A1395" s="4" t="s">
        <v>118</v>
      </c>
      <c r="B1395" s="5" t="s">
        <v>253</v>
      </c>
      <c r="C1395" s="5" t="s">
        <v>210</v>
      </c>
      <c r="D1395" s="5">
        <v>3</v>
      </c>
      <c r="E1395" s="11">
        <v>2910</v>
      </c>
      <c r="F1395" s="11">
        <v>0</v>
      </c>
      <c r="G1395" s="27">
        <f t="shared" si="392"/>
        <v>14.37096774193548</v>
      </c>
      <c r="H1395" s="13">
        <f t="shared" si="393"/>
        <v>27355.692167690173</v>
      </c>
      <c r="I1395" s="13">
        <f t="shared" si="394"/>
        <v>0</v>
      </c>
      <c r="J1395" s="51">
        <f t="shared" si="385"/>
        <v>27355.692167690173</v>
      </c>
    </row>
    <row r="1396" spans="1:10" x14ac:dyDescent="0.25">
      <c r="A1396" s="4" t="s">
        <v>118</v>
      </c>
      <c r="B1396" s="5" t="s">
        <v>254</v>
      </c>
      <c r="C1396" s="5" t="s">
        <v>212</v>
      </c>
      <c r="D1396" s="5">
        <v>3</v>
      </c>
      <c r="E1396" s="11">
        <v>4368</v>
      </c>
      <c r="F1396" s="11">
        <v>0</v>
      </c>
      <c r="G1396" s="27">
        <f t="shared" si="392"/>
        <v>14.37096774193548</v>
      </c>
      <c r="H1396" s="13">
        <f t="shared" si="393"/>
        <v>41061.739996038035</v>
      </c>
      <c r="I1396" s="13">
        <f t="shared" si="394"/>
        <v>0</v>
      </c>
      <c r="J1396" s="51">
        <f t="shared" si="385"/>
        <v>41061.739996038035</v>
      </c>
    </row>
    <row r="1397" spans="1:10" x14ac:dyDescent="0.25">
      <c r="A1397" s="4" t="s">
        <v>118</v>
      </c>
      <c r="B1397" s="5" t="s">
        <v>255</v>
      </c>
      <c r="C1397" s="5" t="s">
        <v>210</v>
      </c>
      <c r="D1397" s="5">
        <v>2</v>
      </c>
      <c r="E1397" s="11">
        <v>1940</v>
      </c>
      <c r="F1397" s="11">
        <v>0</v>
      </c>
      <c r="G1397" s="27">
        <f t="shared" si="392"/>
        <v>9.5806451612903203</v>
      </c>
      <c r="H1397" s="13">
        <f t="shared" si="393"/>
        <v>18237.128111793449</v>
      </c>
      <c r="I1397" s="13">
        <f t="shared" si="394"/>
        <v>0</v>
      </c>
      <c r="J1397" s="51">
        <f t="shared" si="385"/>
        <v>18237.128111793449</v>
      </c>
    </row>
    <row r="1398" spans="1:10" x14ac:dyDescent="0.25">
      <c r="A1398" s="15" t="s">
        <v>118</v>
      </c>
      <c r="B1398" s="16" t="s">
        <v>257</v>
      </c>
      <c r="C1398" s="16" t="s">
        <v>210</v>
      </c>
      <c r="D1398" s="16">
        <v>2</v>
      </c>
      <c r="E1398" s="18">
        <v>1940</v>
      </c>
      <c r="F1398" s="18">
        <v>0</v>
      </c>
      <c r="G1398" s="27">
        <f t="shared" si="392"/>
        <v>9.5806451612903203</v>
      </c>
      <c r="H1398" s="13">
        <f t="shared" si="393"/>
        <v>18237.128111793449</v>
      </c>
      <c r="I1398" s="13">
        <f t="shared" si="394"/>
        <v>0</v>
      </c>
      <c r="J1398" s="51">
        <f t="shared" si="385"/>
        <v>18237.128111793449</v>
      </c>
    </row>
    <row r="1399" spans="1:10" s="3" customFormat="1" x14ac:dyDescent="0.25">
      <c r="A1399" s="4"/>
      <c r="B1399" s="20" t="s">
        <v>349</v>
      </c>
      <c r="C1399" s="21"/>
      <c r="D1399" s="21"/>
      <c r="E1399" s="29"/>
      <c r="F1399" s="29"/>
      <c r="G1399" s="47">
        <f>SUM(G1384:G1398)</f>
        <v>296.99999999999989</v>
      </c>
      <c r="H1399" s="47">
        <f t="shared" ref="H1399:J1399" si="395">SUM(H1384:H1398)</f>
        <v>4555597.0000000009</v>
      </c>
      <c r="I1399" s="47">
        <f t="shared" si="395"/>
        <v>444403</v>
      </c>
      <c r="J1399" s="47">
        <f t="shared" si="395"/>
        <v>5000000.0000000009</v>
      </c>
    </row>
    <row r="1400" spans="1:10" x14ac:dyDescent="0.25">
      <c r="A1400" s="23" t="s">
        <v>119</v>
      </c>
      <c r="B1400" s="24" t="s">
        <v>217</v>
      </c>
      <c r="C1400" s="24" t="s">
        <v>218</v>
      </c>
      <c r="D1400" s="24">
        <v>1</v>
      </c>
      <c r="E1400" s="30">
        <v>3313</v>
      </c>
      <c r="F1400" s="30">
        <v>1325</v>
      </c>
      <c r="G1400" s="27">
        <f>+D1400*4.81818181818182</f>
        <v>4.8181818181818201</v>
      </c>
      <c r="H1400" s="13">
        <f>+E1400*2905236/29821</f>
        <v>322760.70111666276</v>
      </c>
      <c r="I1400" s="13">
        <f>+F1400*594764/6105</f>
        <v>129084.73382473382</v>
      </c>
      <c r="J1400" s="51">
        <f t="shared" si="385"/>
        <v>451845.43494139658</v>
      </c>
    </row>
    <row r="1401" spans="1:10" x14ac:dyDescent="0.25">
      <c r="A1401" s="4" t="s">
        <v>119</v>
      </c>
      <c r="B1401" s="5" t="s">
        <v>226</v>
      </c>
      <c r="C1401" s="5" t="s">
        <v>210</v>
      </c>
      <c r="D1401" s="5">
        <v>1</v>
      </c>
      <c r="E1401" s="11">
        <v>970</v>
      </c>
      <c r="F1401" s="11">
        <v>0</v>
      </c>
      <c r="G1401" s="27">
        <f t="shared" ref="G1401:G1405" si="396">+D1401*4.81818181818182</f>
        <v>4.8181818181818201</v>
      </c>
      <c r="H1401" s="13">
        <f t="shared" ref="H1401:H1405" si="397">+E1401*2905236/29821</f>
        <v>94499.812883538441</v>
      </c>
      <c r="I1401" s="13">
        <f t="shared" ref="I1401:I1405" si="398">+F1401*594764/6105</f>
        <v>0</v>
      </c>
      <c r="J1401" s="51">
        <f t="shared" si="385"/>
        <v>94499.812883538441</v>
      </c>
    </row>
    <row r="1402" spans="1:10" x14ac:dyDescent="0.25">
      <c r="A1402" s="4" t="s">
        <v>119</v>
      </c>
      <c r="B1402" s="5" t="s">
        <v>228</v>
      </c>
      <c r="C1402" s="5" t="s">
        <v>229</v>
      </c>
      <c r="D1402" s="5">
        <v>5</v>
      </c>
      <c r="E1402" s="11">
        <v>9705</v>
      </c>
      <c r="F1402" s="11">
        <v>0</v>
      </c>
      <c r="G1402" s="27">
        <f t="shared" si="396"/>
        <v>24.090909090909101</v>
      </c>
      <c r="H1402" s="13">
        <f t="shared" si="397"/>
        <v>945485.24127292843</v>
      </c>
      <c r="I1402" s="13">
        <f t="shared" si="398"/>
        <v>0</v>
      </c>
      <c r="J1402" s="51">
        <f t="shared" si="385"/>
        <v>945485.24127292843</v>
      </c>
    </row>
    <row r="1403" spans="1:10" x14ac:dyDescent="0.25">
      <c r="A1403" s="4" t="s">
        <v>119</v>
      </c>
      <c r="B1403" s="5" t="s">
        <v>230</v>
      </c>
      <c r="C1403" s="5" t="s">
        <v>229</v>
      </c>
      <c r="D1403" s="5">
        <v>2</v>
      </c>
      <c r="E1403" s="11">
        <v>3882</v>
      </c>
      <c r="F1403" s="11">
        <v>0</v>
      </c>
      <c r="G1403" s="27">
        <f t="shared" si="396"/>
        <v>9.6363636363636402</v>
      </c>
      <c r="H1403" s="13">
        <f t="shared" si="397"/>
        <v>378194.09650917142</v>
      </c>
      <c r="I1403" s="13">
        <f t="shared" si="398"/>
        <v>0</v>
      </c>
      <c r="J1403" s="51">
        <f t="shared" si="385"/>
        <v>378194.09650917142</v>
      </c>
    </row>
    <row r="1404" spans="1:10" x14ac:dyDescent="0.25">
      <c r="A1404" s="4" t="s">
        <v>119</v>
      </c>
      <c r="B1404" s="5" t="s">
        <v>240</v>
      </c>
      <c r="C1404" s="5" t="s">
        <v>238</v>
      </c>
      <c r="D1404" s="5">
        <v>1</v>
      </c>
      <c r="E1404" s="11">
        <v>5126</v>
      </c>
      <c r="F1404" s="11">
        <v>2050</v>
      </c>
      <c r="G1404" s="27">
        <f t="shared" si="396"/>
        <v>4.8181818181818201</v>
      </c>
      <c r="H1404" s="13">
        <f t="shared" si="397"/>
        <v>499387.67097012175</v>
      </c>
      <c r="I1404" s="13">
        <f t="shared" si="398"/>
        <v>199716.00327600326</v>
      </c>
      <c r="J1404" s="51">
        <f t="shared" si="385"/>
        <v>699103.67424612504</v>
      </c>
    </row>
    <row r="1405" spans="1:10" x14ac:dyDescent="0.25">
      <c r="A1405" s="15" t="s">
        <v>119</v>
      </c>
      <c r="B1405" s="16" t="s">
        <v>241</v>
      </c>
      <c r="C1405" s="16" t="s">
        <v>236</v>
      </c>
      <c r="D1405" s="16">
        <v>1</v>
      </c>
      <c r="E1405" s="18">
        <v>6825</v>
      </c>
      <c r="F1405" s="18">
        <v>2730</v>
      </c>
      <c r="G1405" s="27">
        <f t="shared" si="396"/>
        <v>4.8181818181818201</v>
      </c>
      <c r="H1405" s="13">
        <f t="shared" si="397"/>
        <v>664908.47724757716</v>
      </c>
      <c r="I1405" s="13">
        <f t="shared" si="398"/>
        <v>265963.26289926289</v>
      </c>
      <c r="J1405" s="51">
        <f t="shared" si="385"/>
        <v>930871.74014683999</v>
      </c>
    </row>
    <row r="1406" spans="1:10" s="3" customFormat="1" x14ac:dyDescent="0.25">
      <c r="A1406" s="4"/>
      <c r="B1406" s="20" t="s">
        <v>350</v>
      </c>
      <c r="C1406" s="21"/>
      <c r="D1406" s="21"/>
      <c r="E1406" s="29"/>
      <c r="F1406" s="29"/>
      <c r="G1406" s="47">
        <f>SUM(G1400:G1405)</f>
        <v>53.000000000000021</v>
      </c>
      <c r="H1406" s="47">
        <f t="shared" ref="H1406:J1406" si="399">SUM(H1400:H1405)</f>
        <v>2905236</v>
      </c>
      <c r="I1406" s="47">
        <f t="shared" si="399"/>
        <v>594764</v>
      </c>
      <c r="J1406" s="47">
        <f t="shared" si="399"/>
        <v>3500000</v>
      </c>
    </row>
    <row r="1407" spans="1:10" x14ac:dyDescent="0.25">
      <c r="A1407" s="23" t="s">
        <v>120</v>
      </c>
      <c r="B1407" s="24" t="s">
        <v>216</v>
      </c>
      <c r="C1407" s="24" t="s">
        <v>210</v>
      </c>
      <c r="D1407" s="24">
        <v>1</v>
      </c>
      <c r="E1407" s="30">
        <v>970</v>
      </c>
      <c r="F1407" s="30">
        <v>0</v>
      </c>
      <c r="G1407" s="27">
        <f>+D1407*4.76923076923077</f>
        <v>4.7692307692307701</v>
      </c>
      <c r="H1407" s="13">
        <f>+E1407*3223024/275680</f>
        <v>11340.442832269298</v>
      </c>
      <c r="I1407" s="13">
        <f>+F1407*276976/23691</f>
        <v>0</v>
      </c>
      <c r="J1407" s="51">
        <f t="shared" si="385"/>
        <v>11340.442832269298</v>
      </c>
    </row>
    <row r="1408" spans="1:10" x14ac:dyDescent="0.25">
      <c r="A1408" s="4" t="s">
        <v>120</v>
      </c>
      <c r="B1408" s="5" t="s">
        <v>217</v>
      </c>
      <c r="C1408" s="5" t="s">
        <v>218</v>
      </c>
      <c r="D1408" s="5">
        <v>3</v>
      </c>
      <c r="E1408" s="11">
        <v>9939</v>
      </c>
      <c r="F1408" s="11">
        <v>3975</v>
      </c>
      <c r="G1408" s="27">
        <f t="shared" ref="G1408:G1417" si="400">+D1408*4.76923076923077</f>
        <v>14.30769230769231</v>
      </c>
      <c r="H1408" s="13">
        <f t="shared" ref="H1408:H1417" si="401">+E1408*3223024/275680</f>
        <v>116198.61990713871</v>
      </c>
      <c r="I1408" s="13">
        <f t="shared" ref="I1408:I1417" si="402">+F1408*276976/23691</f>
        <v>46472.483221476512</v>
      </c>
      <c r="J1408" s="51">
        <f t="shared" si="385"/>
        <v>162671.10312861521</v>
      </c>
    </row>
    <row r="1409" spans="1:10" x14ac:dyDescent="0.25">
      <c r="A1409" s="4" t="s">
        <v>120</v>
      </c>
      <c r="B1409" s="5" t="s">
        <v>226</v>
      </c>
      <c r="C1409" s="5" t="s">
        <v>210</v>
      </c>
      <c r="D1409" s="5">
        <v>1</v>
      </c>
      <c r="E1409" s="11">
        <v>970</v>
      </c>
      <c r="F1409" s="11">
        <v>0</v>
      </c>
      <c r="G1409" s="27">
        <f t="shared" si="400"/>
        <v>4.7692307692307701</v>
      </c>
      <c r="H1409" s="13">
        <f t="shared" si="401"/>
        <v>11340.442832269298</v>
      </c>
      <c r="I1409" s="13">
        <f t="shared" si="402"/>
        <v>0</v>
      </c>
      <c r="J1409" s="51">
        <f t="shared" si="385"/>
        <v>11340.442832269298</v>
      </c>
    </row>
    <row r="1410" spans="1:10" x14ac:dyDescent="0.25">
      <c r="A1410" s="4" t="s">
        <v>120</v>
      </c>
      <c r="B1410" s="5" t="s">
        <v>228</v>
      </c>
      <c r="C1410" s="5" t="s">
        <v>229</v>
      </c>
      <c r="D1410" s="5">
        <v>7</v>
      </c>
      <c r="E1410" s="11">
        <v>13587</v>
      </c>
      <c r="F1410" s="11">
        <v>0</v>
      </c>
      <c r="G1410" s="27">
        <f t="shared" si="400"/>
        <v>33.384615384615387</v>
      </c>
      <c r="H1410" s="13">
        <f t="shared" si="401"/>
        <v>158848.03789901335</v>
      </c>
      <c r="I1410" s="13">
        <f t="shared" si="402"/>
        <v>0</v>
      </c>
      <c r="J1410" s="51">
        <f t="shared" si="385"/>
        <v>158848.03789901335</v>
      </c>
    </row>
    <row r="1411" spans="1:10" x14ac:dyDescent="0.25">
      <c r="A1411" s="4" t="s">
        <v>120</v>
      </c>
      <c r="B1411" s="5" t="s">
        <v>230</v>
      </c>
      <c r="C1411" s="5" t="s">
        <v>229</v>
      </c>
      <c r="D1411" s="5">
        <v>1</v>
      </c>
      <c r="E1411" s="11">
        <v>1941</v>
      </c>
      <c r="F1411" s="11">
        <v>0</v>
      </c>
      <c r="G1411" s="27">
        <f t="shared" si="400"/>
        <v>4.7692307692307701</v>
      </c>
      <c r="H1411" s="13">
        <f t="shared" si="401"/>
        <v>22692.576842716193</v>
      </c>
      <c r="I1411" s="13">
        <f t="shared" si="402"/>
        <v>0</v>
      </c>
      <c r="J1411" s="51">
        <f t="shared" si="385"/>
        <v>22692.576842716193</v>
      </c>
    </row>
    <row r="1412" spans="1:10" x14ac:dyDescent="0.25">
      <c r="A1412" s="4" t="s">
        <v>120</v>
      </c>
      <c r="B1412" s="5" t="s">
        <v>233</v>
      </c>
      <c r="C1412" s="5" t="s">
        <v>234</v>
      </c>
      <c r="D1412" s="5">
        <v>2</v>
      </c>
      <c r="E1412" s="11">
        <v>194132</v>
      </c>
      <c r="F1412" s="11">
        <v>0</v>
      </c>
      <c r="G1412" s="27">
        <f t="shared" si="400"/>
        <v>9.5384615384615401</v>
      </c>
      <c r="H1412" s="13">
        <f t="shared" si="401"/>
        <v>2269631.8019733024</v>
      </c>
      <c r="I1412" s="13">
        <f t="shared" si="402"/>
        <v>0</v>
      </c>
      <c r="J1412" s="51">
        <f t="shared" si="385"/>
        <v>2269631.8019733024</v>
      </c>
    </row>
    <row r="1413" spans="1:10" x14ac:dyDescent="0.25">
      <c r="A1413" s="4" t="s">
        <v>120</v>
      </c>
      <c r="B1413" s="5" t="s">
        <v>241</v>
      </c>
      <c r="C1413" s="5" t="s">
        <v>236</v>
      </c>
      <c r="D1413" s="5">
        <v>5</v>
      </c>
      <c r="E1413" s="11">
        <v>34125</v>
      </c>
      <c r="F1413" s="11">
        <v>13650</v>
      </c>
      <c r="G1413" s="27">
        <f t="shared" si="400"/>
        <v>23.84615384615385</v>
      </c>
      <c r="H1413" s="13">
        <f t="shared" si="401"/>
        <v>398961.45531050494</v>
      </c>
      <c r="I1413" s="13">
        <f t="shared" si="402"/>
        <v>159584.75370393822</v>
      </c>
      <c r="J1413" s="51">
        <f t="shared" si="385"/>
        <v>558546.20901444321</v>
      </c>
    </row>
    <row r="1414" spans="1:10" x14ac:dyDescent="0.25">
      <c r="A1414" s="4" t="s">
        <v>120</v>
      </c>
      <c r="B1414" s="5" t="s">
        <v>249</v>
      </c>
      <c r="C1414" s="5" t="s">
        <v>250</v>
      </c>
      <c r="D1414" s="5">
        <v>1</v>
      </c>
      <c r="E1414" s="11">
        <v>15166</v>
      </c>
      <c r="F1414" s="11">
        <v>6066</v>
      </c>
      <c r="G1414" s="27">
        <f t="shared" si="400"/>
        <v>4.7692307692307701</v>
      </c>
      <c r="H1414" s="13">
        <f t="shared" si="401"/>
        <v>177308.40824143935</v>
      </c>
      <c r="I1414" s="13">
        <f t="shared" si="402"/>
        <v>70918.76307458528</v>
      </c>
      <c r="J1414" s="51">
        <f t="shared" si="385"/>
        <v>248227.17131602461</v>
      </c>
    </row>
    <row r="1415" spans="1:10" x14ac:dyDescent="0.25">
      <c r="A1415" s="4" t="s">
        <v>120</v>
      </c>
      <c r="B1415" s="5" t="s">
        <v>253</v>
      </c>
      <c r="C1415" s="5" t="s">
        <v>210</v>
      </c>
      <c r="D1415" s="5">
        <v>3</v>
      </c>
      <c r="E1415" s="11">
        <v>2910</v>
      </c>
      <c r="F1415" s="11">
        <v>0</v>
      </c>
      <c r="G1415" s="27">
        <f t="shared" si="400"/>
        <v>14.30769230769231</v>
      </c>
      <c r="H1415" s="13">
        <f t="shared" si="401"/>
        <v>34021.328496807895</v>
      </c>
      <c r="I1415" s="13">
        <f t="shared" si="402"/>
        <v>0</v>
      </c>
      <c r="J1415" s="51">
        <f t="shared" si="385"/>
        <v>34021.328496807895</v>
      </c>
    </row>
    <row r="1416" spans="1:10" x14ac:dyDescent="0.25">
      <c r="A1416" s="4" t="s">
        <v>120</v>
      </c>
      <c r="B1416" s="5" t="s">
        <v>255</v>
      </c>
      <c r="C1416" s="5" t="s">
        <v>210</v>
      </c>
      <c r="D1416" s="5">
        <v>1</v>
      </c>
      <c r="E1416" s="11">
        <v>970</v>
      </c>
      <c r="F1416" s="11">
        <v>0</v>
      </c>
      <c r="G1416" s="27">
        <f t="shared" si="400"/>
        <v>4.7692307692307701</v>
      </c>
      <c r="H1416" s="13">
        <f t="shared" si="401"/>
        <v>11340.442832269298</v>
      </c>
      <c r="I1416" s="13">
        <f t="shared" si="402"/>
        <v>0</v>
      </c>
      <c r="J1416" s="51">
        <f t="shared" si="385"/>
        <v>11340.442832269298</v>
      </c>
    </row>
    <row r="1417" spans="1:10" x14ac:dyDescent="0.25">
      <c r="A1417" s="15" t="s">
        <v>120</v>
      </c>
      <c r="B1417" s="16" t="s">
        <v>257</v>
      </c>
      <c r="C1417" s="16" t="s">
        <v>210</v>
      </c>
      <c r="D1417" s="16">
        <v>1</v>
      </c>
      <c r="E1417" s="18">
        <v>970</v>
      </c>
      <c r="F1417" s="18">
        <v>0</v>
      </c>
      <c r="G1417" s="27">
        <f t="shared" si="400"/>
        <v>4.7692307692307701</v>
      </c>
      <c r="H1417" s="13">
        <f t="shared" si="401"/>
        <v>11340.442832269298</v>
      </c>
      <c r="I1417" s="13">
        <f t="shared" si="402"/>
        <v>0</v>
      </c>
      <c r="J1417" s="51">
        <f t="shared" si="385"/>
        <v>11340.442832269298</v>
      </c>
    </row>
    <row r="1418" spans="1:10" s="3" customFormat="1" x14ac:dyDescent="0.25">
      <c r="A1418" s="4"/>
      <c r="B1418" s="20" t="s">
        <v>351</v>
      </c>
      <c r="C1418" s="21"/>
      <c r="D1418" s="21"/>
      <c r="E1418" s="29"/>
      <c r="F1418" s="29"/>
      <c r="G1418" s="47">
        <f>SUM(G1407:G1417)</f>
        <v>124.00000000000003</v>
      </c>
      <c r="H1418" s="47">
        <f t="shared" ref="H1418:J1418" si="403">SUM(H1407:H1417)</f>
        <v>3223023.9999999995</v>
      </c>
      <c r="I1418" s="47">
        <f t="shared" si="403"/>
        <v>276976</v>
      </c>
      <c r="J1418" s="47">
        <f t="shared" si="403"/>
        <v>3499999.9999999995</v>
      </c>
    </row>
    <row r="1419" spans="1:10" x14ac:dyDescent="0.25">
      <c r="A1419" s="23" t="s">
        <v>121</v>
      </c>
      <c r="B1419" s="24" t="s">
        <v>214</v>
      </c>
      <c r="C1419" s="24" t="s">
        <v>210</v>
      </c>
      <c r="D1419" s="24">
        <v>2</v>
      </c>
      <c r="E1419" s="30">
        <v>1940</v>
      </c>
      <c r="F1419" s="30">
        <v>0</v>
      </c>
      <c r="G1419" s="27">
        <f>+D1419*4.79591836734694</f>
        <v>9.5918367346938798</v>
      </c>
      <c r="H1419" s="13">
        <f>+E1419*2365741/160402</f>
        <v>28612.720165583971</v>
      </c>
      <c r="I1419" s="13">
        <f>+F1419*634259/43004</f>
        <v>0</v>
      </c>
      <c r="J1419" s="51">
        <f t="shared" si="385"/>
        <v>28612.720165583971</v>
      </c>
    </row>
    <row r="1420" spans="1:10" x14ac:dyDescent="0.25">
      <c r="A1420" s="4" t="s">
        <v>121</v>
      </c>
      <c r="B1420" s="5" t="s">
        <v>216</v>
      </c>
      <c r="C1420" s="5" t="s">
        <v>210</v>
      </c>
      <c r="D1420" s="5">
        <v>1</v>
      </c>
      <c r="E1420" s="11">
        <v>970</v>
      </c>
      <c r="F1420" s="11">
        <v>0</v>
      </c>
      <c r="G1420" s="27">
        <f t="shared" ref="G1420:G1431" si="404">+D1420*4.79591836734694</f>
        <v>4.7959183673469399</v>
      </c>
      <c r="H1420" s="13">
        <f t="shared" ref="H1420:H1431" si="405">+E1420*2365741/160402</f>
        <v>14306.360082791985</v>
      </c>
      <c r="I1420" s="13">
        <f t="shared" ref="I1420:I1431" si="406">+F1420*634259/43004</f>
        <v>0</v>
      </c>
      <c r="J1420" s="51">
        <f t="shared" si="385"/>
        <v>14306.360082791985</v>
      </c>
    </row>
    <row r="1421" spans="1:10" x14ac:dyDescent="0.25">
      <c r="A1421" s="4" t="s">
        <v>121</v>
      </c>
      <c r="B1421" s="5" t="s">
        <v>217</v>
      </c>
      <c r="C1421" s="5" t="s">
        <v>218</v>
      </c>
      <c r="D1421" s="5">
        <v>1</v>
      </c>
      <c r="E1421" s="11">
        <v>3313</v>
      </c>
      <c r="F1421" s="11">
        <v>1325</v>
      </c>
      <c r="G1421" s="27">
        <f t="shared" si="404"/>
        <v>4.7959183673469399</v>
      </c>
      <c r="H1421" s="13">
        <f t="shared" si="405"/>
        <v>48862.85665390706</v>
      </c>
      <c r="I1421" s="13">
        <f t="shared" si="406"/>
        <v>19542.209445632965</v>
      </c>
      <c r="J1421" s="51">
        <f t="shared" si="385"/>
        <v>68405.066099540025</v>
      </c>
    </row>
    <row r="1422" spans="1:10" x14ac:dyDescent="0.25">
      <c r="A1422" s="4" t="s">
        <v>121</v>
      </c>
      <c r="B1422" s="5" t="s">
        <v>261</v>
      </c>
      <c r="C1422" s="5" t="s">
        <v>210</v>
      </c>
      <c r="D1422" s="5">
        <v>1</v>
      </c>
      <c r="E1422" s="11">
        <v>4853</v>
      </c>
      <c r="F1422" s="11">
        <v>0</v>
      </c>
      <c r="G1422" s="27">
        <f t="shared" si="404"/>
        <v>4.7959183673469399</v>
      </c>
      <c r="H1422" s="13">
        <f t="shared" si="405"/>
        <v>71576.046888442783</v>
      </c>
      <c r="I1422" s="13">
        <f t="shared" si="406"/>
        <v>0</v>
      </c>
      <c r="J1422" s="51">
        <f t="shared" si="385"/>
        <v>71576.046888442783</v>
      </c>
    </row>
    <row r="1423" spans="1:10" x14ac:dyDescent="0.25">
      <c r="A1423" s="4" t="s">
        <v>121</v>
      </c>
      <c r="B1423" s="5" t="s">
        <v>226</v>
      </c>
      <c r="C1423" s="5" t="s">
        <v>210</v>
      </c>
      <c r="D1423" s="5">
        <v>17</v>
      </c>
      <c r="E1423" s="11">
        <v>16490</v>
      </c>
      <c r="F1423" s="11">
        <v>0</v>
      </c>
      <c r="G1423" s="27">
        <f t="shared" si="404"/>
        <v>81.530612244897981</v>
      </c>
      <c r="H1423" s="13">
        <f t="shared" si="405"/>
        <v>243208.12140746374</v>
      </c>
      <c r="I1423" s="13">
        <f t="shared" si="406"/>
        <v>0</v>
      </c>
      <c r="J1423" s="51">
        <f t="shared" si="385"/>
        <v>243208.12140746374</v>
      </c>
    </row>
    <row r="1424" spans="1:10" x14ac:dyDescent="0.25">
      <c r="A1424" s="4" t="s">
        <v>121</v>
      </c>
      <c r="B1424" s="5" t="s">
        <v>228</v>
      </c>
      <c r="C1424" s="5" t="s">
        <v>229</v>
      </c>
      <c r="D1424" s="5">
        <v>12</v>
      </c>
      <c r="E1424" s="11">
        <v>23292</v>
      </c>
      <c r="F1424" s="11">
        <v>0</v>
      </c>
      <c r="G1424" s="27">
        <f t="shared" si="404"/>
        <v>57.551020408163282</v>
      </c>
      <c r="H1424" s="13">
        <f t="shared" si="405"/>
        <v>343529.62788493908</v>
      </c>
      <c r="I1424" s="13">
        <f t="shared" si="406"/>
        <v>0</v>
      </c>
      <c r="J1424" s="51">
        <f t="shared" si="385"/>
        <v>343529.62788493908</v>
      </c>
    </row>
    <row r="1425" spans="1:10" x14ac:dyDescent="0.25">
      <c r="A1425" s="4" t="s">
        <v>121</v>
      </c>
      <c r="B1425" s="5" t="s">
        <v>230</v>
      </c>
      <c r="C1425" s="5" t="s">
        <v>229</v>
      </c>
      <c r="D1425" s="5">
        <v>2</v>
      </c>
      <c r="E1425" s="11">
        <v>3882</v>
      </c>
      <c r="F1425" s="11">
        <v>0</v>
      </c>
      <c r="G1425" s="27">
        <f t="shared" si="404"/>
        <v>9.5918367346938798</v>
      </c>
      <c r="H1425" s="13">
        <f t="shared" si="405"/>
        <v>57254.937980823182</v>
      </c>
      <c r="I1425" s="13">
        <f t="shared" si="406"/>
        <v>0</v>
      </c>
      <c r="J1425" s="51">
        <f t="shared" si="385"/>
        <v>57254.937980823182</v>
      </c>
    </row>
    <row r="1426" spans="1:10" x14ac:dyDescent="0.25">
      <c r="A1426" s="4" t="s">
        <v>121</v>
      </c>
      <c r="B1426" s="5" t="s">
        <v>240</v>
      </c>
      <c r="C1426" s="5" t="s">
        <v>238</v>
      </c>
      <c r="D1426" s="5">
        <v>3</v>
      </c>
      <c r="E1426" s="11">
        <v>15378</v>
      </c>
      <c r="F1426" s="11">
        <v>6150</v>
      </c>
      <c r="G1426" s="27">
        <f t="shared" si="404"/>
        <v>14.387755102040821</v>
      </c>
      <c r="H1426" s="13">
        <f t="shared" si="405"/>
        <v>226807.42819914964</v>
      </c>
      <c r="I1426" s="13">
        <f t="shared" si="406"/>
        <v>90705.349502371871</v>
      </c>
      <c r="J1426" s="51">
        <f t="shared" si="385"/>
        <v>317512.77770152153</v>
      </c>
    </row>
    <row r="1427" spans="1:10" x14ac:dyDescent="0.25">
      <c r="A1427" s="4" t="s">
        <v>121</v>
      </c>
      <c r="B1427" s="5" t="s">
        <v>241</v>
      </c>
      <c r="C1427" s="5" t="s">
        <v>236</v>
      </c>
      <c r="D1427" s="5">
        <v>3</v>
      </c>
      <c r="E1427" s="11">
        <v>20475</v>
      </c>
      <c r="F1427" s="11">
        <v>8190</v>
      </c>
      <c r="G1427" s="27">
        <f t="shared" si="404"/>
        <v>14.387755102040821</v>
      </c>
      <c r="H1427" s="13">
        <f t="shared" si="405"/>
        <v>301982.18834553187</v>
      </c>
      <c r="I1427" s="13">
        <f t="shared" si="406"/>
        <v>120792.9776299879</v>
      </c>
      <c r="J1427" s="51">
        <f t="shared" si="385"/>
        <v>422775.16597551981</v>
      </c>
    </row>
    <row r="1428" spans="1:10" x14ac:dyDescent="0.25">
      <c r="A1428" s="4" t="s">
        <v>121</v>
      </c>
      <c r="B1428" s="5" t="s">
        <v>248</v>
      </c>
      <c r="C1428" s="5" t="s">
        <v>246</v>
      </c>
      <c r="D1428" s="5">
        <v>1</v>
      </c>
      <c r="E1428" s="11">
        <v>2563</v>
      </c>
      <c r="F1428" s="11">
        <v>1025</v>
      </c>
      <c r="G1428" s="27">
        <f t="shared" si="404"/>
        <v>4.7959183673469399</v>
      </c>
      <c r="H1428" s="13">
        <f t="shared" si="405"/>
        <v>37801.238033191607</v>
      </c>
      <c r="I1428" s="13">
        <f t="shared" si="406"/>
        <v>15117.558250395312</v>
      </c>
      <c r="J1428" s="51">
        <f t="shared" si="385"/>
        <v>52918.796283586918</v>
      </c>
    </row>
    <row r="1429" spans="1:10" x14ac:dyDescent="0.25">
      <c r="A1429" s="4" t="s">
        <v>121</v>
      </c>
      <c r="B1429" s="5" t="s">
        <v>269</v>
      </c>
      <c r="C1429" s="5" t="s">
        <v>238</v>
      </c>
      <c r="D1429" s="5">
        <v>1</v>
      </c>
      <c r="E1429" s="11">
        <v>5126</v>
      </c>
      <c r="F1429" s="11">
        <v>2050</v>
      </c>
      <c r="G1429" s="27">
        <f t="shared" si="404"/>
        <v>4.7959183673469399</v>
      </c>
      <c r="H1429" s="13">
        <f t="shared" si="405"/>
        <v>75602.476066383213</v>
      </c>
      <c r="I1429" s="13">
        <f t="shared" si="406"/>
        <v>30235.116500790624</v>
      </c>
      <c r="J1429" s="51">
        <f t="shared" si="385"/>
        <v>105837.59256717384</v>
      </c>
    </row>
    <row r="1430" spans="1:10" x14ac:dyDescent="0.25">
      <c r="A1430" s="4" t="s">
        <v>121</v>
      </c>
      <c r="B1430" s="5" t="s">
        <v>249</v>
      </c>
      <c r="C1430" s="5" t="s">
        <v>250</v>
      </c>
      <c r="D1430" s="5">
        <v>4</v>
      </c>
      <c r="E1430" s="11">
        <v>60664</v>
      </c>
      <c r="F1430" s="11">
        <v>24264</v>
      </c>
      <c r="G1430" s="27">
        <f t="shared" si="404"/>
        <v>19.18367346938776</v>
      </c>
      <c r="H1430" s="13">
        <f t="shared" si="405"/>
        <v>894722.70934277633</v>
      </c>
      <c r="I1430" s="13">
        <f t="shared" si="406"/>
        <v>357865.78867082129</v>
      </c>
      <c r="J1430" s="51">
        <f t="shared" si="385"/>
        <v>1252588.4980135977</v>
      </c>
    </row>
    <row r="1431" spans="1:10" x14ac:dyDescent="0.25">
      <c r="A1431" s="15" t="s">
        <v>121</v>
      </c>
      <c r="B1431" s="16" t="s">
        <v>252</v>
      </c>
      <c r="C1431" s="16" t="s">
        <v>212</v>
      </c>
      <c r="D1431" s="16">
        <v>1</v>
      </c>
      <c r="E1431" s="18">
        <v>1456</v>
      </c>
      <c r="F1431" s="18">
        <v>0</v>
      </c>
      <c r="G1431" s="27">
        <f t="shared" si="404"/>
        <v>4.7959183673469399</v>
      </c>
      <c r="H1431" s="13">
        <f t="shared" si="405"/>
        <v>21474.288949015598</v>
      </c>
      <c r="I1431" s="13">
        <f t="shared" si="406"/>
        <v>0</v>
      </c>
      <c r="J1431" s="51">
        <f t="shared" si="385"/>
        <v>21474.288949015598</v>
      </c>
    </row>
    <row r="1432" spans="1:10" s="3" customFormat="1" x14ac:dyDescent="0.25">
      <c r="A1432" s="4"/>
      <c r="B1432" s="20" t="s">
        <v>352</v>
      </c>
      <c r="C1432" s="21"/>
      <c r="D1432" s="21"/>
      <c r="E1432" s="29"/>
      <c r="F1432" s="29"/>
      <c r="G1432" s="48">
        <f>SUM(G1419:G1431)</f>
        <v>235.00000000000003</v>
      </c>
      <c r="H1432" s="48">
        <f t="shared" ref="H1432:J1432" si="407">SUM(H1419:H1431)</f>
        <v>2365741</v>
      </c>
      <c r="I1432" s="48">
        <f t="shared" si="407"/>
        <v>634259</v>
      </c>
      <c r="J1432" s="48">
        <f t="shared" si="407"/>
        <v>3000000</v>
      </c>
    </row>
    <row r="1433" spans="1:10" x14ac:dyDescent="0.25">
      <c r="A1433" s="23" t="s">
        <v>122</v>
      </c>
      <c r="B1433" s="24" t="s">
        <v>214</v>
      </c>
      <c r="C1433" s="24" t="s">
        <v>210</v>
      </c>
      <c r="D1433" s="24">
        <v>2</v>
      </c>
      <c r="E1433" s="30">
        <v>1940</v>
      </c>
      <c r="F1433" s="30">
        <v>0</v>
      </c>
      <c r="G1433" s="27">
        <f>+D1433*4.8</f>
        <v>9.6</v>
      </c>
      <c r="H1433" s="13">
        <f>+E1433*1903759/119992</f>
        <v>30779.48913260884</v>
      </c>
      <c r="I1433" s="13">
        <f>+F1433*96241/6066</f>
        <v>0</v>
      </c>
      <c r="J1433" s="51">
        <f t="shared" si="385"/>
        <v>30779.48913260884</v>
      </c>
    </row>
    <row r="1434" spans="1:10" x14ac:dyDescent="0.25">
      <c r="A1434" s="4" t="s">
        <v>122</v>
      </c>
      <c r="B1434" s="5" t="s">
        <v>226</v>
      </c>
      <c r="C1434" s="5" t="s">
        <v>210</v>
      </c>
      <c r="D1434" s="5">
        <v>2</v>
      </c>
      <c r="E1434" s="11">
        <v>1940</v>
      </c>
      <c r="F1434" s="11">
        <v>0</v>
      </c>
      <c r="G1434" s="27">
        <f t="shared" ref="G1434:G1439" si="408">+D1434*4.8</f>
        <v>9.6</v>
      </c>
      <c r="H1434" s="13">
        <f t="shared" ref="H1434:H1439" si="409">+E1434*1903759/119992</f>
        <v>30779.48913260884</v>
      </c>
      <c r="I1434" s="13">
        <f t="shared" ref="I1434:I1439" si="410">+F1434*96241/6066</f>
        <v>0</v>
      </c>
      <c r="J1434" s="51">
        <f t="shared" si="385"/>
        <v>30779.48913260884</v>
      </c>
    </row>
    <row r="1435" spans="1:10" x14ac:dyDescent="0.25">
      <c r="A1435" s="4" t="s">
        <v>122</v>
      </c>
      <c r="B1435" s="5" t="s">
        <v>233</v>
      </c>
      <c r="C1435" s="5" t="s">
        <v>234</v>
      </c>
      <c r="D1435" s="5">
        <v>1</v>
      </c>
      <c r="E1435" s="11">
        <v>97066</v>
      </c>
      <c r="F1435" s="11">
        <v>0</v>
      </c>
      <c r="G1435" s="27">
        <f t="shared" si="408"/>
        <v>4.8</v>
      </c>
      <c r="H1435" s="13">
        <f t="shared" si="409"/>
        <v>1540021.5938895927</v>
      </c>
      <c r="I1435" s="13">
        <f t="shared" si="410"/>
        <v>0</v>
      </c>
      <c r="J1435" s="51">
        <f t="shared" si="385"/>
        <v>1540021.5938895927</v>
      </c>
    </row>
    <row r="1436" spans="1:10" x14ac:dyDescent="0.25">
      <c r="A1436" s="4" t="s">
        <v>122</v>
      </c>
      <c r="B1436" s="5" t="s">
        <v>249</v>
      </c>
      <c r="C1436" s="5" t="s">
        <v>250</v>
      </c>
      <c r="D1436" s="5">
        <v>1</v>
      </c>
      <c r="E1436" s="11">
        <v>15166</v>
      </c>
      <c r="F1436" s="11">
        <v>6066</v>
      </c>
      <c r="G1436" s="27">
        <f t="shared" si="408"/>
        <v>4.8</v>
      </c>
      <c r="H1436" s="13">
        <f t="shared" si="409"/>
        <v>240619.44957997199</v>
      </c>
      <c r="I1436" s="13">
        <f t="shared" si="410"/>
        <v>96241</v>
      </c>
      <c r="J1436" s="51">
        <f t="shared" ref="J1436:J1502" si="411">SUM(H1436:I1436)</f>
        <v>336860.44957997196</v>
      </c>
    </row>
    <row r="1437" spans="1:10" x14ac:dyDescent="0.25">
      <c r="A1437" s="4" t="s">
        <v>122</v>
      </c>
      <c r="B1437" s="5" t="s">
        <v>253</v>
      </c>
      <c r="C1437" s="5" t="s">
        <v>210</v>
      </c>
      <c r="D1437" s="5">
        <v>2</v>
      </c>
      <c r="E1437" s="11">
        <v>1940</v>
      </c>
      <c r="F1437" s="11">
        <v>0</v>
      </c>
      <c r="G1437" s="27">
        <f t="shared" si="408"/>
        <v>9.6</v>
      </c>
      <c r="H1437" s="13">
        <f t="shared" si="409"/>
        <v>30779.48913260884</v>
      </c>
      <c r="I1437" s="13">
        <f t="shared" si="410"/>
        <v>0</v>
      </c>
      <c r="J1437" s="51">
        <f t="shared" si="411"/>
        <v>30779.48913260884</v>
      </c>
    </row>
    <row r="1438" spans="1:10" x14ac:dyDescent="0.25">
      <c r="A1438" s="4" t="s">
        <v>122</v>
      </c>
      <c r="B1438" s="5" t="s">
        <v>255</v>
      </c>
      <c r="C1438" s="5" t="s">
        <v>210</v>
      </c>
      <c r="D1438" s="5">
        <v>1</v>
      </c>
      <c r="E1438" s="11">
        <v>970</v>
      </c>
      <c r="F1438" s="11">
        <v>0</v>
      </c>
      <c r="G1438" s="27">
        <f t="shared" si="408"/>
        <v>4.8</v>
      </c>
      <c r="H1438" s="13">
        <f t="shared" si="409"/>
        <v>15389.74456630442</v>
      </c>
      <c r="I1438" s="13">
        <f t="shared" si="410"/>
        <v>0</v>
      </c>
      <c r="J1438" s="51">
        <f t="shared" si="411"/>
        <v>15389.74456630442</v>
      </c>
    </row>
    <row r="1439" spans="1:10" x14ac:dyDescent="0.25">
      <c r="A1439" s="15" t="s">
        <v>122</v>
      </c>
      <c r="B1439" s="16" t="s">
        <v>257</v>
      </c>
      <c r="C1439" s="16" t="s">
        <v>210</v>
      </c>
      <c r="D1439" s="16">
        <v>1</v>
      </c>
      <c r="E1439" s="18">
        <v>970</v>
      </c>
      <c r="F1439" s="18">
        <v>0</v>
      </c>
      <c r="G1439" s="27">
        <f t="shared" si="408"/>
        <v>4.8</v>
      </c>
      <c r="H1439" s="13">
        <f t="shared" si="409"/>
        <v>15389.74456630442</v>
      </c>
      <c r="I1439" s="13">
        <f t="shared" si="410"/>
        <v>0</v>
      </c>
      <c r="J1439" s="51">
        <f t="shared" si="411"/>
        <v>15389.74456630442</v>
      </c>
    </row>
    <row r="1440" spans="1:10" s="3" customFormat="1" x14ac:dyDescent="0.25">
      <c r="A1440" s="4"/>
      <c r="B1440" s="20" t="s">
        <v>353</v>
      </c>
      <c r="C1440" s="21"/>
      <c r="D1440" s="21"/>
      <c r="E1440" s="29"/>
      <c r="F1440" s="29"/>
      <c r="G1440" s="47">
        <f>SUM(G1433:G1439)</f>
        <v>47.999999999999993</v>
      </c>
      <c r="H1440" s="47">
        <f t="shared" ref="H1440:J1440" si="412">SUM(H1433:H1439)</f>
        <v>1903759</v>
      </c>
      <c r="I1440" s="47">
        <f t="shared" si="412"/>
        <v>96241</v>
      </c>
      <c r="J1440" s="47">
        <f t="shared" si="412"/>
        <v>2000000</v>
      </c>
    </row>
    <row r="1441" spans="1:10" x14ac:dyDescent="0.25">
      <c r="A1441" s="23" t="s">
        <v>123</v>
      </c>
      <c r="B1441" s="24" t="s">
        <v>211</v>
      </c>
      <c r="C1441" s="24" t="s">
        <v>212</v>
      </c>
      <c r="D1441" s="24">
        <v>1</v>
      </c>
      <c r="E1441" s="30">
        <v>728</v>
      </c>
      <c r="F1441" s="30">
        <v>0</v>
      </c>
      <c r="G1441" s="27">
        <f>+D1441*4.8</f>
        <v>4.8</v>
      </c>
      <c r="H1441" s="13">
        <f>+E1441*1381754/174989</f>
        <v>5748.4579716439321</v>
      </c>
      <c r="I1441" s="13">
        <f>+F1441*118246/14975</f>
        <v>0</v>
      </c>
      <c r="J1441" s="51">
        <f t="shared" si="411"/>
        <v>5748.4579716439321</v>
      </c>
    </row>
    <row r="1442" spans="1:10" x14ac:dyDescent="0.25">
      <c r="A1442" s="4" t="s">
        <v>123</v>
      </c>
      <c r="B1442" s="5" t="s">
        <v>213</v>
      </c>
      <c r="C1442" s="5" t="s">
        <v>212</v>
      </c>
      <c r="D1442" s="5">
        <v>3</v>
      </c>
      <c r="E1442" s="11">
        <v>2184</v>
      </c>
      <c r="F1442" s="11">
        <v>0</v>
      </c>
      <c r="G1442" s="27">
        <f t="shared" ref="G1442:G1452" si="413">+D1442*4.8</f>
        <v>14.399999999999999</v>
      </c>
      <c r="H1442" s="13">
        <f t="shared" ref="H1442:H1452" si="414">+E1442*1381754/174989</f>
        <v>17245.373914931795</v>
      </c>
      <c r="I1442" s="13">
        <f t="shared" ref="I1442:I1452" si="415">+F1442*118246/14975</f>
        <v>0</v>
      </c>
      <c r="J1442" s="51">
        <f t="shared" si="411"/>
        <v>17245.373914931795</v>
      </c>
    </row>
    <row r="1443" spans="1:10" x14ac:dyDescent="0.25">
      <c r="A1443" s="4" t="s">
        <v>123</v>
      </c>
      <c r="B1443" s="5" t="s">
        <v>214</v>
      </c>
      <c r="C1443" s="5" t="s">
        <v>210</v>
      </c>
      <c r="D1443" s="5">
        <v>1</v>
      </c>
      <c r="E1443" s="11">
        <v>485</v>
      </c>
      <c r="F1443" s="11">
        <v>0</v>
      </c>
      <c r="G1443" s="27">
        <f t="shared" si="413"/>
        <v>4.8</v>
      </c>
      <c r="H1443" s="13">
        <f t="shared" si="414"/>
        <v>3829.6732366034435</v>
      </c>
      <c r="I1443" s="13">
        <f t="shared" si="415"/>
        <v>0</v>
      </c>
      <c r="J1443" s="51">
        <f t="shared" si="411"/>
        <v>3829.6732366034435</v>
      </c>
    </row>
    <row r="1444" spans="1:10" x14ac:dyDescent="0.25">
      <c r="A1444" s="4" t="s">
        <v>123</v>
      </c>
      <c r="B1444" s="5" t="s">
        <v>216</v>
      </c>
      <c r="C1444" s="5" t="s">
        <v>210</v>
      </c>
      <c r="D1444" s="5">
        <v>1</v>
      </c>
      <c r="E1444" s="11">
        <v>485</v>
      </c>
      <c r="F1444" s="11">
        <v>0</v>
      </c>
      <c r="G1444" s="27">
        <f t="shared" si="413"/>
        <v>4.8</v>
      </c>
      <c r="H1444" s="13">
        <f t="shared" si="414"/>
        <v>3829.6732366034435</v>
      </c>
      <c r="I1444" s="13">
        <f t="shared" si="415"/>
        <v>0</v>
      </c>
      <c r="J1444" s="51">
        <f t="shared" si="411"/>
        <v>3829.6732366034435</v>
      </c>
    </row>
    <row r="1445" spans="1:10" x14ac:dyDescent="0.25">
      <c r="A1445" s="4" t="s">
        <v>123</v>
      </c>
      <c r="B1445" s="5" t="s">
        <v>217</v>
      </c>
      <c r="C1445" s="5" t="s">
        <v>218</v>
      </c>
      <c r="D1445" s="5">
        <v>1</v>
      </c>
      <c r="E1445" s="11">
        <v>1656</v>
      </c>
      <c r="F1445" s="11">
        <v>1325</v>
      </c>
      <c r="G1445" s="27">
        <f t="shared" si="413"/>
        <v>4.8</v>
      </c>
      <c r="H1445" s="13">
        <f t="shared" si="414"/>
        <v>13076.162638794438</v>
      </c>
      <c r="I1445" s="13">
        <f t="shared" si="415"/>
        <v>10462.50083472454</v>
      </c>
      <c r="J1445" s="51">
        <f t="shared" si="411"/>
        <v>23538.66347351898</v>
      </c>
    </row>
    <row r="1446" spans="1:10" x14ac:dyDescent="0.25">
      <c r="A1446" s="4" t="s">
        <v>123</v>
      </c>
      <c r="B1446" s="5" t="s">
        <v>227</v>
      </c>
      <c r="C1446" s="5" t="s">
        <v>210</v>
      </c>
      <c r="D1446" s="5">
        <v>4</v>
      </c>
      <c r="E1446" s="11">
        <v>1940</v>
      </c>
      <c r="F1446" s="11">
        <v>0</v>
      </c>
      <c r="G1446" s="27">
        <f t="shared" si="413"/>
        <v>19.2</v>
      </c>
      <c r="H1446" s="13">
        <f t="shared" si="414"/>
        <v>15318.692946413774</v>
      </c>
      <c r="I1446" s="13">
        <f t="shared" si="415"/>
        <v>0</v>
      </c>
      <c r="J1446" s="51">
        <f t="shared" si="411"/>
        <v>15318.692946413774</v>
      </c>
    </row>
    <row r="1447" spans="1:10" x14ac:dyDescent="0.25">
      <c r="A1447" s="4" t="s">
        <v>123</v>
      </c>
      <c r="B1447" s="5" t="s">
        <v>228</v>
      </c>
      <c r="C1447" s="5" t="s">
        <v>229</v>
      </c>
      <c r="D1447" s="5">
        <v>1</v>
      </c>
      <c r="E1447" s="11">
        <v>970</v>
      </c>
      <c r="F1447" s="11">
        <v>0</v>
      </c>
      <c r="G1447" s="27">
        <f t="shared" si="413"/>
        <v>4.8</v>
      </c>
      <c r="H1447" s="13">
        <f t="shared" si="414"/>
        <v>7659.3464732068869</v>
      </c>
      <c r="I1447" s="13">
        <f t="shared" si="415"/>
        <v>0</v>
      </c>
      <c r="J1447" s="51">
        <f t="shared" si="411"/>
        <v>7659.3464732068869</v>
      </c>
    </row>
    <row r="1448" spans="1:10" x14ac:dyDescent="0.25">
      <c r="A1448" s="4" t="s">
        <v>123</v>
      </c>
      <c r="B1448" s="5" t="s">
        <v>230</v>
      </c>
      <c r="C1448" s="5" t="s">
        <v>229</v>
      </c>
      <c r="D1448" s="5">
        <v>1</v>
      </c>
      <c r="E1448" s="11">
        <v>970</v>
      </c>
      <c r="F1448" s="11">
        <v>0</v>
      </c>
      <c r="G1448" s="27">
        <f t="shared" si="413"/>
        <v>4.8</v>
      </c>
      <c r="H1448" s="13">
        <f t="shared" si="414"/>
        <v>7659.3464732068869</v>
      </c>
      <c r="I1448" s="13">
        <f t="shared" si="415"/>
        <v>0</v>
      </c>
      <c r="J1448" s="51">
        <f t="shared" si="411"/>
        <v>7659.3464732068869</v>
      </c>
    </row>
    <row r="1449" spans="1:10" x14ac:dyDescent="0.25">
      <c r="A1449" s="4" t="s">
        <v>123</v>
      </c>
      <c r="B1449" s="5" t="s">
        <v>233</v>
      </c>
      <c r="C1449" s="5" t="s">
        <v>234</v>
      </c>
      <c r="D1449" s="5">
        <v>3</v>
      </c>
      <c r="E1449" s="11">
        <v>145599</v>
      </c>
      <c r="F1449" s="11">
        <v>0</v>
      </c>
      <c r="G1449" s="27">
        <f t="shared" si="413"/>
        <v>14.399999999999999</v>
      </c>
      <c r="H1449" s="13">
        <f t="shared" si="414"/>
        <v>1149683.6980953088</v>
      </c>
      <c r="I1449" s="13">
        <f t="shared" si="415"/>
        <v>0</v>
      </c>
      <c r="J1449" s="51">
        <f t="shared" si="411"/>
        <v>1149683.6980953088</v>
      </c>
    </row>
    <row r="1450" spans="1:10" x14ac:dyDescent="0.25">
      <c r="A1450" s="4" t="s">
        <v>123</v>
      </c>
      <c r="B1450" s="5" t="s">
        <v>239</v>
      </c>
      <c r="C1450" s="5" t="s">
        <v>236</v>
      </c>
      <c r="D1450" s="5">
        <v>5</v>
      </c>
      <c r="E1450" s="11">
        <v>17060</v>
      </c>
      <c r="F1450" s="11">
        <v>13650</v>
      </c>
      <c r="G1450" s="27">
        <f t="shared" si="413"/>
        <v>24</v>
      </c>
      <c r="H1450" s="13">
        <f t="shared" si="414"/>
        <v>134709.74312671082</v>
      </c>
      <c r="I1450" s="13">
        <f t="shared" si="415"/>
        <v>107783.49916527545</v>
      </c>
      <c r="J1450" s="51">
        <f t="shared" si="411"/>
        <v>242493.24229198627</v>
      </c>
    </row>
    <row r="1451" spans="1:10" x14ac:dyDescent="0.25">
      <c r="A1451" s="4" t="s">
        <v>123</v>
      </c>
      <c r="B1451" s="5" t="s">
        <v>252</v>
      </c>
      <c r="C1451" s="5" t="s">
        <v>212</v>
      </c>
      <c r="D1451" s="5">
        <v>3</v>
      </c>
      <c r="E1451" s="11">
        <v>2184</v>
      </c>
      <c r="F1451" s="11">
        <v>0</v>
      </c>
      <c r="G1451" s="27">
        <f t="shared" si="413"/>
        <v>14.399999999999999</v>
      </c>
      <c r="H1451" s="13">
        <f t="shared" si="414"/>
        <v>17245.373914931795</v>
      </c>
      <c r="I1451" s="13">
        <f t="shared" si="415"/>
        <v>0</v>
      </c>
      <c r="J1451" s="51">
        <f t="shared" si="411"/>
        <v>17245.373914931795</v>
      </c>
    </row>
    <row r="1452" spans="1:10" x14ac:dyDescent="0.25">
      <c r="A1452" s="15" t="s">
        <v>123</v>
      </c>
      <c r="B1452" s="16" t="s">
        <v>256</v>
      </c>
      <c r="C1452" s="16" t="s">
        <v>212</v>
      </c>
      <c r="D1452" s="16">
        <v>1</v>
      </c>
      <c r="E1452" s="18">
        <v>728</v>
      </c>
      <c r="F1452" s="18">
        <v>0</v>
      </c>
      <c r="G1452" s="27">
        <f t="shared" si="413"/>
        <v>4.8</v>
      </c>
      <c r="H1452" s="13">
        <f t="shared" si="414"/>
        <v>5748.4579716439321</v>
      </c>
      <c r="I1452" s="13">
        <f t="shared" si="415"/>
        <v>0</v>
      </c>
      <c r="J1452" s="51">
        <f t="shared" si="411"/>
        <v>5748.4579716439321</v>
      </c>
    </row>
    <row r="1453" spans="1:10" s="3" customFormat="1" x14ac:dyDescent="0.25">
      <c r="A1453" s="4"/>
      <c r="B1453" s="20" t="s">
        <v>354</v>
      </c>
      <c r="C1453" s="21"/>
      <c r="D1453" s="21"/>
      <c r="E1453" s="29"/>
      <c r="F1453" s="29"/>
      <c r="G1453" s="47">
        <f>SUM(G1441:G1452)</f>
        <v>119.99999999999999</v>
      </c>
      <c r="H1453" s="47">
        <f t="shared" ref="H1453:J1453" si="416">SUM(H1441:H1452)</f>
        <v>1381754.0000000002</v>
      </c>
      <c r="I1453" s="47">
        <f t="shared" si="416"/>
        <v>118246</v>
      </c>
      <c r="J1453" s="47">
        <f t="shared" si="416"/>
        <v>1500000</v>
      </c>
    </row>
    <row r="1454" spans="1:10" x14ac:dyDescent="0.25">
      <c r="A1454" s="23" t="s">
        <v>124</v>
      </c>
      <c r="B1454" s="24" t="s">
        <v>217</v>
      </c>
      <c r="C1454" s="24" t="s">
        <v>218</v>
      </c>
      <c r="D1454" s="24">
        <v>1</v>
      </c>
      <c r="E1454" s="30">
        <v>1656</v>
      </c>
      <c r="F1454" s="30">
        <v>1325</v>
      </c>
      <c r="G1454" s="27">
        <f>+D1454*4.75</f>
        <v>4.75</v>
      </c>
      <c r="H1454" s="13">
        <f>+E1454*842280/101433</f>
        <v>13751.103487030849</v>
      </c>
      <c r="I1454" s="13">
        <f>+F1454*657720/79207</f>
        <v>11002.550279647001</v>
      </c>
      <c r="J1454" s="51">
        <f t="shared" si="411"/>
        <v>24753.653766677849</v>
      </c>
    </row>
    <row r="1455" spans="1:10" x14ac:dyDescent="0.25">
      <c r="A1455" s="4" t="s">
        <v>124</v>
      </c>
      <c r="B1455" s="5" t="s">
        <v>221</v>
      </c>
      <c r="C1455" s="5" t="s">
        <v>222</v>
      </c>
      <c r="D1455" s="5">
        <v>2</v>
      </c>
      <c r="E1455" s="11">
        <v>72800</v>
      </c>
      <c r="F1455" s="11">
        <v>58240</v>
      </c>
      <c r="G1455" s="27">
        <f t="shared" ref="G1455:G1460" si="417">+D1455*4.75</f>
        <v>9.5</v>
      </c>
      <c r="H1455" s="13">
        <f t="shared" ref="H1455:H1460" si="418">+E1455*842280/101433</f>
        <v>604517.109816332</v>
      </c>
      <c r="I1455" s="13">
        <f t="shared" ref="I1455:I1460" si="419">+F1455*657720/79207</f>
        <v>483613.9836125595</v>
      </c>
      <c r="J1455" s="51">
        <f t="shared" si="411"/>
        <v>1088131.0934288916</v>
      </c>
    </row>
    <row r="1456" spans="1:10" x14ac:dyDescent="0.25">
      <c r="A1456" s="4" t="s">
        <v>124</v>
      </c>
      <c r="B1456" s="5" t="s">
        <v>226</v>
      </c>
      <c r="C1456" s="5" t="s">
        <v>210</v>
      </c>
      <c r="D1456" s="5">
        <v>1</v>
      </c>
      <c r="E1456" s="11">
        <v>485</v>
      </c>
      <c r="F1456" s="11">
        <v>0</v>
      </c>
      <c r="G1456" s="27">
        <f t="shared" si="417"/>
        <v>4.75</v>
      </c>
      <c r="H1456" s="13">
        <f t="shared" si="418"/>
        <v>4027.3461299577061</v>
      </c>
      <c r="I1456" s="13">
        <f t="shared" si="419"/>
        <v>0</v>
      </c>
      <c r="J1456" s="51">
        <f t="shared" si="411"/>
        <v>4027.3461299577061</v>
      </c>
    </row>
    <row r="1457" spans="1:10" x14ac:dyDescent="0.25">
      <c r="A1457" s="4" t="s">
        <v>124</v>
      </c>
      <c r="B1457" s="5" t="s">
        <v>228</v>
      </c>
      <c r="C1457" s="5" t="s">
        <v>229</v>
      </c>
      <c r="D1457" s="5">
        <v>2</v>
      </c>
      <c r="E1457" s="11">
        <v>1940</v>
      </c>
      <c r="F1457" s="11">
        <v>0</v>
      </c>
      <c r="G1457" s="27">
        <f t="shared" si="417"/>
        <v>9.5</v>
      </c>
      <c r="H1457" s="13">
        <f t="shared" si="418"/>
        <v>16109.384519830825</v>
      </c>
      <c r="I1457" s="13">
        <f t="shared" si="419"/>
        <v>0</v>
      </c>
      <c r="J1457" s="51">
        <f t="shared" si="411"/>
        <v>16109.384519830825</v>
      </c>
    </row>
    <row r="1458" spans="1:10" x14ac:dyDescent="0.25">
      <c r="A1458" s="4" t="s">
        <v>124</v>
      </c>
      <c r="B1458" s="5" t="s">
        <v>241</v>
      </c>
      <c r="C1458" s="5" t="s">
        <v>236</v>
      </c>
      <c r="D1458" s="5">
        <v>2</v>
      </c>
      <c r="E1458" s="11">
        <v>6824</v>
      </c>
      <c r="F1458" s="11">
        <v>5460</v>
      </c>
      <c r="G1458" s="27">
        <f t="shared" si="417"/>
        <v>9.5</v>
      </c>
      <c r="H1458" s="13">
        <f t="shared" si="418"/>
        <v>56665.1752388276</v>
      </c>
      <c r="I1458" s="13">
        <f t="shared" si="419"/>
        <v>45338.810963677453</v>
      </c>
      <c r="J1458" s="51">
        <f t="shared" si="411"/>
        <v>102003.98620250505</v>
      </c>
    </row>
    <row r="1459" spans="1:10" x14ac:dyDescent="0.25">
      <c r="A1459" s="4" t="s">
        <v>124</v>
      </c>
      <c r="B1459" s="5" t="s">
        <v>248</v>
      </c>
      <c r="C1459" s="5" t="s">
        <v>246</v>
      </c>
      <c r="D1459" s="5">
        <v>2</v>
      </c>
      <c r="E1459" s="11">
        <v>2562</v>
      </c>
      <c r="F1459" s="11">
        <v>2050</v>
      </c>
      <c r="G1459" s="27">
        <f t="shared" si="417"/>
        <v>9.5</v>
      </c>
      <c r="H1459" s="13">
        <f t="shared" si="418"/>
        <v>21274.352133920915</v>
      </c>
      <c r="I1459" s="13">
        <f t="shared" si="419"/>
        <v>17022.813640208566</v>
      </c>
      <c r="J1459" s="51">
        <f t="shared" si="411"/>
        <v>38297.165774129477</v>
      </c>
    </row>
    <row r="1460" spans="1:10" x14ac:dyDescent="0.25">
      <c r="A1460" s="15" t="s">
        <v>124</v>
      </c>
      <c r="B1460" s="16" t="s">
        <v>249</v>
      </c>
      <c r="C1460" s="16" t="s">
        <v>250</v>
      </c>
      <c r="D1460" s="16">
        <v>2</v>
      </c>
      <c r="E1460" s="18">
        <v>15166</v>
      </c>
      <c r="F1460" s="18">
        <v>12132</v>
      </c>
      <c r="G1460" s="27">
        <f t="shared" si="417"/>
        <v>9.5</v>
      </c>
      <c r="H1460" s="13">
        <f t="shared" si="418"/>
        <v>125935.52867410015</v>
      </c>
      <c r="I1460" s="13">
        <f t="shared" si="419"/>
        <v>100741.84150390749</v>
      </c>
      <c r="J1460" s="51">
        <f t="shared" si="411"/>
        <v>226677.37017800764</v>
      </c>
    </row>
    <row r="1461" spans="1:10" s="3" customFormat="1" x14ac:dyDescent="0.25">
      <c r="A1461" s="4"/>
      <c r="B1461" s="20" t="s">
        <v>355</v>
      </c>
      <c r="C1461" s="21"/>
      <c r="D1461" s="21"/>
      <c r="E1461" s="29"/>
      <c r="F1461" s="29"/>
      <c r="G1461" s="47">
        <f>SUM(G1454:G1460)</f>
        <v>57</v>
      </c>
      <c r="H1461" s="47">
        <f t="shared" ref="H1461:J1461" si="420">SUM(H1454:H1460)</f>
        <v>842280</v>
      </c>
      <c r="I1461" s="47">
        <f t="shared" si="420"/>
        <v>657720</v>
      </c>
      <c r="J1461" s="47">
        <f t="shared" si="420"/>
        <v>1500000.0000000005</v>
      </c>
    </row>
    <row r="1462" spans="1:10" x14ac:dyDescent="0.25">
      <c r="A1462" s="23" t="s">
        <v>125</v>
      </c>
      <c r="B1462" s="24" t="s">
        <v>209</v>
      </c>
      <c r="C1462" s="24" t="s">
        <v>210</v>
      </c>
      <c r="D1462" s="24">
        <v>1</v>
      </c>
      <c r="E1462" s="30">
        <v>970</v>
      </c>
      <c r="F1462" s="30">
        <v>0</v>
      </c>
      <c r="G1462" s="27">
        <f>+D1462*4.79047619047619</f>
        <v>4.7904761904761903</v>
      </c>
      <c r="H1462" s="13">
        <f>+E1462*10774931/1696846</f>
        <v>6159.476505233828</v>
      </c>
      <c r="I1462" s="13">
        <f>+F1462*1225069/192925</f>
        <v>0</v>
      </c>
      <c r="J1462" s="51">
        <f t="shared" si="411"/>
        <v>6159.476505233828</v>
      </c>
    </row>
    <row r="1463" spans="1:10" x14ac:dyDescent="0.25">
      <c r="A1463" s="4" t="s">
        <v>125</v>
      </c>
      <c r="B1463" s="5" t="s">
        <v>213</v>
      </c>
      <c r="C1463" s="5" t="s">
        <v>212</v>
      </c>
      <c r="D1463" s="5">
        <v>1</v>
      </c>
      <c r="E1463" s="11">
        <v>1456</v>
      </c>
      <c r="F1463" s="11">
        <v>0</v>
      </c>
      <c r="G1463" s="27">
        <f t="shared" ref="G1463:G1479" si="421">+D1463*4.79047619047619</f>
        <v>4.7904761904761903</v>
      </c>
      <c r="H1463" s="13">
        <f t="shared" ref="H1463:H1479" si="422">+E1463*10774931/1696846</f>
        <v>9245.5647336293332</v>
      </c>
      <c r="I1463" s="13">
        <f t="shared" ref="I1463:I1479" si="423">+F1463*1225069/192925</f>
        <v>0</v>
      </c>
      <c r="J1463" s="51">
        <f t="shared" si="411"/>
        <v>9245.5647336293332</v>
      </c>
    </row>
    <row r="1464" spans="1:10" x14ac:dyDescent="0.25">
      <c r="A1464" s="4" t="s">
        <v>125</v>
      </c>
      <c r="B1464" s="5" t="s">
        <v>214</v>
      </c>
      <c r="C1464" s="5" t="s">
        <v>210</v>
      </c>
      <c r="D1464" s="5">
        <v>19</v>
      </c>
      <c r="E1464" s="11">
        <v>18430</v>
      </c>
      <c r="F1464" s="11">
        <v>0</v>
      </c>
      <c r="G1464" s="27">
        <f t="shared" si="421"/>
        <v>91.019047619047612</v>
      </c>
      <c r="H1464" s="13">
        <f t="shared" si="422"/>
        <v>117030.05359944273</v>
      </c>
      <c r="I1464" s="13">
        <f t="shared" si="423"/>
        <v>0</v>
      </c>
      <c r="J1464" s="51">
        <f t="shared" si="411"/>
        <v>117030.05359944273</v>
      </c>
    </row>
    <row r="1465" spans="1:10" x14ac:dyDescent="0.25">
      <c r="A1465" s="4" t="s">
        <v>125</v>
      </c>
      <c r="B1465" s="5" t="s">
        <v>216</v>
      </c>
      <c r="C1465" s="5" t="s">
        <v>210</v>
      </c>
      <c r="D1465" s="5">
        <v>10</v>
      </c>
      <c r="E1465" s="11">
        <v>9700</v>
      </c>
      <c r="F1465" s="11">
        <v>0</v>
      </c>
      <c r="G1465" s="27">
        <f t="shared" si="421"/>
        <v>47.904761904761905</v>
      </c>
      <c r="H1465" s="13">
        <f t="shared" si="422"/>
        <v>61594.765052338276</v>
      </c>
      <c r="I1465" s="13">
        <f t="shared" si="423"/>
        <v>0</v>
      </c>
      <c r="J1465" s="51">
        <f t="shared" si="411"/>
        <v>61594.765052338276</v>
      </c>
    </row>
    <row r="1466" spans="1:10" x14ac:dyDescent="0.25">
      <c r="A1466" s="4" t="s">
        <v>125</v>
      </c>
      <c r="B1466" s="5" t="s">
        <v>217</v>
      </c>
      <c r="C1466" s="5" t="s">
        <v>218</v>
      </c>
      <c r="D1466" s="5">
        <v>7</v>
      </c>
      <c r="E1466" s="11">
        <v>23191</v>
      </c>
      <c r="F1466" s="11">
        <v>9275</v>
      </c>
      <c r="G1466" s="27">
        <f t="shared" si="421"/>
        <v>33.533333333333331</v>
      </c>
      <c r="H1466" s="13">
        <f t="shared" si="422"/>
        <v>147262.28828131722</v>
      </c>
      <c r="I1466" s="13">
        <f t="shared" si="423"/>
        <v>58896.021640533887</v>
      </c>
      <c r="J1466" s="51">
        <f t="shared" si="411"/>
        <v>206158.30992185109</v>
      </c>
    </row>
    <row r="1467" spans="1:10" x14ac:dyDescent="0.25">
      <c r="A1467" s="4" t="s">
        <v>125</v>
      </c>
      <c r="B1467" s="5" t="s">
        <v>219</v>
      </c>
      <c r="C1467" s="5" t="s">
        <v>220</v>
      </c>
      <c r="D1467" s="5">
        <v>4</v>
      </c>
      <c r="E1467" s="11">
        <v>13588</v>
      </c>
      <c r="F1467" s="11">
        <v>5432</v>
      </c>
      <c r="G1467" s="27">
        <f t="shared" si="421"/>
        <v>19.161904761904761</v>
      </c>
      <c r="H1467" s="13">
        <f t="shared" si="422"/>
        <v>86283.470879502318</v>
      </c>
      <c r="I1467" s="13">
        <f t="shared" si="423"/>
        <v>34493.066258908904</v>
      </c>
      <c r="J1467" s="51">
        <f t="shared" si="411"/>
        <v>120776.53713841122</v>
      </c>
    </row>
    <row r="1468" spans="1:10" x14ac:dyDescent="0.25">
      <c r="A1468" s="4" t="s">
        <v>125</v>
      </c>
      <c r="B1468" s="5" t="s">
        <v>226</v>
      </c>
      <c r="C1468" s="5" t="s">
        <v>210</v>
      </c>
      <c r="D1468" s="5">
        <v>26</v>
      </c>
      <c r="E1468" s="11">
        <v>25220</v>
      </c>
      <c r="F1468" s="11">
        <v>0</v>
      </c>
      <c r="G1468" s="27">
        <f t="shared" si="421"/>
        <v>124.55238095238094</v>
      </c>
      <c r="H1468" s="13">
        <f t="shared" si="422"/>
        <v>160146.38913607952</v>
      </c>
      <c r="I1468" s="13">
        <f t="shared" si="423"/>
        <v>0</v>
      </c>
      <c r="J1468" s="51">
        <f t="shared" si="411"/>
        <v>160146.38913607952</v>
      </c>
    </row>
    <row r="1469" spans="1:10" x14ac:dyDescent="0.25">
      <c r="A1469" s="4" t="s">
        <v>125</v>
      </c>
      <c r="B1469" s="5" t="s">
        <v>228</v>
      </c>
      <c r="C1469" s="5" t="s">
        <v>229</v>
      </c>
      <c r="D1469" s="5">
        <v>66</v>
      </c>
      <c r="E1469" s="11">
        <v>128106</v>
      </c>
      <c r="F1469" s="11">
        <v>0</v>
      </c>
      <c r="G1469" s="27">
        <f t="shared" si="421"/>
        <v>316.17142857142858</v>
      </c>
      <c r="H1469" s="13">
        <f t="shared" si="422"/>
        <v>813469.99709225236</v>
      </c>
      <c r="I1469" s="13">
        <f t="shared" si="423"/>
        <v>0</v>
      </c>
      <c r="J1469" s="51">
        <f t="shared" si="411"/>
        <v>813469.99709225236</v>
      </c>
    </row>
    <row r="1470" spans="1:10" x14ac:dyDescent="0.25">
      <c r="A1470" s="4" t="s">
        <v>125</v>
      </c>
      <c r="B1470" s="5" t="s">
        <v>230</v>
      </c>
      <c r="C1470" s="5" t="s">
        <v>229</v>
      </c>
      <c r="D1470" s="5">
        <v>8</v>
      </c>
      <c r="E1470" s="11">
        <v>15528</v>
      </c>
      <c r="F1470" s="11">
        <v>0</v>
      </c>
      <c r="G1470" s="27">
        <f t="shared" si="421"/>
        <v>38.323809523809523</v>
      </c>
      <c r="H1470" s="13">
        <f t="shared" si="422"/>
        <v>98602.423889969985</v>
      </c>
      <c r="I1470" s="13">
        <f t="shared" si="423"/>
        <v>0</v>
      </c>
      <c r="J1470" s="51">
        <f t="shared" si="411"/>
        <v>98602.423889969985</v>
      </c>
    </row>
    <row r="1471" spans="1:10" x14ac:dyDescent="0.25">
      <c r="A1471" s="4" t="s">
        <v>125</v>
      </c>
      <c r="B1471" s="5" t="s">
        <v>262</v>
      </c>
      <c r="C1471" s="5" t="s">
        <v>263</v>
      </c>
      <c r="D1471" s="5">
        <v>6</v>
      </c>
      <c r="E1471" s="11">
        <v>909996</v>
      </c>
      <c r="F1471" s="11">
        <v>0</v>
      </c>
      <c r="G1471" s="27">
        <f t="shared" si="421"/>
        <v>28.74285714285714</v>
      </c>
      <c r="H1471" s="13">
        <f t="shared" si="422"/>
        <v>5778452.5586152188</v>
      </c>
      <c r="I1471" s="13">
        <f t="shared" si="423"/>
        <v>0</v>
      </c>
      <c r="J1471" s="51">
        <f t="shared" si="411"/>
        <v>5778452.5586152188</v>
      </c>
    </row>
    <row r="1472" spans="1:10" x14ac:dyDescent="0.25">
      <c r="A1472" s="4" t="s">
        <v>125</v>
      </c>
      <c r="B1472" s="5" t="s">
        <v>233</v>
      </c>
      <c r="C1472" s="5" t="s">
        <v>234</v>
      </c>
      <c r="D1472" s="5">
        <v>1</v>
      </c>
      <c r="E1472" s="11">
        <v>97066</v>
      </c>
      <c r="F1472" s="11">
        <v>0</v>
      </c>
      <c r="G1472" s="27">
        <f t="shared" si="421"/>
        <v>4.7904761904761903</v>
      </c>
      <c r="H1472" s="13">
        <f t="shared" si="422"/>
        <v>616366.74892476981</v>
      </c>
      <c r="I1472" s="13">
        <f t="shared" si="423"/>
        <v>0</v>
      </c>
      <c r="J1472" s="51">
        <f t="shared" si="411"/>
        <v>616366.74892476981</v>
      </c>
    </row>
    <row r="1473" spans="1:10" x14ac:dyDescent="0.25">
      <c r="A1473" s="4" t="s">
        <v>125</v>
      </c>
      <c r="B1473" s="5" t="s">
        <v>237</v>
      </c>
      <c r="C1473" s="5" t="s">
        <v>238</v>
      </c>
      <c r="D1473" s="5">
        <v>2</v>
      </c>
      <c r="E1473" s="11">
        <v>10252</v>
      </c>
      <c r="F1473" s="11">
        <v>4100</v>
      </c>
      <c r="G1473" s="27">
        <f t="shared" si="421"/>
        <v>9.5809523809523807</v>
      </c>
      <c r="H1473" s="13">
        <f t="shared" si="422"/>
        <v>65099.951682120831</v>
      </c>
      <c r="I1473" s="13">
        <f t="shared" si="423"/>
        <v>26034.899054036541</v>
      </c>
      <c r="J1473" s="51">
        <f t="shared" si="411"/>
        <v>91134.850736157372</v>
      </c>
    </row>
    <row r="1474" spans="1:10" x14ac:dyDescent="0.25">
      <c r="A1474" s="4" t="s">
        <v>125</v>
      </c>
      <c r="B1474" s="5" t="s">
        <v>240</v>
      </c>
      <c r="C1474" s="5" t="s">
        <v>238</v>
      </c>
      <c r="D1474" s="5">
        <v>4</v>
      </c>
      <c r="E1474" s="11">
        <v>20504</v>
      </c>
      <c r="F1474" s="11">
        <v>8200</v>
      </c>
      <c r="G1474" s="27">
        <f t="shared" si="421"/>
        <v>19.161904761904761</v>
      </c>
      <c r="H1474" s="13">
        <f t="shared" si="422"/>
        <v>130199.90336424166</v>
      </c>
      <c r="I1474" s="13">
        <f t="shared" si="423"/>
        <v>52069.798108073082</v>
      </c>
      <c r="J1474" s="51">
        <f t="shared" si="411"/>
        <v>182269.70147231474</v>
      </c>
    </row>
    <row r="1475" spans="1:10" x14ac:dyDescent="0.25">
      <c r="A1475" s="4" t="s">
        <v>125</v>
      </c>
      <c r="B1475" s="5" t="s">
        <v>241</v>
      </c>
      <c r="C1475" s="5" t="s">
        <v>236</v>
      </c>
      <c r="D1475" s="5">
        <v>43</v>
      </c>
      <c r="E1475" s="11">
        <v>293475</v>
      </c>
      <c r="F1475" s="11">
        <v>117390</v>
      </c>
      <c r="G1475" s="27">
        <f t="shared" si="421"/>
        <v>205.99047619047619</v>
      </c>
      <c r="H1475" s="13">
        <f t="shared" si="422"/>
        <v>1863559.1416221624</v>
      </c>
      <c r="I1475" s="13">
        <f t="shared" si="423"/>
        <v>745423.60974471946</v>
      </c>
      <c r="J1475" s="51">
        <f t="shared" si="411"/>
        <v>2608982.7513668817</v>
      </c>
    </row>
    <row r="1476" spans="1:10" x14ac:dyDescent="0.25">
      <c r="A1476" s="4" t="s">
        <v>125</v>
      </c>
      <c r="B1476" s="5" t="s">
        <v>264</v>
      </c>
      <c r="C1476" s="5" t="s">
        <v>238</v>
      </c>
      <c r="D1476" s="5">
        <v>1</v>
      </c>
      <c r="E1476" s="11">
        <v>5126</v>
      </c>
      <c r="F1476" s="11">
        <v>0</v>
      </c>
      <c r="G1476" s="27">
        <f t="shared" si="421"/>
        <v>4.7904761904761903</v>
      </c>
      <c r="H1476" s="13">
        <f t="shared" si="422"/>
        <v>32549.975841060415</v>
      </c>
      <c r="I1476" s="13">
        <f t="shared" si="423"/>
        <v>0</v>
      </c>
      <c r="J1476" s="51">
        <f t="shared" si="411"/>
        <v>32549.975841060415</v>
      </c>
    </row>
    <row r="1477" spans="1:10" x14ac:dyDescent="0.25">
      <c r="A1477" s="4" t="s">
        <v>125</v>
      </c>
      <c r="B1477" s="5" t="s">
        <v>249</v>
      </c>
      <c r="C1477" s="5" t="s">
        <v>250</v>
      </c>
      <c r="D1477" s="5">
        <v>8</v>
      </c>
      <c r="E1477" s="11">
        <v>121328</v>
      </c>
      <c r="F1477" s="11">
        <v>48528</v>
      </c>
      <c r="G1477" s="27">
        <f t="shared" si="421"/>
        <v>38.323809523809523</v>
      </c>
      <c r="H1477" s="13">
        <f t="shared" si="422"/>
        <v>770429.86126495863</v>
      </c>
      <c r="I1477" s="13">
        <f t="shared" si="423"/>
        <v>308151.60519372812</v>
      </c>
      <c r="J1477" s="51">
        <f t="shared" si="411"/>
        <v>1078581.4664586866</v>
      </c>
    </row>
    <row r="1478" spans="1:10" x14ac:dyDescent="0.25">
      <c r="A1478" s="4" t="s">
        <v>125</v>
      </c>
      <c r="B1478" s="5" t="s">
        <v>255</v>
      </c>
      <c r="C1478" s="5" t="s">
        <v>210</v>
      </c>
      <c r="D1478" s="5">
        <v>1</v>
      </c>
      <c r="E1478" s="11">
        <v>970</v>
      </c>
      <c r="F1478" s="11">
        <v>0</v>
      </c>
      <c r="G1478" s="27">
        <f t="shared" si="421"/>
        <v>4.7904761904761903</v>
      </c>
      <c r="H1478" s="13">
        <f t="shared" si="422"/>
        <v>6159.476505233828</v>
      </c>
      <c r="I1478" s="13">
        <f t="shared" si="423"/>
        <v>0</v>
      </c>
      <c r="J1478" s="51">
        <f t="shared" si="411"/>
        <v>6159.476505233828</v>
      </c>
    </row>
    <row r="1479" spans="1:10" x14ac:dyDescent="0.25">
      <c r="A1479" s="15" t="s">
        <v>125</v>
      </c>
      <c r="B1479" s="16" t="s">
        <v>257</v>
      </c>
      <c r="C1479" s="16" t="s">
        <v>210</v>
      </c>
      <c r="D1479" s="16">
        <v>2</v>
      </c>
      <c r="E1479" s="18">
        <v>1940</v>
      </c>
      <c r="F1479" s="18">
        <v>0</v>
      </c>
      <c r="G1479" s="27">
        <f t="shared" si="421"/>
        <v>9.5809523809523807</v>
      </c>
      <c r="H1479" s="13">
        <f t="shared" si="422"/>
        <v>12318.953010467656</v>
      </c>
      <c r="I1479" s="13">
        <f t="shared" si="423"/>
        <v>0</v>
      </c>
      <c r="J1479" s="51">
        <f t="shared" si="411"/>
        <v>12318.953010467656</v>
      </c>
    </row>
    <row r="1480" spans="1:10" s="3" customFormat="1" x14ac:dyDescent="0.25">
      <c r="A1480" s="4"/>
      <c r="B1480" s="20" t="s">
        <v>356</v>
      </c>
      <c r="C1480" s="21"/>
      <c r="D1480" s="21"/>
      <c r="E1480" s="29"/>
      <c r="F1480" s="29"/>
      <c r="G1480" s="47">
        <f>SUM(G1462:G1479)</f>
        <v>1005.9999999999998</v>
      </c>
      <c r="H1480" s="47">
        <f t="shared" ref="H1480:J1480" si="424">SUM(H1462:H1479)</f>
        <v>10774931</v>
      </c>
      <c r="I1480" s="47">
        <f t="shared" si="424"/>
        <v>1225069</v>
      </c>
      <c r="J1480" s="47">
        <f t="shared" si="424"/>
        <v>11999999.999999996</v>
      </c>
    </row>
    <row r="1481" spans="1:10" s="3" customFormat="1" x14ac:dyDescent="0.25">
      <c r="A1481" s="36" t="s">
        <v>126</v>
      </c>
      <c r="B1481" s="5" t="s">
        <v>214</v>
      </c>
      <c r="C1481" s="5" t="s">
        <v>210</v>
      </c>
      <c r="D1481" s="21"/>
      <c r="E1481" s="29"/>
      <c r="F1481" s="29"/>
      <c r="G1481" s="48">
        <v>4</v>
      </c>
      <c r="H1481" s="35">
        <v>3000000</v>
      </c>
      <c r="I1481" s="35">
        <v>2000000</v>
      </c>
      <c r="J1481" s="51">
        <f t="shared" si="411"/>
        <v>5000000</v>
      </c>
    </row>
    <row r="1482" spans="1:10" s="3" customFormat="1" x14ac:dyDescent="0.25">
      <c r="A1482" s="36" t="s">
        <v>126</v>
      </c>
      <c r="B1482" s="21"/>
      <c r="C1482" s="21"/>
      <c r="D1482" s="21"/>
      <c r="E1482" s="29"/>
      <c r="F1482" s="29"/>
      <c r="G1482" s="48"/>
      <c r="H1482" s="48"/>
      <c r="I1482" s="48"/>
      <c r="J1482" s="51">
        <f t="shared" si="411"/>
        <v>0</v>
      </c>
    </row>
    <row r="1483" spans="1:10" s="3" customFormat="1" x14ac:dyDescent="0.25">
      <c r="A1483" s="36"/>
      <c r="B1483" s="1" t="s">
        <v>458</v>
      </c>
      <c r="C1483" s="1"/>
      <c r="D1483" s="1"/>
      <c r="E1483" s="2"/>
      <c r="F1483" s="2"/>
      <c r="G1483" s="47">
        <f>SUM(G1481:G1482)</f>
        <v>4</v>
      </c>
      <c r="H1483" s="47">
        <f>SUM(H1481:H1482)</f>
        <v>3000000</v>
      </c>
      <c r="I1483" s="47">
        <f t="shared" ref="I1483:J1483" si="425">SUM(I1481:I1482)</f>
        <v>2000000</v>
      </c>
      <c r="J1483" s="47">
        <f t="shared" si="425"/>
        <v>5000000</v>
      </c>
    </row>
    <row r="1484" spans="1:10" x14ac:dyDescent="0.25">
      <c r="A1484" s="4" t="s">
        <v>127</v>
      </c>
      <c r="B1484" s="5" t="s">
        <v>207</v>
      </c>
      <c r="C1484" s="5" t="s">
        <v>208</v>
      </c>
      <c r="D1484" s="5">
        <v>2</v>
      </c>
      <c r="E1484" s="11">
        <v>46592</v>
      </c>
      <c r="F1484" s="11">
        <v>9318</v>
      </c>
      <c r="G1484" s="27">
        <f>+D1484*4.78846153846154</f>
        <v>9.5769230769230802</v>
      </c>
      <c r="H1484" s="13">
        <f>+E1484*22660270/7227282</f>
        <v>146083.58990835006</v>
      </c>
      <c r="I1484" s="13">
        <f>+F1484*2339730/746235</f>
        <v>29215.46716516915</v>
      </c>
      <c r="J1484" s="51">
        <f t="shared" si="411"/>
        <v>175299.05707351922</v>
      </c>
    </row>
    <row r="1485" spans="1:10" x14ac:dyDescent="0.25">
      <c r="A1485" s="4" t="s">
        <v>127</v>
      </c>
      <c r="B1485" s="5" t="s">
        <v>209</v>
      </c>
      <c r="C1485" s="5" t="s">
        <v>210</v>
      </c>
      <c r="D1485" s="5">
        <v>65</v>
      </c>
      <c r="E1485" s="11">
        <v>126165</v>
      </c>
      <c r="F1485" s="11">
        <v>0</v>
      </c>
      <c r="G1485" s="27">
        <f t="shared" ref="G1485:G1519" si="426">+D1485*4.78846153846154</f>
        <v>311.25000000000011</v>
      </c>
      <c r="H1485" s="13">
        <f t="shared" ref="H1485:H1519" si="427">+E1485*22660270/7227282</f>
        <v>395575.12278474815</v>
      </c>
      <c r="I1485" s="13">
        <f t="shared" ref="I1485:I1519" si="428">+F1485*2339730/746235</f>
        <v>0</v>
      </c>
      <c r="J1485" s="51">
        <f t="shared" si="411"/>
        <v>395575.12278474815</v>
      </c>
    </row>
    <row r="1486" spans="1:10" x14ac:dyDescent="0.25">
      <c r="A1486" s="4" t="s">
        <v>127</v>
      </c>
      <c r="B1486" s="5" t="s">
        <v>211</v>
      </c>
      <c r="C1486" s="5" t="s">
        <v>212</v>
      </c>
      <c r="D1486" s="5">
        <v>32</v>
      </c>
      <c r="E1486" s="11">
        <v>93184</v>
      </c>
      <c r="F1486" s="11">
        <v>0</v>
      </c>
      <c r="G1486" s="27">
        <f t="shared" si="426"/>
        <v>153.23076923076928</v>
      </c>
      <c r="H1486" s="13">
        <f t="shared" si="427"/>
        <v>292167.17981670011</v>
      </c>
      <c r="I1486" s="13">
        <f t="shared" si="428"/>
        <v>0</v>
      </c>
      <c r="J1486" s="51">
        <f t="shared" si="411"/>
        <v>292167.17981670011</v>
      </c>
    </row>
    <row r="1487" spans="1:10" x14ac:dyDescent="0.25">
      <c r="A1487" s="4" t="s">
        <v>127</v>
      </c>
      <c r="B1487" s="5" t="s">
        <v>213</v>
      </c>
      <c r="C1487" s="5" t="s">
        <v>212</v>
      </c>
      <c r="D1487" s="5">
        <v>24</v>
      </c>
      <c r="E1487" s="11">
        <v>69888</v>
      </c>
      <c r="F1487" s="11">
        <v>0</v>
      </c>
      <c r="G1487" s="27">
        <f t="shared" si="426"/>
        <v>114.92307692307696</v>
      </c>
      <c r="H1487" s="13">
        <f t="shared" si="427"/>
        <v>219125.38486252507</v>
      </c>
      <c r="I1487" s="13">
        <f t="shared" si="428"/>
        <v>0</v>
      </c>
      <c r="J1487" s="51">
        <f t="shared" si="411"/>
        <v>219125.38486252507</v>
      </c>
    </row>
    <row r="1488" spans="1:10" x14ac:dyDescent="0.25">
      <c r="A1488" s="4" t="s">
        <v>127</v>
      </c>
      <c r="B1488" s="5" t="s">
        <v>214</v>
      </c>
      <c r="C1488" s="5" t="s">
        <v>210</v>
      </c>
      <c r="D1488" s="5">
        <v>168</v>
      </c>
      <c r="E1488" s="11">
        <v>330943</v>
      </c>
      <c r="F1488" s="11">
        <v>0</v>
      </c>
      <c r="G1488" s="27">
        <f t="shared" si="426"/>
        <v>804.46153846153879</v>
      </c>
      <c r="H1488" s="13">
        <f t="shared" si="427"/>
        <v>1037631.8143681124</v>
      </c>
      <c r="I1488" s="13">
        <f t="shared" si="428"/>
        <v>0</v>
      </c>
      <c r="J1488" s="51">
        <f t="shared" si="411"/>
        <v>1037631.8143681124</v>
      </c>
    </row>
    <row r="1489" spans="1:10" x14ac:dyDescent="0.25">
      <c r="A1489" s="4" t="s">
        <v>127</v>
      </c>
      <c r="B1489" s="5" t="s">
        <v>215</v>
      </c>
      <c r="C1489" s="5" t="s">
        <v>212</v>
      </c>
      <c r="D1489" s="5">
        <v>6</v>
      </c>
      <c r="E1489" s="11">
        <v>17472</v>
      </c>
      <c r="F1489" s="11">
        <v>0</v>
      </c>
      <c r="G1489" s="27">
        <f t="shared" si="426"/>
        <v>28.730769230769241</v>
      </c>
      <c r="H1489" s="13">
        <f t="shared" si="427"/>
        <v>54781.346215631267</v>
      </c>
      <c r="I1489" s="13">
        <f t="shared" si="428"/>
        <v>0</v>
      </c>
      <c r="J1489" s="51">
        <f t="shared" si="411"/>
        <v>54781.346215631267</v>
      </c>
    </row>
    <row r="1490" spans="1:10" x14ac:dyDescent="0.25">
      <c r="A1490" s="4" t="s">
        <v>127</v>
      </c>
      <c r="B1490" s="5" t="s">
        <v>216</v>
      </c>
      <c r="C1490" s="5" t="s">
        <v>210</v>
      </c>
      <c r="D1490" s="5">
        <v>31</v>
      </c>
      <c r="E1490" s="11">
        <v>60171</v>
      </c>
      <c r="F1490" s="11">
        <v>0</v>
      </c>
      <c r="G1490" s="27">
        <f t="shared" si="426"/>
        <v>148.44230769230774</v>
      </c>
      <c r="H1490" s="13">
        <f t="shared" si="427"/>
        <v>188658.90471272604</v>
      </c>
      <c r="I1490" s="13">
        <f t="shared" si="428"/>
        <v>0</v>
      </c>
      <c r="J1490" s="51">
        <f t="shared" si="411"/>
        <v>188658.90471272604</v>
      </c>
    </row>
    <row r="1491" spans="1:10" x14ac:dyDescent="0.25">
      <c r="A1491" s="4" t="s">
        <v>127</v>
      </c>
      <c r="B1491" s="5" t="s">
        <v>217</v>
      </c>
      <c r="C1491" s="5" t="s">
        <v>218</v>
      </c>
      <c r="D1491" s="5">
        <v>44</v>
      </c>
      <c r="E1491" s="11">
        <v>290243</v>
      </c>
      <c r="F1491" s="11">
        <v>57015</v>
      </c>
      <c r="G1491" s="27">
        <f t="shared" si="426"/>
        <v>210.69230769230776</v>
      </c>
      <c r="H1491" s="13">
        <f t="shared" si="427"/>
        <v>910021.87898714899</v>
      </c>
      <c r="I1491" s="13">
        <f t="shared" si="428"/>
        <v>178763.66821443647</v>
      </c>
      <c r="J1491" s="51">
        <f t="shared" si="411"/>
        <v>1088785.5472015855</v>
      </c>
    </row>
    <row r="1492" spans="1:10" x14ac:dyDescent="0.25">
      <c r="A1492" s="4" t="s">
        <v>127</v>
      </c>
      <c r="B1492" s="5" t="s">
        <v>219</v>
      </c>
      <c r="C1492" s="5" t="s">
        <v>220</v>
      </c>
      <c r="D1492" s="5">
        <v>24</v>
      </c>
      <c r="E1492" s="11">
        <v>162888</v>
      </c>
      <c r="F1492" s="11">
        <v>32559</v>
      </c>
      <c r="G1492" s="27">
        <f t="shared" si="426"/>
        <v>114.92307692307696</v>
      </c>
      <c r="H1492" s="13">
        <f t="shared" si="427"/>
        <v>510715.6548976503</v>
      </c>
      <c r="I1492" s="13">
        <f t="shared" si="428"/>
        <v>102084.82457938853</v>
      </c>
      <c r="J1492" s="51">
        <f t="shared" si="411"/>
        <v>612800.47947703884</v>
      </c>
    </row>
    <row r="1493" spans="1:10" x14ac:dyDescent="0.25">
      <c r="A1493" s="4" t="s">
        <v>127</v>
      </c>
      <c r="B1493" s="5" t="s">
        <v>260</v>
      </c>
      <c r="C1493" s="5" t="s">
        <v>208</v>
      </c>
      <c r="D1493" s="5">
        <v>4</v>
      </c>
      <c r="E1493" s="11">
        <v>279552</v>
      </c>
      <c r="F1493" s="11">
        <v>0</v>
      </c>
      <c r="G1493" s="27">
        <f t="shared" si="426"/>
        <v>19.15384615384616</v>
      </c>
      <c r="H1493" s="13">
        <f t="shared" si="427"/>
        <v>876501.53945010027</v>
      </c>
      <c r="I1493" s="13">
        <f t="shared" si="428"/>
        <v>0</v>
      </c>
      <c r="J1493" s="51">
        <f t="shared" si="411"/>
        <v>876501.53945010027</v>
      </c>
    </row>
    <row r="1494" spans="1:10" x14ac:dyDescent="0.25">
      <c r="A1494" s="4" t="s">
        <v>127</v>
      </c>
      <c r="B1494" s="5" t="s">
        <v>223</v>
      </c>
      <c r="C1494" s="5" t="s">
        <v>224</v>
      </c>
      <c r="D1494" s="5">
        <v>81</v>
      </c>
      <c r="E1494" s="11">
        <v>13587</v>
      </c>
      <c r="F1494" s="11">
        <v>0</v>
      </c>
      <c r="G1494" s="27">
        <f t="shared" si="426"/>
        <v>387.86538461538476</v>
      </c>
      <c r="H1494" s="13">
        <f t="shared" si="427"/>
        <v>42600.397838357494</v>
      </c>
      <c r="I1494" s="13">
        <f t="shared" si="428"/>
        <v>0</v>
      </c>
      <c r="J1494" s="51">
        <f t="shared" si="411"/>
        <v>42600.397838357494</v>
      </c>
    </row>
    <row r="1495" spans="1:10" x14ac:dyDescent="0.25">
      <c r="A1495" s="4" t="s">
        <v>127</v>
      </c>
      <c r="B1495" s="5" t="s">
        <v>261</v>
      </c>
      <c r="C1495" s="5" t="s">
        <v>210</v>
      </c>
      <c r="D1495" s="5">
        <v>2</v>
      </c>
      <c r="E1495" s="11">
        <v>19412</v>
      </c>
      <c r="F1495" s="11">
        <v>0</v>
      </c>
      <c r="G1495" s="27">
        <f t="shared" si="426"/>
        <v>9.5769230769230802</v>
      </c>
      <c r="H1495" s="13">
        <f t="shared" si="427"/>
        <v>60863.981956148935</v>
      </c>
      <c r="I1495" s="13">
        <f t="shared" si="428"/>
        <v>0</v>
      </c>
      <c r="J1495" s="51">
        <f t="shared" si="411"/>
        <v>60863.981956148935</v>
      </c>
    </row>
    <row r="1496" spans="1:10" x14ac:dyDescent="0.25">
      <c r="A1496" s="4" t="s">
        <v>127</v>
      </c>
      <c r="B1496" s="5" t="s">
        <v>268</v>
      </c>
      <c r="C1496" s="5" t="s">
        <v>210</v>
      </c>
      <c r="D1496" s="5">
        <v>1</v>
      </c>
      <c r="E1496" s="11">
        <v>1941</v>
      </c>
      <c r="F1496" s="11">
        <v>0</v>
      </c>
      <c r="G1496" s="27">
        <f t="shared" si="426"/>
        <v>4.7884615384615401</v>
      </c>
      <c r="H1496" s="13">
        <f t="shared" si="427"/>
        <v>6085.7711197653562</v>
      </c>
      <c r="I1496" s="13">
        <f t="shared" si="428"/>
        <v>0</v>
      </c>
      <c r="J1496" s="51">
        <f t="shared" si="411"/>
        <v>6085.7711197653562</v>
      </c>
    </row>
    <row r="1497" spans="1:10" x14ac:dyDescent="0.25">
      <c r="A1497" s="4" t="s">
        <v>127</v>
      </c>
      <c r="B1497" s="5" t="s">
        <v>266</v>
      </c>
      <c r="C1497" s="5" t="s">
        <v>210</v>
      </c>
      <c r="D1497" s="5">
        <v>11</v>
      </c>
      <c r="E1497" s="11">
        <v>21351</v>
      </c>
      <c r="F1497" s="11">
        <v>0</v>
      </c>
      <c r="G1497" s="27">
        <f t="shared" si="426"/>
        <v>52.673076923076941</v>
      </c>
      <c r="H1497" s="13">
        <f t="shared" si="427"/>
        <v>66943.482317418908</v>
      </c>
      <c r="I1497" s="13">
        <f t="shared" si="428"/>
        <v>0</v>
      </c>
      <c r="J1497" s="51">
        <f t="shared" si="411"/>
        <v>66943.482317418908</v>
      </c>
    </row>
    <row r="1498" spans="1:10" x14ac:dyDescent="0.25">
      <c r="A1498" s="4" t="s">
        <v>127</v>
      </c>
      <c r="B1498" s="5" t="s">
        <v>225</v>
      </c>
      <c r="C1498" s="5" t="s">
        <v>210</v>
      </c>
      <c r="D1498" s="5">
        <v>1</v>
      </c>
      <c r="E1498" s="11">
        <v>1941</v>
      </c>
      <c r="F1498" s="11">
        <v>0</v>
      </c>
      <c r="G1498" s="27">
        <f t="shared" si="426"/>
        <v>4.7884615384615401</v>
      </c>
      <c r="H1498" s="13">
        <f t="shared" si="427"/>
        <v>6085.7711197653562</v>
      </c>
      <c r="I1498" s="13">
        <f t="shared" si="428"/>
        <v>0</v>
      </c>
      <c r="J1498" s="51">
        <f t="shared" si="411"/>
        <v>6085.7711197653562</v>
      </c>
    </row>
    <row r="1499" spans="1:10" x14ac:dyDescent="0.25">
      <c r="A1499" s="4" t="s">
        <v>127</v>
      </c>
      <c r="B1499" s="5" t="s">
        <v>226</v>
      </c>
      <c r="C1499" s="5" t="s">
        <v>210</v>
      </c>
      <c r="D1499" s="5">
        <v>8</v>
      </c>
      <c r="E1499" s="11">
        <v>15528</v>
      </c>
      <c r="F1499" s="11">
        <v>0</v>
      </c>
      <c r="G1499" s="27">
        <f t="shared" si="426"/>
        <v>38.307692307692321</v>
      </c>
      <c r="H1499" s="13">
        <f t="shared" si="427"/>
        <v>48686.168958122849</v>
      </c>
      <c r="I1499" s="13">
        <f t="shared" si="428"/>
        <v>0</v>
      </c>
      <c r="J1499" s="51">
        <f t="shared" si="411"/>
        <v>48686.168958122849</v>
      </c>
    </row>
    <row r="1500" spans="1:10" x14ac:dyDescent="0.25">
      <c r="A1500" s="4" t="s">
        <v>127</v>
      </c>
      <c r="B1500" s="5" t="s">
        <v>227</v>
      </c>
      <c r="C1500" s="5" t="s">
        <v>210</v>
      </c>
      <c r="D1500" s="5">
        <v>3</v>
      </c>
      <c r="E1500" s="11">
        <v>5823</v>
      </c>
      <c r="F1500" s="11">
        <v>0</v>
      </c>
      <c r="G1500" s="27">
        <f t="shared" si="426"/>
        <v>14.36538461538462</v>
      </c>
      <c r="H1500" s="13">
        <f t="shared" si="427"/>
        <v>18257.313359296066</v>
      </c>
      <c r="I1500" s="13">
        <f t="shared" si="428"/>
        <v>0</v>
      </c>
      <c r="J1500" s="51">
        <f t="shared" si="411"/>
        <v>18257.313359296066</v>
      </c>
    </row>
    <row r="1501" spans="1:10" x14ac:dyDescent="0.25">
      <c r="A1501" s="4" t="s">
        <v>127</v>
      </c>
      <c r="B1501" s="5" t="s">
        <v>228</v>
      </c>
      <c r="C1501" s="5" t="s">
        <v>229</v>
      </c>
      <c r="D1501" s="5">
        <v>297</v>
      </c>
      <c r="E1501" s="11">
        <v>1139367</v>
      </c>
      <c r="F1501" s="11">
        <v>0</v>
      </c>
      <c r="G1501" s="27">
        <f t="shared" si="426"/>
        <v>1422.1730769230774</v>
      </c>
      <c r="H1501" s="13">
        <f t="shared" si="427"/>
        <v>3572347.6473022639</v>
      </c>
      <c r="I1501" s="13">
        <f t="shared" si="428"/>
        <v>0</v>
      </c>
      <c r="J1501" s="51">
        <f t="shared" si="411"/>
        <v>3572347.6473022639</v>
      </c>
    </row>
    <row r="1502" spans="1:10" x14ac:dyDescent="0.25">
      <c r="A1502" s="4" t="s">
        <v>127</v>
      </c>
      <c r="B1502" s="5" t="s">
        <v>230</v>
      </c>
      <c r="C1502" s="5" t="s">
        <v>229</v>
      </c>
      <c r="D1502" s="5">
        <v>20</v>
      </c>
      <c r="E1502" s="11">
        <v>77640</v>
      </c>
      <c r="F1502" s="11">
        <v>0</v>
      </c>
      <c r="G1502" s="27">
        <f t="shared" si="426"/>
        <v>95.769230769230802</v>
      </c>
      <c r="H1502" s="13">
        <f t="shared" si="427"/>
        <v>243430.84479061424</v>
      </c>
      <c r="I1502" s="13">
        <f t="shared" si="428"/>
        <v>0</v>
      </c>
      <c r="J1502" s="51">
        <f t="shared" si="411"/>
        <v>243430.84479061424</v>
      </c>
    </row>
    <row r="1503" spans="1:10" x14ac:dyDescent="0.25">
      <c r="A1503" s="4" t="s">
        <v>127</v>
      </c>
      <c r="B1503" s="5" t="s">
        <v>262</v>
      </c>
      <c r="C1503" s="5" t="s">
        <v>263</v>
      </c>
      <c r="D1503" s="5">
        <v>1</v>
      </c>
      <c r="E1503" s="11">
        <v>303333</v>
      </c>
      <c r="F1503" s="11">
        <v>0</v>
      </c>
      <c r="G1503" s="27">
        <f t="shared" si="426"/>
        <v>4.7884615384615401</v>
      </c>
      <c r="H1503" s="13">
        <f t="shared" si="427"/>
        <v>951063.99333940481</v>
      </c>
      <c r="I1503" s="13">
        <f t="shared" si="428"/>
        <v>0</v>
      </c>
      <c r="J1503" s="51">
        <f t="shared" ref="J1503:J1566" si="429">SUM(H1503:I1503)</f>
        <v>951063.99333940481</v>
      </c>
    </row>
    <row r="1504" spans="1:10" x14ac:dyDescent="0.25">
      <c r="A1504" s="4" t="s">
        <v>127</v>
      </c>
      <c r="B1504" s="5" t="s">
        <v>233</v>
      </c>
      <c r="C1504" s="5" t="s">
        <v>234</v>
      </c>
      <c r="D1504" s="5">
        <v>1</v>
      </c>
      <c r="E1504" s="11">
        <v>194133</v>
      </c>
      <c r="F1504" s="11">
        <v>0</v>
      </c>
      <c r="G1504" s="27">
        <f t="shared" si="426"/>
        <v>4.7884615384615401</v>
      </c>
      <c r="H1504" s="13">
        <f t="shared" si="427"/>
        <v>608680.57949170936</v>
      </c>
      <c r="I1504" s="13">
        <f t="shared" si="428"/>
        <v>0</v>
      </c>
      <c r="J1504" s="51">
        <f t="shared" si="429"/>
        <v>608680.57949170936</v>
      </c>
    </row>
    <row r="1505" spans="1:10" x14ac:dyDescent="0.25">
      <c r="A1505" s="4" t="s">
        <v>127</v>
      </c>
      <c r="B1505" s="5" t="s">
        <v>235</v>
      </c>
      <c r="C1505" s="5" t="s">
        <v>236</v>
      </c>
      <c r="D1505" s="5">
        <v>31</v>
      </c>
      <c r="E1505" s="11">
        <v>285827</v>
      </c>
      <c r="F1505" s="11">
        <v>57163</v>
      </c>
      <c r="G1505" s="27">
        <f t="shared" si="426"/>
        <v>148.44230769230774</v>
      </c>
      <c r="H1505" s="13">
        <f t="shared" si="427"/>
        <v>896176.04422935203</v>
      </c>
      <c r="I1505" s="13">
        <f t="shared" si="428"/>
        <v>179227.70439606826</v>
      </c>
      <c r="J1505" s="51">
        <f t="shared" si="429"/>
        <v>1075403.7486254203</v>
      </c>
    </row>
    <row r="1506" spans="1:10" x14ac:dyDescent="0.25">
      <c r="A1506" s="4" t="s">
        <v>127</v>
      </c>
      <c r="B1506" s="5" t="s">
        <v>237</v>
      </c>
      <c r="C1506" s="5" t="s">
        <v>238</v>
      </c>
      <c r="D1506" s="5">
        <v>4</v>
      </c>
      <c r="E1506" s="11">
        <v>41008</v>
      </c>
      <c r="F1506" s="11">
        <v>8200</v>
      </c>
      <c r="G1506" s="27">
        <f t="shared" si="426"/>
        <v>19.15384615384616</v>
      </c>
      <c r="H1506" s="13">
        <f t="shared" si="427"/>
        <v>128575.63218925179</v>
      </c>
      <c r="I1506" s="13">
        <f t="shared" si="428"/>
        <v>25710.112766085749</v>
      </c>
      <c r="J1506" s="51">
        <f t="shared" si="429"/>
        <v>154285.74495533755</v>
      </c>
    </row>
    <row r="1507" spans="1:10" x14ac:dyDescent="0.25">
      <c r="A1507" s="4" t="s">
        <v>127</v>
      </c>
      <c r="B1507" s="5" t="s">
        <v>241</v>
      </c>
      <c r="C1507" s="5" t="s">
        <v>236</v>
      </c>
      <c r="D1507" s="5">
        <v>93</v>
      </c>
      <c r="E1507" s="11">
        <v>1228529</v>
      </c>
      <c r="F1507" s="11">
        <v>244728</v>
      </c>
      <c r="G1507" s="27">
        <f t="shared" si="426"/>
        <v>445.32692307692321</v>
      </c>
      <c r="H1507" s="13">
        <f t="shared" si="427"/>
        <v>3851904.3317847569</v>
      </c>
      <c r="I1507" s="13">
        <f t="shared" si="428"/>
        <v>767315.18012422358</v>
      </c>
      <c r="J1507" s="51">
        <f t="shared" si="429"/>
        <v>4619219.5119089801</v>
      </c>
    </row>
    <row r="1508" spans="1:10" x14ac:dyDescent="0.25">
      <c r="A1508" s="4" t="s">
        <v>127</v>
      </c>
      <c r="B1508" s="5" t="s">
        <v>242</v>
      </c>
      <c r="C1508" s="5" t="s">
        <v>238</v>
      </c>
      <c r="D1508" s="5">
        <v>4</v>
      </c>
      <c r="E1508" s="11">
        <v>41008</v>
      </c>
      <c r="F1508" s="11">
        <v>8200</v>
      </c>
      <c r="G1508" s="27">
        <f t="shared" si="426"/>
        <v>19.15384615384616</v>
      </c>
      <c r="H1508" s="13">
        <f t="shared" si="427"/>
        <v>128575.63218925179</v>
      </c>
      <c r="I1508" s="13">
        <f t="shared" si="428"/>
        <v>25710.112766085749</v>
      </c>
      <c r="J1508" s="51">
        <f t="shared" si="429"/>
        <v>154285.74495533755</v>
      </c>
    </row>
    <row r="1509" spans="1:10" x14ac:dyDescent="0.25">
      <c r="A1509" s="4" t="s">
        <v>127</v>
      </c>
      <c r="B1509" s="5" t="s">
        <v>265</v>
      </c>
      <c r="C1509" s="5" t="s">
        <v>208</v>
      </c>
      <c r="D1509" s="5">
        <v>3</v>
      </c>
      <c r="E1509" s="11">
        <v>209664</v>
      </c>
      <c r="F1509" s="11">
        <v>13977</v>
      </c>
      <c r="G1509" s="27">
        <f t="shared" si="426"/>
        <v>14.36538461538462</v>
      </c>
      <c r="H1509" s="13">
        <f t="shared" si="427"/>
        <v>657376.15458757523</v>
      </c>
      <c r="I1509" s="13">
        <f t="shared" si="428"/>
        <v>43823.200747753726</v>
      </c>
      <c r="J1509" s="51">
        <f t="shared" si="429"/>
        <v>701199.35533532896</v>
      </c>
    </row>
    <row r="1510" spans="1:10" x14ac:dyDescent="0.25">
      <c r="A1510" s="4" t="s">
        <v>127</v>
      </c>
      <c r="B1510" s="5" t="s">
        <v>243</v>
      </c>
      <c r="C1510" s="5" t="s">
        <v>244</v>
      </c>
      <c r="D1510" s="5">
        <v>21</v>
      </c>
      <c r="E1510" s="11">
        <v>123789</v>
      </c>
      <c r="F1510" s="11">
        <v>24369</v>
      </c>
      <c r="G1510" s="27">
        <f t="shared" si="426"/>
        <v>100.55769230769235</v>
      </c>
      <c r="H1510" s="13">
        <f t="shared" si="427"/>
        <v>388125.46169223782</v>
      </c>
      <c r="I1510" s="13">
        <f t="shared" si="428"/>
        <v>76406.065609358979</v>
      </c>
      <c r="J1510" s="51">
        <f t="shared" si="429"/>
        <v>464531.52730159683</v>
      </c>
    </row>
    <row r="1511" spans="1:10" x14ac:dyDescent="0.25">
      <c r="A1511" s="4" t="s">
        <v>127</v>
      </c>
      <c r="B1511" s="5" t="s">
        <v>245</v>
      </c>
      <c r="C1511" s="5" t="s">
        <v>246</v>
      </c>
      <c r="D1511" s="5">
        <v>3</v>
      </c>
      <c r="E1511" s="11">
        <v>15378</v>
      </c>
      <c r="F1511" s="11">
        <v>3075</v>
      </c>
      <c r="G1511" s="27">
        <f t="shared" si="426"/>
        <v>14.36538461538462</v>
      </c>
      <c r="H1511" s="13">
        <f t="shared" si="427"/>
        <v>48215.862070969415</v>
      </c>
      <c r="I1511" s="13">
        <f t="shared" si="428"/>
        <v>9641.2922872821564</v>
      </c>
      <c r="J1511" s="51">
        <f t="shared" si="429"/>
        <v>57857.154358251573</v>
      </c>
    </row>
    <row r="1512" spans="1:10" x14ac:dyDescent="0.25">
      <c r="A1512" s="4" t="s">
        <v>127</v>
      </c>
      <c r="B1512" s="5" t="s">
        <v>247</v>
      </c>
      <c r="C1512" s="5" t="s">
        <v>244</v>
      </c>
      <c r="D1512" s="5">
        <v>1</v>
      </c>
      <c r="E1512" s="11">
        <v>6825</v>
      </c>
      <c r="F1512" s="11">
        <v>1365</v>
      </c>
      <c r="G1512" s="27">
        <f t="shared" si="426"/>
        <v>4.7884615384615401</v>
      </c>
      <c r="H1512" s="13">
        <f t="shared" si="427"/>
        <v>21398.963365480966</v>
      </c>
      <c r="I1512" s="13">
        <f t="shared" si="428"/>
        <v>4279.7931616715914</v>
      </c>
      <c r="J1512" s="51">
        <f t="shared" si="429"/>
        <v>25678.756527152556</v>
      </c>
    </row>
    <row r="1513" spans="1:10" x14ac:dyDescent="0.25">
      <c r="A1513" s="4" t="s">
        <v>127</v>
      </c>
      <c r="B1513" s="5" t="s">
        <v>249</v>
      </c>
      <c r="C1513" s="5" t="s">
        <v>250</v>
      </c>
      <c r="D1513" s="5">
        <v>50</v>
      </c>
      <c r="E1513" s="11">
        <v>1431474</v>
      </c>
      <c r="F1513" s="11">
        <v>286266</v>
      </c>
      <c r="G1513" s="27">
        <f t="shared" si="426"/>
        <v>239.42307692307702</v>
      </c>
      <c r="H1513" s="13">
        <f t="shared" si="427"/>
        <v>4488213.8732071063</v>
      </c>
      <c r="I1513" s="13">
        <f t="shared" si="428"/>
        <v>897552.57818247599</v>
      </c>
      <c r="J1513" s="51">
        <f t="shared" si="429"/>
        <v>5385766.4513895819</v>
      </c>
    </row>
    <row r="1514" spans="1:10" x14ac:dyDescent="0.25">
      <c r="A1514" s="4" t="s">
        <v>127</v>
      </c>
      <c r="B1514" s="5" t="s">
        <v>252</v>
      </c>
      <c r="C1514" s="5" t="s">
        <v>212</v>
      </c>
      <c r="D1514" s="5">
        <v>28</v>
      </c>
      <c r="E1514" s="11">
        <v>81536</v>
      </c>
      <c r="F1514" s="11">
        <v>0</v>
      </c>
      <c r="G1514" s="27">
        <f t="shared" si="426"/>
        <v>134.07692307692312</v>
      </c>
      <c r="H1514" s="13">
        <f t="shared" si="427"/>
        <v>255646.2823396126</v>
      </c>
      <c r="I1514" s="13">
        <f t="shared" si="428"/>
        <v>0</v>
      </c>
      <c r="J1514" s="51">
        <f t="shared" si="429"/>
        <v>255646.2823396126</v>
      </c>
    </row>
    <row r="1515" spans="1:10" x14ac:dyDescent="0.25">
      <c r="A1515" s="4" t="s">
        <v>127</v>
      </c>
      <c r="B1515" s="5" t="s">
        <v>253</v>
      </c>
      <c r="C1515" s="5" t="s">
        <v>210</v>
      </c>
      <c r="D1515" s="5">
        <v>146</v>
      </c>
      <c r="E1515" s="11">
        <v>283386</v>
      </c>
      <c r="F1515" s="11">
        <v>0</v>
      </c>
      <c r="G1515" s="27">
        <f t="shared" si="426"/>
        <v>699.11538461538487</v>
      </c>
      <c r="H1515" s="13">
        <f t="shared" si="427"/>
        <v>888522.58348574198</v>
      </c>
      <c r="I1515" s="13">
        <f t="shared" si="428"/>
        <v>0</v>
      </c>
      <c r="J1515" s="51">
        <f t="shared" si="429"/>
        <v>888522.58348574198</v>
      </c>
    </row>
    <row r="1516" spans="1:10" x14ac:dyDescent="0.25">
      <c r="A1516" s="4" t="s">
        <v>127</v>
      </c>
      <c r="B1516" s="5" t="s">
        <v>254</v>
      </c>
      <c r="C1516" s="5" t="s">
        <v>212</v>
      </c>
      <c r="D1516" s="5">
        <v>24</v>
      </c>
      <c r="E1516" s="11">
        <v>69888</v>
      </c>
      <c r="F1516" s="11">
        <v>0</v>
      </c>
      <c r="G1516" s="27">
        <f t="shared" si="426"/>
        <v>114.92307692307696</v>
      </c>
      <c r="H1516" s="13">
        <f t="shared" si="427"/>
        <v>219125.38486252507</v>
      </c>
      <c r="I1516" s="13">
        <f t="shared" si="428"/>
        <v>0</v>
      </c>
      <c r="J1516" s="51">
        <f t="shared" si="429"/>
        <v>219125.38486252507</v>
      </c>
    </row>
    <row r="1517" spans="1:10" x14ac:dyDescent="0.25">
      <c r="A1517" s="4" t="s">
        <v>127</v>
      </c>
      <c r="B1517" s="5" t="s">
        <v>255</v>
      </c>
      <c r="C1517" s="5" t="s">
        <v>210</v>
      </c>
      <c r="D1517" s="5">
        <v>34</v>
      </c>
      <c r="E1517" s="11">
        <v>65994</v>
      </c>
      <c r="F1517" s="11">
        <v>0</v>
      </c>
      <c r="G1517" s="27">
        <f t="shared" si="426"/>
        <v>162.80769230769238</v>
      </c>
      <c r="H1517" s="13">
        <f t="shared" si="427"/>
        <v>206916.21807202211</v>
      </c>
      <c r="I1517" s="13">
        <f t="shared" si="428"/>
        <v>0</v>
      </c>
      <c r="J1517" s="51">
        <f t="shared" si="429"/>
        <v>206916.21807202211</v>
      </c>
    </row>
    <row r="1518" spans="1:10" x14ac:dyDescent="0.25">
      <c r="A1518" s="4" t="s">
        <v>127</v>
      </c>
      <c r="B1518" s="5" t="s">
        <v>256</v>
      </c>
      <c r="C1518" s="5" t="s">
        <v>212</v>
      </c>
      <c r="D1518" s="5">
        <v>10</v>
      </c>
      <c r="E1518" s="11">
        <v>29120</v>
      </c>
      <c r="F1518" s="11">
        <v>0</v>
      </c>
      <c r="G1518" s="27">
        <f t="shared" si="426"/>
        <v>47.884615384615401</v>
      </c>
      <c r="H1518" s="13">
        <f t="shared" si="427"/>
        <v>91302.243692718781</v>
      </c>
      <c r="I1518" s="13">
        <f t="shared" si="428"/>
        <v>0</v>
      </c>
      <c r="J1518" s="51">
        <f t="shared" si="429"/>
        <v>91302.243692718781</v>
      </c>
    </row>
    <row r="1519" spans="1:10" x14ac:dyDescent="0.25">
      <c r="A1519" s="15" t="s">
        <v>127</v>
      </c>
      <c r="B1519" s="16" t="s">
        <v>257</v>
      </c>
      <c r="C1519" s="16" t="s">
        <v>210</v>
      </c>
      <c r="D1519" s="16">
        <v>22</v>
      </c>
      <c r="E1519" s="18">
        <v>42702</v>
      </c>
      <c r="F1519" s="18">
        <v>0</v>
      </c>
      <c r="G1519" s="27">
        <f t="shared" si="426"/>
        <v>105.34615384615388</v>
      </c>
      <c r="H1519" s="13">
        <f t="shared" si="427"/>
        <v>133886.96463483782</v>
      </c>
      <c r="I1519" s="13">
        <f t="shared" si="428"/>
        <v>0</v>
      </c>
      <c r="J1519" s="51">
        <f t="shared" si="429"/>
        <v>133886.96463483782</v>
      </c>
    </row>
    <row r="1520" spans="1:10" s="3" customFormat="1" x14ac:dyDescent="0.25">
      <c r="A1520" s="4"/>
      <c r="B1520" s="20" t="s">
        <v>357</v>
      </c>
      <c r="C1520" s="21"/>
      <c r="D1520" s="21"/>
      <c r="E1520" s="29"/>
      <c r="F1520" s="29"/>
      <c r="G1520" s="47">
        <f>SUM(G1484:G1519)</f>
        <v>6225.0000000000018</v>
      </c>
      <c r="H1520" s="47">
        <f t="shared" ref="H1520:J1520" si="430">SUM(H1484:H1519)</f>
        <v>22660270</v>
      </c>
      <c r="I1520" s="47">
        <f t="shared" si="430"/>
        <v>2339730</v>
      </c>
      <c r="J1520" s="47">
        <f t="shared" si="430"/>
        <v>25000000</v>
      </c>
    </row>
    <row r="1521" spans="1:10" x14ac:dyDescent="0.25">
      <c r="A1521" s="23" t="s">
        <v>128</v>
      </c>
      <c r="B1521" s="24" t="s">
        <v>214</v>
      </c>
      <c r="C1521" s="24" t="s">
        <v>210</v>
      </c>
      <c r="D1521" s="24">
        <v>1</v>
      </c>
      <c r="E1521" s="30">
        <v>970</v>
      </c>
      <c r="F1521" s="30">
        <v>0</v>
      </c>
      <c r="G1521" s="27">
        <f>+D1521*4.8</f>
        <v>4.8</v>
      </c>
      <c r="H1521" s="13">
        <f>+E1521*1177445/12320</f>
        <v>92704.679383116876</v>
      </c>
      <c r="I1521" s="13">
        <f>+F1521*322555/3375</f>
        <v>0</v>
      </c>
      <c r="J1521" s="51">
        <f t="shared" si="429"/>
        <v>92704.679383116876</v>
      </c>
    </row>
    <row r="1522" spans="1:10" x14ac:dyDescent="0.25">
      <c r="A1522" s="4" t="s">
        <v>128</v>
      </c>
      <c r="B1522" s="5" t="s">
        <v>217</v>
      </c>
      <c r="C1522" s="5" t="s">
        <v>218</v>
      </c>
      <c r="D1522" s="5">
        <v>1</v>
      </c>
      <c r="E1522" s="11">
        <v>3313</v>
      </c>
      <c r="F1522" s="11">
        <v>1325</v>
      </c>
      <c r="G1522" s="27">
        <f t="shared" ref="G1522:G1525" si="431">+D1522*4.8</f>
        <v>4.8</v>
      </c>
      <c r="H1522" s="13">
        <f t="shared" ref="H1522:H1525" si="432">+E1522*1177445/12320</f>
        <v>316629.48741883115</v>
      </c>
      <c r="I1522" s="13">
        <f t="shared" ref="I1522:I1525" si="433">+F1522*322555/3375</f>
        <v>126632.70370370371</v>
      </c>
      <c r="J1522" s="51">
        <f t="shared" si="429"/>
        <v>443262.19112253486</v>
      </c>
    </row>
    <row r="1523" spans="1:10" x14ac:dyDescent="0.25">
      <c r="A1523" s="4" t="s">
        <v>128</v>
      </c>
      <c r="B1523" s="5" t="s">
        <v>228</v>
      </c>
      <c r="C1523" s="5" t="s">
        <v>229</v>
      </c>
      <c r="D1523" s="5">
        <v>1</v>
      </c>
      <c r="E1523" s="11">
        <v>1941</v>
      </c>
      <c r="F1523" s="11">
        <v>0</v>
      </c>
      <c r="G1523" s="27">
        <f t="shared" si="431"/>
        <v>4.8</v>
      </c>
      <c r="H1523" s="13">
        <f t="shared" si="432"/>
        <v>185504.93060064936</v>
      </c>
      <c r="I1523" s="13">
        <f t="shared" si="433"/>
        <v>0</v>
      </c>
      <c r="J1523" s="51">
        <f t="shared" si="429"/>
        <v>185504.93060064936</v>
      </c>
    </row>
    <row r="1524" spans="1:10" x14ac:dyDescent="0.25">
      <c r="A1524" s="4" t="s">
        <v>128</v>
      </c>
      <c r="B1524" s="5" t="s">
        <v>240</v>
      </c>
      <c r="C1524" s="5" t="s">
        <v>238</v>
      </c>
      <c r="D1524" s="5">
        <v>1</v>
      </c>
      <c r="E1524" s="11">
        <v>5126</v>
      </c>
      <c r="F1524" s="11">
        <v>2050</v>
      </c>
      <c r="G1524" s="27">
        <f t="shared" si="431"/>
        <v>4.8</v>
      </c>
      <c r="H1524" s="13">
        <f t="shared" si="432"/>
        <v>489901.22321428574</v>
      </c>
      <c r="I1524" s="13">
        <f t="shared" si="433"/>
        <v>195922.29629629629</v>
      </c>
      <c r="J1524" s="51">
        <f t="shared" si="429"/>
        <v>685823.51951058209</v>
      </c>
    </row>
    <row r="1525" spans="1:10" x14ac:dyDescent="0.25">
      <c r="A1525" s="15" t="s">
        <v>128</v>
      </c>
      <c r="B1525" s="16" t="s">
        <v>253</v>
      </c>
      <c r="C1525" s="16" t="s">
        <v>210</v>
      </c>
      <c r="D1525" s="16">
        <v>1</v>
      </c>
      <c r="E1525" s="18">
        <v>970</v>
      </c>
      <c r="F1525" s="18">
        <v>0</v>
      </c>
      <c r="G1525" s="27">
        <f t="shared" si="431"/>
        <v>4.8</v>
      </c>
      <c r="H1525" s="13">
        <f t="shared" si="432"/>
        <v>92704.679383116876</v>
      </c>
      <c r="I1525" s="13">
        <f t="shared" si="433"/>
        <v>0</v>
      </c>
      <c r="J1525" s="51">
        <f t="shared" si="429"/>
        <v>92704.679383116876</v>
      </c>
    </row>
    <row r="1526" spans="1:10" s="3" customFormat="1" x14ac:dyDescent="0.25">
      <c r="A1526" s="4"/>
      <c r="B1526" s="20" t="s">
        <v>358</v>
      </c>
      <c r="C1526" s="21"/>
      <c r="D1526" s="21"/>
      <c r="E1526" s="29"/>
      <c r="F1526" s="29"/>
      <c r="G1526" s="47">
        <f>SUM(G1521:G1525)</f>
        <v>24</v>
      </c>
      <c r="H1526" s="47">
        <f t="shared" ref="H1526:J1526" si="434">SUM(H1521:H1525)</f>
        <v>1177445</v>
      </c>
      <c r="I1526" s="47">
        <f t="shared" si="434"/>
        <v>322555</v>
      </c>
      <c r="J1526" s="47">
        <f t="shared" si="434"/>
        <v>1500000</v>
      </c>
    </row>
    <row r="1527" spans="1:10" x14ac:dyDescent="0.25">
      <c r="A1527" s="23" t="s">
        <v>129</v>
      </c>
      <c r="B1527" s="24" t="s">
        <v>253</v>
      </c>
      <c r="C1527" s="24" t="s">
        <v>210</v>
      </c>
      <c r="D1527" s="24">
        <v>1</v>
      </c>
      <c r="E1527" s="30">
        <v>970</v>
      </c>
      <c r="F1527" s="30">
        <v>0</v>
      </c>
      <c r="G1527" s="27">
        <f>+D1527*5</f>
        <v>5</v>
      </c>
      <c r="H1527" s="13">
        <f>+E1527*1500000/1940</f>
        <v>750000</v>
      </c>
      <c r="I1527" s="13">
        <v>0</v>
      </c>
      <c r="J1527" s="51">
        <f t="shared" si="429"/>
        <v>750000</v>
      </c>
    </row>
    <row r="1528" spans="1:10" x14ac:dyDescent="0.25">
      <c r="A1528" s="15" t="s">
        <v>129</v>
      </c>
      <c r="B1528" s="16" t="s">
        <v>257</v>
      </c>
      <c r="C1528" s="16" t="s">
        <v>210</v>
      </c>
      <c r="D1528" s="16">
        <v>1</v>
      </c>
      <c r="E1528" s="18">
        <v>970</v>
      </c>
      <c r="F1528" s="18">
        <v>0</v>
      </c>
      <c r="G1528" s="27">
        <f>+D1528*5</f>
        <v>5</v>
      </c>
      <c r="H1528" s="13">
        <f>+E1528*1500000/1940</f>
        <v>750000</v>
      </c>
      <c r="I1528" s="13">
        <v>0</v>
      </c>
      <c r="J1528" s="51">
        <f t="shared" si="429"/>
        <v>750000</v>
      </c>
    </row>
    <row r="1529" spans="1:10" s="3" customFormat="1" x14ac:dyDescent="0.25">
      <c r="A1529" s="4"/>
      <c r="B1529" s="20" t="s">
        <v>359</v>
      </c>
      <c r="C1529" s="21"/>
      <c r="D1529" s="21"/>
      <c r="E1529" s="29"/>
      <c r="F1529" s="29"/>
      <c r="G1529" s="47">
        <f>SUM(G1527:G1528)</f>
        <v>10</v>
      </c>
      <c r="H1529" s="47">
        <f t="shared" ref="H1529:J1529" si="435">SUM(H1527:H1528)</f>
        <v>1500000</v>
      </c>
      <c r="I1529" s="47">
        <f t="shared" si="435"/>
        <v>0</v>
      </c>
      <c r="J1529" s="47">
        <f t="shared" si="435"/>
        <v>1500000</v>
      </c>
    </row>
    <row r="1530" spans="1:10" x14ac:dyDescent="0.25">
      <c r="A1530" s="23" t="s">
        <v>130</v>
      </c>
      <c r="B1530" s="24" t="s">
        <v>214</v>
      </c>
      <c r="C1530" s="24" t="s">
        <v>210</v>
      </c>
      <c r="D1530" s="24">
        <v>2</v>
      </c>
      <c r="E1530" s="30">
        <v>1940</v>
      </c>
      <c r="F1530" s="30">
        <v>0</v>
      </c>
      <c r="G1530" s="27">
        <f>+D1530*4.78787878787879</f>
        <v>9.5757575757575797</v>
      </c>
      <c r="H1530" s="13">
        <f>+E1530*4676340/761454</f>
        <v>11914.179451417946</v>
      </c>
      <c r="I1530" s="13">
        <f>+F1530*323660/52702</f>
        <v>0</v>
      </c>
      <c r="J1530" s="51">
        <f t="shared" si="429"/>
        <v>11914.179451417946</v>
      </c>
    </row>
    <row r="1531" spans="1:10" x14ac:dyDescent="0.25">
      <c r="A1531" s="4" t="s">
        <v>130</v>
      </c>
      <c r="B1531" s="5" t="s">
        <v>217</v>
      </c>
      <c r="C1531" s="5" t="s">
        <v>218</v>
      </c>
      <c r="D1531" s="5">
        <v>4</v>
      </c>
      <c r="E1531" s="11">
        <v>13252</v>
      </c>
      <c r="F1531" s="11">
        <v>5300</v>
      </c>
      <c r="G1531" s="27">
        <f t="shared" ref="G1531:G1545" si="436">+D1531*4.78787878787879</f>
        <v>19.151515151515159</v>
      </c>
      <c r="H1531" s="13">
        <f t="shared" ref="H1531:H1545" si="437">+E1531*4676340/761454</f>
        <v>81384.900046490002</v>
      </c>
      <c r="I1531" s="13">
        <f t="shared" ref="I1531:I1545" si="438">+F1531*323660/52702</f>
        <v>32549.011422716405</v>
      </c>
      <c r="J1531" s="51">
        <f t="shared" si="429"/>
        <v>113933.9114692064</v>
      </c>
    </row>
    <row r="1532" spans="1:10" x14ac:dyDescent="0.25">
      <c r="A1532" s="4" t="s">
        <v>130</v>
      </c>
      <c r="B1532" s="5" t="s">
        <v>221</v>
      </c>
      <c r="C1532" s="5" t="s">
        <v>222</v>
      </c>
      <c r="D1532" s="5">
        <v>1</v>
      </c>
      <c r="E1532" s="11">
        <v>72800</v>
      </c>
      <c r="F1532" s="11">
        <v>29120</v>
      </c>
      <c r="G1532" s="27">
        <f t="shared" si="436"/>
        <v>4.7878787878787898</v>
      </c>
      <c r="H1532" s="13">
        <f t="shared" si="437"/>
        <v>447088.79590887961</v>
      </c>
      <c r="I1532" s="13">
        <f t="shared" si="438"/>
        <v>178835.32313764183</v>
      </c>
      <c r="J1532" s="51">
        <f t="shared" si="429"/>
        <v>625924.11904652137</v>
      </c>
    </row>
    <row r="1533" spans="1:10" x14ac:dyDescent="0.25">
      <c r="A1533" s="4" t="s">
        <v>130</v>
      </c>
      <c r="B1533" s="5" t="s">
        <v>266</v>
      </c>
      <c r="C1533" s="5" t="s">
        <v>210</v>
      </c>
      <c r="D1533" s="5">
        <v>1</v>
      </c>
      <c r="E1533" s="11">
        <v>970</v>
      </c>
      <c r="F1533" s="11">
        <v>0</v>
      </c>
      <c r="G1533" s="27">
        <f t="shared" si="436"/>
        <v>4.7878787878787898</v>
      </c>
      <c r="H1533" s="13">
        <f t="shared" si="437"/>
        <v>5957.0897257089728</v>
      </c>
      <c r="I1533" s="13">
        <f t="shared" si="438"/>
        <v>0</v>
      </c>
      <c r="J1533" s="51">
        <f t="shared" si="429"/>
        <v>5957.0897257089728</v>
      </c>
    </row>
    <row r="1534" spans="1:10" x14ac:dyDescent="0.25">
      <c r="A1534" s="4" t="s">
        <v>130</v>
      </c>
      <c r="B1534" s="5" t="s">
        <v>226</v>
      </c>
      <c r="C1534" s="5" t="s">
        <v>210</v>
      </c>
      <c r="D1534" s="5">
        <v>4</v>
      </c>
      <c r="E1534" s="11">
        <v>3880</v>
      </c>
      <c r="F1534" s="11">
        <v>0</v>
      </c>
      <c r="G1534" s="27">
        <f t="shared" si="436"/>
        <v>19.151515151515159</v>
      </c>
      <c r="H1534" s="13">
        <f t="shared" si="437"/>
        <v>23828.358902835891</v>
      </c>
      <c r="I1534" s="13">
        <f t="shared" si="438"/>
        <v>0</v>
      </c>
      <c r="J1534" s="51">
        <f t="shared" si="429"/>
        <v>23828.358902835891</v>
      </c>
    </row>
    <row r="1535" spans="1:10" x14ac:dyDescent="0.25">
      <c r="A1535" s="4" t="s">
        <v>130</v>
      </c>
      <c r="B1535" s="5" t="s">
        <v>227</v>
      </c>
      <c r="C1535" s="5" t="s">
        <v>210</v>
      </c>
      <c r="D1535" s="5">
        <v>2</v>
      </c>
      <c r="E1535" s="11">
        <v>1940</v>
      </c>
      <c r="F1535" s="11">
        <v>0</v>
      </c>
      <c r="G1535" s="27">
        <f t="shared" si="436"/>
        <v>9.5757575757575797</v>
      </c>
      <c r="H1535" s="13">
        <f t="shared" si="437"/>
        <v>11914.179451417946</v>
      </c>
      <c r="I1535" s="13">
        <f t="shared" si="438"/>
        <v>0</v>
      </c>
      <c r="J1535" s="51">
        <f t="shared" si="429"/>
        <v>11914.179451417946</v>
      </c>
    </row>
    <row r="1536" spans="1:10" x14ac:dyDescent="0.25">
      <c r="A1536" s="4" t="s">
        <v>130</v>
      </c>
      <c r="B1536" s="5" t="s">
        <v>228</v>
      </c>
      <c r="C1536" s="5" t="s">
        <v>229</v>
      </c>
      <c r="D1536" s="5">
        <v>25</v>
      </c>
      <c r="E1536" s="11">
        <v>48525</v>
      </c>
      <c r="F1536" s="11">
        <v>0</v>
      </c>
      <c r="G1536" s="27">
        <f t="shared" si="436"/>
        <v>119.69696969696975</v>
      </c>
      <c r="H1536" s="13">
        <f t="shared" si="437"/>
        <v>298008.01952580194</v>
      </c>
      <c r="I1536" s="13">
        <f t="shared" si="438"/>
        <v>0</v>
      </c>
      <c r="J1536" s="51">
        <f t="shared" si="429"/>
        <v>298008.01952580194</v>
      </c>
    </row>
    <row r="1537" spans="1:10" x14ac:dyDescent="0.25">
      <c r="A1537" s="4" t="s">
        <v>130</v>
      </c>
      <c r="B1537" s="5" t="s">
        <v>230</v>
      </c>
      <c r="C1537" s="5" t="s">
        <v>229</v>
      </c>
      <c r="D1537" s="5">
        <v>3</v>
      </c>
      <c r="E1537" s="11">
        <v>5823</v>
      </c>
      <c r="F1537" s="11">
        <v>0</v>
      </c>
      <c r="G1537" s="27">
        <f t="shared" si="436"/>
        <v>14.36363636363637</v>
      </c>
      <c r="H1537" s="13">
        <f t="shared" si="437"/>
        <v>35760.962343096231</v>
      </c>
      <c r="I1537" s="13">
        <f t="shared" si="438"/>
        <v>0</v>
      </c>
      <c r="J1537" s="51">
        <f t="shared" si="429"/>
        <v>35760.962343096231</v>
      </c>
    </row>
    <row r="1538" spans="1:10" x14ac:dyDescent="0.25">
      <c r="A1538" s="4" t="s">
        <v>130</v>
      </c>
      <c r="B1538" s="5" t="s">
        <v>262</v>
      </c>
      <c r="C1538" s="5" t="s">
        <v>263</v>
      </c>
      <c r="D1538" s="5">
        <v>3</v>
      </c>
      <c r="E1538" s="11">
        <v>454998</v>
      </c>
      <c r="F1538" s="11">
        <v>0</v>
      </c>
      <c r="G1538" s="27">
        <f t="shared" si="436"/>
        <v>14.36363636363637</v>
      </c>
      <c r="H1538" s="13">
        <f t="shared" si="437"/>
        <v>2794292.6917712693</v>
      </c>
      <c r="I1538" s="13">
        <f t="shared" si="438"/>
        <v>0</v>
      </c>
      <c r="J1538" s="51">
        <f t="shared" si="429"/>
        <v>2794292.6917712693</v>
      </c>
    </row>
    <row r="1539" spans="1:10" x14ac:dyDescent="0.25">
      <c r="A1539" s="4" t="s">
        <v>130</v>
      </c>
      <c r="B1539" s="5" t="s">
        <v>233</v>
      </c>
      <c r="C1539" s="5" t="s">
        <v>234</v>
      </c>
      <c r="D1539" s="5">
        <v>1</v>
      </c>
      <c r="E1539" s="11">
        <v>97066</v>
      </c>
      <c r="F1539" s="11">
        <v>0</v>
      </c>
      <c r="G1539" s="27">
        <f t="shared" si="436"/>
        <v>4.7878787878787898</v>
      </c>
      <c r="H1539" s="13">
        <f t="shared" si="437"/>
        <v>596114.30032543</v>
      </c>
      <c r="I1539" s="13">
        <f t="shared" si="438"/>
        <v>0</v>
      </c>
      <c r="J1539" s="51">
        <f t="shared" si="429"/>
        <v>596114.30032543</v>
      </c>
    </row>
    <row r="1540" spans="1:10" x14ac:dyDescent="0.25">
      <c r="A1540" s="4" t="s">
        <v>130</v>
      </c>
      <c r="B1540" s="5" t="s">
        <v>242</v>
      </c>
      <c r="C1540" s="5" t="s">
        <v>238</v>
      </c>
      <c r="D1540" s="5">
        <v>1</v>
      </c>
      <c r="E1540" s="11">
        <v>5126</v>
      </c>
      <c r="F1540" s="11">
        <v>2050</v>
      </c>
      <c r="G1540" s="27">
        <f t="shared" si="436"/>
        <v>4.7878787878787898</v>
      </c>
      <c r="H1540" s="13">
        <f t="shared" si="437"/>
        <v>31480.45560204556</v>
      </c>
      <c r="I1540" s="13">
        <f t="shared" si="438"/>
        <v>12589.711965390308</v>
      </c>
      <c r="J1540" s="51">
        <f t="shared" si="429"/>
        <v>44070.16756743587</v>
      </c>
    </row>
    <row r="1541" spans="1:10" x14ac:dyDescent="0.25">
      <c r="A1541" s="4" t="s">
        <v>130</v>
      </c>
      <c r="B1541" s="5" t="s">
        <v>269</v>
      </c>
      <c r="C1541" s="5" t="s">
        <v>238</v>
      </c>
      <c r="D1541" s="5">
        <v>2</v>
      </c>
      <c r="E1541" s="11">
        <v>10252</v>
      </c>
      <c r="F1541" s="11">
        <v>4100</v>
      </c>
      <c r="G1541" s="27">
        <f t="shared" si="436"/>
        <v>9.5757575757575797</v>
      </c>
      <c r="H1541" s="13">
        <f t="shared" si="437"/>
        <v>62960.91120409112</v>
      </c>
      <c r="I1541" s="13">
        <f t="shared" si="438"/>
        <v>25179.423930780617</v>
      </c>
      <c r="J1541" s="51">
        <f t="shared" si="429"/>
        <v>88140.335134871741</v>
      </c>
    </row>
    <row r="1542" spans="1:10" x14ac:dyDescent="0.25">
      <c r="A1542" s="4" t="s">
        <v>130</v>
      </c>
      <c r="B1542" s="5" t="s">
        <v>249</v>
      </c>
      <c r="C1542" s="5" t="s">
        <v>250</v>
      </c>
      <c r="D1542" s="5">
        <v>2</v>
      </c>
      <c r="E1542" s="11">
        <v>30332</v>
      </c>
      <c r="F1542" s="11">
        <v>12132</v>
      </c>
      <c r="G1542" s="27">
        <f t="shared" si="436"/>
        <v>9.5757575757575797</v>
      </c>
      <c r="H1542" s="13">
        <f t="shared" si="437"/>
        <v>186278.80985588097</v>
      </c>
      <c r="I1542" s="13">
        <f t="shared" si="438"/>
        <v>74506.529543470839</v>
      </c>
      <c r="J1542" s="51">
        <f t="shared" si="429"/>
        <v>260785.3393993518</v>
      </c>
    </row>
    <row r="1543" spans="1:10" x14ac:dyDescent="0.25">
      <c r="A1543" s="4" t="s">
        <v>130</v>
      </c>
      <c r="B1543" s="5" t="s">
        <v>253</v>
      </c>
      <c r="C1543" s="5" t="s">
        <v>210</v>
      </c>
      <c r="D1543" s="5">
        <v>7</v>
      </c>
      <c r="E1543" s="11">
        <v>6790</v>
      </c>
      <c r="F1543" s="11">
        <v>0</v>
      </c>
      <c r="G1543" s="27">
        <f t="shared" si="436"/>
        <v>33.51515151515153</v>
      </c>
      <c r="H1543" s="13">
        <f t="shared" si="437"/>
        <v>41699.628079962808</v>
      </c>
      <c r="I1543" s="13">
        <f t="shared" si="438"/>
        <v>0</v>
      </c>
      <c r="J1543" s="51">
        <f t="shared" si="429"/>
        <v>41699.628079962808</v>
      </c>
    </row>
    <row r="1544" spans="1:10" x14ac:dyDescent="0.25">
      <c r="A1544" s="4" t="s">
        <v>130</v>
      </c>
      <c r="B1544" s="5" t="s">
        <v>255</v>
      </c>
      <c r="C1544" s="5" t="s">
        <v>210</v>
      </c>
      <c r="D1544" s="5">
        <v>7</v>
      </c>
      <c r="E1544" s="11">
        <v>6790</v>
      </c>
      <c r="F1544" s="11">
        <v>0</v>
      </c>
      <c r="G1544" s="27">
        <f t="shared" si="436"/>
        <v>33.51515151515153</v>
      </c>
      <c r="H1544" s="13">
        <f t="shared" si="437"/>
        <v>41699.628079962808</v>
      </c>
      <c r="I1544" s="13">
        <f t="shared" si="438"/>
        <v>0</v>
      </c>
      <c r="J1544" s="51">
        <f t="shared" si="429"/>
        <v>41699.628079962808</v>
      </c>
    </row>
    <row r="1545" spans="1:10" x14ac:dyDescent="0.25">
      <c r="A1545" s="15" t="s">
        <v>130</v>
      </c>
      <c r="B1545" s="16" t="s">
        <v>257</v>
      </c>
      <c r="C1545" s="16" t="s">
        <v>210</v>
      </c>
      <c r="D1545" s="16">
        <v>1</v>
      </c>
      <c r="E1545" s="18">
        <v>970</v>
      </c>
      <c r="F1545" s="18">
        <v>0</v>
      </c>
      <c r="G1545" s="27">
        <f t="shared" si="436"/>
        <v>4.7878787878787898</v>
      </c>
      <c r="H1545" s="13">
        <f t="shared" si="437"/>
        <v>5957.0897257089728</v>
      </c>
      <c r="I1545" s="13">
        <f t="shared" si="438"/>
        <v>0</v>
      </c>
      <c r="J1545" s="51">
        <f t="shared" si="429"/>
        <v>5957.0897257089728</v>
      </c>
    </row>
    <row r="1546" spans="1:10" s="3" customFormat="1" x14ac:dyDescent="0.25">
      <c r="A1546" s="4"/>
      <c r="B1546" s="20" t="s">
        <v>360</v>
      </c>
      <c r="C1546" s="21"/>
      <c r="D1546" s="21"/>
      <c r="E1546" s="29"/>
      <c r="F1546" s="29"/>
      <c r="G1546" s="47">
        <f>SUM(G1530:G1545)</f>
        <v>316.00000000000017</v>
      </c>
      <c r="H1546" s="47">
        <f t="shared" ref="H1546:J1546" si="439">SUM(H1530:H1545)</f>
        <v>4676340</v>
      </c>
      <c r="I1546" s="47">
        <f t="shared" si="439"/>
        <v>323660</v>
      </c>
      <c r="J1546" s="47">
        <f t="shared" si="439"/>
        <v>4999999.9999999991</v>
      </c>
    </row>
    <row r="1547" spans="1:10" x14ac:dyDescent="0.25">
      <c r="A1547" s="23" t="s">
        <v>131</v>
      </c>
      <c r="B1547" s="24" t="s">
        <v>214</v>
      </c>
      <c r="C1547" s="24" t="s">
        <v>210</v>
      </c>
      <c r="D1547" s="24">
        <v>5</v>
      </c>
      <c r="E1547" s="30">
        <v>2425</v>
      </c>
      <c r="F1547" s="30">
        <v>0</v>
      </c>
      <c r="G1547" s="27">
        <f>+D1547*4.83333333333333</f>
        <v>24.16666666666665</v>
      </c>
      <c r="H1547" s="13">
        <f>+E1547*1132353/4081</f>
        <v>672863.51997059549</v>
      </c>
      <c r="I1547" s="13">
        <f>+F1547*367647/1325</f>
        <v>0</v>
      </c>
      <c r="J1547" s="51">
        <f t="shared" si="429"/>
        <v>672863.51997059549</v>
      </c>
    </row>
    <row r="1548" spans="1:10" x14ac:dyDescent="0.25">
      <c r="A1548" s="15" t="s">
        <v>131</v>
      </c>
      <c r="B1548" s="16" t="s">
        <v>217</v>
      </c>
      <c r="C1548" s="16" t="s">
        <v>218</v>
      </c>
      <c r="D1548" s="16">
        <v>1</v>
      </c>
      <c r="E1548" s="18">
        <v>1656</v>
      </c>
      <c r="F1548" s="18">
        <v>1325</v>
      </c>
      <c r="G1548" s="27">
        <f>+D1548*4.83333333333333</f>
        <v>4.8333333333333304</v>
      </c>
      <c r="H1548" s="13">
        <f>+E1548*1132353/4081</f>
        <v>459489.48002940457</v>
      </c>
      <c r="I1548" s="13">
        <f>+F1548*367647/1325</f>
        <v>367647</v>
      </c>
      <c r="J1548" s="51">
        <f t="shared" si="429"/>
        <v>827136.48002940463</v>
      </c>
    </row>
    <row r="1549" spans="1:10" s="3" customFormat="1" x14ac:dyDescent="0.25">
      <c r="A1549" s="4"/>
      <c r="B1549" s="20" t="s">
        <v>361</v>
      </c>
      <c r="C1549" s="21"/>
      <c r="D1549" s="21"/>
      <c r="E1549" s="29"/>
      <c r="F1549" s="29"/>
      <c r="G1549" s="47">
        <f>SUM(G1547:G1548)</f>
        <v>28.999999999999979</v>
      </c>
      <c r="H1549" s="47">
        <f t="shared" ref="H1549:J1549" si="440">SUM(H1547:H1548)</f>
        <v>1132353</v>
      </c>
      <c r="I1549" s="47">
        <f t="shared" si="440"/>
        <v>367647</v>
      </c>
      <c r="J1549" s="47">
        <f t="shared" si="440"/>
        <v>1500000</v>
      </c>
    </row>
    <row r="1550" spans="1:10" x14ac:dyDescent="0.25">
      <c r="A1550" s="23" t="s">
        <v>132</v>
      </c>
      <c r="B1550" s="24" t="s">
        <v>214</v>
      </c>
      <c r="C1550" s="24" t="s">
        <v>210</v>
      </c>
      <c r="D1550" s="24">
        <v>1</v>
      </c>
      <c r="E1550" s="30">
        <v>970</v>
      </c>
      <c r="F1550" s="30">
        <v>0</v>
      </c>
      <c r="G1550" s="27">
        <f>+D1550*4.75</f>
        <v>4.75</v>
      </c>
      <c r="H1550" s="13">
        <f>+E1550*1688931/7194</f>
        <v>227726.30942452044</v>
      </c>
      <c r="I1550" s="13">
        <f>+F1550*311069/1325</f>
        <v>0</v>
      </c>
      <c r="J1550" s="51">
        <f t="shared" si="429"/>
        <v>227726.30942452044</v>
      </c>
    </row>
    <row r="1551" spans="1:10" x14ac:dyDescent="0.25">
      <c r="A1551" s="4" t="s">
        <v>132</v>
      </c>
      <c r="B1551" s="5" t="s">
        <v>217</v>
      </c>
      <c r="C1551" s="5" t="s">
        <v>218</v>
      </c>
      <c r="D1551" s="5">
        <v>1</v>
      </c>
      <c r="E1551" s="11">
        <v>3313</v>
      </c>
      <c r="F1551" s="11">
        <v>1325</v>
      </c>
      <c r="G1551" s="27">
        <f t="shared" ref="G1551:G1553" si="441">+D1551*4.75</f>
        <v>4.75</v>
      </c>
      <c r="H1551" s="13">
        <f t="shared" ref="H1551:H1553" si="442">+E1551*1688931/7194</f>
        <v>777790.99291075894</v>
      </c>
      <c r="I1551" s="13">
        <f t="shared" ref="I1551:I1553" si="443">+F1551*311069/1325</f>
        <v>311069</v>
      </c>
      <c r="J1551" s="51">
        <f t="shared" si="429"/>
        <v>1088859.9929107591</v>
      </c>
    </row>
    <row r="1552" spans="1:10" x14ac:dyDescent="0.25">
      <c r="A1552" s="4" t="s">
        <v>132</v>
      </c>
      <c r="B1552" s="5" t="s">
        <v>230</v>
      </c>
      <c r="C1552" s="5" t="s">
        <v>229</v>
      </c>
      <c r="D1552" s="5">
        <v>1</v>
      </c>
      <c r="E1552" s="11">
        <v>1941</v>
      </c>
      <c r="F1552" s="11">
        <v>0</v>
      </c>
      <c r="G1552" s="27">
        <f t="shared" si="441"/>
        <v>4.75</v>
      </c>
      <c r="H1552" s="13">
        <f t="shared" si="442"/>
        <v>455687.38824020018</v>
      </c>
      <c r="I1552" s="13">
        <f t="shared" si="443"/>
        <v>0</v>
      </c>
      <c r="J1552" s="51">
        <f t="shared" si="429"/>
        <v>455687.38824020018</v>
      </c>
    </row>
    <row r="1553" spans="1:10" x14ac:dyDescent="0.25">
      <c r="A1553" s="15" t="s">
        <v>132</v>
      </c>
      <c r="B1553" s="16" t="s">
        <v>253</v>
      </c>
      <c r="C1553" s="16" t="s">
        <v>210</v>
      </c>
      <c r="D1553" s="16">
        <v>1</v>
      </c>
      <c r="E1553" s="18">
        <v>970</v>
      </c>
      <c r="F1553" s="18">
        <v>0</v>
      </c>
      <c r="G1553" s="27">
        <f t="shared" si="441"/>
        <v>4.75</v>
      </c>
      <c r="H1553" s="13">
        <f t="shared" si="442"/>
        <v>227726.30942452044</v>
      </c>
      <c r="I1553" s="13">
        <f t="shared" si="443"/>
        <v>0</v>
      </c>
      <c r="J1553" s="51">
        <f t="shared" si="429"/>
        <v>227726.30942452044</v>
      </c>
    </row>
    <row r="1554" spans="1:10" s="3" customFormat="1" x14ac:dyDescent="0.25">
      <c r="A1554" s="4"/>
      <c r="B1554" s="20" t="s">
        <v>362</v>
      </c>
      <c r="C1554" s="21"/>
      <c r="D1554" s="21"/>
      <c r="E1554" s="29"/>
      <c r="F1554" s="29"/>
      <c r="G1554" s="47">
        <f>SUM(G1550:G1553)</f>
        <v>19</v>
      </c>
      <c r="H1554" s="47">
        <f t="shared" ref="H1554:J1554" si="444">SUM(H1550:H1553)</f>
        <v>1688931</v>
      </c>
      <c r="I1554" s="47">
        <f t="shared" si="444"/>
        <v>311069</v>
      </c>
      <c r="J1554" s="47">
        <f t="shared" si="444"/>
        <v>2000000.0000000002</v>
      </c>
    </row>
    <row r="1555" spans="1:10" x14ac:dyDescent="0.25">
      <c r="A1555" s="23" t="s">
        <v>133</v>
      </c>
      <c r="B1555" s="24" t="s">
        <v>207</v>
      </c>
      <c r="C1555" s="24" t="s">
        <v>208</v>
      </c>
      <c r="D1555" s="24">
        <v>1</v>
      </c>
      <c r="E1555" s="30">
        <v>11648</v>
      </c>
      <c r="F1555" s="30">
        <v>4659</v>
      </c>
      <c r="G1555" s="27">
        <f>+D1555*4.77777777777778</f>
        <v>4.7777777777777803</v>
      </c>
      <c r="H1555" s="13">
        <f>+E1555*3281627/298945</f>
        <v>127864.2937530315</v>
      </c>
      <c r="I1555" s="13">
        <f>+F1555*218373/19893</f>
        <v>51143.608656311262</v>
      </c>
      <c r="J1555" s="51">
        <f t="shared" si="429"/>
        <v>179007.90240934276</v>
      </c>
    </row>
    <row r="1556" spans="1:10" x14ac:dyDescent="0.25">
      <c r="A1556" s="4" t="s">
        <v>133</v>
      </c>
      <c r="B1556" s="5" t="s">
        <v>215</v>
      </c>
      <c r="C1556" s="5" t="s">
        <v>212</v>
      </c>
      <c r="D1556" s="5">
        <v>1</v>
      </c>
      <c r="E1556" s="11">
        <v>1456</v>
      </c>
      <c r="F1556" s="11">
        <v>0</v>
      </c>
      <c r="G1556" s="27">
        <f t="shared" ref="G1556:G1573" si="445">+D1556*4.77777777777778</f>
        <v>4.7777777777777803</v>
      </c>
      <c r="H1556" s="13">
        <f t="shared" ref="H1556:H1573" si="446">+E1556*3281627/298945</f>
        <v>15983.036719128937</v>
      </c>
      <c r="I1556" s="13">
        <f t="shared" ref="I1556:I1573" si="447">+F1556*218373/19893</f>
        <v>0</v>
      </c>
      <c r="J1556" s="51">
        <f t="shared" si="429"/>
        <v>15983.036719128937</v>
      </c>
    </row>
    <row r="1557" spans="1:10" x14ac:dyDescent="0.25">
      <c r="A1557" s="4" t="s">
        <v>133</v>
      </c>
      <c r="B1557" s="5" t="s">
        <v>217</v>
      </c>
      <c r="C1557" s="5" t="s">
        <v>218</v>
      </c>
      <c r="D1557" s="5">
        <v>1</v>
      </c>
      <c r="E1557" s="11">
        <v>3313</v>
      </c>
      <c r="F1557" s="11">
        <v>1325</v>
      </c>
      <c r="G1557" s="27">
        <f t="shared" si="445"/>
        <v>4.7777777777777803</v>
      </c>
      <c r="H1557" s="13">
        <f t="shared" si="446"/>
        <v>36367.994952248744</v>
      </c>
      <c r="I1557" s="13">
        <f t="shared" si="447"/>
        <v>14545.027145226964</v>
      </c>
      <c r="J1557" s="51">
        <f t="shared" si="429"/>
        <v>50913.02209747571</v>
      </c>
    </row>
    <row r="1558" spans="1:10" x14ac:dyDescent="0.25">
      <c r="A1558" s="4" t="s">
        <v>133</v>
      </c>
      <c r="B1558" s="5" t="s">
        <v>219</v>
      </c>
      <c r="C1558" s="5" t="s">
        <v>220</v>
      </c>
      <c r="D1558" s="5">
        <v>1</v>
      </c>
      <c r="E1558" s="11">
        <v>3397</v>
      </c>
      <c r="F1558" s="11">
        <v>1358</v>
      </c>
      <c r="G1558" s="27">
        <f t="shared" si="445"/>
        <v>4.7777777777777803</v>
      </c>
      <c r="H1558" s="13">
        <f t="shared" si="446"/>
        <v>37290.093224506178</v>
      </c>
      <c r="I1558" s="13">
        <f t="shared" si="447"/>
        <v>14907.280651485447</v>
      </c>
      <c r="J1558" s="51">
        <f t="shared" si="429"/>
        <v>52197.373875991623</v>
      </c>
    </row>
    <row r="1559" spans="1:10" x14ac:dyDescent="0.25">
      <c r="A1559" s="4" t="s">
        <v>133</v>
      </c>
      <c r="B1559" s="5" t="s">
        <v>260</v>
      </c>
      <c r="C1559" s="5" t="s">
        <v>208</v>
      </c>
      <c r="D1559" s="5">
        <v>1</v>
      </c>
      <c r="E1559" s="11">
        <v>46592</v>
      </c>
      <c r="F1559" s="11">
        <v>0</v>
      </c>
      <c r="G1559" s="27">
        <f t="shared" si="445"/>
        <v>4.7777777777777803</v>
      </c>
      <c r="H1559" s="13">
        <f t="shared" si="446"/>
        <v>511457.17501212598</v>
      </c>
      <c r="I1559" s="13">
        <f t="shared" si="447"/>
        <v>0</v>
      </c>
      <c r="J1559" s="51">
        <f t="shared" si="429"/>
        <v>511457.17501212598</v>
      </c>
    </row>
    <row r="1560" spans="1:10" x14ac:dyDescent="0.25">
      <c r="A1560" s="4" t="s">
        <v>133</v>
      </c>
      <c r="B1560" s="5" t="s">
        <v>223</v>
      </c>
      <c r="C1560" s="5" t="s">
        <v>224</v>
      </c>
      <c r="D1560" s="5">
        <v>4</v>
      </c>
      <c r="E1560" s="11">
        <v>970</v>
      </c>
      <c r="F1560" s="11">
        <v>0</v>
      </c>
      <c r="G1560" s="27">
        <f t="shared" si="445"/>
        <v>19.111111111111121</v>
      </c>
      <c r="H1560" s="13">
        <f t="shared" si="446"/>
        <v>10648.039572496613</v>
      </c>
      <c r="I1560" s="13">
        <f t="shared" si="447"/>
        <v>0</v>
      </c>
      <c r="J1560" s="51">
        <f t="shared" si="429"/>
        <v>10648.039572496613</v>
      </c>
    </row>
    <row r="1561" spans="1:10" x14ac:dyDescent="0.25">
      <c r="A1561" s="4" t="s">
        <v>133</v>
      </c>
      <c r="B1561" s="5" t="s">
        <v>225</v>
      </c>
      <c r="C1561" s="5" t="s">
        <v>210</v>
      </c>
      <c r="D1561" s="5">
        <v>1</v>
      </c>
      <c r="E1561" s="11">
        <v>970</v>
      </c>
      <c r="F1561" s="11">
        <v>0</v>
      </c>
      <c r="G1561" s="27">
        <f t="shared" si="445"/>
        <v>4.7777777777777803</v>
      </c>
      <c r="H1561" s="13">
        <f t="shared" si="446"/>
        <v>10648.039572496613</v>
      </c>
      <c r="I1561" s="13">
        <f t="shared" si="447"/>
        <v>0</v>
      </c>
      <c r="J1561" s="51">
        <f t="shared" si="429"/>
        <v>10648.039572496613</v>
      </c>
    </row>
    <row r="1562" spans="1:10" x14ac:dyDescent="0.25">
      <c r="A1562" s="4" t="s">
        <v>133</v>
      </c>
      <c r="B1562" s="5" t="s">
        <v>228</v>
      </c>
      <c r="C1562" s="5" t="s">
        <v>229</v>
      </c>
      <c r="D1562" s="5">
        <v>9</v>
      </c>
      <c r="E1562" s="11">
        <v>17469</v>
      </c>
      <c r="F1562" s="11">
        <v>0</v>
      </c>
      <c r="G1562" s="27">
        <f t="shared" si="445"/>
        <v>43.000000000000021</v>
      </c>
      <c r="H1562" s="13">
        <f t="shared" si="446"/>
        <v>191763.50854839518</v>
      </c>
      <c r="I1562" s="13">
        <f t="shared" si="447"/>
        <v>0</v>
      </c>
      <c r="J1562" s="51">
        <f t="shared" si="429"/>
        <v>191763.50854839518</v>
      </c>
    </row>
    <row r="1563" spans="1:10" x14ac:dyDescent="0.25">
      <c r="A1563" s="4" t="s">
        <v>133</v>
      </c>
      <c r="B1563" s="5" t="s">
        <v>230</v>
      </c>
      <c r="C1563" s="5" t="s">
        <v>229</v>
      </c>
      <c r="D1563" s="5">
        <v>5</v>
      </c>
      <c r="E1563" s="11">
        <v>9705</v>
      </c>
      <c r="F1563" s="11">
        <v>0</v>
      </c>
      <c r="G1563" s="27">
        <f t="shared" si="445"/>
        <v>23.8888888888889</v>
      </c>
      <c r="H1563" s="13">
        <f t="shared" si="446"/>
        <v>106535.28252688622</v>
      </c>
      <c r="I1563" s="13">
        <f t="shared" si="447"/>
        <v>0</v>
      </c>
      <c r="J1563" s="51">
        <f t="shared" si="429"/>
        <v>106535.28252688622</v>
      </c>
    </row>
    <row r="1564" spans="1:10" x14ac:dyDescent="0.25">
      <c r="A1564" s="4" t="s">
        <v>133</v>
      </c>
      <c r="B1564" s="5" t="s">
        <v>262</v>
      </c>
      <c r="C1564" s="5" t="s">
        <v>263</v>
      </c>
      <c r="D1564" s="5">
        <v>1</v>
      </c>
      <c r="E1564" s="11">
        <v>151666</v>
      </c>
      <c r="F1564" s="11">
        <v>0</v>
      </c>
      <c r="G1564" s="27">
        <f t="shared" si="445"/>
        <v>4.7777777777777803</v>
      </c>
      <c r="H1564" s="13">
        <f t="shared" si="446"/>
        <v>1664892.3400023417</v>
      </c>
      <c r="I1564" s="13">
        <f t="shared" si="447"/>
        <v>0</v>
      </c>
      <c r="J1564" s="51">
        <f t="shared" si="429"/>
        <v>1664892.3400023417</v>
      </c>
    </row>
    <row r="1565" spans="1:10" x14ac:dyDescent="0.25">
      <c r="A1565" s="4" t="s">
        <v>133</v>
      </c>
      <c r="B1565" s="5" t="s">
        <v>241</v>
      </c>
      <c r="C1565" s="5" t="s">
        <v>236</v>
      </c>
      <c r="D1565" s="5">
        <v>2</v>
      </c>
      <c r="E1565" s="11">
        <v>13650</v>
      </c>
      <c r="F1565" s="11">
        <v>5460</v>
      </c>
      <c r="G1565" s="27">
        <f t="shared" si="445"/>
        <v>9.5555555555555607</v>
      </c>
      <c r="H1565" s="13">
        <f t="shared" si="446"/>
        <v>149840.96924183378</v>
      </c>
      <c r="I1565" s="13">
        <f t="shared" si="447"/>
        <v>59936.489217312621</v>
      </c>
      <c r="J1565" s="51">
        <f t="shared" si="429"/>
        <v>209777.45845914641</v>
      </c>
    </row>
    <row r="1566" spans="1:10" x14ac:dyDescent="0.25">
      <c r="A1566" s="4" t="s">
        <v>133</v>
      </c>
      <c r="B1566" s="5" t="s">
        <v>248</v>
      </c>
      <c r="C1566" s="5" t="s">
        <v>246</v>
      </c>
      <c r="D1566" s="5">
        <v>1</v>
      </c>
      <c r="E1566" s="11">
        <v>2563</v>
      </c>
      <c r="F1566" s="11">
        <v>1025</v>
      </c>
      <c r="G1566" s="27">
        <f t="shared" si="445"/>
        <v>4.7777777777777803</v>
      </c>
      <c r="H1566" s="13">
        <f t="shared" si="446"/>
        <v>28134.974664235895</v>
      </c>
      <c r="I1566" s="13">
        <f t="shared" si="447"/>
        <v>11251.81345196803</v>
      </c>
      <c r="J1566" s="51">
        <f t="shared" si="429"/>
        <v>39386.788116203927</v>
      </c>
    </row>
    <row r="1567" spans="1:10" x14ac:dyDescent="0.25">
      <c r="A1567" s="4" t="s">
        <v>133</v>
      </c>
      <c r="B1567" s="5" t="s">
        <v>249</v>
      </c>
      <c r="C1567" s="5" t="s">
        <v>250</v>
      </c>
      <c r="D1567" s="5">
        <v>1</v>
      </c>
      <c r="E1567" s="11">
        <v>15166</v>
      </c>
      <c r="F1567" s="11">
        <v>6066</v>
      </c>
      <c r="G1567" s="27">
        <f t="shared" si="445"/>
        <v>4.7777777777777803</v>
      </c>
      <c r="H1567" s="13">
        <f t="shared" si="446"/>
        <v>166482.64758400375</v>
      </c>
      <c r="I1567" s="13">
        <f t="shared" si="447"/>
        <v>66588.780877695666</v>
      </c>
      <c r="J1567" s="51">
        <f t="shared" ref="J1567:J1630" si="448">SUM(H1567:I1567)</f>
        <v>233071.4284616994</v>
      </c>
    </row>
    <row r="1568" spans="1:10" x14ac:dyDescent="0.25">
      <c r="A1568" s="4" t="s">
        <v>133</v>
      </c>
      <c r="B1568" s="5" t="s">
        <v>252</v>
      </c>
      <c r="C1568" s="5" t="s">
        <v>212</v>
      </c>
      <c r="D1568" s="5">
        <v>6</v>
      </c>
      <c r="E1568" s="11">
        <v>8736</v>
      </c>
      <c r="F1568" s="11">
        <v>0</v>
      </c>
      <c r="G1568" s="27">
        <f t="shared" si="445"/>
        <v>28.666666666666682</v>
      </c>
      <c r="H1568" s="13">
        <f t="shared" si="446"/>
        <v>95898.220314773615</v>
      </c>
      <c r="I1568" s="13">
        <f t="shared" si="447"/>
        <v>0</v>
      </c>
      <c r="J1568" s="51">
        <f t="shared" si="448"/>
        <v>95898.220314773615</v>
      </c>
    </row>
    <row r="1569" spans="1:10" x14ac:dyDescent="0.25">
      <c r="A1569" s="4" t="s">
        <v>133</v>
      </c>
      <c r="B1569" s="5" t="s">
        <v>253</v>
      </c>
      <c r="C1569" s="5" t="s">
        <v>210</v>
      </c>
      <c r="D1569" s="5">
        <v>2</v>
      </c>
      <c r="E1569" s="11">
        <v>1940</v>
      </c>
      <c r="F1569" s="11">
        <v>0</v>
      </c>
      <c r="G1569" s="27">
        <f t="shared" si="445"/>
        <v>9.5555555555555607</v>
      </c>
      <c r="H1569" s="13">
        <f t="shared" si="446"/>
        <v>21296.079144993226</v>
      </c>
      <c r="I1569" s="13">
        <f t="shared" si="447"/>
        <v>0</v>
      </c>
      <c r="J1569" s="51">
        <f t="shared" si="448"/>
        <v>21296.079144993226</v>
      </c>
    </row>
    <row r="1570" spans="1:10" x14ac:dyDescent="0.25">
      <c r="A1570" s="4" t="s">
        <v>133</v>
      </c>
      <c r="B1570" s="5" t="s">
        <v>254</v>
      </c>
      <c r="C1570" s="5" t="s">
        <v>212</v>
      </c>
      <c r="D1570" s="5">
        <v>2</v>
      </c>
      <c r="E1570" s="11">
        <v>2912</v>
      </c>
      <c r="F1570" s="11">
        <v>0</v>
      </c>
      <c r="G1570" s="27">
        <f t="shared" si="445"/>
        <v>9.5555555555555607</v>
      </c>
      <c r="H1570" s="13">
        <f t="shared" si="446"/>
        <v>31966.073438257874</v>
      </c>
      <c r="I1570" s="13">
        <f t="shared" si="447"/>
        <v>0</v>
      </c>
      <c r="J1570" s="51">
        <f t="shared" si="448"/>
        <v>31966.073438257874</v>
      </c>
    </row>
    <row r="1571" spans="1:10" x14ac:dyDescent="0.25">
      <c r="A1571" s="4" t="s">
        <v>133</v>
      </c>
      <c r="B1571" s="5" t="s">
        <v>255</v>
      </c>
      <c r="C1571" s="5" t="s">
        <v>210</v>
      </c>
      <c r="D1571" s="5">
        <v>3</v>
      </c>
      <c r="E1571" s="11">
        <v>2910</v>
      </c>
      <c r="F1571" s="11">
        <v>0</v>
      </c>
      <c r="G1571" s="27">
        <f t="shared" si="445"/>
        <v>14.333333333333341</v>
      </c>
      <c r="H1571" s="13">
        <f t="shared" si="446"/>
        <v>31944.11871748984</v>
      </c>
      <c r="I1571" s="13">
        <f t="shared" si="447"/>
        <v>0</v>
      </c>
      <c r="J1571" s="51">
        <f t="shared" si="448"/>
        <v>31944.11871748984</v>
      </c>
    </row>
    <row r="1572" spans="1:10" x14ac:dyDescent="0.25">
      <c r="A1572" s="4" t="s">
        <v>133</v>
      </c>
      <c r="B1572" s="5" t="s">
        <v>256</v>
      </c>
      <c r="C1572" s="5" t="s">
        <v>212</v>
      </c>
      <c r="D1572" s="5">
        <v>2</v>
      </c>
      <c r="E1572" s="11">
        <v>2912</v>
      </c>
      <c r="F1572" s="11">
        <v>0</v>
      </c>
      <c r="G1572" s="27">
        <f t="shared" si="445"/>
        <v>9.5555555555555607</v>
      </c>
      <c r="H1572" s="13">
        <f t="shared" si="446"/>
        <v>31966.073438257874</v>
      </c>
      <c r="I1572" s="13">
        <f t="shared" si="447"/>
        <v>0</v>
      </c>
      <c r="J1572" s="51">
        <f t="shared" si="448"/>
        <v>31966.073438257874</v>
      </c>
    </row>
    <row r="1573" spans="1:10" x14ac:dyDescent="0.25">
      <c r="A1573" s="15" t="s">
        <v>133</v>
      </c>
      <c r="B1573" s="16" t="s">
        <v>257</v>
      </c>
      <c r="C1573" s="16" t="s">
        <v>210</v>
      </c>
      <c r="D1573" s="16">
        <v>1</v>
      </c>
      <c r="E1573" s="18">
        <v>970</v>
      </c>
      <c r="F1573" s="18">
        <v>0</v>
      </c>
      <c r="G1573" s="27">
        <f t="shared" si="445"/>
        <v>4.7777777777777803</v>
      </c>
      <c r="H1573" s="13">
        <f t="shared" si="446"/>
        <v>10648.039572496613</v>
      </c>
      <c r="I1573" s="13">
        <f t="shared" si="447"/>
        <v>0</v>
      </c>
      <c r="J1573" s="51">
        <f t="shared" si="448"/>
        <v>10648.039572496613</v>
      </c>
    </row>
    <row r="1574" spans="1:10" s="3" customFormat="1" x14ac:dyDescent="0.25">
      <c r="A1574" s="4"/>
      <c r="B1574" s="20" t="s">
        <v>363</v>
      </c>
      <c r="C1574" s="21"/>
      <c r="D1574" s="21"/>
      <c r="E1574" s="29"/>
      <c r="F1574" s="29"/>
      <c r="G1574" s="47">
        <f>SUM(G1555:G1573)</f>
        <v>215.00000000000014</v>
      </c>
      <c r="H1574" s="47">
        <f t="shared" ref="H1574:J1574" si="449">SUM(H1555:H1573)</f>
        <v>3281627.0000000005</v>
      </c>
      <c r="I1574" s="47">
        <f t="shared" si="449"/>
        <v>218373</v>
      </c>
      <c r="J1574" s="47">
        <f t="shared" si="449"/>
        <v>3500000</v>
      </c>
    </row>
    <row r="1575" spans="1:10" x14ac:dyDescent="0.25">
      <c r="A1575" s="23" t="s">
        <v>134</v>
      </c>
      <c r="B1575" s="24" t="s">
        <v>209</v>
      </c>
      <c r="C1575" s="24" t="s">
        <v>210</v>
      </c>
      <c r="D1575" s="24">
        <v>3</v>
      </c>
      <c r="E1575" s="30">
        <v>2910</v>
      </c>
      <c r="F1575" s="30">
        <v>0</v>
      </c>
      <c r="G1575" s="27">
        <f>+D1575*4.78947368421053</f>
        <v>14.368421052631589</v>
      </c>
      <c r="H1575" s="13">
        <f>+E1575*1146583/46523</f>
        <v>71718.430238806613</v>
      </c>
      <c r="I1575" s="13">
        <f>+F1575*353417/14340</f>
        <v>0</v>
      </c>
      <c r="J1575" s="51">
        <f t="shared" si="448"/>
        <v>71718.430238806613</v>
      </c>
    </row>
    <row r="1576" spans="1:10" x14ac:dyDescent="0.25">
      <c r="A1576" s="4" t="s">
        <v>134</v>
      </c>
      <c r="B1576" s="5" t="s">
        <v>214</v>
      </c>
      <c r="C1576" s="5" t="s">
        <v>210</v>
      </c>
      <c r="D1576" s="5">
        <v>7</v>
      </c>
      <c r="E1576" s="11">
        <v>6790</v>
      </c>
      <c r="F1576" s="11">
        <v>0</v>
      </c>
      <c r="G1576" s="27">
        <f t="shared" ref="G1576:G1580" si="450">+D1576*4.78947368421053</f>
        <v>33.526315789473713</v>
      </c>
      <c r="H1576" s="13">
        <f t="shared" ref="H1576:H1580" si="451">+E1576*1146583/46523</f>
        <v>167343.00389054877</v>
      </c>
      <c r="I1576" s="13">
        <f t="shared" ref="I1576:I1580" si="452">+F1576*353417/14340</f>
        <v>0</v>
      </c>
      <c r="J1576" s="51">
        <f t="shared" si="448"/>
        <v>167343.00389054877</v>
      </c>
    </row>
    <row r="1577" spans="1:10" x14ac:dyDescent="0.25">
      <c r="A1577" s="4" t="s">
        <v>134</v>
      </c>
      <c r="B1577" s="5" t="s">
        <v>223</v>
      </c>
      <c r="C1577" s="5" t="s">
        <v>224</v>
      </c>
      <c r="D1577" s="5">
        <v>2</v>
      </c>
      <c r="E1577" s="11">
        <v>0</v>
      </c>
      <c r="F1577" s="11">
        <v>0</v>
      </c>
      <c r="G1577" s="27">
        <f t="shared" si="450"/>
        <v>9.5789473684210602</v>
      </c>
      <c r="H1577" s="13">
        <f t="shared" si="451"/>
        <v>0</v>
      </c>
      <c r="I1577" s="13">
        <f t="shared" si="452"/>
        <v>0</v>
      </c>
      <c r="J1577" s="51">
        <f t="shared" si="448"/>
        <v>0</v>
      </c>
    </row>
    <row r="1578" spans="1:10" x14ac:dyDescent="0.25">
      <c r="A1578" s="4" t="s">
        <v>134</v>
      </c>
      <c r="B1578" s="5" t="s">
        <v>240</v>
      </c>
      <c r="C1578" s="5" t="s">
        <v>238</v>
      </c>
      <c r="D1578" s="5">
        <v>3</v>
      </c>
      <c r="E1578" s="11">
        <v>15378</v>
      </c>
      <c r="F1578" s="11">
        <v>6150</v>
      </c>
      <c r="G1578" s="27">
        <f t="shared" si="450"/>
        <v>14.368421052631589</v>
      </c>
      <c r="H1578" s="13">
        <f t="shared" si="451"/>
        <v>378998.63237538422</v>
      </c>
      <c r="I1578" s="13">
        <f t="shared" si="452"/>
        <v>151570.05230125523</v>
      </c>
      <c r="J1578" s="51">
        <f t="shared" si="448"/>
        <v>530568.6846766395</v>
      </c>
    </row>
    <row r="1579" spans="1:10" x14ac:dyDescent="0.25">
      <c r="A1579" s="4" t="s">
        <v>134</v>
      </c>
      <c r="B1579" s="5" t="s">
        <v>241</v>
      </c>
      <c r="C1579" s="5" t="s">
        <v>236</v>
      </c>
      <c r="D1579" s="5">
        <v>3</v>
      </c>
      <c r="E1579" s="11">
        <v>20475</v>
      </c>
      <c r="F1579" s="11">
        <v>8190</v>
      </c>
      <c r="G1579" s="27">
        <f t="shared" si="450"/>
        <v>14.368421052631589</v>
      </c>
      <c r="H1579" s="13">
        <f t="shared" si="451"/>
        <v>504616.79008232488</v>
      </c>
      <c r="I1579" s="13">
        <f t="shared" si="452"/>
        <v>201846.94769874477</v>
      </c>
      <c r="J1579" s="51">
        <f t="shared" si="448"/>
        <v>706463.73778106971</v>
      </c>
    </row>
    <row r="1580" spans="1:10" x14ac:dyDescent="0.25">
      <c r="A1580" s="15" t="s">
        <v>134</v>
      </c>
      <c r="B1580" s="16" t="s">
        <v>255</v>
      </c>
      <c r="C1580" s="16" t="s">
        <v>210</v>
      </c>
      <c r="D1580" s="16">
        <v>1</v>
      </c>
      <c r="E1580" s="18">
        <v>970</v>
      </c>
      <c r="F1580" s="18">
        <v>0</v>
      </c>
      <c r="G1580" s="27">
        <f t="shared" si="450"/>
        <v>4.7894736842105301</v>
      </c>
      <c r="H1580" s="13">
        <f t="shared" si="451"/>
        <v>23906.143412935537</v>
      </c>
      <c r="I1580" s="13">
        <f t="shared" si="452"/>
        <v>0</v>
      </c>
      <c r="J1580" s="51">
        <f t="shared" si="448"/>
        <v>23906.143412935537</v>
      </c>
    </row>
    <row r="1581" spans="1:10" s="3" customFormat="1" x14ac:dyDescent="0.25">
      <c r="A1581" s="4"/>
      <c r="B1581" s="20" t="s">
        <v>364</v>
      </c>
      <c r="C1581" s="21"/>
      <c r="D1581" s="21"/>
      <c r="E1581" s="29"/>
      <c r="F1581" s="29"/>
      <c r="G1581" s="47">
        <f>SUM(G1575:G1580)</f>
        <v>91.000000000000071</v>
      </c>
      <c r="H1581" s="47">
        <f t="shared" ref="H1581:J1581" si="453">SUM(H1575:H1580)</f>
        <v>1146583</v>
      </c>
      <c r="I1581" s="47">
        <f t="shared" si="453"/>
        <v>353417</v>
      </c>
      <c r="J1581" s="47">
        <f t="shared" si="453"/>
        <v>1500000</v>
      </c>
    </row>
    <row r="1582" spans="1:10" x14ac:dyDescent="0.25">
      <c r="A1582" s="23" t="s">
        <v>135</v>
      </c>
      <c r="B1582" s="24" t="s">
        <v>216</v>
      </c>
      <c r="C1582" s="24" t="s">
        <v>210</v>
      </c>
      <c r="D1582" s="24">
        <v>2</v>
      </c>
      <c r="E1582" s="30">
        <v>970</v>
      </c>
      <c r="F1582" s="30">
        <v>0</v>
      </c>
      <c r="G1582" s="27">
        <f>+D1582*4.85714285714286</f>
        <v>9.7142857142857206</v>
      </c>
      <c r="H1582" s="13">
        <f>+E1582*951360/6950</f>
        <v>132779.74100719424</v>
      </c>
      <c r="I1582" s="13">
        <f>+F1582*548640/4008</f>
        <v>0</v>
      </c>
      <c r="J1582" s="51">
        <f t="shared" si="448"/>
        <v>132779.74100719424</v>
      </c>
    </row>
    <row r="1583" spans="1:10" x14ac:dyDescent="0.25">
      <c r="A1583" s="4" t="s">
        <v>135</v>
      </c>
      <c r="B1583" s="5" t="s">
        <v>217</v>
      </c>
      <c r="C1583" s="5" t="s">
        <v>218</v>
      </c>
      <c r="D1583" s="5">
        <v>2</v>
      </c>
      <c r="E1583" s="11">
        <v>3312</v>
      </c>
      <c r="F1583" s="11">
        <v>2650</v>
      </c>
      <c r="G1583" s="27">
        <f t="shared" ref="G1583:G1586" si="454">+D1583*4.85714285714286</f>
        <v>9.7142857142857206</v>
      </c>
      <c r="H1583" s="13">
        <f t="shared" ref="H1583:H1586" si="455">+E1583*951360/6950</f>
        <v>453367.52805755398</v>
      </c>
      <c r="I1583" s="13">
        <f t="shared" ref="I1583:I1586" si="456">+F1583*548640/4008</f>
        <v>362748.50299401197</v>
      </c>
      <c r="J1583" s="51">
        <f t="shared" si="448"/>
        <v>816116.03105156589</v>
      </c>
    </row>
    <row r="1584" spans="1:10" x14ac:dyDescent="0.25">
      <c r="A1584" s="4" t="s">
        <v>135</v>
      </c>
      <c r="B1584" s="5" t="s">
        <v>219</v>
      </c>
      <c r="C1584" s="5" t="s">
        <v>220</v>
      </c>
      <c r="D1584" s="5">
        <v>1</v>
      </c>
      <c r="E1584" s="11">
        <v>1698</v>
      </c>
      <c r="F1584" s="11">
        <v>1358</v>
      </c>
      <c r="G1584" s="27">
        <f t="shared" si="454"/>
        <v>4.8571428571428603</v>
      </c>
      <c r="H1584" s="13">
        <f t="shared" si="455"/>
        <v>232432.98992805756</v>
      </c>
      <c r="I1584" s="13">
        <f t="shared" si="456"/>
        <v>185891.49700598803</v>
      </c>
      <c r="J1584" s="51">
        <f t="shared" si="448"/>
        <v>418324.48693404556</v>
      </c>
    </row>
    <row r="1585" spans="1:10" x14ac:dyDescent="0.25">
      <c r="A1585" s="4" t="s">
        <v>135</v>
      </c>
      <c r="B1585" s="5" t="s">
        <v>223</v>
      </c>
      <c r="C1585" s="5" t="s">
        <v>224</v>
      </c>
      <c r="D1585" s="5">
        <v>1</v>
      </c>
      <c r="E1585" s="11">
        <v>0</v>
      </c>
      <c r="F1585" s="11">
        <v>0</v>
      </c>
      <c r="G1585" s="27">
        <f t="shared" si="454"/>
        <v>4.8571428571428603</v>
      </c>
      <c r="H1585" s="13">
        <f t="shared" si="455"/>
        <v>0</v>
      </c>
      <c r="I1585" s="13">
        <f t="shared" si="456"/>
        <v>0</v>
      </c>
      <c r="J1585" s="51">
        <f t="shared" si="448"/>
        <v>0</v>
      </c>
    </row>
    <row r="1586" spans="1:10" x14ac:dyDescent="0.25">
      <c r="A1586" s="15" t="s">
        <v>135</v>
      </c>
      <c r="B1586" s="16" t="s">
        <v>228</v>
      </c>
      <c r="C1586" s="16" t="s">
        <v>229</v>
      </c>
      <c r="D1586" s="16">
        <v>1</v>
      </c>
      <c r="E1586" s="18">
        <v>970</v>
      </c>
      <c r="F1586" s="18">
        <v>0</v>
      </c>
      <c r="G1586" s="27">
        <f t="shared" si="454"/>
        <v>4.8571428571428603</v>
      </c>
      <c r="H1586" s="13">
        <f t="shared" si="455"/>
        <v>132779.74100719424</v>
      </c>
      <c r="I1586" s="13">
        <f t="shared" si="456"/>
        <v>0</v>
      </c>
      <c r="J1586" s="51">
        <f t="shared" si="448"/>
        <v>132779.74100719424</v>
      </c>
    </row>
    <row r="1587" spans="1:10" s="3" customFormat="1" x14ac:dyDescent="0.25">
      <c r="A1587" s="4"/>
      <c r="B1587" s="20" t="s">
        <v>365</v>
      </c>
      <c r="C1587" s="21"/>
      <c r="D1587" s="21"/>
      <c r="E1587" s="29"/>
      <c r="F1587" s="29"/>
      <c r="G1587" s="47">
        <f>SUM(G1582:G1586)</f>
        <v>34.000000000000021</v>
      </c>
      <c r="H1587" s="47">
        <f t="shared" ref="H1587:J1587" si="457">SUM(H1582:H1586)</f>
        <v>951360</v>
      </c>
      <c r="I1587" s="47">
        <f t="shared" si="457"/>
        <v>548640</v>
      </c>
      <c r="J1587" s="47">
        <f t="shared" si="457"/>
        <v>1499999.9999999998</v>
      </c>
    </row>
    <row r="1588" spans="1:10" x14ac:dyDescent="0.25">
      <c r="A1588" s="23" t="s">
        <v>136</v>
      </c>
      <c r="B1588" s="24" t="s">
        <v>214</v>
      </c>
      <c r="C1588" s="24" t="s">
        <v>210</v>
      </c>
      <c r="D1588" s="24">
        <v>6</v>
      </c>
      <c r="E1588" s="30">
        <v>2910</v>
      </c>
      <c r="F1588" s="30">
        <v>0</v>
      </c>
      <c r="G1588" s="27">
        <f>+D1588*4.79411764705882</f>
        <v>28.764705882352921</v>
      </c>
      <c r="H1588" s="13">
        <f>+E1588*2038430/84550</f>
        <v>70157.673565937308</v>
      </c>
      <c r="I1588" s="13">
        <f>+F1588*961570/39884</f>
        <v>0</v>
      </c>
      <c r="J1588" s="51">
        <f t="shared" si="448"/>
        <v>70157.673565937308</v>
      </c>
    </row>
    <row r="1589" spans="1:10" x14ac:dyDescent="0.25">
      <c r="A1589" s="4" t="s">
        <v>136</v>
      </c>
      <c r="B1589" s="5" t="s">
        <v>216</v>
      </c>
      <c r="C1589" s="5" t="s">
        <v>210</v>
      </c>
      <c r="D1589" s="5">
        <v>1</v>
      </c>
      <c r="E1589" s="11">
        <v>485</v>
      </c>
      <c r="F1589" s="11">
        <v>0</v>
      </c>
      <c r="G1589" s="27">
        <f t="shared" ref="G1589:G1605" si="458">+D1589*4.79411764705882</f>
        <v>4.7941176470588198</v>
      </c>
      <c r="H1589" s="13">
        <f t="shared" ref="H1589:H1605" si="459">+E1589*2038430/84550</f>
        <v>11692.945594322886</v>
      </c>
      <c r="I1589" s="13">
        <f t="shared" ref="I1589:I1605" si="460">+F1589*961570/39884</f>
        <v>0</v>
      </c>
      <c r="J1589" s="51">
        <f t="shared" si="448"/>
        <v>11692.945594322886</v>
      </c>
    </row>
    <row r="1590" spans="1:10" x14ac:dyDescent="0.25">
      <c r="A1590" s="4" t="s">
        <v>136</v>
      </c>
      <c r="B1590" s="5" t="s">
        <v>217</v>
      </c>
      <c r="C1590" s="5" t="s">
        <v>218</v>
      </c>
      <c r="D1590" s="5">
        <v>2</v>
      </c>
      <c r="E1590" s="11">
        <v>3312</v>
      </c>
      <c r="F1590" s="11">
        <v>2650</v>
      </c>
      <c r="G1590" s="27">
        <f t="shared" si="458"/>
        <v>9.5882352941176396</v>
      </c>
      <c r="H1590" s="13">
        <f t="shared" si="459"/>
        <v>79849.558367829683</v>
      </c>
      <c r="I1590" s="13">
        <f t="shared" si="460"/>
        <v>63889.291445191055</v>
      </c>
      <c r="J1590" s="51">
        <f t="shared" si="448"/>
        <v>143738.84981302073</v>
      </c>
    </row>
    <row r="1591" spans="1:10" x14ac:dyDescent="0.25">
      <c r="A1591" s="4" t="s">
        <v>136</v>
      </c>
      <c r="B1591" s="5" t="s">
        <v>260</v>
      </c>
      <c r="C1591" s="5" t="s">
        <v>208</v>
      </c>
      <c r="D1591" s="5">
        <v>1</v>
      </c>
      <c r="E1591" s="11">
        <v>23296</v>
      </c>
      <c r="F1591" s="11">
        <v>0</v>
      </c>
      <c r="G1591" s="27">
        <f t="shared" si="458"/>
        <v>4.7941176470588198</v>
      </c>
      <c r="H1591" s="13">
        <f t="shared" si="459"/>
        <v>561647.13518628036</v>
      </c>
      <c r="I1591" s="13">
        <f t="shared" si="460"/>
        <v>0</v>
      </c>
      <c r="J1591" s="51">
        <f t="shared" si="448"/>
        <v>561647.13518628036</v>
      </c>
    </row>
    <row r="1592" spans="1:10" x14ac:dyDescent="0.25">
      <c r="A1592" s="4" t="s">
        <v>136</v>
      </c>
      <c r="B1592" s="5" t="s">
        <v>223</v>
      </c>
      <c r="C1592" s="5" t="s">
        <v>224</v>
      </c>
      <c r="D1592" s="5">
        <v>3</v>
      </c>
      <c r="E1592" s="11">
        <v>485</v>
      </c>
      <c r="F1592" s="11">
        <v>0</v>
      </c>
      <c r="G1592" s="27">
        <f t="shared" si="458"/>
        <v>14.38235294117646</v>
      </c>
      <c r="H1592" s="13">
        <f t="shared" si="459"/>
        <v>11692.945594322886</v>
      </c>
      <c r="I1592" s="13">
        <f t="shared" si="460"/>
        <v>0</v>
      </c>
      <c r="J1592" s="51">
        <f t="shared" si="448"/>
        <v>11692.945594322886</v>
      </c>
    </row>
    <row r="1593" spans="1:10" x14ac:dyDescent="0.25">
      <c r="A1593" s="4" t="s">
        <v>136</v>
      </c>
      <c r="B1593" s="5" t="s">
        <v>266</v>
      </c>
      <c r="C1593" s="5" t="s">
        <v>210</v>
      </c>
      <c r="D1593" s="5">
        <v>1</v>
      </c>
      <c r="E1593" s="11">
        <v>485</v>
      </c>
      <c r="F1593" s="11">
        <v>0</v>
      </c>
      <c r="G1593" s="27">
        <f t="shared" si="458"/>
        <v>4.7941176470588198</v>
      </c>
      <c r="H1593" s="13">
        <f t="shared" si="459"/>
        <v>11692.945594322886</v>
      </c>
      <c r="I1593" s="13">
        <f t="shared" si="460"/>
        <v>0</v>
      </c>
      <c r="J1593" s="51">
        <f t="shared" si="448"/>
        <v>11692.945594322886</v>
      </c>
    </row>
    <row r="1594" spans="1:10" x14ac:dyDescent="0.25">
      <c r="A1594" s="4" t="s">
        <v>136</v>
      </c>
      <c r="B1594" s="5" t="s">
        <v>226</v>
      </c>
      <c r="C1594" s="5" t="s">
        <v>210</v>
      </c>
      <c r="D1594" s="5">
        <v>2</v>
      </c>
      <c r="E1594" s="11">
        <v>970</v>
      </c>
      <c r="F1594" s="11">
        <v>0</v>
      </c>
      <c r="G1594" s="27">
        <f t="shared" si="458"/>
        <v>9.5882352941176396</v>
      </c>
      <c r="H1594" s="13">
        <f t="shared" si="459"/>
        <v>23385.891188645772</v>
      </c>
      <c r="I1594" s="13">
        <f t="shared" si="460"/>
        <v>0</v>
      </c>
      <c r="J1594" s="51">
        <f t="shared" si="448"/>
        <v>23385.891188645772</v>
      </c>
    </row>
    <row r="1595" spans="1:10" x14ac:dyDescent="0.25">
      <c r="A1595" s="4" t="s">
        <v>136</v>
      </c>
      <c r="B1595" s="5" t="s">
        <v>228</v>
      </c>
      <c r="C1595" s="5" t="s">
        <v>229</v>
      </c>
      <c r="D1595" s="5">
        <v>2</v>
      </c>
      <c r="E1595" s="11">
        <v>1940</v>
      </c>
      <c r="F1595" s="11">
        <v>0</v>
      </c>
      <c r="G1595" s="27">
        <f t="shared" si="458"/>
        <v>9.5882352941176396</v>
      </c>
      <c r="H1595" s="13">
        <f t="shared" si="459"/>
        <v>46771.782377291544</v>
      </c>
      <c r="I1595" s="13">
        <f t="shared" si="460"/>
        <v>0</v>
      </c>
      <c r="J1595" s="51">
        <f t="shared" si="448"/>
        <v>46771.782377291544</v>
      </c>
    </row>
    <row r="1596" spans="1:10" x14ac:dyDescent="0.25">
      <c r="A1596" s="4" t="s">
        <v>136</v>
      </c>
      <c r="B1596" s="5" t="s">
        <v>235</v>
      </c>
      <c r="C1596" s="5" t="s">
        <v>236</v>
      </c>
      <c r="D1596" s="5">
        <v>2</v>
      </c>
      <c r="E1596" s="11">
        <v>6824</v>
      </c>
      <c r="F1596" s="11">
        <v>5460</v>
      </c>
      <c r="G1596" s="27">
        <f t="shared" si="458"/>
        <v>9.5882352941176396</v>
      </c>
      <c r="H1596" s="13">
        <f t="shared" si="459"/>
        <v>164520.94997043168</v>
      </c>
      <c r="I1596" s="13">
        <f t="shared" si="460"/>
        <v>131636.04954367667</v>
      </c>
      <c r="J1596" s="51">
        <f t="shared" si="448"/>
        <v>296156.99951410835</v>
      </c>
    </row>
    <row r="1597" spans="1:10" x14ac:dyDescent="0.25">
      <c r="A1597" s="4" t="s">
        <v>136</v>
      </c>
      <c r="B1597" s="5" t="s">
        <v>239</v>
      </c>
      <c r="C1597" s="5" t="s">
        <v>236</v>
      </c>
      <c r="D1597" s="5">
        <v>1</v>
      </c>
      <c r="E1597" s="11">
        <v>3412</v>
      </c>
      <c r="F1597" s="11">
        <v>2730</v>
      </c>
      <c r="G1597" s="27">
        <f t="shared" si="458"/>
        <v>4.7941176470588198</v>
      </c>
      <c r="H1597" s="13">
        <f t="shared" si="459"/>
        <v>82260.474985215842</v>
      </c>
      <c r="I1597" s="13">
        <f t="shared" si="460"/>
        <v>65818.024771838333</v>
      </c>
      <c r="J1597" s="51">
        <f t="shared" si="448"/>
        <v>148078.49975705417</v>
      </c>
    </row>
    <row r="1598" spans="1:10" x14ac:dyDescent="0.25">
      <c r="A1598" s="4" t="s">
        <v>136</v>
      </c>
      <c r="B1598" s="5" t="s">
        <v>241</v>
      </c>
      <c r="C1598" s="5" t="s">
        <v>236</v>
      </c>
      <c r="D1598" s="5">
        <v>1</v>
      </c>
      <c r="E1598" s="11">
        <v>3412</v>
      </c>
      <c r="F1598" s="11">
        <v>2730</v>
      </c>
      <c r="G1598" s="27">
        <f t="shared" si="458"/>
        <v>4.7941176470588198</v>
      </c>
      <c r="H1598" s="13">
        <f t="shared" si="459"/>
        <v>82260.474985215842</v>
      </c>
      <c r="I1598" s="13">
        <f t="shared" si="460"/>
        <v>65818.024771838333</v>
      </c>
      <c r="J1598" s="51">
        <f t="shared" si="448"/>
        <v>148078.49975705417</v>
      </c>
    </row>
    <row r="1599" spans="1:10" x14ac:dyDescent="0.25">
      <c r="A1599" s="4" t="s">
        <v>136</v>
      </c>
      <c r="B1599" s="5" t="s">
        <v>269</v>
      </c>
      <c r="C1599" s="5" t="s">
        <v>238</v>
      </c>
      <c r="D1599" s="5">
        <v>1</v>
      </c>
      <c r="E1599" s="11">
        <v>2563</v>
      </c>
      <c r="F1599" s="11">
        <v>2050</v>
      </c>
      <c r="G1599" s="27">
        <f t="shared" si="458"/>
        <v>4.7941176470588198</v>
      </c>
      <c r="H1599" s="13">
        <f t="shared" si="459"/>
        <v>61791.792903607333</v>
      </c>
      <c r="I1599" s="13">
        <f t="shared" si="460"/>
        <v>49423.791495336474</v>
      </c>
      <c r="J1599" s="51">
        <f t="shared" si="448"/>
        <v>111215.58439894381</v>
      </c>
    </row>
    <row r="1600" spans="1:10" x14ac:dyDescent="0.25">
      <c r="A1600" s="4" t="s">
        <v>136</v>
      </c>
      <c r="B1600" s="5" t="s">
        <v>249</v>
      </c>
      <c r="C1600" s="5" t="s">
        <v>250</v>
      </c>
      <c r="D1600" s="5">
        <v>4</v>
      </c>
      <c r="E1600" s="11">
        <v>30332</v>
      </c>
      <c r="F1600" s="11">
        <v>24264</v>
      </c>
      <c r="G1600" s="27">
        <f t="shared" si="458"/>
        <v>19.176470588235279</v>
      </c>
      <c r="H1600" s="13">
        <f t="shared" si="459"/>
        <v>731279.22838557069</v>
      </c>
      <c r="I1600" s="13">
        <f t="shared" si="460"/>
        <v>584984.8179721192</v>
      </c>
      <c r="J1600" s="51">
        <f t="shared" si="448"/>
        <v>1316264.0463576899</v>
      </c>
    </row>
    <row r="1601" spans="1:10" x14ac:dyDescent="0.25">
      <c r="A1601" s="4" t="s">
        <v>136</v>
      </c>
      <c r="B1601" s="5" t="s">
        <v>252</v>
      </c>
      <c r="C1601" s="5" t="s">
        <v>212</v>
      </c>
      <c r="D1601" s="5">
        <v>1</v>
      </c>
      <c r="E1601" s="11">
        <v>728</v>
      </c>
      <c r="F1601" s="11">
        <v>0</v>
      </c>
      <c r="G1601" s="27">
        <f t="shared" si="458"/>
        <v>4.7941176470588198</v>
      </c>
      <c r="H1601" s="13">
        <f t="shared" si="459"/>
        <v>17551.472974571261</v>
      </c>
      <c r="I1601" s="13">
        <f t="shared" si="460"/>
        <v>0</v>
      </c>
      <c r="J1601" s="51">
        <f t="shared" si="448"/>
        <v>17551.472974571261</v>
      </c>
    </row>
    <row r="1602" spans="1:10" x14ac:dyDescent="0.25">
      <c r="A1602" s="4" t="s">
        <v>136</v>
      </c>
      <c r="B1602" s="5" t="s">
        <v>253</v>
      </c>
      <c r="C1602" s="5" t="s">
        <v>210</v>
      </c>
      <c r="D1602" s="5">
        <v>2</v>
      </c>
      <c r="E1602" s="11">
        <v>970</v>
      </c>
      <c r="F1602" s="11">
        <v>0</v>
      </c>
      <c r="G1602" s="27">
        <f t="shared" si="458"/>
        <v>9.5882352941176396</v>
      </c>
      <c r="H1602" s="13">
        <f t="shared" si="459"/>
        <v>23385.891188645772</v>
      </c>
      <c r="I1602" s="13">
        <f t="shared" si="460"/>
        <v>0</v>
      </c>
      <c r="J1602" s="51">
        <f t="shared" si="448"/>
        <v>23385.891188645772</v>
      </c>
    </row>
    <row r="1603" spans="1:10" x14ac:dyDescent="0.25">
      <c r="A1603" s="4" t="s">
        <v>136</v>
      </c>
      <c r="B1603" s="5" t="s">
        <v>255</v>
      </c>
      <c r="C1603" s="5" t="s">
        <v>210</v>
      </c>
      <c r="D1603" s="5">
        <v>1</v>
      </c>
      <c r="E1603" s="11">
        <v>485</v>
      </c>
      <c r="F1603" s="11">
        <v>0</v>
      </c>
      <c r="G1603" s="27">
        <f t="shared" si="458"/>
        <v>4.7941176470588198</v>
      </c>
      <c r="H1603" s="13">
        <f t="shared" si="459"/>
        <v>11692.945594322886</v>
      </c>
      <c r="I1603" s="13">
        <f t="shared" si="460"/>
        <v>0</v>
      </c>
      <c r="J1603" s="51">
        <f t="shared" si="448"/>
        <v>11692.945594322886</v>
      </c>
    </row>
    <row r="1604" spans="1:10" x14ac:dyDescent="0.25">
      <c r="A1604" s="4" t="s">
        <v>136</v>
      </c>
      <c r="B1604" s="5" t="s">
        <v>256</v>
      </c>
      <c r="C1604" s="5" t="s">
        <v>212</v>
      </c>
      <c r="D1604" s="5">
        <v>2</v>
      </c>
      <c r="E1604" s="11">
        <v>1456</v>
      </c>
      <c r="F1604" s="11">
        <v>0</v>
      </c>
      <c r="G1604" s="27">
        <f t="shared" si="458"/>
        <v>9.5882352941176396</v>
      </c>
      <c r="H1604" s="13">
        <f t="shared" si="459"/>
        <v>35102.945949142522</v>
      </c>
      <c r="I1604" s="13">
        <f t="shared" si="460"/>
        <v>0</v>
      </c>
      <c r="J1604" s="51">
        <f t="shared" si="448"/>
        <v>35102.945949142522</v>
      </c>
    </row>
    <row r="1605" spans="1:10" x14ac:dyDescent="0.25">
      <c r="A1605" s="15" t="s">
        <v>136</v>
      </c>
      <c r="B1605" s="16" t="s">
        <v>257</v>
      </c>
      <c r="C1605" s="16" t="s">
        <v>210</v>
      </c>
      <c r="D1605" s="16">
        <v>1</v>
      </c>
      <c r="E1605" s="18">
        <v>485</v>
      </c>
      <c r="F1605" s="18">
        <v>0</v>
      </c>
      <c r="G1605" s="27">
        <f t="shared" si="458"/>
        <v>4.7941176470588198</v>
      </c>
      <c r="H1605" s="13">
        <f t="shared" si="459"/>
        <v>11692.945594322886</v>
      </c>
      <c r="I1605" s="13">
        <f t="shared" si="460"/>
        <v>0</v>
      </c>
      <c r="J1605" s="51">
        <f t="shared" si="448"/>
        <v>11692.945594322886</v>
      </c>
    </row>
    <row r="1606" spans="1:10" s="3" customFormat="1" x14ac:dyDescent="0.25">
      <c r="A1606" s="4"/>
      <c r="B1606" s="20" t="s">
        <v>366</v>
      </c>
      <c r="C1606" s="21"/>
      <c r="D1606" s="21"/>
      <c r="E1606" s="29"/>
      <c r="F1606" s="29"/>
      <c r="G1606" s="47">
        <f>SUM(G1588:G1605)</f>
        <v>162.99999999999989</v>
      </c>
      <c r="H1606" s="47">
        <f t="shared" ref="H1606:J1606" si="461">SUM(H1588:H1605)</f>
        <v>2038429.9999999998</v>
      </c>
      <c r="I1606" s="47">
        <f t="shared" si="461"/>
        <v>961570</v>
      </c>
      <c r="J1606" s="47">
        <f t="shared" si="461"/>
        <v>3000000</v>
      </c>
    </row>
    <row r="1607" spans="1:10" x14ac:dyDescent="0.25">
      <c r="A1607" s="23" t="s">
        <v>137</v>
      </c>
      <c r="B1607" s="24" t="s">
        <v>216</v>
      </c>
      <c r="C1607" s="24" t="s">
        <v>210</v>
      </c>
      <c r="D1607" s="24">
        <v>2</v>
      </c>
      <c r="E1607" s="30">
        <v>1940</v>
      </c>
      <c r="F1607" s="30">
        <v>0</v>
      </c>
      <c r="G1607" s="27">
        <f>+D1607*4.8125</f>
        <v>9.625</v>
      </c>
      <c r="H1607" s="13">
        <f>+E1607*1116578/82332</f>
        <v>26310.077734052375</v>
      </c>
      <c r="I1607" s="13">
        <f>+F1607*383422/28272</f>
        <v>0</v>
      </c>
      <c r="J1607" s="51">
        <f t="shared" si="448"/>
        <v>26310.077734052375</v>
      </c>
    </row>
    <row r="1608" spans="1:10" x14ac:dyDescent="0.25">
      <c r="A1608" s="4" t="s">
        <v>137</v>
      </c>
      <c r="B1608" s="5" t="s">
        <v>217</v>
      </c>
      <c r="C1608" s="5" t="s">
        <v>218</v>
      </c>
      <c r="D1608" s="5">
        <v>2</v>
      </c>
      <c r="E1608" s="11">
        <v>6626</v>
      </c>
      <c r="F1608" s="11">
        <v>2650</v>
      </c>
      <c r="G1608" s="27">
        <f t="shared" ref="G1608:G1615" si="462">+D1608*4.8125</f>
        <v>9.625</v>
      </c>
      <c r="H1608" s="13">
        <f t="shared" ref="H1608:H1615" si="463">+E1608*1116578/82332</f>
        <v>89861.12116795413</v>
      </c>
      <c r="I1608" s="13">
        <f t="shared" ref="I1608:I1615" si="464">+F1608*383422/28272</f>
        <v>35939.03155065082</v>
      </c>
      <c r="J1608" s="51">
        <f t="shared" si="448"/>
        <v>125800.15271860495</v>
      </c>
    </row>
    <row r="1609" spans="1:10" x14ac:dyDescent="0.25">
      <c r="A1609" s="4" t="s">
        <v>137</v>
      </c>
      <c r="B1609" s="5" t="s">
        <v>219</v>
      </c>
      <c r="C1609" s="5" t="s">
        <v>220</v>
      </c>
      <c r="D1609" s="5">
        <v>1</v>
      </c>
      <c r="E1609" s="11">
        <v>3397</v>
      </c>
      <c r="F1609" s="11">
        <v>1358</v>
      </c>
      <c r="G1609" s="27">
        <f t="shared" si="462"/>
        <v>4.8125</v>
      </c>
      <c r="H1609" s="13">
        <f t="shared" si="463"/>
        <v>46069.759826070054</v>
      </c>
      <c r="I1609" s="13">
        <f t="shared" si="464"/>
        <v>18417.05843237125</v>
      </c>
      <c r="J1609" s="51">
        <f t="shared" si="448"/>
        <v>64486.818258441301</v>
      </c>
    </row>
    <row r="1610" spans="1:10" x14ac:dyDescent="0.25">
      <c r="A1610" s="4" t="s">
        <v>137</v>
      </c>
      <c r="B1610" s="5" t="s">
        <v>230</v>
      </c>
      <c r="C1610" s="5" t="s">
        <v>229</v>
      </c>
      <c r="D1610" s="5">
        <v>1</v>
      </c>
      <c r="E1610" s="11">
        <v>1941</v>
      </c>
      <c r="F1610" s="11">
        <v>0</v>
      </c>
      <c r="G1610" s="27">
        <f t="shared" si="462"/>
        <v>4.8125</v>
      </c>
      <c r="H1610" s="13">
        <f t="shared" si="463"/>
        <v>26323.639629791574</v>
      </c>
      <c r="I1610" s="13">
        <f t="shared" si="464"/>
        <v>0</v>
      </c>
      <c r="J1610" s="51">
        <f t="shared" si="448"/>
        <v>26323.639629791574</v>
      </c>
    </row>
    <row r="1611" spans="1:10" x14ac:dyDescent="0.25">
      <c r="A1611" s="4" t="s">
        <v>137</v>
      </c>
      <c r="B1611" s="5" t="s">
        <v>249</v>
      </c>
      <c r="C1611" s="5" t="s">
        <v>250</v>
      </c>
      <c r="D1611" s="5">
        <v>4</v>
      </c>
      <c r="E1611" s="11">
        <v>60664</v>
      </c>
      <c r="F1611" s="11">
        <v>24264</v>
      </c>
      <c r="G1611" s="27">
        <f t="shared" si="462"/>
        <v>19.25</v>
      </c>
      <c r="H1611" s="13">
        <f t="shared" si="463"/>
        <v>822718.84312296554</v>
      </c>
      <c r="I1611" s="13">
        <f t="shared" si="464"/>
        <v>329065.91001697793</v>
      </c>
      <c r="J1611" s="51">
        <f t="shared" si="448"/>
        <v>1151784.7531399434</v>
      </c>
    </row>
    <row r="1612" spans="1:10" x14ac:dyDescent="0.25">
      <c r="A1612" s="4" t="s">
        <v>137</v>
      </c>
      <c r="B1612" s="5" t="s">
        <v>252</v>
      </c>
      <c r="C1612" s="5" t="s">
        <v>212</v>
      </c>
      <c r="D1612" s="5">
        <v>3</v>
      </c>
      <c r="E1612" s="11">
        <v>4368</v>
      </c>
      <c r="F1612" s="11">
        <v>0</v>
      </c>
      <c r="G1612" s="27">
        <f t="shared" si="462"/>
        <v>14.4375</v>
      </c>
      <c r="H1612" s="13">
        <f t="shared" si="463"/>
        <v>59238.360588835443</v>
      </c>
      <c r="I1612" s="13">
        <f t="shared" si="464"/>
        <v>0</v>
      </c>
      <c r="J1612" s="51">
        <f t="shared" si="448"/>
        <v>59238.360588835443</v>
      </c>
    </row>
    <row r="1613" spans="1:10" x14ac:dyDescent="0.25">
      <c r="A1613" s="4" t="s">
        <v>137</v>
      </c>
      <c r="B1613" s="5" t="s">
        <v>253</v>
      </c>
      <c r="C1613" s="5" t="s">
        <v>210</v>
      </c>
      <c r="D1613" s="5">
        <v>1</v>
      </c>
      <c r="E1613" s="11">
        <v>970</v>
      </c>
      <c r="F1613" s="11">
        <v>0</v>
      </c>
      <c r="G1613" s="27">
        <f t="shared" si="462"/>
        <v>4.8125</v>
      </c>
      <c r="H1613" s="13">
        <f t="shared" si="463"/>
        <v>13155.038867026187</v>
      </c>
      <c r="I1613" s="13">
        <f t="shared" si="464"/>
        <v>0</v>
      </c>
      <c r="J1613" s="51">
        <f t="shared" si="448"/>
        <v>13155.038867026187</v>
      </c>
    </row>
    <row r="1614" spans="1:10" x14ac:dyDescent="0.25">
      <c r="A1614" s="4" t="s">
        <v>137</v>
      </c>
      <c r="B1614" s="5" t="s">
        <v>256</v>
      </c>
      <c r="C1614" s="5" t="s">
        <v>212</v>
      </c>
      <c r="D1614" s="5">
        <v>1</v>
      </c>
      <c r="E1614" s="11">
        <v>1456</v>
      </c>
      <c r="F1614" s="11">
        <v>0</v>
      </c>
      <c r="G1614" s="27">
        <f t="shared" si="462"/>
        <v>4.8125</v>
      </c>
      <c r="H1614" s="13">
        <f t="shared" si="463"/>
        <v>19746.120196278483</v>
      </c>
      <c r="I1614" s="13">
        <f t="shared" si="464"/>
        <v>0</v>
      </c>
      <c r="J1614" s="51">
        <f t="shared" si="448"/>
        <v>19746.120196278483</v>
      </c>
    </row>
    <row r="1615" spans="1:10" x14ac:dyDescent="0.25">
      <c r="A1615" s="15" t="s">
        <v>137</v>
      </c>
      <c r="B1615" s="16" t="s">
        <v>257</v>
      </c>
      <c r="C1615" s="16" t="s">
        <v>210</v>
      </c>
      <c r="D1615" s="16">
        <v>1</v>
      </c>
      <c r="E1615" s="18">
        <v>970</v>
      </c>
      <c r="F1615" s="18">
        <v>0</v>
      </c>
      <c r="G1615" s="27">
        <f t="shared" si="462"/>
        <v>4.8125</v>
      </c>
      <c r="H1615" s="13">
        <f t="shared" si="463"/>
        <v>13155.038867026187</v>
      </c>
      <c r="I1615" s="13">
        <f t="shared" si="464"/>
        <v>0</v>
      </c>
      <c r="J1615" s="51">
        <f t="shared" si="448"/>
        <v>13155.038867026187</v>
      </c>
    </row>
    <row r="1616" spans="1:10" s="3" customFormat="1" x14ac:dyDescent="0.25">
      <c r="A1616" s="4"/>
      <c r="B1616" s="20" t="s">
        <v>367</v>
      </c>
      <c r="C1616" s="21"/>
      <c r="D1616" s="21"/>
      <c r="E1616" s="29"/>
      <c r="F1616" s="29"/>
      <c r="G1616" s="47">
        <f>SUM(G1607:G1615)</f>
        <v>77</v>
      </c>
      <c r="H1616" s="47">
        <f t="shared" ref="H1616:J1616" si="465">SUM(H1607:H1615)</f>
        <v>1116577.9999999998</v>
      </c>
      <c r="I1616" s="47">
        <f t="shared" si="465"/>
        <v>383422</v>
      </c>
      <c r="J1616" s="47">
        <f t="shared" si="465"/>
        <v>1499999.9999999998</v>
      </c>
    </row>
    <row r="1617" spans="1:10" x14ac:dyDescent="0.25">
      <c r="A1617" s="23" t="s">
        <v>138</v>
      </c>
      <c r="B1617" s="24" t="s">
        <v>216</v>
      </c>
      <c r="C1617" s="24" t="s">
        <v>210</v>
      </c>
      <c r="D1617" s="24">
        <v>3</v>
      </c>
      <c r="E1617" s="30">
        <v>1455</v>
      </c>
      <c r="F1617" s="30">
        <v>0</v>
      </c>
      <c r="G1617" s="27">
        <f>+D1617*4.77777777777778</f>
        <v>14.333333333333341</v>
      </c>
      <c r="H1617" s="13">
        <f>+E1617*1488369/262335</f>
        <v>8255.0056035222133</v>
      </c>
      <c r="I1617" s="13">
        <f>+F1617*5.67365853658537</f>
        <v>0</v>
      </c>
      <c r="J1617" s="51">
        <f t="shared" si="448"/>
        <v>8255.0056035222133</v>
      </c>
    </row>
    <row r="1618" spans="1:10" x14ac:dyDescent="0.25">
      <c r="A1618" s="4" t="s">
        <v>138</v>
      </c>
      <c r="B1618" s="5" t="s">
        <v>223</v>
      </c>
      <c r="C1618" s="5" t="s">
        <v>224</v>
      </c>
      <c r="D1618" s="5">
        <v>1</v>
      </c>
      <c r="E1618" s="11">
        <v>0</v>
      </c>
      <c r="F1618" s="11">
        <v>0</v>
      </c>
      <c r="G1618" s="27">
        <f t="shared" ref="G1618:G1622" si="466">+D1618*4.77777777777778</f>
        <v>4.7777777777777803</v>
      </c>
      <c r="H1618" s="13">
        <f t="shared" ref="H1618:H1622" si="467">+E1618*1488369/262335</f>
        <v>0</v>
      </c>
      <c r="I1618" s="13">
        <f t="shared" ref="I1618:I1622" si="468">+F1618*5.67365853658537</f>
        <v>0</v>
      </c>
      <c r="J1618" s="51">
        <f t="shared" si="448"/>
        <v>0</v>
      </c>
    </row>
    <row r="1619" spans="1:10" x14ac:dyDescent="0.25">
      <c r="A1619" s="4" t="s">
        <v>138</v>
      </c>
      <c r="B1619" s="5" t="s">
        <v>231</v>
      </c>
      <c r="C1619" s="5" t="s">
        <v>232</v>
      </c>
      <c r="D1619" s="5">
        <v>1</v>
      </c>
      <c r="E1619" s="11">
        <v>106166</v>
      </c>
      <c r="F1619" s="11">
        <v>0</v>
      </c>
      <c r="G1619" s="27">
        <f t="shared" si="466"/>
        <v>4.7777777777777803</v>
      </c>
      <c r="H1619" s="13">
        <f t="shared" si="467"/>
        <v>602337.40543198586</v>
      </c>
      <c r="I1619" s="13">
        <f t="shared" si="468"/>
        <v>0</v>
      </c>
      <c r="J1619" s="51">
        <f t="shared" si="448"/>
        <v>602337.40543198586</v>
      </c>
    </row>
    <row r="1620" spans="1:10" x14ac:dyDescent="0.25">
      <c r="A1620" s="4" t="s">
        <v>138</v>
      </c>
      <c r="B1620" s="5" t="s">
        <v>262</v>
      </c>
      <c r="C1620" s="5" t="s">
        <v>263</v>
      </c>
      <c r="D1620" s="5">
        <v>2</v>
      </c>
      <c r="E1620" s="11">
        <v>151666</v>
      </c>
      <c r="F1620" s="11">
        <v>0</v>
      </c>
      <c r="G1620" s="27">
        <f t="shared" si="466"/>
        <v>9.5555555555555607</v>
      </c>
      <c r="H1620" s="13">
        <f t="shared" si="467"/>
        <v>860483.62877237122</v>
      </c>
      <c r="I1620" s="13">
        <f t="shared" si="468"/>
        <v>0</v>
      </c>
      <c r="J1620" s="51">
        <f t="shared" si="448"/>
        <v>860483.62877237122</v>
      </c>
    </row>
    <row r="1621" spans="1:10" x14ac:dyDescent="0.25">
      <c r="A1621" s="4" t="s">
        <v>138</v>
      </c>
      <c r="B1621" s="5" t="s">
        <v>240</v>
      </c>
      <c r="C1621" s="5" t="s">
        <v>238</v>
      </c>
      <c r="D1621" s="5">
        <v>1</v>
      </c>
      <c r="E1621" s="11">
        <v>2563</v>
      </c>
      <c r="F1621" s="11">
        <v>2050</v>
      </c>
      <c r="G1621" s="27">
        <f t="shared" si="466"/>
        <v>4.7777777777777803</v>
      </c>
      <c r="H1621" s="13">
        <f t="shared" si="467"/>
        <v>14541.291657613358</v>
      </c>
      <c r="I1621" s="13">
        <f t="shared" si="468"/>
        <v>11631.000000000007</v>
      </c>
      <c r="J1621" s="51">
        <f t="shared" si="448"/>
        <v>26172.291657613365</v>
      </c>
    </row>
    <row r="1622" spans="1:10" x14ac:dyDescent="0.25">
      <c r="A1622" s="15" t="s">
        <v>138</v>
      </c>
      <c r="B1622" s="16" t="s">
        <v>257</v>
      </c>
      <c r="C1622" s="16" t="s">
        <v>210</v>
      </c>
      <c r="D1622" s="16">
        <v>1</v>
      </c>
      <c r="E1622" s="18">
        <v>485</v>
      </c>
      <c r="F1622" s="18">
        <v>0</v>
      </c>
      <c r="G1622" s="27">
        <f t="shared" si="466"/>
        <v>4.7777777777777803</v>
      </c>
      <c r="H1622" s="13">
        <f t="shared" si="467"/>
        <v>2751.6685345074047</v>
      </c>
      <c r="I1622" s="13">
        <f t="shared" si="468"/>
        <v>0</v>
      </c>
      <c r="J1622" s="51">
        <f t="shared" si="448"/>
        <v>2751.6685345074047</v>
      </c>
    </row>
    <row r="1623" spans="1:10" s="3" customFormat="1" x14ac:dyDescent="0.25">
      <c r="A1623" s="4"/>
      <c r="B1623" s="20" t="s">
        <v>368</v>
      </c>
      <c r="C1623" s="21"/>
      <c r="D1623" s="21"/>
      <c r="E1623" s="29"/>
      <c r="F1623" s="29"/>
      <c r="G1623" s="47">
        <f>SUM(G1617:G1622)</f>
        <v>43.000000000000014</v>
      </c>
      <c r="H1623" s="47">
        <f t="shared" ref="H1623:J1623" si="469">SUM(H1617:H1622)</f>
        <v>1488369.0000000002</v>
      </c>
      <c r="I1623" s="47">
        <f t="shared" si="469"/>
        <v>11631.000000000007</v>
      </c>
      <c r="J1623" s="47">
        <f t="shared" si="469"/>
        <v>1500000.0000000002</v>
      </c>
    </row>
    <row r="1624" spans="1:10" x14ac:dyDescent="0.25">
      <c r="A1624" s="23" t="s">
        <v>139</v>
      </c>
      <c r="B1624" s="24" t="s">
        <v>215</v>
      </c>
      <c r="C1624" s="24" t="s">
        <v>212</v>
      </c>
      <c r="D1624" s="24">
        <v>1</v>
      </c>
      <c r="E1624" s="30">
        <v>728</v>
      </c>
      <c r="F1624" s="30">
        <v>0</v>
      </c>
      <c r="G1624" s="27">
        <f>+D1624*4.83333333333333</f>
        <v>4.8333333333333304</v>
      </c>
      <c r="H1624" s="13">
        <f>+E1624*1500000/2668</f>
        <v>409295.3523238381</v>
      </c>
      <c r="I1624" s="13">
        <v>0</v>
      </c>
      <c r="J1624" s="51">
        <f t="shared" si="448"/>
        <v>409295.3523238381</v>
      </c>
    </row>
    <row r="1625" spans="1:10" x14ac:dyDescent="0.25">
      <c r="A1625" s="4" t="s">
        <v>139</v>
      </c>
      <c r="B1625" s="5" t="s">
        <v>223</v>
      </c>
      <c r="C1625" s="5" t="s">
        <v>224</v>
      </c>
      <c r="D1625" s="5">
        <v>3</v>
      </c>
      <c r="E1625" s="11">
        <v>0</v>
      </c>
      <c r="F1625" s="11">
        <v>0</v>
      </c>
      <c r="G1625" s="27">
        <f t="shared" ref="G1625:G1626" si="470">+D1625*4.83333333333333</f>
        <v>14.499999999999991</v>
      </c>
      <c r="H1625" s="13">
        <f t="shared" ref="H1625:H1626" si="471">+E1625*1500000/2668</f>
        <v>0</v>
      </c>
      <c r="I1625" s="13">
        <v>0</v>
      </c>
      <c r="J1625" s="51">
        <f t="shared" si="448"/>
        <v>0</v>
      </c>
    </row>
    <row r="1626" spans="1:10" x14ac:dyDescent="0.25">
      <c r="A1626" s="15" t="s">
        <v>139</v>
      </c>
      <c r="B1626" s="16" t="s">
        <v>228</v>
      </c>
      <c r="C1626" s="16" t="s">
        <v>229</v>
      </c>
      <c r="D1626" s="16">
        <v>2</v>
      </c>
      <c r="E1626" s="18">
        <v>1940</v>
      </c>
      <c r="F1626" s="18">
        <v>0</v>
      </c>
      <c r="G1626" s="27">
        <f t="shared" si="470"/>
        <v>9.6666666666666607</v>
      </c>
      <c r="H1626" s="13">
        <f t="shared" si="471"/>
        <v>1090704.647676162</v>
      </c>
      <c r="I1626" s="13">
        <v>0</v>
      </c>
      <c r="J1626" s="51">
        <f t="shared" si="448"/>
        <v>1090704.647676162</v>
      </c>
    </row>
    <row r="1627" spans="1:10" s="3" customFormat="1" x14ac:dyDescent="0.25">
      <c r="A1627" s="4"/>
      <c r="B1627" s="20" t="s">
        <v>369</v>
      </c>
      <c r="C1627" s="21"/>
      <c r="D1627" s="21"/>
      <c r="E1627" s="29"/>
      <c r="F1627" s="29"/>
      <c r="G1627" s="47">
        <f>SUM(G1624:G1626)</f>
        <v>28.999999999999982</v>
      </c>
      <c r="H1627" s="47">
        <f t="shared" ref="H1627:J1627" si="472">SUM(H1624:H1626)</f>
        <v>1500000</v>
      </c>
      <c r="I1627" s="47">
        <f t="shared" si="472"/>
        <v>0</v>
      </c>
      <c r="J1627" s="47">
        <f t="shared" si="472"/>
        <v>1500000</v>
      </c>
    </row>
    <row r="1628" spans="1:10" x14ac:dyDescent="0.25">
      <c r="A1628" s="23" t="s">
        <v>140</v>
      </c>
      <c r="B1628" s="24" t="s">
        <v>207</v>
      </c>
      <c r="C1628" s="24" t="s">
        <v>208</v>
      </c>
      <c r="D1628" s="24">
        <v>1</v>
      </c>
      <c r="E1628" s="30">
        <v>11648</v>
      </c>
      <c r="F1628" s="30">
        <v>4659</v>
      </c>
      <c r="G1628" s="27">
        <f>+D1628*4.79113924050633</f>
        <v>4.7911392405063298</v>
      </c>
      <c r="H1628" s="13">
        <f>+E1628*4120175/648059</f>
        <v>74054.674651536363</v>
      </c>
      <c r="I1628" s="13">
        <f>+F1628*879825/138387</f>
        <v>29620.59062628715</v>
      </c>
      <c r="J1628" s="51">
        <f t="shared" si="448"/>
        <v>103675.26527782352</v>
      </c>
    </row>
    <row r="1629" spans="1:10" x14ac:dyDescent="0.25">
      <c r="A1629" s="4" t="s">
        <v>140</v>
      </c>
      <c r="B1629" s="5" t="s">
        <v>209</v>
      </c>
      <c r="C1629" s="5" t="s">
        <v>210</v>
      </c>
      <c r="D1629" s="5">
        <v>5</v>
      </c>
      <c r="E1629" s="11">
        <v>4850</v>
      </c>
      <c r="F1629" s="11">
        <v>0</v>
      </c>
      <c r="G1629" s="27">
        <f t="shared" ref="G1629:G1645" si="473">+D1629*4.79113924050633</f>
        <v>23.955696202531648</v>
      </c>
      <c r="H1629" s="13">
        <f t="shared" ref="H1629:H1645" si="474">+E1629*4120175/648059</f>
        <v>30834.922051850219</v>
      </c>
      <c r="I1629" s="13">
        <f t="shared" ref="I1629:I1645" si="475">+F1629*879825/138387</f>
        <v>0</v>
      </c>
      <c r="J1629" s="51">
        <f t="shared" si="448"/>
        <v>30834.922051850219</v>
      </c>
    </row>
    <row r="1630" spans="1:10" x14ac:dyDescent="0.25">
      <c r="A1630" s="4" t="s">
        <v>140</v>
      </c>
      <c r="B1630" s="5" t="s">
        <v>211</v>
      </c>
      <c r="C1630" s="5" t="s">
        <v>212</v>
      </c>
      <c r="D1630" s="5">
        <v>1</v>
      </c>
      <c r="E1630" s="11">
        <v>1456</v>
      </c>
      <c r="F1630" s="11">
        <v>0</v>
      </c>
      <c r="G1630" s="27">
        <f t="shared" si="473"/>
        <v>4.7911392405063298</v>
      </c>
      <c r="H1630" s="13">
        <f t="shared" si="474"/>
        <v>9256.8343314420454</v>
      </c>
      <c r="I1630" s="13">
        <f t="shared" si="475"/>
        <v>0</v>
      </c>
      <c r="J1630" s="51">
        <f t="shared" si="448"/>
        <v>9256.8343314420454</v>
      </c>
    </row>
    <row r="1631" spans="1:10" x14ac:dyDescent="0.25">
      <c r="A1631" s="4" t="s">
        <v>140</v>
      </c>
      <c r="B1631" s="5" t="s">
        <v>213</v>
      </c>
      <c r="C1631" s="5" t="s">
        <v>212</v>
      </c>
      <c r="D1631" s="5">
        <v>4</v>
      </c>
      <c r="E1631" s="11">
        <v>5824</v>
      </c>
      <c r="F1631" s="11">
        <v>0</v>
      </c>
      <c r="G1631" s="27">
        <f t="shared" si="473"/>
        <v>19.164556962025319</v>
      </c>
      <c r="H1631" s="13">
        <f t="shared" si="474"/>
        <v>37027.337325768181</v>
      </c>
      <c r="I1631" s="13">
        <f t="shared" si="475"/>
        <v>0</v>
      </c>
      <c r="J1631" s="51">
        <f t="shared" ref="J1631:J1694" si="476">SUM(H1631:I1631)</f>
        <v>37027.337325768181</v>
      </c>
    </row>
    <row r="1632" spans="1:10" x14ac:dyDescent="0.25">
      <c r="A1632" s="4" t="s">
        <v>140</v>
      </c>
      <c r="B1632" s="5" t="s">
        <v>214</v>
      </c>
      <c r="C1632" s="5" t="s">
        <v>210</v>
      </c>
      <c r="D1632" s="5">
        <v>22</v>
      </c>
      <c r="E1632" s="11">
        <v>21340</v>
      </c>
      <c r="F1632" s="11">
        <v>0</v>
      </c>
      <c r="G1632" s="27">
        <f t="shared" si="473"/>
        <v>105.40506329113926</v>
      </c>
      <c r="H1632" s="13">
        <f t="shared" si="474"/>
        <v>135673.65702814097</v>
      </c>
      <c r="I1632" s="13">
        <f t="shared" si="475"/>
        <v>0</v>
      </c>
      <c r="J1632" s="51">
        <f t="shared" si="476"/>
        <v>135673.65702814097</v>
      </c>
    </row>
    <row r="1633" spans="1:10" x14ac:dyDescent="0.25">
      <c r="A1633" s="4" t="s">
        <v>140</v>
      </c>
      <c r="B1633" s="5" t="s">
        <v>217</v>
      </c>
      <c r="C1633" s="5" t="s">
        <v>218</v>
      </c>
      <c r="D1633" s="5">
        <v>20</v>
      </c>
      <c r="E1633" s="11">
        <v>66260</v>
      </c>
      <c r="F1633" s="11">
        <v>26500</v>
      </c>
      <c r="G1633" s="27">
        <f t="shared" si="473"/>
        <v>95.822784810126592</v>
      </c>
      <c r="H1633" s="13">
        <f t="shared" si="474"/>
        <v>421262.25467125676</v>
      </c>
      <c r="I1633" s="13">
        <f t="shared" si="475"/>
        <v>168479.42725834073</v>
      </c>
      <c r="J1633" s="51">
        <f t="shared" si="476"/>
        <v>589741.68192959751</v>
      </c>
    </row>
    <row r="1634" spans="1:10" x14ac:dyDescent="0.25">
      <c r="A1634" s="4" t="s">
        <v>140</v>
      </c>
      <c r="B1634" s="5" t="s">
        <v>226</v>
      </c>
      <c r="C1634" s="5" t="s">
        <v>210</v>
      </c>
      <c r="D1634" s="5">
        <v>8</v>
      </c>
      <c r="E1634" s="11">
        <v>7760</v>
      </c>
      <c r="F1634" s="11">
        <v>0</v>
      </c>
      <c r="G1634" s="27">
        <f t="shared" si="473"/>
        <v>38.329113924050638</v>
      </c>
      <c r="H1634" s="13">
        <f t="shared" si="474"/>
        <v>49335.875282960347</v>
      </c>
      <c r="I1634" s="13">
        <f t="shared" si="475"/>
        <v>0</v>
      </c>
      <c r="J1634" s="51">
        <f t="shared" si="476"/>
        <v>49335.875282960347</v>
      </c>
    </row>
    <row r="1635" spans="1:10" x14ac:dyDescent="0.25">
      <c r="A1635" s="4" t="s">
        <v>140</v>
      </c>
      <c r="B1635" s="5" t="s">
        <v>228</v>
      </c>
      <c r="C1635" s="5" t="s">
        <v>229</v>
      </c>
      <c r="D1635" s="5">
        <v>42</v>
      </c>
      <c r="E1635" s="11">
        <v>81522</v>
      </c>
      <c r="F1635" s="11">
        <v>0</v>
      </c>
      <c r="G1635" s="27">
        <f t="shared" si="473"/>
        <v>201.22784810126586</v>
      </c>
      <c r="H1635" s="13">
        <f t="shared" si="474"/>
        <v>518293.71453833679</v>
      </c>
      <c r="I1635" s="13">
        <f t="shared" si="475"/>
        <v>0</v>
      </c>
      <c r="J1635" s="51">
        <f t="shared" si="476"/>
        <v>518293.71453833679</v>
      </c>
    </row>
    <row r="1636" spans="1:10" x14ac:dyDescent="0.25">
      <c r="A1636" s="4" t="s">
        <v>140</v>
      </c>
      <c r="B1636" s="5" t="s">
        <v>230</v>
      </c>
      <c r="C1636" s="5" t="s">
        <v>229</v>
      </c>
      <c r="D1636" s="5">
        <v>1</v>
      </c>
      <c r="E1636" s="11">
        <v>1941</v>
      </c>
      <c r="F1636" s="11">
        <v>0</v>
      </c>
      <c r="G1636" s="27">
        <f t="shared" si="473"/>
        <v>4.7911392405063298</v>
      </c>
      <c r="H1636" s="13">
        <f t="shared" si="474"/>
        <v>12340.326536627066</v>
      </c>
      <c r="I1636" s="13">
        <f t="shared" si="475"/>
        <v>0</v>
      </c>
      <c r="J1636" s="51">
        <f t="shared" si="476"/>
        <v>12340.326536627066</v>
      </c>
    </row>
    <row r="1637" spans="1:10" x14ac:dyDescent="0.25">
      <c r="A1637" s="4" t="s">
        <v>140</v>
      </c>
      <c r="B1637" s="5" t="s">
        <v>262</v>
      </c>
      <c r="C1637" s="5" t="s">
        <v>263</v>
      </c>
      <c r="D1637" s="5">
        <v>1</v>
      </c>
      <c r="E1637" s="11">
        <v>151666</v>
      </c>
      <c r="F1637" s="11">
        <v>0</v>
      </c>
      <c r="G1637" s="27">
        <f t="shared" si="473"/>
        <v>4.7911392405063298</v>
      </c>
      <c r="H1637" s="13">
        <f t="shared" si="474"/>
        <v>964249.33771462168</v>
      </c>
      <c r="I1637" s="13">
        <f t="shared" si="475"/>
        <v>0</v>
      </c>
      <c r="J1637" s="51">
        <f t="shared" si="476"/>
        <v>964249.33771462168</v>
      </c>
    </row>
    <row r="1638" spans="1:10" x14ac:dyDescent="0.25">
      <c r="A1638" s="4" t="s">
        <v>140</v>
      </c>
      <c r="B1638" s="5" t="s">
        <v>235</v>
      </c>
      <c r="C1638" s="5" t="s">
        <v>236</v>
      </c>
      <c r="D1638" s="5">
        <v>5</v>
      </c>
      <c r="E1638" s="11">
        <v>34125</v>
      </c>
      <c r="F1638" s="11">
        <v>13650</v>
      </c>
      <c r="G1638" s="27">
        <f t="shared" si="473"/>
        <v>23.955696202531648</v>
      </c>
      <c r="H1638" s="13">
        <f t="shared" si="474"/>
        <v>216957.05464317292</v>
      </c>
      <c r="I1638" s="13">
        <f t="shared" si="475"/>
        <v>86782.799323635889</v>
      </c>
      <c r="J1638" s="51">
        <f t="shared" si="476"/>
        <v>303739.85396680882</v>
      </c>
    </row>
    <row r="1639" spans="1:10" x14ac:dyDescent="0.25">
      <c r="A1639" s="4" t="s">
        <v>140</v>
      </c>
      <c r="B1639" s="5" t="s">
        <v>239</v>
      </c>
      <c r="C1639" s="5" t="s">
        <v>236</v>
      </c>
      <c r="D1639" s="5">
        <v>2</v>
      </c>
      <c r="E1639" s="11">
        <v>13650</v>
      </c>
      <c r="F1639" s="11">
        <v>5460</v>
      </c>
      <c r="G1639" s="27">
        <f t="shared" si="473"/>
        <v>9.5822784810126596</v>
      </c>
      <c r="H1639" s="13">
        <f t="shared" si="474"/>
        <v>86782.821857269169</v>
      </c>
      <c r="I1639" s="13">
        <f t="shared" si="475"/>
        <v>34713.119729454353</v>
      </c>
      <c r="J1639" s="51">
        <f t="shared" si="476"/>
        <v>121495.94158672352</v>
      </c>
    </row>
    <row r="1640" spans="1:10" x14ac:dyDescent="0.25">
      <c r="A1640" s="4" t="s">
        <v>140</v>
      </c>
      <c r="B1640" s="5" t="s">
        <v>240</v>
      </c>
      <c r="C1640" s="5" t="s">
        <v>238</v>
      </c>
      <c r="D1640" s="5">
        <v>2</v>
      </c>
      <c r="E1640" s="11">
        <v>10252</v>
      </c>
      <c r="F1640" s="11">
        <v>4100</v>
      </c>
      <c r="G1640" s="27">
        <f t="shared" si="473"/>
        <v>9.5822784810126596</v>
      </c>
      <c r="H1640" s="13">
        <f t="shared" si="474"/>
        <v>65179.303273313075</v>
      </c>
      <c r="I1640" s="13">
        <f t="shared" si="475"/>
        <v>26066.628368271588</v>
      </c>
      <c r="J1640" s="51">
        <f t="shared" si="476"/>
        <v>91245.93164158467</v>
      </c>
    </row>
    <row r="1641" spans="1:10" x14ac:dyDescent="0.25">
      <c r="A1641" s="4" t="s">
        <v>140</v>
      </c>
      <c r="B1641" s="5" t="s">
        <v>241</v>
      </c>
      <c r="C1641" s="5" t="s">
        <v>236</v>
      </c>
      <c r="D1641" s="5">
        <v>13</v>
      </c>
      <c r="E1641" s="11">
        <v>88725</v>
      </c>
      <c r="F1641" s="11">
        <v>35490</v>
      </c>
      <c r="G1641" s="27">
        <f t="shared" si="473"/>
        <v>62.284810126582286</v>
      </c>
      <c r="H1641" s="13">
        <f t="shared" si="474"/>
        <v>564088.34207224962</v>
      </c>
      <c r="I1641" s="13">
        <f t="shared" si="475"/>
        <v>225635.27824145331</v>
      </c>
      <c r="J1641" s="51">
        <f t="shared" si="476"/>
        <v>789723.62031370297</v>
      </c>
    </row>
    <row r="1642" spans="1:10" x14ac:dyDescent="0.25">
      <c r="A1642" s="4" t="s">
        <v>140</v>
      </c>
      <c r="B1642" s="5" t="s">
        <v>249</v>
      </c>
      <c r="C1642" s="5" t="s">
        <v>250</v>
      </c>
      <c r="D1642" s="5">
        <v>8</v>
      </c>
      <c r="E1642" s="11">
        <v>121328</v>
      </c>
      <c r="F1642" s="11">
        <v>48528</v>
      </c>
      <c r="G1642" s="27">
        <f t="shared" si="473"/>
        <v>38.329113924050638</v>
      </c>
      <c r="H1642" s="13">
        <f t="shared" si="474"/>
        <v>771368.95313543978</v>
      </c>
      <c r="I1642" s="13">
        <f t="shared" si="475"/>
        <v>308527.15645255696</v>
      </c>
      <c r="J1642" s="51">
        <f t="shared" si="476"/>
        <v>1079896.1095879967</v>
      </c>
    </row>
    <row r="1643" spans="1:10" x14ac:dyDescent="0.25">
      <c r="A1643" s="4" t="s">
        <v>140</v>
      </c>
      <c r="B1643" s="5" t="s">
        <v>252</v>
      </c>
      <c r="C1643" s="5" t="s">
        <v>212</v>
      </c>
      <c r="D1643" s="5">
        <v>3</v>
      </c>
      <c r="E1643" s="11">
        <v>4368</v>
      </c>
      <c r="F1643" s="11">
        <v>0</v>
      </c>
      <c r="G1643" s="27">
        <f t="shared" si="473"/>
        <v>14.37341772151899</v>
      </c>
      <c r="H1643" s="13">
        <f t="shared" si="474"/>
        <v>27770.502994326132</v>
      </c>
      <c r="I1643" s="13">
        <f t="shared" si="475"/>
        <v>0</v>
      </c>
      <c r="J1643" s="51">
        <f t="shared" si="476"/>
        <v>27770.502994326132</v>
      </c>
    </row>
    <row r="1644" spans="1:10" x14ac:dyDescent="0.25">
      <c r="A1644" s="4" t="s">
        <v>140</v>
      </c>
      <c r="B1644" s="5" t="s">
        <v>253</v>
      </c>
      <c r="C1644" s="5" t="s">
        <v>210</v>
      </c>
      <c r="D1644" s="5">
        <v>16</v>
      </c>
      <c r="E1644" s="11">
        <v>15520</v>
      </c>
      <c r="F1644" s="11">
        <v>0</v>
      </c>
      <c r="G1644" s="27">
        <f t="shared" si="473"/>
        <v>76.658227848101276</v>
      </c>
      <c r="H1644" s="13">
        <f t="shared" si="474"/>
        <v>98671.750565920694</v>
      </c>
      <c r="I1644" s="13">
        <f t="shared" si="475"/>
        <v>0</v>
      </c>
      <c r="J1644" s="51">
        <f t="shared" si="476"/>
        <v>98671.750565920694</v>
      </c>
    </row>
    <row r="1645" spans="1:10" x14ac:dyDescent="0.25">
      <c r="A1645" s="15" t="s">
        <v>140</v>
      </c>
      <c r="B1645" s="16" t="s">
        <v>256</v>
      </c>
      <c r="C1645" s="16" t="s">
        <v>212</v>
      </c>
      <c r="D1645" s="16">
        <v>4</v>
      </c>
      <c r="E1645" s="18">
        <v>5824</v>
      </c>
      <c r="F1645" s="18">
        <v>0</v>
      </c>
      <c r="G1645" s="27">
        <f t="shared" si="473"/>
        <v>19.164556962025319</v>
      </c>
      <c r="H1645" s="13">
        <f t="shared" si="474"/>
        <v>37027.337325768181</v>
      </c>
      <c r="I1645" s="13">
        <f t="shared" si="475"/>
        <v>0</v>
      </c>
      <c r="J1645" s="51">
        <f t="shared" si="476"/>
        <v>37027.337325768181</v>
      </c>
    </row>
    <row r="1646" spans="1:10" s="3" customFormat="1" x14ac:dyDescent="0.25">
      <c r="A1646" s="4"/>
      <c r="B1646" s="20" t="s">
        <v>370</v>
      </c>
      <c r="C1646" s="21"/>
      <c r="D1646" s="21"/>
      <c r="E1646" s="29"/>
      <c r="F1646" s="29"/>
      <c r="G1646" s="47">
        <f>SUM(G1628:G1645)</f>
        <v>757.00000000000011</v>
      </c>
      <c r="H1646" s="47">
        <f t="shared" ref="H1646:J1646" si="477">SUM(H1628:H1645)</f>
        <v>4120174.9999999995</v>
      </c>
      <c r="I1646" s="47">
        <f t="shared" si="477"/>
        <v>879825</v>
      </c>
      <c r="J1646" s="47">
        <f t="shared" si="477"/>
        <v>5000000.0000000009</v>
      </c>
    </row>
    <row r="1647" spans="1:10" x14ac:dyDescent="0.25">
      <c r="A1647" s="23" t="s">
        <v>141</v>
      </c>
      <c r="B1647" s="24" t="s">
        <v>213</v>
      </c>
      <c r="C1647" s="24" t="s">
        <v>212</v>
      </c>
      <c r="D1647" s="24">
        <v>1</v>
      </c>
      <c r="E1647" s="30">
        <v>1456</v>
      </c>
      <c r="F1647" s="30">
        <v>0</v>
      </c>
      <c r="G1647" s="27">
        <f>+D1647*4.8</f>
        <v>4.8</v>
      </c>
      <c r="H1647" s="13">
        <f>+E1647*4472929/19943</f>
        <v>326559.92699192697</v>
      </c>
      <c r="I1647" s="13">
        <f>+F1647*527071/2350</f>
        <v>0</v>
      </c>
      <c r="J1647" s="51">
        <f t="shared" si="476"/>
        <v>326559.92699192697</v>
      </c>
    </row>
    <row r="1648" spans="1:10" x14ac:dyDescent="0.25">
      <c r="A1648" s="4" t="s">
        <v>141</v>
      </c>
      <c r="B1648" s="5" t="s">
        <v>214</v>
      </c>
      <c r="C1648" s="5" t="s">
        <v>210</v>
      </c>
      <c r="D1648" s="5">
        <v>5</v>
      </c>
      <c r="E1648" s="11">
        <v>4850</v>
      </c>
      <c r="F1648" s="11">
        <v>0</v>
      </c>
      <c r="G1648" s="27">
        <f t="shared" ref="G1648:G1654" si="478">+D1648*4.8</f>
        <v>24</v>
      </c>
      <c r="H1648" s="13">
        <f t="shared" ref="H1648:H1654" si="479">+E1648*4472929/19943</f>
        <v>1087785.4710926139</v>
      </c>
      <c r="I1648" s="13">
        <f t="shared" ref="I1648:I1654" si="480">+F1648*527071/2350</f>
        <v>0</v>
      </c>
      <c r="J1648" s="51">
        <f t="shared" si="476"/>
        <v>1087785.4710926139</v>
      </c>
    </row>
    <row r="1649" spans="1:10" x14ac:dyDescent="0.25">
      <c r="A1649" s="4" t="s">
        <v>141</v>
      </c>
      <c r="B1649" s="5" t="s">
        <v>216</v>
      </c>
      <c r="C1649" s="5" t="s">
        <v>210</v>
      </c>
      <c r="D1649" s="5">
        <v>2</v>
      </c>
      <c r="E1649" s="11">
        <v>1940</v>
      </c>
      <c r="F1649" s="11">
        <v>0</v>
      </c>
      <c r="G1649" s="27">
        <f t="shared" si="478"/>
        <v>9.6</v>
      </c>
      <c r="H1649" s="13">
        <f t="shared" si="479"/>
        <v>435114.18843704555</v>
      </c>
      <c r="I1649" s="13">
        <f t="shared" si="480"/>
        <v>0</v>
      </c>
      <c r="J1649" s="51">
        <f t="shared" si="476"/>
        <v>435114.18843704555</v>
      </c>
    </row>
    <row r="1650" spans="1:10" x14ac:dyDescent="0.25">
      <c r="A1650" s="4" t="s">
        <v>141</v>
      </c>
      <c r="B1650" s="5" t="s">
        <v>217</v>
      </c>
      <c r="C1650" s="5" t="s">
        <v>218</v>
      </c>
      <c r="D1650" s="5">
        <v>1</v>
      </c>
      <c r="E1650" s="11">
        <v>3313</v>
      </c>
      <c r="F1650" s="11">
        <v>1325</v>
      </c>
      <c r="G1650" s="27">
        <f t="shared" si="478"/>
        <v>4.8</v>
      </c>
      <c r="H1650" s="13">
        <f t="shared" si="479"/>
        <v>743058.40530511958</v>
      </c>
      <c r="I1650" s="13">
        <f t="shared" si="480"/>
        <v>297178.32978723402</v>
      </c>
      <c r="J1650" s="51">
        <f t="shared" si="476"/>
        <v>1040236.7350923535</v>
      </c>
    </row>
    <row r="1651" spans="1:10" x14ac:dyDescent="0.25">
      <c r="A1651" s="4" t="s">
        <v>141</v>
      </c>
      <c r="B1651" s="5" t="s">
        <v>226</v>
      </c>
      <c r="C1651" s="5" t="s">
        <v>210</v>
      </c>
      <c r="D1651" s="5">
        <v>1</v>
      </c>
      <c r="E1651" s="11">
        <v>970</v>
      </c>
      <c r="F1651" s="11">
        <v>0</v>
      </c>
      <c r="G1651" s="27">
        <f t="shared" si="478"/>
        <v>4.8</v>
      </c>
      <c r="H1651" s="13">
        <f t="shared" si="479"/>
        <v>217557.09421852278</v>
      </c>
      <c r="I1651" s="13">
        <f t="shared" si="480"/>
        <v>0</v>
      </c>
      <c r="J1651" s="51">
        <f t="shared" si="476"/>
        <v>217557.09421852278</v>
      </c>
    </row>
    <row r="1652" spans="1:10" x14ac:dyDescent="0.25">
      <c r="A1652" s="4" t="s">
        <v>141</v>
      </c>
      <c r="B1652" s="5" t="s">
        <v>230</v>
      </c>
      <c r="C1652" s="5" t="s">
        <v>229</v>
      </c>
      <c r="D1652" s="5">
        <v>1</v>
      </c>
      <c r="E1652" s="11">
        <v>1941</v>
      </c>
      <c r="F1652" s="11">
        <v>0</v>
      </c>
      <c r="G1652" s="27">
        <f t="shared" si="478"/>
        <v>4.8</v>
      </c>
      <c r="H1652" s="13">
        <f t="shared" si="479"/>
        <v>435338.47410118836</v>
      </c>
      <c r="I1652" s="13">
        <f t="shared" si="480"/>
        <v>0</v>
      </c>
      <c r="J1652" s="51">
        <f t="shared" si="476"/>
        <v>435338.47410118836</v>
      </c>
    </row>
    <row r="1653" spans="1:10" x14ac:dyDescent="0.25">
      <c r="A1653" s="4" t="s">
        <v>141</v>
      </c>
      <c r="B1653" s="5" t="s">
        <v>248</v>
      </c>
      <c r="C1653" s="5" t="s">
        <v>246</v>
      </c>
      <c r="D1653" s="5">
        <v>1</v>
      </c>
      <c r="E1653" s="11">
        <v>2563</v>
      </c>
      <c r="F1653" s="11">
        <v>1025</v>
      </c>
      <c r="G1653" s="27">
        <f t="shared" si="478"/>
        <v>4.8</v>
      </c>
      <c r="H1653" s="13">
        <f t="shared" si="479"/>
        <v>574844.15719801432</v>
      </c>
      <c r="I1653" s="13">
        <f t="shared" si="480"/>
        <v>229892.67021276595</v>
      </c>
      <c r="J1653" s="51">
        <f t="shared" si="476"/>
        <v>804736.82741078024</v>
      </c>
    </row>
    <row r="1654" spans="1:10" x14ac:dyDescent="0.25">
      <c r="A1654" s="15" t="s">
        <v>141</v>
      </c>
      <c r="B1654" s="16" t="s">
        <v>253</v>
      </c>
      <c r="C1654" s="16" t="s">
        <v>210</v>
      </c>
      <c r="D1654" s="16">
        <v>3</v>
      </c>
      <c r="E1654" s="18">
        <v>2910</v>
      </c>
      <c r="F1654" s="18">
        <v>0</v>
      </c>
      <c r="G1654" s="27">
        <f t="shared" si="478"/>
        <v>14.399999999999999</v>
      </c>
      <c r="H1654" s="13">
        <f t="shared" si="479"/>
        <v>652671.28265556833</v>
      </c>
      <c r="I1654" s="13">
        <f t="shared" si="480"/>
        <v>0</v>
      </c>
      <c r="J1654" s="51">
        <f t="shared" si="476"/>
        <v>652671.28265556833</v>
      </c>
    </row>
    <row r="1655" spans="1:10" s="3" customFormat="1" x14ac:dyDescent="0.25">
      <c r="A1655" s="4"/>
      <c r="B1655" s="20" t="s">
        <v>371</v>
      </c>
      <c r="C1655" s="21"/>
      <c r="D1655" s="21"/>
      <c r="E1655" s="29"/>
      <c r="F1655" s="29"/>
      <c r="G1655" s="47">
        <f>SUM(G1647:G1654)</f>
        <v>71.999999999999986</v>
      </c>
      <c r="H1655" s="47">
        <f t="shared" ref="H1655:J1655" si="481">SUM(H1647:H1654)</f>
        <v>4472929</v>
      </c>
      <c r="I1655" s="47">
        <f t="shared" si="481"/>
        <v>527071</v>
      </c>
      <c r="J1655" s="47">
        <f t="shared" si="481"/>
        <v>5000000</v>
      </c>
    </row>
    <row r="1656" spans="1:10" x14ac:dyDescent="0.25">
      <c r="A1656" s="23" t="s">
        <v>142</v>
      </c>
      <c r="B1656" s="24" t="s">
        <v>230</v>
      </c>
      <c r="C1656" s="24" t="s">
        <v>229</v>
      </c>
      <c r="D1656" s="24">
        <v>1</v>
      </c>
      <c r="E1656" s="30">
        <v>1941</v>
      </c>
      <c r="F1656" s="30">
        <v>0</v>
      </c>
      <c r="G1656" s="27">
        <f>+D1656*5</f>
        <v>5</v>
      </c>
      <c r="H1656" s="13">
        <f>+E1656*1162718/7067</f>
        <v>319348.47007216641</v>
      </c>
      <c r="I1656" s="13">
        <f>+F1656*337282/2050</f>
        <v>0</v>
      </c>
      <c r="J1656" s="51">
        <f t="shared" si="476"/>
        <v>319348.47007216641</v>
      </c>
    </row>
    <row r="1657" spans="1:10" x14ac:dyDescent="0.25">
      <c r="A1657" s="15" t="s">
        <v>142</v>
      </c>
      <c r="B1657" s="16" t="s">
        <v>237</v>
      </c>
      <c r="C1657" s="16" t="s">
        <v>238</v>
      </c>
      <c r="D1657" s="16">
        <v>1</v>
      </c>
      <c r="E1657" s="18">
        <v>5126</v>
      </c>
      <c r="F1657" s="18">
        <v>2050</v>
      </c>
      <c r="G1657" s="27">
        <f>+D1657*5</f>
        <v>5</v>
      </c>
      <c r="H1657" s="13">
        <f>+E1657*1162718/7067</f>
        <v>843369.52992783359</v>
      </c>
      <c r="I1657" s="13">
        <f>+F1657*337282/2050</f>
        <v>337282</v>
      </c>
      <c r="J1657" s="51">
        <f t="shared" si="476"/>
        <v>1180651.5299278335</v>
      </c>
    </row>
    <row r="1658" spans="1:10" s="3" customFormat="1" x14ac:dyDescent="0.25">
      <c r="A1658" s="4"/>
      <c r="B1658" s="20" t="s">
        <v>372</v>
      </c>
      <c r="C1658" s="21"/>
      <c r="D1658" s="21"/>
      <c r="E1658" s="29"/>
      <c r="F1658" s="29"/>
      <c r="G1658" s="47">
        <f>SUM(G1656:G1657)</f>
        <v>10</v>
      </c>
      <c r="H1658" s="47">
        <f t="shared" ref="H1658:J1658" si="482">SUM(H1656:H1657)</f>
        <v>1162718</v>
      </c>
      <c r="I1658" s="47">
        <f t="shared" si="482"/>
        <v>337282</v>
      </c>
      <c r="J1658" s="47">
        <f t="shared" si="482"/>
        <v>1500000</v>
      </c>
    </row>
    <row r="1659" spans="1:10" x14ac:dyDescent="0.25">
      <c r="A1659" s="23" t="s">
        <v>143</v>
      </c>
      <c r="B1659" s="24" t="s">
        <v>217</v>
      </c>
      <c r="C1659" s="24" t="s">
        <v>218</v>
      </c>
      <c r="D1659" s="24">
        <v>1</v>
      </c>
      <c r="E1659" s="25">
        <v>1656</v>
      </c>
      <c r="F1659" s="25">
        <v>1325</v>
      </c>
      <c r="G1659" s="27">
        <f>+D1659*4.80952380952381</f>
        <v>4.8095238095238102</v>
      </c>
      <c r="H1659" s="13">
        <f>+E1659*1215476/57743</f>
        <v>34858.394194967354</v>
      </c>
      <c r="I1659" s="13">
        <f>+F1659*784524/37270</f>
        <v>27890.912261872822</v>
      </c>
      <c r="J1659" s="51">
        <f t="shared" si="476"/>
        <v>62749.306456840175</v>
      </c>
    </row>
    <row r="1660" spans="1:10" x14ac:dyDescent="0.25">
      <c r="A1660" s="4" t="s">
        <v>143</v>
      </c>
      <c r="B1660" s="5" t="s">
        <v>221</v>
      </c>
      <c r="C1660" s="5" t="s">
        <v>222</v>
      </c>
      <c r="D1660" s="5">
        <v>1</v>
      </c>
      <c r="E1660" s="6">
        <v>36400</v>
      </c>
      <c r="F1660" s="6">
        <v>29120</v>
      </c>
      <c r="G1660" s="27">
        <f t="shared" ref="G1660:G1671" si="483">+D1660*4.80952380952381</f>
        <v>4.8095238095238102</v>
      </c>
      <c r="H1660" s="13">
        <f t="shared" ref="H1660:H1671" si="484">+E1660*1215476/57743</f>
        <v>766211.08013092494</v>
      </c>
      <c r="I1660" s="13">
        <f t="shared" ref="I1660:I1671" si="485">+F1660*784524/37270</f>
        <v>612968.57740810304</v>
      </c>
      <c r="J1660" s="51">
        <f t="shared" si="476"/>
        <v>1379179.657539028</v>
      </c>
    </row>
    <row r="1661" spans="1:10" x14ac:dyDescent="0.25">
      <c r="A1661" s="4" t="s">
        <v>143</v>
      </c>
      <c r="B1661" s="5" t="s">
        <v>223</v>
      </c>
      <c r="C1661" s="5" t="s">
        <v>224</v>
      </c>
      <c r="D1661" s="5">
        <v>1</v>
      </c>
      <c r="E1661" s="11">
        <v>0</v>
      </c>
      <c r="F1661" s="11">
        <v>0</v>
      </c>
      <c r="G1661" s="27">
        <f t="shared" si="483"/>
        <v>4.8095238095238102</v>
      </c>
      <c r="H1661" s="13">
        <f t="shared" si="484"/>
        <v>0</v>
      </c>
      <c r="I1661" s="13">
        <f t="shared" si="485"/>
        <v>0</v>
      </c>
      <c r="J1661" s="51">
        <f t="shared" si="476"/>
        <v>0</v>
      </c>
    </row>
    <row r="1662" spans="1:10" x14ac:dyDescent="0.25">
      <c r="A1662" s="4" t="s">
        <v>143</v>
      </c>
      <c r="B1662" s="5" t="s">
        <v>227</v>
      </c>
      <c r="C1662" s="5" t="s">
        <v>210</v>
      </c>
      <c r="D1662" s="5">
        <v>2</v>
      </c>
      <c r="E1662" s="6">
        <v>970</v>
      </c>
      <c r="F1662" s="11">
        <v>0</v>
      </c>
      <c r="G1662" s="27">
        <f t="shared" si="483"/>
        <v>9.6190476190476204</v>
      </c>
      <c r="H1662" s="13">
        <f t="shared" si="484"/>
        <v>20418.262300192229</v>
      </c>
      <c r="I1662" s="13">
        <f t="shared" si="485"/>
        <v>0</v>
      </c>
      <c r="J1662" s="51">
        <f t="shared" si="476"/>
        <v>20418.262300192229</v>
      </c>
    </row>
    <row r="1663" spans="1:10" x14ac:dyDescent="0.25">
      <c r="A1663" s="4" t="s">
        <v>143</v>
      </c>
      <c r="B1663" s="5" t="s">
        <v>228</v>
      </c>
      <c r="C1663" s="5" t="s">
        <v>229</v>
      </c>
      <c r="D1663" s="5">
        <v>6</v>
      </c>
      <c r="E1663" s="6">
        <v>5820</v>
      </c>
      <c r="F1663" s="11">
        <v>0</v>
      </c>
      <c r="G1663" s="27">
        <f t="shared" si="483"/>
        <v>28.857142857142861</v>
      </c>
      <c r="H1663" s="13">
        <f t="shared" si="484"/>
        <v>122509.57380115338</v>
      </c>
      <c r="I1663" s="13">
        <f t="shared" si="485"/>
        <v>0</v>
      </c>
      <c r="J1663" s="51">
        <f t="shared" si="476"/>
        <v>122509.57380115338</v>
      </c>
    </row>
    <row r="1664" spans="1:10" x14ac:dyDescent="0.25">
      <c r="A1664" s="4" t="s">
        <v>143</v>
      </c>
      <c r="B1664" s="5" t="s">
        <v>230</v>
      </c>
      <c r="C1664" s="5" t="s">
        <v>229</v>
      </c>
      <c r="D1664" s="5">
        <v>1</v>
      </c>
      <c r="E1664" s="6">
        <v>970</v>
      </c>
      <c r="F1664" s="11">
        <v>0</v>
      </c>
      <c r="G1664" s="27">
        <f t="shared" si="483"/>
        <v>4.8095238095238102</v>
      </c>
      <c r="H1664" s="13">
        <f t="shared" si="484"/>
        <v>20418.262300192229</v>
      </c>
      <c r="I1664" s="13">
        <f t="shared" si="485"/>
        <v>0</v>
      </c>
      <c r="J1664" s="51">
        <f t="shared" si="476"/>
        <v>20418.262300192229</v>
      </c>
    </row>
    <row r="1665" spans="1:10" x14ac:dyDescent="0.25">
      <c r="A1665" s="4" t="s">
        <v>143</v>
      </c>
      <c r="B1665" s="5" t="s">
        <v>241</v>
      </c>
      <c r="C1665" s="5" t="s">
        <v>236</v>
      </c>
      <c r="D1665" s="5">
        <v>1</v>
      </c>
      <c r="E1665" s="6">
        <v>3412</v>
      </c>
      <c r="F1665" s="6">
        <v>2730</v>
      </c>
      <c r="G1665" s="27">
        <f t="shared" si="483"/>
        <v>4.8095238095238102</v>
      </c>
      <c r="H1665" s="13">
        <f t="shared" si="484"/>
        <v>71821.76388479989</v>
      </c>
      <c r="I1665" s="13">
        <f t="shared" si="485"/>
        <v>57465.80413200966</v>
      </c>
      <c r="J1665" s="51">
        <f t="shared" si="476"/>
        <v>129287.56801680956</v>
      </c>
    </row>
    <row r="1666" spans="1:10" x14ac:dyDescent="0.25">
      <c r="A1666" s="4" t="s">
        <v>143</v>
      </c>
      <c r="B1666" s="5" t="s">
        <v>243</v>
      </c>
      <c r="C1666" s="5" t="s">
        <v>244</v>
      </c>
      <c r="D1666" s="5">
        <v>2</v>
      </c>
      <c r="E1666" s="6">
        <v>3412</v>
      </c>
      <c r="F1666" s="6">
        <v>2730</v>
      </c>
      <c r="G1666" s="27">
        <f t="shared" si="483"/>
        <v>9.6190476190476204</v>
      </c>
      <c r="H1666" s="13">
        <f t="shared" si="484"/>
        <v>71821.76388479989</v>
      </c>
      <c r="I1666" s="13">
        <f t="shared" si="485"/>
        <v>57465.80413200966</v>
      </c>
      <c r="J1666" s="51">
        <f t="shared" si="476"/>
        <v>129287.56801680956</v>
      </c>
    </row>
    <row r="1667" spans="1:10" x14ac:dyDescent="0.25">
      <c r="A1667" s="4" t="s">
        <v>143</v>
      </c>
      <c r="B1667" s="5" t="s">
        <v>247</v>
      </c>
      <c r="C1667" s="5" t="s">
        <v>244</v>
      </c>
      <c r="D1667" s="5">
        <v>1</v>
      </c>
      <c r="E1667" s="6">
        <v>1706</v>
      </c>
      <c r="F1667" s="6">
        <v>1365</v>
      </c>
      <c r="G1667" s="27">
        <f t="shared" si="483"/>
        <v>4.8095238095238102</v>
      </c>
      <c r="H1667" s="13">
        <f t="shared" si="484"/>
        <v>35910.881942399945</v>
      </c>
      <c r="I1667" s="13">
        <f t="shared" si="485"/>
        <v>28732.90206600483</v>
      </c>
      <c r="J1667" s="51">
        <f t="shared" si="476"/>
        <v>64643.784008404778</v>
      </c>
    </row>
    <row r="1668" spans="1:10" x14ac:dyDescent="0.25">
      <c r="A1668" s="4" t="s">
        <v>143</v>
      </c>
      <c r="B1668" s="5" t="s">
        <v>252</v>
      </c>
      <c r="C1668" s="5" t="s">
        <v>212</v>
      </c>
      <c r="D1668" s="5">
        <v>1</v>
      </c>
      <c r="E1668" s="6">
        <v>728</v>
      </c>
      <c r="F1668" s="11">
        <v>0</v>
      </c>
      <c r="G1668" s="27">
        <f t="shared" si="483"/>
        <v>4.8095238095238102</v>
      </c>
      <c r="H1668" s="13">
        <f t="shared" si="484"/>
        <v>15324.2216026185</v>
      </c>
      <c r="I1668" s="13">
        <f t="shared" si="485"/>
        <v>0</v>
      </c>
      <c r="J1668" s="51">
        <f t="shared" si="476"/>
        <v>15324.2216026185</v>
      </c>
    </row>
    <row r="1669" spans="1:10" x14ac:dyDescent="0.25">
      <c r="A1669" s="4" t="s">
        <v>143</v>
      </c>
      <c r="B1669" s="5" t="s">
        <v>253</v>
      </c>
      <c r="C1669" s="5" t="s">
        <v>210</v>
      </c>
      <c r="D1669" s="5">
        <v>1</v>
      </c>
      <c r="E1669" s="6">
        <v>485</v>
      </c>
      <c r="F1669" s="11">
        <v>0</v>
      </c>
      <c r="G1669" s="27">
        <f t="shared" si="483"/>
        <v>4.8095238095238102</v>
      </c>
      <c r="H1669" s="13">
        <f t="shared" si="484"/>
        <v>10209.131150096115</v>
      </c>
      <c r="I1669" s="13">
        <f t="shared" si="485"/>
        <v>0</v>
      </c>
      <c r="J1669" s="51">
        <f t="shared" si="476"/>
        <v>10209.131150096115</v>
      </c>
    </row>
    <row r="1670" spans="1:10" x14ac:dyDescent="0.25">
      <c r="A1670" s="4" t="s">
        <v>143</v>
      </c>
      <c r="B1670" s="5" t="s">
        <v>254</v>
      </c>
      <c r="C1670" s="5" t="s">
        <v>212</v>
      </c>
      <c r="D1670" s="5">
        <v>2</v>
      </c>
      <c r="E1670" s="6">
        <v>1456</v>
      </c>
      <c r="F1670" s="11">
        <v>0</v>
      </c>
      <c r="G1670" s="27">
        <f t="shared" si="483"/>
        <v>9.6190476190476204</v>
      </c>
      <c r="H1670" s="13">
        <f t="shared" si="484"/>
        <v>30648.443205236999</v>
      </c>
      <c r="I1670" s="13">
        <f t="shared" si="485"/>
        <v>0</v>
      </c>
      <c r="J1670" s="51">
        <f t="shared" si="476"/>
        <v>30648.443205236999</v>
      </c>
    </row>
    <row r="1671" spans="1:10" x14ac:dyDescent="0.25">
      <c r="A1671" s="15" t="s">
        <v>143</v>
      </c>
      <c r="B1671" s="16" t="s">
        <v>256</v>
      </c>
      <c r="C1671" s="16" t="s">
        <v>212</v>
      </c>
      <c r="D1671" s="16">
        <v>1</v>
      </c>
      <c r="E1671" s="17">
        <v>728</v>
      </c>
      <c r="F1671" s="18">
        <v>0</v>
      </c>
      <c r="G1671" s="27">
        <f t="shared" si="483"/>
        <v>4.8095238095238102</v>
      </c>
      <c r="H1671" s="13">
        <f t="shared" si="484"/>
        <v>15324.2216026185</v>
      </c>
      <c r="I1671" s="13">
        <f t="shared" si="485"/>
        <v>0</v>
      </c>
      <c r="J1671" s="51">
        <f t="shared" si="476"/>
        <v>15324.2216026185</v>
      </c>
    </row>
    <row r="1672" spans="1:10" s="3" customFormat="1" x14ac:dyDescent="0.25">
      <c r="A1672" s="4"/>
      <c r="B1672" s="20" t="s">
        <v>373</v>
      </c>
      <c r="C1672" s="21"/>
      <c r="D1672" s="21"/>
      <c r="E1672" s="22"/>
      <c r="F1672" s="29"/>
      <c r="G1672" s="47">
        <f>SUM(G1659:G1671)</f>
        <v>101.00000000000001</v>
      </c>
      <c r="H1672" s="47">
        <f t="shared" ref="H1672:J1672" si="486">SUM(H1659:H1671)</f>
        <v>1215476</v>
      </c>
      <c r="I1672" s="47">
        <f t="shared" si="486"/>
        <v>784523.99999999988</v>
      </c>
      <c r="J1672" s="47">
        <f t="shared" si="486"/>
        <v>1999999.9999999998</v>
      </c>
    </row>
    <row r="1673" spans="1:10" x14ac:dyDescent="0.25">
      <c r="A1673" s="23" t="s">
        <v>144</v>
      </c>
      <c r="B1673" s="24" t="s">
        <v>207</v>
      </c>
      <c r="C1673" s="24" t="s">
        <v>208</v>
      </c>
      <c r="D1673" s="24">
        <v>3</v>
      </c>
      <c r="E1673" s="25">
        <v>34944</v>
      </c>
      <c r="F1673" s="25">
        <v>13977</v>
      </c>
      <c r="G1673" s="27">
        <f>+D1673*4.78899082568807</f>
        <v>14.366972477064209</v>
      </c>
      <c r="H1673" s="13">
        <f>+E1673*4507558/476018</f>
        <v>330895.2744476049</v>
      </c>
      <c r="I1673" s="13">
        <f>+F1673*492442/52004</f>
        <v>132352.5466117991</v>
      </c>
      <c r="J1673" s="51">
        <f t="shared" si="476"/>
        <v>463247.821059404</v>
      </c>
    </row>
    <row r="1674" spans="1:10" x14ac:dyDescent="0.25">
      <c r="A1674" s="4" t="s">
        <v>144</v>
      </c>
      <c r="B1674" s="5" t="s">
        <v>209</v>
      </c>
      <c r="C1674" s="5" t="s">
        <v>210</v>
      </c>
      <c r="D1674" s="5">
        <v>3</v>
      </c>
      <c r="E1674" s="6">
        <v>2910</v>
      </c>
      <c r="F1674" s="11">
        <v>0</v>
      </c>
      <c r="G1674" s="27">
        <f t="shared" ref="G1674:G1685" si="487">+D1674*4.78899082568807</f>
        <v>14.366972477064209</v>
      </c>
      <c r="H1674" s="13">
        <f t="shared" ref="H1674:H1685" si="488">+E1674*4507558/476018</f>
        <v>27555.667600805013</v>
      </c>
      <c r="I1674" s="13">
        <f t="shared" ref="I1674:I1685" si="489">+F1674*492442/52004</f>
        <v>0</v>
      </c>
      <c r="J1674" s="51">
        <f t="shared" si="476"/>
        <v>27555.667600805013</v>
      </c>
    </row>
    <row r="1675" spans="1:10" x14ac:dyDescent="0.25">
      <c r="A1675" s="4" t="s">
        <v>144</v>
      </c>
      <c r="B1675" s="5" t="s">
        <v>216</v>
      </c>
      <c r="C1675" s="5" t="s">
        <v>210</v>
      </c>
      <c r="D1675" s="5">
        <v>4</v>
      </c>
      <c r="E1675" s="6">
        <v>3880</v>
      </c>
      <c r="F1675" s="11">
        <v>0</v>
      </c>
      <c r="G1675" s="27">
        <f t="shared" si="487"/>
        <v>19.15596330275228</v>
      </c>
      <c r="H1675" s="13">
        <f t="shared" si="488"/>
        <v>36740.890134406684</v>
      </c>
      <c r="I1675" s="13">
        <f t="shared" si="489"/>
        <v>0</v>
      </c>
      <c r="J1675" s="51">
        <f t="shared" si="476"/>
        <v>36740.890134406684</v>
      </c>
    </row>
    <row r="1676" spans="1:10" x14ac:dyDescent="0.25">
      <c r="A1676" s="4" t="s">
        <v>144</v>
      </c>
      <c r="B1676" s="5" t="s">
        <v>217</v>
      </c>
      <c r="C1676" s="5" t="s">
        <v>218</v>
      </c>
      <c r="D1676" s="5">
        <v>1</v>
      </c>
      <c r="E1676" s="6">
        <v>3313</v>
      </c>
      <c r="F1676" s="6">
        <v>1325</v>
      </c>
      <c r="G1676" s="27">
        <f t="shared" si="487"/>
        <v>4.78899082568807</v>
      </c>
      <c r="H1676" s="13">
        <f t="shared" si="488"/>
        <v>31371.79613796117</v>
      </c>
      <c r="I1676" s="13">
        <f t="shared" si="489"/>
        <v>12546.835820321514</v>
      </c>
      <c r="J1676" s="51">
        <f t="shared" si="476"/>
        <v>43918.631958282684</v>
      </c>
    </row>
    <row r="1677" spans="1:10" x14ac:dyDescent="0.25">
      <c r="A1677" s="4" t="s">
        <v>144</v>
      </c>
      <c r="B1677" s="5" t="s">
        <v>225</v>
      </c>
      <c r="C1677" s="5" t="s">
        <v>210</v>
      </c>
      <c r="D1677" s="5">
        <v>2</v>
      </c>
      <c r="E1677" s="6">
        <v>1940</v>
      </c>
      <c r="F1677" s="11">
        <v>0</v>
      </c>
      <c r="G1677" s="27">
        <f t="shared" si="487"/>
        <v>9.57798165137614</v>
      </c>
      <c r="H1677" s="13">
        <f t="shared" si="488"/>
        <v>18370.445067203342</v>
      </c>
      <c r="I1677" s="13">
        <f t="shared" si="489"/>
        <v>0</v>
      </c>
      <c r="J1677" s="51">
        <f t="shared" si="476"/>
        <v>18370.445067203342</v>
      </c>
    </row>
    <row r="1678" spans="1:10" x14ac:dyDescent="0.25">
      <c r="A1678" s="4" t="s">
        <v>144</v>
      </c>
      <c r="B1678" s="5" t="s">
        <v>228</v>
      </c>
      <c r="C1678" s="5" t="s">
        <v>229</v>
      </c>
      <c r="D1678" s="5">
        <v>60</v>
      </c>
      <c r="E1678" s="6">
        <v>116460</v>
      </c>
      <c r="F1678" s="11">
        <v>0</v>
      </c>
      <c r="G1678" s="27">
        <f t="shared" si="487"/>
        <v>287.33944954128418</v>
      </c>
      <c r="H1678" s="13">
        <f t="shared" si="488"/>
        <v>1102794.8621270624</v>
      </c>
      <c r="I1678" s="13">
        <f t="shared" si="489"/>
        <v>0</v>
      </c>
      <c r="J1678" s="51">
        <f t="shared" si="476"/>
        <v>1102794.8621270624</v>
      </c>
    </row>
    <row r="1679" spans="1:10" x14ac:dyDescent="0.25">
      <c r="A1679" s="4" t="s">
        <v>144</v>
      </c>
      <c r="B1679" s="5" t="s">
        <v>230</v>
      </c>
      <c r="C1679" s="5" t="s">
        <v>229</v>
      </c>
      <c r="D1679" s="5">
        <v>2</v>
      </c>
      <c r="E1679" s="6">
        <v>3882</v>
      </c>
      <c r="F1679" s="11">
        <v>0</v>
      </c>
      <c r="G1679" s="27">
        <f t="shared" si="487"/>
        <v>9.57798165137614</v>
      </c>
      <c r="H1679" s="13">
        <f t="shared" si="488"/>
        <v>36759.828737568751</v>
      </c>
      <c r="I1679" s="13">
        <f t="shared" si="489"/>
        <v>0</v>
      </c>
      <c r="J1679" s="51">
        <f t="shared" si="476"/>
        <v>36759.828737568751</v>
      </c>
    </row>
    <row r="1680" spans="1:10" x14ac:dyDescent="0.25">
      <c r="A1680" s="4" t="s">
        <v>144</v>
      </c>
      <c r="B1680" s="5" t="s">
        <v>233</v>
      </c>
      <c r="C1680" s="5" t="s">
        <v>234</v>
      </c>
      <c r="D1680" s="5">
        <v>2</v>
      </c>
      <c r="E1680" s="6">
        <v>194132</v>
      </c>
      <c r="F1680" s="11">
        <v>0</v>
      </c>
      <c r="G1680" s="27">
        <f t="shared" si="487"/>
        <v>9.57798165137614</v>
      </c>
      <c r="H1680" s="13">
        <f t="shared" si="488"/>
        <v>1838294.4545290305</v>
      </c>
      <c r="I1680" s="13">
        <f t="shared" si="489"/>
        <v>0</v>
      </c>
      <c r="J1680" s="51">
        <f t="shared" si="476"/>
        <v>1838294.4545290305</v>
      </c>
    </row>
    <row r="1681" spans="1:10" x14ac:dyDescent="0.25">
      <c r="A1681" s="4" t="s">
        <v>144</v>
      </c>
      <c r="B1681" s="5" t="s">
        <v>241</v>
      </c>
      <c r="C1681" s="5" t="s">
        <v>236</v>
      </c>
      <c r="D1681" s="5">
        <v>9</v>
      </c>
      <c r="E1681" s="6">
        <v>61425</v>
      </c>
      <c r="F1681" s="6">
        <v>24570</v>
      </c>
      <c r="G1681" s="27">
        <f t="shared" si="487"/>
        <v>43.100917431192627</v>
      </c>
      <c r="H1681" s="13">
        <f t="shared" si="488"/>
        <v>581651.84961493057</v>
      </c>
      <c r="I1681" s="13">
        <f t="shared" si="489"/>
        <v>232660.94800399969</v>
      </c>
      <c r="J1681" s="51">
        <f t="shared" si="476"/>
        <v>814312.79761893023</v>
      </c>
    </row>
    <row r="1682" spans="1:10" x14ac:dyDescent="0.25">
      <c r="A1682" s="4" t="s">
        <v>144</v>
      </c>
      <c r="B1682" s="5" t="s">
        <v>249</v>
      </c>
      <c r="C1682" s="5" t="s">
        <v>250</v>
      </c>
      <c r="D1682" s="5">
        <v>2</v>
      </c>
      <c r="E1682" s="6">
        <v>30332</v>
      </c>
      <c r="F1682" s="6">
        <v>12132</v>
      </c>
      <c r="G1682" s="27">
        <f t="shared" si="487"/>
        <v>9.57798165137614</v>
      </c>
      <c r="H1682" s="13">
        <f t="shared" si="488"/>
        <v>287222.85555588233</v>
      </c>
      <c r="I1682" s="13">
        <f t="shared" si="489"/>
        <v>114881.6695638797</v>
      </c>
      <c r="J1682" s="51">
        <f t="shared" si="476"/>
        <v>402104.52511976205</v>
      </c>
    </row>
    <row r="1683" spans="1:10" x14ac:dyDescent="0.25">
      <c r="A1683" s="4" t="s">
        <v>144</v>
      </c>
      <c r="B1683" s="5" t="s">
        <v>252</v>
      </c>
      <c r="C1683" s="5" t="s">
        <v>212</v>
      </c>
      <c r="D1683" s="5">
        <v>4</v>
      </c>
      <c r="E1683" s="6">
        <v>5824</v>
      </c>
      <c r="F1683" s="11">
        <v>0</v>
      </c>
      <c r="G1683" s="27">
        <f t="shared" si="487"/>
        <v>19.15596330275228</v>
      </c>
      <c r="H1683" s="13">
        <f t="shared" si="488"/>
        <v>55149.212407934152</v>
      </c>
      <c r="I1683" s="13">
        <f t="shared" si="489"/>
        <v>0</v>
      </c>
      <c r="J1683" s="51">
        <f t="shared" si="476"/>
        <v>55149.212407934152</v>
      </c>
    </row>
    <row r="1684" spans="1:10" x14ac:dyDescent="0.25">
      <c r="A1684" s="4" t="s">
        <v>144</v>
      </c>
      <c r="B1684" s="5" t="s">
        <v>254</v>
      </c>
      <c r="C1684" s="5" t="s">
        <v>212</v>
      </c>
      <c r="D1684" s="5">
        <v>1</v>
      </c>
      <c r="E1684" s="6">
        <v>1456</v>
      </c>
      <c r="F1684" s="11">
        <v>0</v>
      </c>
      <c r="G1684" s="27">
        <f t="shared" si="487"/>
        <v>4.78899082568807</v>
      </c>
      <c r="H1684" s="13">
        <f t="shared" si="488"/>
        <v>13787.303101983538</v>
      </c>
      <c r="I1684" s="13">
        <f t="shared" si="489"/>
        <v>0</v>
      </c>
      <c r="J1684" s="51">
        <f t="shared" si="476"/>
        <v>13787.303101983538</v>
      </c>
    </row>
    <row r="1685" spans="1:10" x14ac:dyDescent="0.25">
      <c r="A1685" s="15" t="s">
        <v>144</v>
      </c>
      <c r="B1685" s="16" t="s">
        <v>257</v>
      </c>
      <c r="C1685" s="16" t="s">
        <v>210</v>
      </c>
      <c r="D1685" s="16">
        <v>16</v>
      </c>
      <c r="E1685" s="17">
        <v>15520</v>
      </c>
      <c r="F1685" s="18">
        <v>0</v>
      </c>
      <c r="G1685" s="27">
        <f t="shared" si="487"/>
        <v>76.62385321100912</v>
      </c>
      <c r="H1685" s="13">
        <f t="shared" si="488"/>
        <v>146963.56053762673</v>
      </c>
      <c r="I1685" s="13">
        <f t="shared" si="489"/>
        <v>0</v>
      </c>
      <c r="J1685" s="51">
        <f t="shared" si="476"/>
        <v>146963.56053762673</v>
      </c>
    </row>
    <row r="1686" spans="1:10" s="3" customFormat="1" x14ac:dyDescent="0.25">
      <c r="A1686" s="4"/>
      <c r="B1686" s="20" t="s">
        <v>374</v>
      </c>
      <c r="C1686" s="21"/>
      <c r="D1686" s="21"/>
      <c r="E1686" s="22"/>
      <c r="F1686" s="29"/>
      <c r="G1686" s="47">
        <f>SUM(G1673:G1685)</f>
        <v>521.99999999999966</v>
      </c>
      <c r="H1686" s="47">
        <f t="shared" ref="H1686:J1686" si="490">SUM(H1673:H1685)</f>
        <v>4507558.0000000009</v>
      </c>
      <c r="I1686" s="47">
        <f t="shared" si="490"/>
        <v>492442</v>
      </c>
      <c r="J1686" s="47">
        <f t="shared" si="490"/>
        <v>5000000.0000000009</v>
      </c>
    </row>
    <row r="1687" spans="1:10" x14ac:dyDescent="0.25">
      <c r="A1687" s="23" t="s">
        <v>145</v>
      </c>
      <c r="B1687" s="24" t="s">
        <v>216</v>
      </c>
      <c r="C1687" s="24" t="s">
        <v>210</v>
      </c>
      <c r="D1687" s="24">
        <v>1</v>
      </c>
      <c r="E1687" s="25">
        <v>970</v>
      </c>
      <c r="F1687" s="30">
        <v>0</v>
      </c>
      <c r="G1687" s="27">
        <f>+D1687*4.78571428571429</f>
        <v>4.78571428571429</v>
      </c>
      <c r="H1687" s="13">
        <f>+E1687*3405453/973694</f>
        <v>3392.5333934480441</v>
      </c>
      <c r="I1687" s="13">
        <f>+F1687*94547/27033</f>
        <v>0</v>
      </c>
      <c r="J1687" s="51">
        <f t="shared" si="476"/>
        <v>3392.5333934480441</v>
      </c>
    </row>
    <row r="1688" spans="1:10" x14ac:dyDescent="0.25">
      <c r="A1688" s="4" t="s">
        <v>145</v>
      </c>
      <c r="B1688" s="5" t="s">
        <v>217</v>
      </c>
      <c r="C1688" s="5" t="s">
        <v>218</v>
      </c>
      <c r="D1688" s="5">
        <v>1</v>
      </c>
      <c r="E1688" s="6">
        <v>3313</v>
      </c>
      <c r="F1688" s="6">
        <v>1325</v>
      </c>
      <c r="G1688" s="27">
        <f t="shared" ref="G1688:G1696" si="491">+D1688*4.78571428571429</f>
        <v>4.78571428571429</v>
      </c>
      <c r="H1688" s="13">
        <f t="shared" ref="H1688:H1696" si="492">+E1688*3405453/973694</f>
        <v>11587.075394323063</v>
      </c>
      <c r="I1688" s="13">
        <f t="shared" ref="I1688:I1696" si="493">+F1688*94547/27033</f>
        <v>4634.1425295009803</v>
      </c>
      <c r="J1688" s="51">
        <f t="shared" si="476"/>
        <v>16221.217923824042</v>
      </c>
    </row>
    <row r="1689" spans="1:10" x14ac:dyDescent="0.25">
      <c r="A1689" s="4" t="s">
        <v>145</v>
      </c>
      <c r="B1689" s="5" t="s">
        <v>228</v>
      </c>
      <c r="C1689" s="5" t="s">
        <v>229</v>
      </c>
      <c r="D1689" s="5">
        <v>7</v>
      </c>
      <c r="E1689" s="6">
        <v>13587</v>
      </c>
      <c r="F1689" s="11">
        <v>0</v>
      </c>
      <c r="G1689" s="27">
        <f t="shared" si="491"/>
        <v>33.500000000000028</v>
      </c>
      <c r="H1689" s="13">
        <f t="shared" si="492"/>
        <v>47519.94970801915</v>
      </c>
      <c r="I1689" s="13">
        <f t="shared" si="493"/>
        <v>0</v>
      </c>
      <c r="J1689" s="51">
        <f t="shared" si="476"/>
        <v>47519.94970801915</v>
      </c>
    </row>
    <row r="1690" spans="1:10" x14ac:dyDescent="0.25">
      <c r="A1690" s="4" t="s">
        <v>145</v>
      </c>
      <c r="B1690" s="5" t="s">
        <v>230</v>
      </c>
      <c r="C1690" s="5" t="s">
        <v>229</v>
      </c>
      <c r="D1690" s="5">
        <v>2</v>
      </c>
      <c r="E1690" s="6">
        <v>3882</v>
      </c>
      <c r="F1690" s="11">
        <v>0</v>
      </c>
      <c r="G1690" s="27">
        <f t="shared" si="491"/>
        <v>9.5714285714285801</v>
      </c>
      <c r="H1690" s="13">
        <f t="shared" si="492"/>
        <v>13577.128488005472</v>
      </c>
      <c r="I1690" s="13">
        <f t="shared" si="493"/>
        <v>0</v>
      </c>
      <c r="J1690" s="51">
        <f t="shared" si="476"/>
        <v>13577.128488005472</v>
      </c>
    </row>
    <row r="1691" spans="1:10" x14ac:dyDescent="0.25">
      <c r="A1691" s="4" t="s">
        <v>145</v>
      </c>
      <c r="B1691" s="5" t="s">
        <v>262</v>
      </c>
      <c r="C1691" s="5" t="s">
        <v>263</v>
      </c>
      <c r="D1691" s="5">
        <v>2</v>
      </c>
      <c r="E1691" s="6">
        <v>303332</v>
      </c>
      <c r="F1691" s="11">
        <v>0</v>
      </c>
      <c r="G1691" s="27">
        <f t="shared" si="491"/>
        <v>9.5714285714285801</v>
      </c>
      <c r="H1691" s="13">
        <f t="shared" si="492"/>
        <v>1060890.6590735898</v>
      </c>
      <c r="I1691" s="13">
        <f t="shared" si="493"/>
        <v>0</v>
      </c>
      <c r="J1691" s="51">
        <f t="shared" si="476"/>
        <v>1060890.6590735898</v>
      </c>
    </row>
    <row r="1692" spans="1:10" x14ac:dyDescent="0.25">
      <c r="A1692" s="4" t="s">
        <v>145</v>
      </c>
      <c r="B1692" s="5" t="s">
        <v>233</v>
      </c>
      <c r="C1692" s="5" t="s">
        <v>234</v>
      </c>
      <c r="D1692" s="5">
        <v>6</v>
      </c>
      <c r="E1692" s="6">
        <v>582396</v>
      </c>
      <c r="F1692" s="11">
        <v>0</v>
      </c>
      <c r="G1692" s="27">
        <f t="shared" si="491"/>
        <v>28.71428571428574</v>
      </c>
      <c r="H1692" s="13">
        <f t="shared" si="492"/>
        <v>2036905.0290830589</v>
      </c>
      <c r="I1692" s="13">
        <f t="shared" si="493"/>
        <v>0</v>
      </c>
      <c r="J1692" s="51">
        <f t="shared" si="476"/>
        <v>2036905.0290830589</v>
      </c>
    </row>
    <row r="1693" spans="1:10" x14ac:dyDescent="0.25">
      <c r="A1693" s="4" t="s">
        <v>145</v>
      </c>
      <c r="B1693" s="5" t="s">
        <v>241</v>
      </c>
      <c r="C1693" s="5" t="s">
        <v>236</v>
      </c>
      <c r="D1693" s="5">
        <v>2</v>
      </c>
      <c r="E1693" s="6">
        <v>13650</v>
      </c>
      <c r="F1693" s="6">
        <v>5460</v>
      </c>
      <c r="G1693" s="27">
        <f t="shared" si="491"/>
        <v>9.5714285714285801</v>
      </c>
      <c r="H1693" s="13">
        <f t="shared" si="492"/>
        <v>47740.289505737943</v>
      </c>
      <c r="I1693" s="13">
        <f t="shared" si="493"/>
        <v>19096.16468760404</v>
      </c>
      <c r="J1693" s="51">
        <f t="shared" si="476"/>
        <v>66836.454193341982</v>
      </c>
    </row>
    <row r="1694" spans="1:10" x14ac:dyDescent="0.25">
      <c r="A1694" s="4" t="s">
        <v>145</v>
      </c>
      <c r="B1694" s="5" t="s">
        <v>248</v>
      </c>
      <c r="C1694" s="5" t="s">
        <v>246</v>
      </c>
      <c r="D1694" s="5">
        <v>2</v>
      </c>
      <c r="E1694" s="6">
        <v>5126</v>
      </c>
      <c r="F1694" s="6">
        <v>2050</v>
      </c>
      <c r="G1694" s="27">
        <f t="shared" si="491"/>
        <v>9.5714285714285801</v>
      </c>
      <c r="H1694" s="13">
        <f t="shared" si="492"/>
        <v>17927.965128674921</v>
      </c>
      <c r="I1694" s="13">
        <f t="shared" si="493"/>
        <v>7169.8054230015168</v>
      </c>
      <c r="J1694" s="51">
        <f t="shared" si="476"/>
        <v>25097.77055167644</v>
      </c>
    </row>
    <row r="1695" spans="1:10" x14ac:dyDescent="0.25">
      <c r="A1695" s="4" t="s">
        <v>145</v>
      </c>
      <c r="B1695" s="5" t="s">
        <v>249</v>
      </c>
      <c r="C1695" s="5" t="s">
        <v>250</v>
      </c>
      <c r="D1695" s="5">
        <v>3</v>
      </c>
      <c r="E1695" s="6">
        <v>45498</v>
      </c>
      <c r="F1695" s="6">
        <v>18198</v>
      </c>
      <c r="G1695" s="27">
        <f t="shared" si="491"/>
        <v>14.35714285714287</v>
      </c>
      <c r="H1695" s="13">
        <f t="shared" si="492"/>
        <v>159127.30343824651</v>
      </c>
      <c r="I1695" s="13">
        <f t="shared" si="493"/>
        <v>63646.887359893466</v>
      </c>
      <c r="J1695" s="51">
        <f t="shared" ref="J1695:J1758" si="494">SUM(H1695:I1695)</f>
        <v>222774.19079813999</v>
      </c>
    </row>
    <row r="1696" spans="1:10" x14ac:dyDescent="0.25">
      <c r="A1696" s="15" t="s">
        <v>145</v>
      </c>
      <c r="B1696" s="16" t="s">
        <v>255</v>
      </c>
      <c r="C1696" s="16" t="s">
        <v>210</v>
      </c>
      <c r="D1696" s="16">
        <v>2</v>
      </c>
      <c r="E1696" s="17">
        <v>1940</v>
      </c>
      <c r="F1696" s="18">
        <v>0</v>
      </c>
      <c r="G1696" s="27">
        <f t="shared" si="491"/>
        <v>9.5714285714285801</v>
      </c>
      <c r="H1696" s="13">
        <f t="shared" si="492"/>
        <v>6785.0667868960882</v>
      </c>
      <c r="I1696" s="13">
        <f t="shared" si="493"/>
        <v>0</v>
      </c>
      <c r="J1696" s="51">
        <f t="shared" si="494"/>
        <v>6785.0667868960882</v>
      </c>
    </row>
    <row r="1697" spans="1:10" s="3" customFormat="1" x14ac:dyDescent="0.25">
      <c r="A1697" s="4"/>
      <c r="B1697" s="20" t="s">
        <v>375</v>
      </c>
      <c r="C1697" s="21"/>
      <c r="D1697" s="21"/>
      <c r="E1697" s="22"/>
      <c r="F1697" s="29"/>
      <c r="G1697" s="47">
        <f>SUM(G1687:G1696)</f>
        <v>134.00000000000014</v>
      </c>
      <c r="H1697" s="47">
        <f t="shared" ref="H1697:J1697" si="495">SUM(H1687:H1696)</f>
        <v>3405453</v>
      </c>
      <c r="I1697" s="47">
        <f t="shared" si="495"/>
        <v>94547</v>
      </c>
      <c r="J1697" s="47">
        <f t="shared" si="495"/>
        <v>3500000</v>
      </c>
    </row>
    <row r="1698" spans="1:10" x14ac:dyDescent="0.25">
      <c r="A1698" s="23" t="s">
        <v>146</v>
      </c>
      <c r="B1698" s="24" t="s">
        <v>214</v>
      </c>
      <c r="C1698" s="24" t="s">
        <v>210</v>
      </c>
      <c r="D1698" s="24">
        <v>40</v>
      </c>
      <c r="E1698" s="25">
        <v>19400</v>
      </c>
      <c r="F1698" s="30">
        <v>0</v>
      </c>
      <c r="G1698" s="27">
        <f>+D1698*4.78888888888889</f>
        <v>191.5555555555556</v>
      </c>
      <c r="H1698" s="13">
        <f>+E1698*12040882/1277715</f>
        <v>182820.98183084646</v>
      </c>
      <c r="I1698" s="13">
        <f>+F1698*2959118/314006</f>
        <v>0</v>
      </c>
      <c r="J1698" s="51">
        <f t="shared" si="494"/>
        <v>182820.98183084646</v>
      </c>
    </row>
    <row r="1699" spans="1:10" x14ac:dyDescent="0.25">
      <c r="A1699" s="4" t="s">
        <v>146</v>
      </c>
      <c r="B1699" s="5" t="s">
        <v>216</v>
      </c>
      <c r="C1699" s="5" t="s">
        <v>210</v>
      </c>
      <c r="D1699" s="5">
        <v>4</v>
      </c>
      <c r="E1699" s="6">
        <v>1940</v>
      </c>
      <c r="F1699" s="11">
        <v>0</v>
      </c>
      <c r="G1699" s="27">
        <f t="shared" ref="G1699:G1719" si="496">+D1699*4.78888888888889</f>
        <v>19.155555555555559</v>
      </c>
      <c r="H1699" s="13">
        <f t="shared" ref="H1699:H1719" si="497">+E1699*12040882/1277715</f>
        <v>18282.098183084647</v>
      </c>
      <c r="I1699" s="13">
        <f t="shared" ref="I1699:I1719" si="498">+F1699*2959118/314006</f>
        <v>0</v>
      </c>
      <c r="J1699" s="51">
        <f t="shared" si="494"/>
        <v>18282.098183084647</v>
      </c>
    </row>
    <row r="1700" spans="1:10" x14ac:dyDescent="0.25">
      <c r="A1700" s="4" t="s">
        <v>146</v>
      </c>
      <c r="B1700" s="5" t="s">
        <v>217</v>
      </c>
      <c r="C1700" s="5" t="s">
        <v>218</v>
      </c>
      <c r="D1700" s="5">
        <v>8</v>
      </c>
      <c r="E1700" s="6">
        <v>13248</v>
      </c>
      <c r="F1700" s="6">
        <v>10600</v>
      </c>
      <c r="G1700" s="27">
        <f t="shared" si="496"/>
        <v>38.311111111111117</v>
      </c>
      <c r="H1700" s="13">
        <f t="shared" si="497"/>
        <v>124845.99831417804</v>
      </c>
      <c r="I1700" s="13">
        <f t="shared" si="498"/>
        <v>99891.883594580999</v>
      </c>
      <c r="J1700" s="51">
        <f t="shared" si="494"/>
        <v>224737.88190875904</v>
      </c>
    </row>
    <row r="1701" spans="1:10" x14ac:dyDescent="0.25">
      <c r="A1701" s="4" t="s">
        <v>146</v>
      </c>
      <c r="B1701" s="5" t="s">
        <v>219</v>
      </c>
      <c r="C1701" s="5" t="s">
        <v>220</v>
      </c>
      <c r="D1701" s="5">
        <v>9</v>
      </c>
      <c r="E1701" s="6">
        <v>15282</v>
      </c>
      <c r="F1701" s="6">
        <v>12222</v>
      </c>
      <c r="G1701" s="27">
        <f t="shared" si="496"/>
        <v>43.100000000000009</v>
      </c>
      <c r="H1701" s="13">
        <f t="shared" si="497"/>
        <v>144013.9301205668</v>
      </c>
      <c r="I1701" s="13">
        <f t="shared" si="498"/>
        <v>115177.22653707254</v>
      </c>
      <c r="J1701" s="51">
        <f t="shared" si="494"/>
        <v>259191.15665763934</v>
      </c>
    </row>
    <row r="1702" spans="1:10" x14ac:dyDescent="0.25">
      <c r="A1702" s="4" t="s">
        <v>146</v>
      </c>
      <c r="B1702" s="5" t="s">
        <v>260</v>
      </c>
      <c r="C1702" s="5" t="s">
        <v>208</v>
      </c>
      <c r="D1702" s="5">
        <v>5</v>
      </c>
      <c r="E1702" s="6">
        <v>116480</v>
      </c>
      <c r="F1702" s="11">
        <v>0</v>
      </c>
      <c r="G1702" s="27">
        <f t="shared" si="496"/>
        <v>23.94444444444445</v>
      </c>
      <c r="H1702" s="13">
        <f t="shared" si="497"/>
        <v>1097679.7919410823</v>
      </c>
      <c r="I1702" s="13">
        <f t="shared" si="498"/>
        <v>0</v>
      </c>
      <c r="J1702" s="51">
        <f t="shared" si="494"/>
        <v>1097679.7919410823</v>
      </c>
    </row>
    <row r="1703" spans="1:10" x14ac:dyDescent="0.25">
      <c r="A1703" s="4" t="s">
        <v>146</v>
      </c>
      <c r="B1703" s="5" t="s">
        <v>223</v>
      </c>
      <c r="C1703" s="5" t="s">
        <v>224</v>
      </c>
      <c r="D1703" s="5">
        <v>6</v>
      </c>
      <c r="E1703" s="6">
        <v>1940</v>
      </c>
      <c r="F1703" s="11">
        <v>0</v>
      </c>
      <c r="G1703" s="27">
        <f t="shared" si="496"/>
        <v>28.733333333333338</v>
      </c>
      <c r="H1703" s="13">
        <f t="shared" si="497"/>
        <v>18282.098183084647</v>
      </c>
      <c r="I1703" s="13">
        <f t="shared" si="498"/>
        <v>0</v>
      </c>
      <c r="J1703" s="51">
        <f t="shared" si="494"/>
        <v>18282.098183084647</v>
      </c>
    </row>
    <row r="1704" spans="1:10" x14ac:dyDescent="0.25">
      <c r="A1704" s="4" t="s">
        <v>146</v>
      </c>
      <c r="B1704" s="5" t="s">
        <v>266</v>
      </c>
      <c r="C1704" s="5" t="s">
        <v>210</v>
      </c>
      <c r="D1704" s="5">
        <v>5</v>
      </c>
      <c r="E1704" s="6">
        <v>2425</v>
      </c>
      <c r="F1704" s="11">
        <v>0</v>
      </c>
      <c r="G1704" s="27">
        <f t="shared" si="496"/>
        <v>23.94444444444445</v>
      </c>
      <c r="H1704" s="13">
        <f t="shared" si="497"/>
        <v>22852.622728855808</v>
      </c>
      <c r="I1704" s="13">
        <f t="shared" si="498"/>
        <v>0</v>
      </c>
      <c r="J1704" s="51">
        <f t="shared" si="494"/>
        <v>22852.622728855808</v>
      </c>
    </row>
    <row r="1705" spans="1:10" x14ac:dyDescent="0.25">
      <c r="A1705" s="4" t="s">
        <v>146</v>
      </c>
      <c r="B1705" s="5" t="s">
        <v>225</v>
      </c>
      <c r="C1705" s="5" t="s">
        <v>210</v>
      </c>
      <c r="D1705" s="5">
        <v>2</v>
      </c>
      <c r="E1705" s="6">
        <v>970</v>
      </c>
      <c r="F1705" s="11">
        <v>0</v>
      </c>
      <c r="G1705" s="27">
        <f t="shared" si="496"/>
        <v>9.5777777777777793</v>
      </c>
      <c r="H1705" s="13">
        <f t="shared" si="497"/>
        <v>9141.0490915423234</v>
      </c>
      <c r="I1705" s="13">
        <f t="shared" si="498"/>
        <v>0</v>
      </c>
      <c r="J1705" s="51">
        <f t="shared" si="494"/>
        <v>9141.0490915423234</v>
      </c>
    </row>
    <row r="1706" spans="1:10" x14ac:dyDescent="0.25">
      <c r="A1706" s="4" t="s">
        <v>146</v>
      </c>
      <c r="B1706" s="5" t="s">
        <v>226</v>
      </c>
      <c r="C1706" s="5" t="s">
        <v>210</v>
      </c>
      <c r="D1706" s="5">
        <v>3</v>
      </c>
      <c r="E1706" s="6">
        <v>1455</v>
      </c>
      <c r="F1706" s="11">
        <v>0</v>
      </c>
      <c r="G1706" s="27">
        <f t="shared" si="496"/>
        <v>14.366666666666669</v>
      </c>
      <c r="H1706" s="13">
        <f t="shared" si="497"/>
        <v>13711.573637313486</v>
      </c>
      <c r="I1706" s="13">
        <f t="shared" si="498"/>
        <v>0</v>
      </c>
      <c r="J1706" s="51">
        <f t="shared" si="494"/>
        <v>13711.573637313486</v>
      </c>
    </row>
    <row r="1707" spans="1:10" x14ac:dyDescent="0.25">
      <c r="A1707" s="4" t="s">
        <v>146</v>
      </c>
      <c r="B1707" s="5" t="s">
        <v>228</v>
      </c>
      <c r="C1707" s="5" t="s">
        <v>229</v>
      </c>
      <c r="D1707" s="5">
        <v>27</v>
      </c>
      <c r="E1707" s="6">
        <v>26190</v>
      </c>
      <c r="F1707" s="11">
        <v>0</v>
      </c>
      <c r="G1707" s="27">
        <f t="shared" si="496"/>
        <v>129.30000000000001</v>
      </c>
      <c r="H1707" s="13">
        <f t="shared" si="497"/>
        <v>246808.32547164275</v>
      </c>
      <c r="I1707" s="13">
        <f t="shared" si="498"/>
        <v>0</v>
      </c>
      <c r="J1707" s="51">
        <f t="shared" si="494"/>
        <v>246808.32547164275</v>
      </c>
    </row>
    <row r="1708" spans="1:10" x14ac:dyDescent="0.25">
      <c r="A1708" s="4" t="s">
        <v>146</v>
      </c>
      <c r="B1708" s="5" t="s">
        <v>235</v>
      </c>
      <c r="C1708" s="5" t="s">
        <v>236</v>
      </c>
      <c r="D1708" s="5">
        <v>2</v>
      </c>
      <c r="E1708" s="6">
        <v>6824</v>
      </c>
      <c r="F1708" s="6">
        <v>5460</v>
      </c>
      <c r="G1708" s="27">
        <f t="shared" si="496"/>
        <v>9.5777777777777793</v>
      </c>
      <c r="H1708" s="13">
        <f t="shared" si="497"/>
        <v>64307.751547097752</v>
      </c>
      <c r="I1708" s="13">
        <f t="shared" si="498"/>
        <v>51453.743813812478</v>
      </c>
      <c r="J1708" s="51">
        <f t="shared" si="494"/>
        <v>115761.49536091022</v>
      </c>
    </row>
    <row r="1709" spans="1:10" x14ac:dyDescent="0.25">
      <c r="A1709" s="4" t="s">
        <v>146</v>
      </c>
      <c r="B1709" s="5" t="s">
        <v>237</v>
      </c>
      <c r="C1709" s="5" t="s">
        <v>238</v>
      </c>
      <c r="D1709" s="5">
        <v>5</v>
      </c>
      <c r="E1709" s="6">
        <v>12815</v>
      </c>
      <c r="F1709" s="6">
        <v>10250</v>
      </c>
      <c r="G1709" s="27">
        <f t="shared" si="496"/>
        <v>23.94444444444445</v>
      </c>
      <c r="H1709" s="13">
        <f t="shared" si="497"/>
        <v>120765.50938980916</v>
      </c>
      <c r="I1709" s="13">
        <f t="shared" si="498"/>
        <v>96593.566683439174</v>
      </c>
      <c r="J1709" s="51">
        <f t="shared" si="494"/>
        <v>217359.07607324835</v>
      </c>
    </row>
    <row r="1710" spans="1:10" x14ac:dyDescent="0.25">
      <c r="A1710" s="4" t="s">
        <v>146</v>
      </c>
      <c r="B1710" s="5" t="s">
        <v>241</v>
      </c>
      <c r="C1710" s="5" t="s">
        <v>236</v>
      </c>
      <c r="D1710" s="5">
        <v>10</v>
      </c>
      <c r="E1710" s="6">
        <v>34120</v>
      </c>
      <c r="F1710" s="6">
        <v>27300</v>
      </c>
      <c r="G1710" s="27">
        <f t="shared" si="496"/>
        <v>47.8888888888889</v>
      </c>
      <c r="H1710" s="13">
        <f t="shared" si="497"/>
        <v>321538.75773548876</v>
      </c>
      <c r="I1710" s="13">
        <f t="shared" si="498"/>
        <v>257268.71906906238</v>
      </c>
      <c r="J1710" s="51">
        <f t="shared" si="494"/>
        <v>578807.4768045512</v>
      </c>
    </row>
    <row r="1711" spans="1:10" x14ac:dyDescent="0.25">
      <c r="A1711" s="4" t="s">
        <v>146</v>
      </c>
      <c r="B1711" s="5" t="s">
        <v>265</v>
      </c>
      <c r="C1711" s="5" t="s">
        <v>208</v>
      </c>
      <c r="D1711" s="5">
        <v>1</v>
      </c>
      <c r="E1711" s="6">
        <v>23296</v>
      </c>
      <c r="F1711" s="6">
        <v>4659</v>
      </c>
      <c r="G1711" s="27">
        <f t="shared" si="496"/>
        <v>4.7888888888888896</v>
      </c>
      <c r="H1711" s="13">
        <f t="shared" si="497"/>
        <v>219535.95838821647</v>
      </c>
      <c r="I1711" s="13">
        <f t="shared" si="498"/>
        <v>43905.309968599329</v>
      </c>
      <c r="J1711" s="51">
        <f t="shared" si="494"/>
        <v>263441.2683568158</v>
      </c>
    </row>
    <row r="1712" spans="1:10" x14ac:dyDescent="0.25">
      <c r="A1712" s="4" t="s">
        <v>146</v>
      </c>
      <c r="B1712" s="5" t="s">
        <v>243</v>
      </c>
      <c r="C1712" s="5" t="s">
        <v>244</v>
      </c>
      <c r="D1712" s="5">
        <v>1</v>
      </c>
      <c r="E1712" s="6">
        <v>1706</v>
      </c>
      <c r="F1712" s="6">
        <v>1365</v>
      </c>
      <c r="G1712" s="27">
        <f t="shared" si="496"/>
        <v>4.7888888888888896</v>
      </c>
      <c r="H1712" s="13">
        <f t="shared" si="497"/>
        <v>16076.937886774438</v>
      </c>
      <c r="I1712" s="13">
        <f t="shared" si="498"/>
        <v>12863.43595345312</v>
      </c>
      <c r="J1712" s="51">
        <f t="shared" si="494"/>
        <v>28940.373840227556</v>
      </c>
    </row>
    <row r="1713" spans="1:10" x14ac:dyDescent="0.25">
      <c r="A1713" s="4" t="s">
        <v>146</v>
      </c>
      <c r="B1713" s="5" t="s">
        <v>245</v>
      </c>
      <c r="C1713" s="5" t="s">
        <v>246</v>
      </c>
      <c r="D1713" s="5">
        <v>3</v>
      </c>
      <c r="E1713" s="6">
        <v>3843</v>
      </c>
      <c r="F1713" s="6">
        <v>3075</v>
      </c>
      <c r="G1713" s="27">
        <f t="shared" si="496"/>
        <v>14.366666666666669</v>
      </c>
      <c r="H1713" s="13">
        <f t="shared" si="497"/>
        <v>36215.517174017681</v>
      </c>
      <c r="I1713" s="13">
        <f t="shared" si="498"/>
        <v>28978.07000503175</v>
      </c>
      <c r="J1713" s="51">
        <f t="shared" si="494"/>
        <v>65193.587179049428</v>
      </c>
    </row>
    <row r="1714" spans="1:10" x14ac:dyDescent="0.25">
      <c r="A1714" s="4" t="s">
        <v>146</v>
      </c>
      <c r="B1714" s="5" t="s">
        <v>248</v>
      </c>
      <c r="C1714" s="5" t="s">
        <v>246</v>
      </c>
      <c r="D1714" s="5">
        <v>1</v>
      </c>
      <c r="E1714" s="6">
        <v>1281</v>
      </c>
      <c r="F1714" s="6">
        <v>1025</v>
      </c>
      <c r="G1714" s="27">
        <f t="shared" si="496"/>
        <v>4.7888888888888896</v>
      </c>
      <c r="H1714" s="13">
        <f t="shared" si="497"/>
        <v>12071.839058005893</v>
      </c>
      <c r="I1714" s="13">
        <f t="shared" si="498"/>
        <v>9659.3566683439167</v>
      </c>
      <c r="J1714" s="51">
        <f t="shared" si="494"/>
        <v>21731.195726349812</v>
      </c>
    </row>
    <row r="1715" spans="1:10" x14ac:dyDescent="0.25">
      <c r="A1715" s="4" t="s">
        <v>146</v>
      </c>
      <c r="B1715" s="5" t="s">
        <v>249</v>
      </c>
      <c r="C1715" s="5" t="s">
        <v>250</v>
      </c>
      <c r="D1715" s="5">
        <v>9</v>
      </c>
      <c r="E1715" s="6">
        <v>68247</v>
      </c>
      <c r="F1715" s="6">
        <v>54594</v>
      </c>
      <c r="G1715" s="27">
        <f t="shared" si="496"/>
        <v>43.100000000000009</v>
      </c>
      <c r="H1715" s="13">
        <f t="shared" si="497"/>
        <v>643143.48180462781</v>
      </c>
      <c r="I1715" s="13">
        <f t="shared" si="498"/>
        <v>514480.89556250517</v>
      </c>
      <c r="J1715" s="51">
        <f t="shared" si="494"/>
        <v>1157624.377367133</v>
      </c>
    </row>
    <row r="1716" spans="1:10" x14ac:dyDescent="0.25">
      <c r="A1716" s="4" t="s">
        <v>146</v>
      </c>
      <c r="B1716" s="5" t="s">
        <v>270</v>
      </c>
      <c r="C1716" s="5" t="s">
        <v>212</v>
      </c>
      <c r="D1716" s="5">
        <v>1</v>
      </c>
      <c r="E1716" s="6">
        <v>728</v>
      </c>
      <c r="F1716" s="11">
        <v>0</v>
      </c>
      <c r="G1716" s="27">
        <f t="shared" si="496"/>
        <v>4.7888888888888896</v>
      </c>
      <c r="H1716" s="13">
        <f t="shared" si="497"/>
        <v>6860.4986996317648</v>
      </c>
      <c r="I1716" s="13">
        <f t="shared" si="498"/>
        <v>0</v>
      </c>
      <c r="J1716" s="51">
        <f t="shared" si="494"/>
        <v>6860.4986996317648</v>
      </c>
    </row>
    <row r="1717" spans="1:10" x14ac:dyDescent="0.25">
      <c r="A1717" s="4" t="s">
        <v>146</v>
      </c>
      <c r="B1717" s="5" t="s">
        <v>253</v>
      </c>
      <c r="C1717" s="5" t="s">
        <v>210</v>
      </c>
      <c r="D1717" s="5">
        <v>15</v>
      </c>
      <c r="E1717" s="6">
        <v>7275</v>
      </c>
      <c r="F1717" s="11">
        <v>0</v>
      </c>
      <c r="G1717" s="27">
        <f t="shared" si="496"/>
        <v>71.833333333333343</v>
      </c>
      <c r="H1717" s="13">
        <f t="shared" si="497"/>
        <v>68557.86818656743</v>
      </c>
      <c r="I1717" s="13">
        <f t="shared" si="498"/>
        <v>0</v>
      </c>
      <c r="J1717" s="51">
        <f t="shared" si="494"/>
        <v>68557.86818656743</v>
      </c>
    </row>
    <row r="1718" spans="1:10" x14ac:dyDescent="0.25">
      <c r="A1718" s="4" t="s">
        <v>146</v>
      </c>
      <c r="B1718" s="5" t="s">
        <v>257</v>
      </c>
      <c r="C1718" s="5" t="s">
        <v>210</v>
      </c>
      <c r="D1718" s="5">
        <v>2</v>
      </c>
      <c r="E1718" s="6">
        <v>970</v>
      </c>
      <c r="F1718" s="11">
        <v>0</v>
      </c>
      <c r="G1718" s="27">
        <f t="shared" si="496"/>
        <v>9.5777777777777793</v>
      </c>
      <c r="H1718" s="13">
        <f t="shared" si="497"/>
        <v>9141.0490915423234</v>
      </c>
      <c r="I1718" s="13">
        <f t="shared" si="498"/>
        <v>0</v>
      </c>
      <c r="J1718" s="51">
        <f t="shared" si="494"/>
        <v>9141.0490915423234</v>
      </c>
    </row>
    <row r="1719" spans="1:10" x14ac:dyDescent="0.25">
      <c r="A1719" s="15" t="s">
        <v>146</v>
      </c>
      <c r="B1719" s="16" t="s">
        <v>271</v>
      </c>
      <c r="C1719" s="16" t="s">
        <v>272</v>
      </c>
      <c r="D1719" s="16">
        <v>21</v>
      </c>
      <c r="E1719" s="17">
        <v>917280</v>
      </c>
      <c r="F1719" s="17">
        <v>183456</v>
      </c>
      <c r="G1719" s="27">
        <f t="shared" si="496"/>
        <v>100.56666666666668</v>
      </c>
      <c r="H1719" s="13">
        <f t="shared" si="497"/>
        <v>8644228.3615360241</v>
      </c>
      <c r="I1719" s="13">
        <f t="shared" si="498"/>
        <v>1728845.7921440993</v>
      </c>
      <c r="J1719" s="51">
        <f t="shared" si="494"/>
        <v>10373074.153680123</v>
      </c>
    </row>
    <row r="1720" spans="1:10" s="3" customFormat="1" x14ac:dyDescent="0.25">
      <c r="A1720" s="4"/>
      <c r="B1720" s="20" t="s">
        <v>376</v>
      </c>
      <c r="C1720" s="21"/>
      <c r="D1720" s="21"/>
      <c r="E1720" s="22"/>
      <c r="F1720" s="22"/>
      <c r="G1720" s="47">
        <f>SUM(G1698:G1719)</f>
        <v>862.00000000000034</v>
      </c>
      <c r="H1720" s="47">
        <f t="shared" ref="H1720:J1720" si="499">SUM(H1698:H1719)</f>
        <v>12040882</v>
      </c>
      <c r="I1720" s="47">
        <f t="shared" si="499"/>
        <v>2959118</v>
      </c>
      <c r="J1720" s="47">
        <f t="shared" si="499"/>
        <v>15000000</v>
      </c>
    </row>
    <row r="1721" spans="1:10" x14ac:dyDescent="0.25">
      <c r="A1721" s="23" t="s">
        <v>147</v>
      </c>
      <c r="B1721" s="24" t="s">
        <v>207</v>
      </c>
      <c r="C1721" s="24" t="s">
        <v>208</v>
      </c>
      <c r="D1721" s="24">
        <v>1</v>
      </c>
      <c r="E1721" s="25">
        <v>23296</v>
      </c>
      <c r="F1721" s="25">
        <v>4659</v>
      </c>
      <c r="G1721" s="27">
        <f>+D1721*4.78802588996764</f>
        <v>4.7880258899676402</v>
      </c>
      <c r="H1721" s="13">
        <f>+E1721*64345295/11723618</f>
        <v>127860.52840684506</v>
      </c>
      <c r="I1721" s="13">
        <f>+F1721*5654705/1030279</f>
        <v>25571.006101259951</v>
      </c>
      <c r="J1721" s="51">
        <f t="shared" si="494"/>
        <v>153431.53450810502</v>
      </c>
    </row>
    <row r="1722" spans="1:10" x14ac:dyDescent="0.25">
      <c r="A1722" s="4" t="s">
        <v>147</v>
      </c>
      <c r="B1722" s="5" t="s">
        <v>209</v>
      </c>
      <c r="C1722" s="5" t="s">
        <v>210</v>
      </c>
      <c r="D1722" s="5">
        <v>91</v>
      </c>
      <c r="E1722" s="6">
        <v>176631</v>
      </c>
      <c r="F1722" s="11">
        <v>0</v>
      </c>
      <c r="G1722" s="27">
        <f t="shared" ref="G1722:G1752" si="500">+D1722*4.78802588996764</f>
        <v>435.71035598705527</v>
      </c>
      <c r="H1722" s="13">
        <f t="shared" ref="H1722:H1752" si="501">+E1722*64345295/11723618</f>
        <v>969442.52202221192</v>
      </c>
      <c r="I1722" s="13">
        <f t="shared" ref="I1722:I1752" si="502">+F1722*5654705/1030279</f>
        <v>0</v>
      </c>
      <c r="J1722" s="51">
        <f t="shared" si="494"/>
        <v>969442.52202221192</v>
      </c>
    </row>
    <row r="1723" spans="1:10" x14ac:dyDescent="0.25">
      <c r="A1723" s="4" t="s">
        <v>147</v>
      </c>
      <c r="B1723" s="5" t="s">
        <v>211</v>
      </c>
      <c r="C1723" s="5" t="s">
        <v>212</v>
      </c>
      <c r="D1723" s="5">
        <v>5</v>
      </c>
      <c r="E1723" s="6">
        <v>14560</v>
      </c>
      <c r="F1723" s="11">
        <v>0</v>
      </c>
      <c r="G1723" s="27">
        <f t="shared" si="500"/>
        <v>23.940129449838203</v>
      </c>
      <c r="H1723" s="13">
        <f t="shared" si="501"/>
        <v>79912.83025427816</v>
      </c>
      <c r="I1723" s="13">
        <f t="shared" si="502"/>
        <v>0</v>
      </c>
      <c r="J1723" s="51">
        <f t="shared" si="494"/>
        <v>79912.83025427816</v>
      </c>
    </row>
    <row r="1724" spans="1:10" x14ac:dyDescent="0.25">
      <c r="A1724" s="4" t="s">
        <v>147</v>
      </c>
      <c r="B1724" s="5" t="s">
        <v>213</v>
      </c>
      <c r="C1724" s="5" t="s">
        <v>212</v>
      </c>
      <c r="D1724" s="5">
        <v>4</v>
      </c>
      <c r="E1724" s="6">
        <v>11648</v>
      </c>
      <c r="F1724" s="11">
        <v>0</v>
      </c>
      <c r="G1724" s="27">
        <f t="shared" si="500"/>
        <v>19.152103559870561</v>
      </c>
      <c r="H1724" s="13">
        <f t="shared" si="501"/>
        <v>63930.264203422528</v>
      </c>
      <c r="I1724" s="13">
        <f t="shared" si="502"/>
        <v>0</v>
      </c>
      <c r="J1724" s="51">
        <f t="shared" si="494"/>
        <v>63930.264203422528</v>
      </c>
    </row>
    <row r="1725" spans="1:10" x14ac:dyDescent="0.25">
      <c r="A1725" s="4" t="s">
        <v>147</v>
      </c>
      <c r="B1725" s="5" t="s">
        <v>214</v>
      </c>
      <c r="C1725" s="5" t="s">
        <v>210</v>
      </c>
      <c r="D1725" s="5">
        <v>131</v>
      </c>
      <c r="E1725" s="6">
        <v>254271</v>
      </c>
      <c r="F1725" s="11">
        <v>0</v>
      </c>
      <c r="G1725" s="27">
        <f t="shared" si="500"/>
        <v>627.23139158576089</v>
      </c>
      <c r="H1725" s="13">
        <f t="shared" si="501"/>
        <v>1395571.1031308766</v>
      </c>
      <c r="I1725" s="13">
        <f t="shared" si="502"/>
        <v>0</v>
      </c>
      <c r="J1725" s="51">
        <f t="shared" si="494"/>
        <v>1395571.1031308766</v>
      </c>
    </row>
    <row r="1726" spans="1:10" x14ac:dyDescent="0.25">
      <c r="A1726" s="4" t="s">
        <v>147</v>
      </c>
      <c r="B1726" s="5" t="s">
        <v>215</v>
      </c>
      <c r="C1726" s="5" t="s">
        <v>212</v>
      </c>
      <c r="D1726" s="5">
        <v>2</v>
      </c>
      <c r="E1726" s="6">
        <v>5824</v>
      </c>
      <c r="F1726" s="11">
        <v>0</v>
      </c>
      <c r="G1726" s="27">
        <f t="shared" si="500"/>
        <v>9.5760517799352805</v>
      </c>
      <c r="H1726" s="13">
        <f t="shared" si="501"/>
        <v>31965.132101711264</v>
      </c>
      <c r="I1726" s="13">
        <f t="shared" si="502"/>
        <v>0</v>
      </c>
      <c r="J1726" s="51">
        <f t="shared" si="494"/>
        <v>31965.132101711264</v>
      </c>
    </row>
    <row r="1727" spans="1:10" x14ac:dyDescent="0.25">
      <c r="A1727" s="4" t="s">
        <v>147</v>
      </c>
      <c r="B1727" s="5" t="s">
        <v>216</v>
      </c>
      <c r="C1727" s="5" t="s">
        <v>210</v>
      </c>
      <c r="D1727" s="5">
        <v>49</v>
      </c>
      <c r="E1727" s="6">
        <v>95109</v>
      </c>
      <c r="F1727" s="11">
        <v>0</v>
      </c>
      <c r="G1727" s="27">
        <f t="shared" si="500"/>
        <v>234.61326860841436</v>
      </c>
      <c r="H1727" s="13">
        <f t="shared" si="501"/>
        <v>522007.5118581141</v>
      </c>
      <c r="I1727" s="13">
        <f t="shared" si="502"/>
        <v>0</v>
      </c>
      <c r="J1727" s="51">
        <f t="shared" si="494"/>
        <v>522007.5118581141</v>
      </c>
    </row>
    <row r="1728" spans="1:10" x14ac:dyDescent="0.25">
      <c r="A1728" s="4" t="s">
        <v>147</v>
      </c>
      <c r="B1728" s="5" t="s">
        <v>217</v>
      </c>
      <c r="C1728" s="5" t="s">
        <v>218</v>
      </c>
      <c r="D1728" s="5">
        <v>93</v>
      </c>
      <c r="E1728" s="6">
        <v>616218</v>
      </c>
      <c r="F1728" s="6">
        <v>123225</v>
      </c>
      <c r="G1728" s="27">
        <f t="shared" si="500"/>
        <v>445.28640776699052</v>
      </c>
      <c r="H1728" s="13">
        <f t="shared" si="501"/>
        <v>3382123.9308812348</v>
      </c>
      <c r="I1728" s="13">
        <f t="shared" si="502"/>
        <v>676322.65010254504</v>
      </c>
      <c r="J1728" s="51">
        <f t="shared" si="494"/>
        <v>4058446.5809837799</v>
      </c>
    </row>
    <row r="1729" spans="1:10" x14ac:dyDescent="0.25">
      <c r="A1729" s="4" t="s">
        <v>147</v>
      </c>
      <c r="B1729" s="5" t="s">
        <v>219</v>
      </c>
      <c r="C1729" s="5" t="s">
        <v>220</v>
      </c>
      <c r="D1729" s="5">
        <v>16</v>
      </c>
      <c r="E1729" s="6">
        <v>108704</v>
      </c>
      <c r="F1729" s="6">
        <v>21728</v>
      </c>
      <c r="G1729" s="27">
        <f t="shared" si="500"/>
        <v>76.608414239482244</v>
      </c>
      <c r="H1729" s="13">
        <f t="shared" si="501"/>
        <v>596623.92170062172</v>
      </c>
      <c r="I1729" s="13">
        <f t="shared" si="502"/>
        <v>119254.52255165833</v>
      </c>
      <c r="J1729" s="51">
        <f t="shared" si="494"/>
        <v>715878.44425228005</v>
      </c>
    </row>
    <row r="1730" spans="1:10" x14ac:dyDescent="0.25">
      <c r="A1730" s="4" t="s">
        <v>147</v>
      </c>
      <c r="B1730" s="5" t="s">
        <v>260</v>
      </c>
      <c r="C1730" s="5" t="s">
        <v>208</v>
      </c>
      <c r="D1730" s="5">
        <v>1</v>
      </c>
      <c r="E1730" s="6">
        <v>69888</v>
      </c>
      <c r="F1730" s="11">
        <v>0</v>
      </c>
      <c r="G1730" s="27">
        <f t="shared" si="500"/>
        <v>4.7880258899676402</v>
      </c>
      <c r="H1730" s="13">
        <f t="shared" si="501"/>
        <v>383581.58522053517</v>
      </c>
      <c r="I1730" s="13">
        <f t="shared" si="502"/>
        <v>0</v>
      </c>
      <c r="J1730" s="51">
        <f t="shared" si="494"/>
        <v>383581.58522053517</v>
      </c>
    </row>
    <row r="1731" spans="1:10" x14ac:dyDescent="0.25">
      <c r="A1731" s="4" t="s">
        <v>147</v>
      </c>
      <c r="B1731" s="5" t="s">
        <v>223</v>
      </c>
      <c r="C1731" s="5" t="s">
        <v>224</v>
      </c>
      <c r="D1731" s="5">
        <v>83</v>
      </c>
      <c r="E1731" s="6">
        <v>46584</v>
      </c>
      <c r="F1731" s="11">
        <v>0</v>
      </c>
      <c r="G1731" s="27">
        <f t="shared" si="500"/>
        <v>397.40614886731413</v>
      </c>
      <c r="H1731" s="13">
        <f t="shared" si="501"/>
        <v>255677.14866519874</v>
      </c>
      <c r="I1731" s="13">
        <f t="shared" si="502"/>
        <v>0</v>
      </c>
      <c r="J1731" s="51">
        <f t="shared" si="494"/>
        <v>255677.14866519874</v>
      </c>
    </row>
    <row r="1732" spans="1:10" x14ac:dyDescent="0.25">
      <c r="A1732" s="4" t="s">
        <v>147</v>
      </c>
      <c r="B1732" s="5" t="s">
        <v>266</v>
      </c>
      <c r="C1732" s="5" t="s">
        <v>210</v>
      </c>
      <c r="D1732" s="5">
        <v>7</v>
      </c>
      <c r="E1732" s="6">
        <v>13587</v>
      </c>
      <c r="F1732" s="11">
        <v>0</v>
      </c>
      <c r="G1732" s="27">
        <f t="shared" si="500"/>
        <v>33.51618122977348</v>
      </c>
      <c r="H1732" s="13">
        <f t="shared" si="501"/>
        <v>74572.501694016304</v>
      </c>
      <c r="I1732" s="13">
        <f t="shared" si="502"/>
        <v>0</v>
      </c>
      <c r="J1732" s="51">
        <f t="shared" si="494"/>
        <v>74572.501694016304</v>
      </c>
    </row>
    <row r="1733" spans="1:10" x14ac:dyDescent="0.25">
      <c r="A1733" s="4" t="s">
        <v>147</v>
      </c>
      <c r="B1733" s="5" t="s">
        <v>225</v>
      </c>
      <c r="C1733" s="5" t="s">
        <v>210</v>
      </c>
      <c r="D1733" s="5">
        <v>7</v>
      </c>
      <c r="E1733" s="6">
        <v>13587</v>
      </c>
      <c r="F1733" s="11">
        <v>0</v>
      </c>
      <c r="G1733" s="27">
        <f t="shared" si="500"/>
        <v>33.51618122977348</v>
      </c>
      <c r="H1733" s="13">
        <f t="shared" si="501"/>
        <v>74572.501694016304</v>
      </c>
      <c r="I1733" s="13">
        <f t="shared" si="502"/>
        <v>0</v>
      </c>
      <c r="J1733" s="51">
        <f t="shared" si="494"/>
        <v>74572.501694016304</v>
      </c>
    </row>
    <row r="1734" spans="1:10" x14ac:dyDescent="0.25">
      <c r="A1734" s="4" t="s">
        <v>147</v>
      </c>
      <c r="B1734" s="5" t="s">
        <v>226</v>
      </c>
      <c r="C1734" s="5" t="s">
        <v>210</v>
      </c>
      <c r="D1734" s="5">
        <v>135</v>
      </c>
      <c r="E1734" s="6">
        <v>262035</v>
      </c>
      <c r="F1734" s="11">
        <v>0</v>
      </c>
      <c r="G1734" s="27">
        <f t="shared" si="500"/>
        <v>646.3834951456314</v>
      </c>
      <c r="H1734" s="13">
        <f t="shared" si="501"/>
        <v>1438183.9612417431</v>
      </c>
      <c r="I1734" s="13">
        <f t="shared" si="502"/>
        <v>0</v>
      </c>
      <c r="J1734" s="51">
        <f t="shared" si="494"/>
        <v>1438183.9612417431</v>
      </c>
    </row>
    <row r="1735" spans="1:10" x14ac:dyDescent="0.25">
      <c r="A1735" s="4" t="s">
        <v>147</v>
      </c>
      <c r="B1735" s="5" t="s">
        <v>227</v>
      </c>
      <c r="C1735" s="5" t="s">
        <v>210</v>
      </c>
      <c r="D1735" s="5">
        <v>18</v>
      </c>
      <c r="E1735" s="6">
        <v>34938</v>
      </c>
      <c r="F1735" s="11">
        <v>0</v>
      </c>
      <c r="G1735" s="27">
        <f t="shared" si="500"/>
        <v>86.184466019417528</v>
      </c>
      <c r="H1735" s="13">
        <f t="shared" si="501"/>
        <v>191757.86149889906</v>
      </c>
      <c r="I1735" s="13">
        <f t="shared" si="502"/>
        <v>0</v>
      </c>
      <c r="J1735" s="51">
        <f t="shared" si="494"/>
        <v>191757.86149889906</v>
      </c>
    </row>
    <row r="1736" spans="1:10" x14ac:dyDescent="0.25">
      <c r="A1736" s="4" t="s">
        <v>147</v>
      </c>
      <c r="B1736" s="5" t="s">
        <v>228</v>
      </c>
      <c r="C1736" s="5" t="s">
        <v>229</v>
      </c>
      <c r="D1736" s="5">
        <v>375</v>
      </c>
      <c r="E1736" s="6">
        <v>1455750</v>
      </c>
      <c r="F1736" s="11">
        <v>0</v>
      </c>
      <c r="G1736" s="27">
        <f t="shared" si="500"/>
        <v>1795.5097087378651</v>
      </c>
      <c r="H1736" s="13">
        <f t="shared" si="501"/>
        <v>7989910.8957874607</v>
      </c>
      <c r="I1736" s="13">
        <f t="shared" si="502"/>
        <v>0</v>
      </c>
      <c r="J1736" s="51">
        <f t="shared" si="494"/>
        <v>7989910.8957874607</v>
      </c>
    </row>
    <row r="1737" spans="1:10" x14ac:dyDescent="0.25">
      <c r="A1737" s="4" t="s">
        <v>147</v>
      </c>
      <c r="B1737" s="5" t="s">
        <v>230</v>
      </c>
      <c r="C1737" s="5" t="s">
        <v>229</v>
      </c>
      <c r="D1737" s="5">
        <v>39</v>
      </c>
      <c r="E1737" s="6">
        <v>151398</v>
      </c>
      <c r="F1737" s="11">
        <v>0</v>
      </c>
      <c r="G1737" s="27">
        <f t="shared" si="500"/>
        <v>186.73300970873797</v>
      </c>
      <c r="H1737" s="13">
        <f t="shared" si="501"/>
        <v>830950.73316189589</v>
      </c>
      <c r="I1737" s="13">
        <f t="shared" si="502"/>
        <v>0</v>
      </c>
      <c r="J1737" s="51">
        <f t="shared" si="494"/>
        <v>830950.73316189589</v>
      </c>
    </row>
    <row r="1738" spans="1:10" x14ac:dyDescent="0.25">
      <c r="A1738" s="4" t="s">
        <v>147</v>
      </c>
      <c r="B1738" s="5" t="s">
        <v>262</v>
      </c>
      <c r="C1738" s="5" t="s">
        <v>263</v>
      </c>
      <c r="D1738" s="5">
        <v>8</v>
      </c>
      <c r="E1738" s="6">
        <v>2426664</v>
      </c>
      <c r="F1738" s="11">
        <v>0</v>
      </c>
      <c r="G1738" s="27">
        <f t="shared" si="500"/>
        <v>38.304207119741122</v>
      </c>
      <c r="H1738" s="13">
        <f t="shared" si="501"/>
        <v>13318790.406330196</v>
      </c>
      <c r="I1738" s="13">
        <f t="shared" si="502"/>
        <v>0</v>
      </c>
      <c r="J1738" s="51">
        <f t="shared" si="494"/>
        <v>13318790.406330196</v>
      </c>
    </row>
    <row r="1739" spans="1:10" x14ac:dyDescent="0.25">
      <c r="A1739" s="4" t="s">
        <v>147</v>
      </c>
      <c r="B1739" s="5" t="s">
        <v>233</v>
      </c>
      <c r="C1739" s="5" t="s">
        <v>234</v>
      </c>
      <c r="D1739" s="5">
        <v>2</v>
      </c>
      <c r="E1739" s="6">
        <v>388266</v>
      </c>
      <c r="F1739" s="11">
        <v>0</v>
      </c>
      <c r="G1739" s="27">
        <f t="shared" si="500"/>
        <v>9.5760517799352805</v>
      </c>
      <c r="H1739" s="13">
        <f t="shared" si="501"/>
        <v>2131005.1477683764</v>
      </c>
      <c r="I1739" s="13">
        <f t="shared" si="502"/>
        <v>0</v>
      </c>
      <c r="J1739" s="51">
        <f t="shared" si="494"/>
        <v>2131005.1477683764</v>
      </c>
    </row>
    <row r="1740" spans="1:10" x14ac:dyDescent="0.25">
      <c r="A1740" s="4" t="s">
        <v>147</v>
      </c>
      <c r="B1740" s="5" t="s">
        <v>235</v>
      </c>
      <c r="C1740" s="5" t="s">
        <v>236</v>
      </c>
      <c r="D1740" s="5">
        <v>6</v>
      </c>
      <c r="E1740" s="6">
        <v>81900</v>
      </c>
      <c r="F1740" s="6">
        <v>16380</v>
      </c>
      <c r="G1740" s="27">
        <f t="shared" si="500"/>
        <v>28.728155339805841</v>
      </c>
      <c r="H1740" s="13">
        <f t="shared" si="501"/>
        <v>449509.67018031463</v>
      </c>
      <c r="I1740" s="13">
        <f t="shared" si="502"/>
        <v>89901.927439072329</v>
      </c>
      <c r="J1740" s="51">
        <f t="shared" si="494"/>
        <v>539411.59761938697</v>
      </c>
    </row>
    <row r="1741" spans="1:10" x14ac:dyDescent="0.25">
      <c r="A1741" s="4" t="s">
        <v>147</v>
      </c>
      <c r="B1741" s="5" t="s">
        <v>237</v>
      </c>
      <c r="C1741" s="5" t="s">
        <v>238</v>
      </c>
      <c r="D1741" s="5">
        <v>9</v>
      </c>
      <c r="E1741" s="6">
        <v>92268</v>
      </c>
      <c r="F1741" s="6">
        <v>18450</v>
      </c>
      <c r="G1741" s="27">
        <f t="shared" si="500"/>
        <v>43.092233009708764</v>
      </c>
      <c r="H1741" s="13">
        <f t="shared" si="501"/>
        <v>506414.63062511932</v>
      </c>
      <c r="I1741" s="13">
        <f t="shared" si="502"/>
        <v>101263.16002752652</v>
      </c>
      <c r="J1741" s="51">
        <f t="shared" si="494"/>
        <v>607677.79065264587</v>
      </c>
    </row>
    <row r="1742" spans="1:10" x14ac:dyDescent="0.25">
      <c r="A1742" s="4" t="s">
        <v>147</v>
      </c>
      <c r="B1742" s="5" t="s">
        <v>241</v>
      </c>
      <c r="C1742" s="5" t="s">
        <v>236</v>
      </c>
      <c r="D1742" s="5">
        <v>118</v>
      </c>
      <c r="E1742" s="6">
        <v>1610700</v>
      </c>
      <c r="F1742" s="6">
        <v>322140</v>
      </c>
      <c r="G1742" s="27">
        <f t="shared" si="500"/>
        <v>564.98705501618156</v>
      </c>
      <c r="H1742" s="13">
        <f t="shared" si="501"/>
        <v>8840356.8468795214</v>
      </c>
      <c r="I1742" s="13">
        <f t="shared" si="502"/>
        <v>1768071.2396350892</v>
      </c>
      <c r="J1742" s="51">
        <f t="shared" si="494"/>
        <v>10608428.086514611</v>
      </c>
    </row>
    <row r="1743" spans="1:10" x14ac:dyDescent="0.25">
      <c r="A1743" s="4" t="s">
        <v>147</v>
      </c>
      <c r="B1743" s="5" t="s">
        <v>242</v>
      </c>
      <c r="C1743" s="5" t="s">
        <v>238</v>
      </c>
      <c r="D1743" s="5">
        <v>1</v>
      </c>
      <c r="E1743" s="6">
        <v>10252</v>
      </c>
      <c r="F1743" s="6">
        <v>2050</v>
      </c>
      <c r="G1743" s="27">
        <f t="shared" si="500"/>
        <v>4.7880258899676402</v>
      </c>
      <c r="H1743" s="13">
        <f t="shared" si="501"/>
        <v>56268.292291679922</v>
      </c>
      <c r="I1743" s="13">
        <f t="shared" si="502"/>
        <v>11251.462225280726</v>
      </c>
      <c r="J1743" s="51">
        <f t="shared" si="494"/>
        <v>67519.754516960646</v>
      </c>
    </row>
    <row r="1744" spans="1:10" x14ac:dyDescent="0.25">
      <c r="A1744" s="4" t="s">
        <v>147</v>
      </c>
      <c r="B1744" s="5" t="s">
        <v>243</v>
      </c>
      <c r="C1744" s="5" t="s">
        <v>244</v>
      </c>
      <c r="D1744" s="5">
        <v>14</v>
      </c>
      <c r="E1744" s="6">
        <v>95550</v>
      </c>
      <c r="F1744" s="6">
        <v>19110</v>
      </c>
      <c r="G1744" s="27">
        <f t="shared" si="500"/>
        <v>67.03236245954696</v>
      </c>
      <c r="H1744" s="13">
        <f t="shared" si="501"/>
        <v>524427.94854370039</v>
      </c>
      <c r="I1744" s="13">
        <f t="shared" si="502"/>
        <v>104885.58201225105</v>
      </c>
      <c r="J1744" s="51">
        <f t="shared" si="494"/>
        <v>629313.53055595141</v>
      </c>
    </row>
    <row r="1745" spans="1:10" x14ac:dyDescent="0.25">
      <c r="A1745" s="4" t="s">
        <v>147</v>
      </c>
      <c r="B1745" s="5" t="s">
        <v>245</v>
      </c>
      <c r="C1745" s="5" t="s">
        <v>246</v>
      </c>
      <c r="D1745" s="5">
        <v>5</v>
      </c>
      <c r="E1745" s="6">
        <v>25630</v>
      </c>
      <c r="F1745" s="6">
        <v>5125</v>
      </c>
      <c r="G1745" s="27">
        <f t="shared" si="500"/>
        <v>23.940129449838203</v>
      </c>
      <c r="H1745" s="13">
        <f t="shared" si="501"/>
        <v>140670.7307291998</v>
      </c>
      <c r="I1745" s="13">
        <f t="shared" si="502"/>
        <v>28128.655563201813</v>
      </c>
      <c r="J1745" s="51">
        <f t="shared" si="494"/>
        <v>168799.38629240161</v>
      </c>
    </row>
    <row r="1746" spans="1:10" x14ac:dyDescent="0.25">
      <c r="A1746" s="4" t="s">
        <v>147</v>
      </c>
      <c r="B1746" s="5" t="s">
        <v>249</v>
      </c>
      <c r="C1746" s="5" t="s">
        <v>250</v>
      </c>
      <c r="D1746" s="5">
        <v>82</v>
      </c>
      <c r="E1746" s="6">
        <v>2487306</v>
      </c>
      <c r="F1746" s="6">
        <v>497412</v>
      </c>
      <c r="G1746" s="27">
        <f t="shared" si="500"/>
        <v>392.6181229773465</v>
      </c>
      <c r="H1746" s="13">
        <f t="shared" si="501"/>
        <v>13651625.14893184</v>
      </c>
      <c r="I1746" s="13">
        <f t="shared" si="502"/>
        <v>2730054.7943421151</v>
      </c>
      <c r="J1746" s="51">
        <f t="shared" si="494"/>
        <v>16381679.943273956</v>
      </c>
    </row>
    <row r="1747" spans="1:10" x14ac:dyDescent="0.25">
      <c r="A1747" s="4" t="s">
        <v>147</v>
      </c>
      <c r="B1747" s="5" t="s">
        <v>252</v>
      </c>
      <c r="C1747" s="5" t="s">
        <v>212</v>
      </c>
      <c r="D1747" s="5">
        <v>47</v>
      </c>
      <c r="E1747" s="6">
        <v>136864</v>
      </c>
      <c r="F1747" s="11">
        <v>0</v>
      </c>
      <c r="G1747" s="27">
        <f t="shared" si="500"/>
        <v>225.0372168284791</v>
      </c>
      <c r="H1747" s="13">
        <f t="shared" si="501"/>
        <v>751180.60439021466</v>
      </c>
      <c r="I1747" s="13">
        <f t="shared" si="502"/>
        <v>0</v>
      </c>
      <c r="J1747" s="51">
        <f t="shared" si="494"/>
        <v>751180.60439021466</v>
      </c>
    </row>
    <row r="1748" spans="1:10" x14ac:dyDescent="0.25">
      <c r="A1748" s="4" t="s">
        <v>147</v>
      </c>
      <c r="B1748" s="5" t="s">
        <v>253</v>
      </c>
      <c r="C1748" s="5" t="s">
        <v>210</v>
      </c>
      <c r="D1748" s="5">
        <v>277</v>
      </c>
      <c r="E1748" s="6">
        <v>537657</v>
      </c>
      <c r="F1748" s="11">
        <v>0</v>
      </c>
      <c r="G1748" s="27">
        <f t="shared" si="500"/>
        <v>1326.2831715210364</v>
      </c>
      <c r="H1748" s="13">
        <f t="shared" si="501"/>
        <v>2950940.4241775023</v>
      </c>
      <c r="I1748" s="13">
        <f t="shared" si="502"/>
        <v>0</v>
      </c>
      <c r="J1748" s="51">
        <f t="shared" si="494"/>
        <v>2950940.4241775023</v>
      </c>
    </row>
    <row r="1749" spans="1:10" x14ac:dyDescent="0.25">
      <c r="A1749" s="4" t="s">
        <v>147</v>
      </c>
      <c r="B1749" s="5" t="s">
        <v>254</v>
      </c>
      <c r="C1749" s="5" t="s">
        <v>212</v>
      </c>
      <c r="D1749" s="5">
        <v>28</v>
      </c>
      <c r="E1749" s="6">
        <v>81536</v>
      </c>
      <c r="F1749" s="11">
        <v>0</v>
      </c>
      <c r="G1749" s="27">
        <f t="shared" si="500"/>
        <v>134.06472491909392</v>
      </c>
      <c r="H1749" s="13">
        <f t="shared" si="501"/>
        <v>447511.8494239577</v>
      </c>
      <c r="I1749" s="13">
        <f t="shared" si="502"/>
        <v>0</v>
      </c>
      <c r="J1749" s="51">
        <f t="shared" si="494"/>
        <v>447511.8494239577</v>
      </c>
    </row>
    <row r="1750" spans="1:10" x14ac:dyDescent="0.25">
      <c r="A1750" s="4" t="s">
        <v>147</v>
      </c>
      <c r="B1750" s="5" t="s">
        <v>255</v>
      </c>
      <c r="C1750" s="5" t="s">
        <v>210</v>
      </c>
      <c r="D1750" s="5">
        <v>106</v>
      </c>
      <c r="E1750" s="6">
        <v>205746</v>
      </c>
      <c r="F1750" s="11">
        <v>0</v>
      </c>
      <c r="G1750" s="27">
        <f t="shared" si="500"/>
        <v>507.53074433656985</v>
      </c>
      <c r="H1750" s="13">
        <f t="shared" si="501"/>
        <v>1129240.7399379611</v>
      </c>
      <c r="I1750" s="13">
        <f t="shared" si="502"/>
        <v>0</v>
      </c>
      <c r="J1750" s="51">
        <f t="shared" si="494"/>
        <v>1129240.7399379611</v>
      </c>
    </row>
    <row r="1751" spans="1:10" x14ac:dyDescent="0.25">
      <c r="A1751" s="4" t="s">
        <v>147</v>
      </c>
      <c r="B1751" s="5" t="s">
        <v>256</v>
      </c>
      <c r="C1751" s="5" t="s">
        <v>212</v>
      </c>
      <c r="D1751" s="5">
        <v>7</v>
      </c>
      <c r="E1751" s="6">
        <v>20384</v>
      </c>
      <c r="F1751" s="11">
        <v>0</v>
      </c>
      <c r="G1751" s="27">
        <f t="shared" si="500"/>
        <v>33.51618122977348</v>
      </c>
      <c r="H1751" s="13">
        <f t="shared" si="501"/>
        <v>111877.96235598942</v>
      </c>
      <c r="I1751" s="13">
        <f t="shared" si="502"/>
        <v>0</v>
      </c>
      <c r="J1751" s="51">
        <f t="shared" si="494"/>
        <v>111877.96235598942</v>
      </c>
    </row>
    <row r="1752" spans="1:10" x14ac:dyDescent="0.25">
      <c r="A1752" s="15" t="s">
        <v>147</v>
      </c>
      <c r="B1752" s="16" t="s">
        <v>257</v>
      </c>
      <c r="C1752" s="16" t="s">
        <v>210</v>
      </c>
      <c r="D1752" s="16">
        <v>87</v>
      </c>
      <c r="E1752" s="17">
        <v>168867</v>
      </c>
      <c r="F1752" s="18">
        <v>0</v>
      </c>
      <c r="G1752" s="27">
        <f t="shared" si="500"/>
        <v>416.5582524271847</v>
      </c>
      <c r="H1752" s="13">
        <f t="shared" si="501"/>
        <v>926829.66391134541</v>
      </c>
      <c r="I1752" s="13">
        <f t="shared" si="502"/>
        <v>0</v>
      </c>
      <c r="J1752" s="51">
        <f t="shared" si="494"/>
        <v>926829.66391134541</v>
      </c>
    </row>
    <row r="1753" spans="1:10" s="3" customFormat="1" x14ac:dyDescent="0.25">
      <c r="A1753" s="4"/>
      <c r="B1753" s="20" t="s">
        <v>377</v>
      </c>
      <c r="C1753" s="21"/>
      <c r="D1753" s="21"/>
      <c r="E1753" s="22"/>
      <c r="F1753" s="29"/>
      <c r="G1753" s="47">
        <f>SUM(G1721:G1752)</f>
        <v>8877.0000000000073</v>
      </c>
      <c r="H1753" s="47">
        <f t="shared" ref="H1753:J1753" si="503">SUM(H1721:H1752)</f>
        <v>64345294.999999993</v>
      </c>
      <c r="I1753" s="47">
        <f t="shared" si="503"/>
        <v>5654705</v>
      </c>
      <c r="J1753" s="47">
        <f t="shared" si="503"/>
        <v>69999999.999999985</v>
      </c>
    </row>
    <row r="1754" spans="1:10" x14ac:dyDescent="0.25">
      <c r="A1754" s="23" t="s">
        <v>148</v>
      </c>
      <c r="B1754" s="24" t="s">
        <v>219</v>
      </c>
      <c r="C1754" s="24" t="s">
        <v>220</v>
      </c>
      <c r="D1754" s="24">
        <v>1</v>
      </c>
      <c r="E1754" s="25">
        <v>1698</v>
      </c>
      <c r="F1754" s="25">
        <v>1358</v>
      </c>
      <c r="G1754" s="27">
        <f>+D1754*4.77272727272727</f>
        <v>4.7727272727272698</v>
      </c>
      <c r="H1754" s="13">
        <f>+E1754*1121181/144293</f>
        <v>13193.747014754701</v>
      </c>
      <c r="I1754" s="13">
        <f>+F1754*378819/48753</f>
        <v>10551.888129961233</v>
      </c>
      <c r="J1754" s="51">
        <f t="shared" si="494"/>
        <v>23745.635144715932</v>
      </c>
    </row>
    <row r="1755" spans="1:10" x14ac:dyDescent="0.25">
      <c r="A1755" s="4" t="s">
        <v>148</v>
      </c>
      <c r="B1755" s="5" t="s">
        <v>228</v>
      </c>
      <c r="C1755" s="5" t="s">
        <v>229</v>
      </c>
      <c r="D1755" s="5">
        <v>2</v>
      </c>
      <c r="E1755" s="6">
        <v>1940</v>
      </c>
      <c r="F1755" s="11">
        <v>0</v>
      </c>
      <c r="G1755" s="27">
        <f t="shared" ref="G1755:G1762" si="504">+D1755*4.77272727272727</f>
        <v>9.5454545454545396</v>
      </c>
      <c r="H1755" s="13">
        <f t="shared" ref="H1755:H1762" si="505">+E1755*1121181/144293</f>
        <v>15074.127920273333</v>
      </c>
      <c r="I1755" s="13">
        <f t="shared" ref="I1755:I1762" si="506">+F1755*378819/48753</f>
        <v>0</v>
      </c>
      <c r="J1755" s="51">
        <f t="shared" si="494"/>
        <v>15074.127920273333</v>
      </c>
    </row>
    <row r="1756" spans="1:10" x14ac:dyDescent="0.25">
      <c r="A1756" s="4" t="s">
        <v>148</v>
      </c>
      <c r="B1756" s="5" t="s">
        <v>230</v>
      </c>
      <c r="C1756" s="5" t="s">
        <v>229</v>
      </c>
      <c r="D1756" s="5">
        <v>5</v>
      </c>
      <c r="E1756" s="6">
        <v>4850</v>
      </c>
      <c r="F1756" s="11">
        <v>0</v>
      </c>
      <c r="G1756" s="27">
        <f t="shared" si="504"/>
        <v>23.863636363636349</v>
      </c>
      <c r="H1756" s="13">
        <f t="shared" si="505"/>
        <v>37685.319800683334</v>
      </c>
      <c r="I1756" s="13">
        <f t="shared" si="506"/>
        <v>0</v>
      </c>
      <c r="J1756" s="51">
        <f t="shared" si="494"/>
        <v>37685.319800683334</v>
      </c>
    </row>
    <row r="1757" spans="1:10" x14ac:dyDescent="0.25">
      <c r="A1757" s="4" t="s">
        <v>148</v>
      </c>
      <c r="B1757" s="5" t="s">
        <v>262</v>
      </c>
      <c r="C1757" s="5" t="s">
        <v>263</v>
      </c>
      <c r="D1757" s="5">
        <v>1</v>
      </c>
      <c r="E1757" s="6">
        <v>75833</v>
      </c>
      <c r="F1757" s="11">
        <v>0</v>
      </c>
      <c r="G1757" s="27">
        <f t="shared" si="504"/>
        <v>4.7727272727272698</v>
      </c>
      <c r="H1757" s="13">
        <f t="shared" si="505"/>
        <v>589235.22813303489</v>
      </c>
      <c r="I1757" s="13">
        <f t="shared" si="506"/>
        <v>0</v>
      </c>
      <c r="J1757" s="51">
        <f t="shared" si="494"/>
        <v>589235.22813303489</v>
      </c>
    </row>
    <row r="1758" spans="1:10" x14ac:dyDescent="0.25">
      <c r="A1758" s="4" t="s">
        <v>148</v>
      </c>
      <c r="B1758" s="5" t="s">
        <v>239</v>
      </c>
      <c r="C1758" s="5" t="s">
        <v>236</v>
      </c>
      <c r="D1758" s="5">
        <v>5</v>
      </c>
      <c r="E1758" s="6">
        <v>17060</v>
      </c>
      <c r="F1758" s="6">
        <v>13650</v>
      </c>
      <c r="G1758" s="27">
        <f t="shared" si="504"/>
        <v>23.863636363636349</v>
      </c>
      <c r="H1758" s="13">
        <f t="shared" si="505"/>
        <v>132559.0836700325</v>
      </c>
      <c r="I1758" s="13">
        <f t="shared" si="506"/>
        <v>106062.79305888868</v>
      </c>
      <c r="J1758" s="51">
        <f t="shared" si="494"/>
        <v>238621.8767289212</v>
      </c>
    </row>
    <row r="1759" spans="1:10" x14ac:dyDescent="0.25">
      <c r="A1759" s="4" t="s">
        <v>148</v>
      </c>
      <c r="B1759" s="5" t="s">
        <v>240</v>
      </c>
      <c r="C1759" s="5" t="s">
        <v>238</v>
      </c>
      <c r="D1759" s="5">
        <v>1</v>
      </c>
      <c r="E1759" s="6">
        <v>2563</v>
      </c>
      <c r="F1759" s="6">
        <v>2050</v>
      </c>
      <c r="G1759" s="27">
        <f t="shared" si="504"/>
        <v>4.7727272727272698</v>
      </c>
      <c r="H1759" s="13">
        <f t="shared" si="505"/>
        <v>19914.943226629151</v>
      </c>
      <c r="I1759" s="13">
        <f t="shared" si="506"/>
        <v>15928.844378807458</v>
      </c>
      <c r="J1759" s="51">
        <f t="shared" ref="J1759:J1825" si="507">SUM(H1759:I1759)</f>
        <v>35843.787605436606</v>
      </c>
    </row>
    <row r="1760" spans="1:10" x14ac:dyDescent="0.25">
      <c r="A1760" s="4" t="s">
        <v>148</v>
      </c>
      <c r="B1760" s="5" t="s">
        <v>247</v>
      </c>
      <c r="C1760" s="5" t="s">
        <v>244</v>
      </c>
      <c r="D1760" s="5">
        <v>1</v>
      </c>
      <c r="E1760" s="6">
        <v>1706</v>
      </c>
      <c r="F1760" s="6">
        <v>1365</v>
      </c>
      <c r="G1760" s="27">
        <f t="shared" si="504"/>
        <v>4.7727272727272698</v>
      </c>
      <c r="H1760" s="13">
        <f t="shared" si="505"/>
        <v>13255.908367003251</v>
      </c>
      <c r="I1760" s="13">
        <f t="shared" si="506"/>
        <v>10606.279305888869</v>
      </c>
      <c r="J1760" s="51">
        <f t="shared" si="507"/>
        <v>23862.18767289212</v>
      </c>
    </row>
    <row r="1761" spans="1:10" x14ac:dyDescent="0.25">
      <c r="A1761" s="4" t="s">
        <v>148</v>
      </c>
      <c r="B1761" s="5" t="s">
        <v>249</v>
      </c>
      <c r="C1761" s="5" t="s">
        <v>250</v>
      </c>
      <c r="D1761" s="5">
        <v>5</v>
      </c>
      <c r="E1761" s="6">
        <v>37915</v>
      </c>
      <c r="F1761" s="6">
        <v>30330</v>
      </c>
      <c r="G1761" s="27">
        <f t="shared" si="504"/>
        <v>23.863636363636349</v>
      </c>
      <c r="H1761" s="13">
        <f t="shared" si="505"/>
        <v>294605.95881297084</v>
      </c>
      <c r="I1761" s="13">
        <f t="shared" si="506"/>
        <v>235669.19512645376</v>
      </c>
      <c r="J1761" s="51">
        <f t="shared" si="507"/>
        <v>530275.15393942455</v>
      </c>
    </row>
    <row r="1762" spans="1:10" x14ac:dyDescent="0.25">
      <c r="A1762" s="15" t="s">
        <v>148</v>
      </c>
      <c r="B1762" s="16" t="s">
        <v>252</v>
      </c>
      <c r="C1762" s="16" t="s">
        <v>212</v>
      </c>
      <c r="D1762" s="16">
        <v>1</v>
      </c>
      <c r="E1762" s="17">
        <v>728</v>
      </c>
      <c r="F1762" s="18">
        <v>0</v>
      </c>
      <c r="G1762" s="27">
        <f t="shared" si="504"/>
        <v>4.7727272727272698</v>
      </c>
      <c r="H1762" s="13">
        <f t="shared" si="505"/>
        <v>5656.6830546180345</v>
      </c>
      <c r="I1762" s="13">
        <f t="shared" si="506"/>
        <v>0</v>
      </c>
      <c r="J1762" s="51">
        <f t="shared" si="507"/>
        <v>5656.6830546180345</v>
      </c>
    </row>
    <row r="1763" spans="1:10" s="3" customFormat="1" x14ac:dyDescent="0.25">
      <c r="A1763" s="4"/>
      <c r="B1763" s="20" t="s">
        <v>378</v>
      </c>
      <c r="C1763" s="21"/>
      <c r="D1763" s="21"/>
      <c r="E1763" s="22"/>
      <c r="F1763" s="29"/>
      <c r="G1763" s="47">
        <f>SUM(G1754:G1762)</f>
        <v>104.99999999999991</v>
      </c>
      <c r="H1763" s="47">
        <f t="shared" ref="H1763:J1763" si="508">SUM(H1754:H1762)</f>
        <v>1121181</v>
      </c>
      <c r="I1763" s="47">
        <f t="shared" si="508"/>
        <v>378819</v>
      </c>
      <c r="J1763" s="47">
        <f t="shared" si="508"/>
        <v>1500000</v>
      </c>
    </row>
    <row r="1764" spans="1:10" x14ac:dyDescent="0.25">
      <c r="A1764" s="23" t="s">
        <v>149</v>
      </c>
      <c r="B1764" s="24" t="s">
        <v>213</v>
      </c>
      <c r="C1764" s="24" t="s">
        <v>212</v>
      </c>
      <c r="D1764" s="24">
        <v>1</v>
      </c>
      <c r="E1764" s="25">
        <v>1456</v>
      </c>
      <c r="F1764" s="30">
        <v>0</v>
      </c>
      <c r="G1764" s="27">
        <f>+D1764*4.79310344827586</f>
        <v>4.7931034482758603</v>
      </c>
      <c r="H1764" s="13">
        <f>+E1764*1892281/147688</f>
        <v>18655.280970694977</v>
      </c>
      <c r="I1764" s="13">
        <f>+F1764*607719/47431</f>
        <v>0</v>
      </c>
      <c r="J1764" s="51">
        <f t="shared" si="507"/>
        <v>18655.280970694977</v>
      </c>
    </row>
    <row r="1765" spans="1:10" x14ac:dyDescent="0.25">
      <c r="A1765" s="4" t="s">
        <v>149</v>
      </c>
      <c r="B1765" s="5" t="s">
        <v>216</v>
      </c>
      <c r="C1765" s="5" t="s">
        <v>210</v>
      </c>
      <c r="D1765" s="5">
        <v>1</v>
      </c>
      <c r="E1765" s="6">
        <v>970</v>
      </c>
      <c r="F1765" s="11">
        <v>0</v>
      </c>
      <c r="G1765" s="27">
        <f t="shared" ref="G1765:G1778" si="509">+D1765*4.79310344827586</f>
        <v>4.7931034482758603</v>
      </c>
      <c r="H1765" s="13">
        <f t="shared" ref="H1765:H1778" si="510">+E1765*1892281/147688</f>
        <v>12428.312185147066</v>
      </c>
      <c r="I1765" s="13">
        <f t="shared" ref="I1765:I1778" si="511">+F1765*607719/47431</f>
        <v>0</v>
      </c>
      <c r="J1765" s="51">
        <f t="shared" si="507"/>
        <v>12428.312185147066</v>
      </c>
    </row>
    <row r="1766" spans="1:10" x14ac:dyDescent="0.25">
      <c r="A1766" s="4" t="s">
        <v>149</v>
      </c>
      <c r="B1766" s="5" t="s">
        <v>217</v>
      </c>
      <c r="C1766" s="5" t="s">
        <v>218</v>
      </c>
      <c r="D1766" s="5">
        <v>1</v>
      </c>
      <c r="E1766" s="6">
        <v>3313</v>
      </c>
      <c r="F1766" s="6">
        <v>1325</v>
      </c>
      <c r="G1766" s="27">
        <f t="shared" si="509"/>
        <v>4.7931034482758603</v>
      </c>
      <c r="H1766" s="13">
        <f t="shared" si="510"/>
        <v>42448.451824115706</v>
      </c>
      <c r="I1766" s="13">
        <f t="shared" si="511"/>
        <v>16976.822647635512</v>
      </c>
      <c r="J1766" s="51">
        <f t="shared" si="507"/>
        <v>59425.274471751218</v>
      </c>
    </row>
    <row r="1767" spans="1:10" x14ac:dyDescent="0.25">
      <c r="A1767" s="4" t="s">
        <v>149</v>
      </c>
      <c r="B1767" s="5" t="s">
        <v>221</v>
      </c>
      <c r="C1767" s="5" t="s">
        <v>222</v>
      </c>
      <c r="D1767" s="5">
        <v>1</v>
      </c>
      <c r="E1767" s="6">
        <v>72800</v>
      </c>
      <c r="F1767" s="6">
        <v>29120</v>
      </c>
      <c r="G1767" s="27">
        <f t="shared" si="509"/>
        <v>4.7931034482758603</v>
      </c>
      <c r="H1767" s="13">
        <f t="shared" si="510"/>
        <v>932764.04853474896</v>
      </c>
      <c r="I1767" s="13">
        <f t="shared" si="511"/>
        <v>373105.71735784615</v>
      </c>
      <c r="J1767" s="51">
        <f t="shared" si="507"/>
        <v>1305869.7658925951</v>
      </c>
    </row>
    <row r="1768" spans="1:10" x14ac:dyDescent="0.25">
      <c r="A1768" s="4" t="s">
        <v>149</v>
      </c>
      <c r="B1768" s="5" t="s">
        <v>226</v>
      </c>
      <c r="C1768" s="5" t="s">
        <v>210</v>
      </c>
      <c r="D1768" s="5">
        <v>4</v>
      </c>
      <c r="E1768" s="6">
        <v>3880</v>
      </c>
      <c r="F1768" s="11">
        <v>0</v>
      </c>
      <c r="G1768" s="27">
        <f t="shared" si="509"/>
        <v>19.172413793103441</v>
      </c>
      <c r="H1768" s="13">
        <f t="shared" si="510"/>
        <v>49713.248740588264</v>
      </c>
      <c r="I1768" s="13">
        <f t="shared" si="511"/>
        <v>0</v>
      </c>
      <c r="J1768" s="51">
        <f t="shared" si="507"/>
        <v>49713.248740588264</v>
      </c>
    </row>
    <row r="1769" spans="1:10" x14ac:dyDescent="0.25">
      <c r="A1769" s="4" t="s">
        <v>149</v>
      </c>
      <c r="B1769" s="5" t="s">
        <v>227</v>
      </c>
      <c r="C1769" s="5" t="s">
        <v>210</v>
      </c>
      <c r="D1769" s="5">
        <v>2</v>
      </c>
      <c r="E1769" s="6">
        <v>1940</v>
      </c>
      <c r="F1769" s="11">
        <v>0</v>
      </c>
      <c r="G1769" s="27">
        <f t="shared" si="509"/>
        <v>9.5862068965517206</v>
      </c>
      <c r="H1769" s="13">
        <f t="shared" si="510"/>
        <v>24856.624370294132</v>
      </c>
      <c r="I1769" s="13">
        <f t="shared" si="511"/>
        <v>0</v>
      </c>
      <c r="J1769" s="51">
        <f t="shared" si="507"/>
        <v>24856.624370294132</v>
      </c>
    </row>
    <row r="1770" spans="1:10" x14ac:dyDescent="0.25">
      <c r="A1770" s="4" t="s">
        <v>149</v>
      </c>
      <c r="B1770" s="5" t="s">
        <v>228</v>
      </c>
      <c r="C1770" s="5" t="s">
        <v>229</v>
      </c>
      <c r="D1770" s="5">
        <v>6</v>
      </c>
      <c r="E1770" s="6">
        <v>11646</v>
      </c>
      <c r="F1770" s="11">
        <v>0</v>
      </c>
      <c r="G1770" s="27">
        <f t="shared" si="509"/>
        <v>28.75862068965516</v>
      </c>
      <c r="H1770" s="13">
        <f t="shared" si="510"/>
        <v>149216.62237961107</v>
      </c>
      <c r="I1770" s="13">
        <f t="shared" si="511"/>
        <v>0</v>
      </c>
      <c r="J1770" s="51">
        <f t="shared" si="507"/>
        <v>149216.62237961107</v>
      </c>
    </row>
    <row r="1771" spans="1:10" x14ac:dyDescent="0.25">
      <c r="A1771" s="4" t="s">
        <v>149</v>
      </c>
      <c r="B1771" s="5" t="s">
        <v>230</v>
      </c>
      <c r="C1771" s="5" t="s">
        <v>229</v>
      </c>
      <c r="D1771" s="5">
        <v>3</v>
      </c>
      <c r="E1771" s="6">
        <v>5823</v>
      </c>
      <c r="F1771" s="11">
        <v>0</v>
      </c>
      <c r="G1771" s="27">
        <f t="shared" si="509"/>
        <v>14.37931034482758</v>
      </c>
      <c r="H1771" s="13">
        <f t="shared" si="510"/>
        <v>74608.311189805536</v>
      </c>
      <c r="I1771" s="13">
        <f t="shared" si="511"/>
        <v>0</v>
      </c>
      <c r="J1771" s="51">
        <f t="shared" si="507"/>
        <v>74608.311189805536</v>
      </c>
    </row>
    <row r="1772" spans="1:10" x14ac:dyDescent="0.25">
      <c r="A1772" s="4" t="s">
        <v>149</v>
      </c>
      <c r="B1772" s="5" t="s">
        <v>241</v>
      </c>
      <c r="C1772" s="5" t="s">
        <v>236</v>
      </c>
      <c r="D1772" s="5">
        <v>2</v>
      </c>
      <c r="E1772" s="6">
        <v>13650</v>
      </c>
      <c r="F1772" s="6">
        <v>5460</v>
      </c>
      <c r="G1772" s="27">
        <f t="shared" si="509"/>
        <v>9.5862068965517206</v>
      </c>
      <c r="H1772" s="13">
        <f t="shared" si="510"/>
        <v>174893.25910026542</v>
      </c>
      <c r="I1772" s="13">
        <f t="shared" si="511"/>
        <v>69957.32200459615</v>
      </c>
      <c r="J1772" s="51">
        <f t="shared" si="507"/>
        <v>244850.58110486157</v>
      </c>
    </row>
    <row r="1773" spans="1:10" x14ac:dyDescent="0.25">
      <c r="A1773" s="4" t="s">
        <v>149</v>
      </c>
      <c r="B1773" s="5" t="s">
        <v>243</v>
      </c>
      <c r="C1773" s="5" t="s">
        <v>244</v>
      </c>
      <c r="D1773" s="5">
        <v>1</v>
      </c>
      <c r="E1773" s="6">
        <v>3412</v>
      </c>
      <c r="F1773" s="6">
        <v>1365</v>
      </c>
      <c r="G1773" s="27">
        <f t="shared" si="509"/>
        <v>4.7931034482758603</v>
      </c>
      <c r="H1773" s="13">
        <f t="shared" si="510"/>
        <v>43716.908428579169</v>
      </c>
      <c r="I1773" s="13">
        <f t="shared" si="511"/>
        <v>17489.330501149037</v>
      </c>
      <c r="J1773" s="51">
        <f t="shared" si="507"/>
        <v>61206.238929728206</v>
      </c>
    </row>
    <row r="1774" spans="1:10" x14ac:dyDescent="0.25">
      <c r="A1774" s="4" t="s">
        <v>149</v>
      </c>
      <c r="B1774" s="5" t="s">
        <v>247</v>
      </c>
      <c r="C1774" s="5" t="s">
        <v>244</v>
      </c>
      <c r="D1774" s="5">
        <v>3</v>
      </c>
      <c r="E1774" s="6">
        <v>10236</v>
      </c>
      <c r="F1774" s="6">
        <v>4095</v>
      </c>
      <c r="G1774" s="27">
        <f t="shared" si="509"/>
        <v>14.37931034482758</v>
      </c>
      <c r="H1774" s="13">
        <f t="shared" si="510"/>
        <v>131150.72528573751</v>
      </c>
      <c r="I1774" s="13">
        <f t="shared" si="511"/>
        <v>52467.991503447112</v>
      </c>
      <c r="J1774" s="51">
        <f t="shared" si="507"/>
        <v>183618.71678918463</v>
      </c>
    </row>
    <row r="1775" spans="1:10" x14ac:dyDescent="0.25">
      <c r="A1775" s="4" t="s">
        <v>149</v>
      </c>
      <c r="B1775" s="5" t="s">
        <v>249</v>
      </c>
      <c r="C1775" s="5" t="s">
        <v>250</v>
      </c>
      <c r="D1775" s="5">
        <v>1</v>
      </c>
      <c r="E1775" s="6">
        <v>15166</v>
      </c>
      <c r="F1775" s="6">
        <v>6066</v>
      </c>
      <c r="G1775" s="27">
        <f t="shared" si="509"/>
        <v>4.7931034482758603</v>
      </c>
      <c r="H1775" s="13">
        <f t="shared" si="510"/>
        <v>194317.30164942311</v>
      </c>
      <c r="I1775" s="13">
        <f t="shared" si="511"/>
        <v>77721.815985326059</v>
      </c>
      <c r="J1775" s="51">
        <f t="shared" si="507"/>
        <v>272039.11763474916</v>
      </c>
    </row>
    <row r="1776" spans="1:10" x14ac:dyDescent="0.25">
      <c r="A1776" s="4" t="s">
        <v>149</v>
      </c>
      <c r="B1776" s="5" t="s">
        <v>252</v>
      </c>
      <c r="C1776" s="5" t="s">
        <v>212</v>
      </c>
      <c r="D1776" s="5">
        <v>1</v>
      </c>
      <c r="E1776" s="6">
        <v>1456</v>
      </c>
      <c r="F1776" s="11">
        <v>0</v>
      </c>
      <c r="G1776" s="27">
        <f t="shared" si="509"/>
        <v>4.7931034482758603</v>
      </c>
      <c r="H1776" s="13">
        <f t="shared" si="510"/>
        <v>18655.280970694977</v>
      </c>
      <c r="I1776" s="13">
        <f t="shared" si="511"/>
        <v>0</v>
      </c>
      <c r="J1776" s="51">
        <f t="shared" si="507"/>
        <v>18655.280970694977</v>
      </c>
    </row>
    <row r="1777" spans="1:10" x14ac:dyDescent="0.25">
      <c r="A1777" s="4" t="s">
        <v>149</v>
      </c>
      <c r="B1777" s="5" t="s">
        <v>253</v>
      </c>
      <c r="C1777" s="5" t="s">
        <v>210</v>
      </c>
      <c r="D1777" s="5">
        <v>1</v>
      </c>
      <c r="E1777" s="6">
        <v>970</v>
      </c>
      <c r="F1777" s="11">
        <v>0</v>
      </c>
      <c r="G1777" s="27">
        <f t="shared" si="509"/>
        <v>4.7931034482758603</v>
      </c>
      <c r="H1777" s="13">
        <f t="shared" si="510"/>
        <v>12428.312185147066</v>
      </c>
      <c r="I1777" s="13">
        <f t="shared" si="511"/>
        <v>0</v>
      </c>
      <c r="J1777" s="51">
        <f t="shared" si="507"/>
        <v>12428.312185147066</v>
      </c>
    </row>
    <row r="1778" spans="1:10" x14ac:dyDescent="0.25">
      <c r="A1778" s="15" t="s">
        <v>149</v>
      </c>
      <c r="B1778" s="16" t="s">
        <v>257</v>
      </c>
      <c r="C1778" s="16" t="s">
        <v>210</v>
      </c>
      <c r="D1778" s="16">
        <v>1</v>
      </c>
      <c r="E1778" s="17">
        <v>970</v>
      </c>
      <c r="F1778" s="18">
        <v>0</v>
      </c>
      <c r="G1778" s="27">
        <f t="shared" si="509"/>
        <v>4.7931034482758603</v>
      </c>
      <c r="H1778" s="13">
        <f t="shared" si="510"/>
        <v>12428.312185147066</v>
      </c>
      <c r="I1778" s="13">
        <f t="shared" si="511"/>
        <v>0</v>
      </c>
      <c r="J1778" s="51">
        <f t="shared" si="507"/>
        <v>12428.312185147066</v>
      </c>
    </row>
    <row r="1779" spans="1:10" s="3" customFormat="1" x14ac:dyDescent="0.25">
      <c r="A1779" s="4"/>
      <c r="B1779" s="20" t="s">
        <v>379</v>
      </c>
      <c r="C1779" s="21"/>
      <c r="D1779" s="21"/>
      <c r="E1779" s="22"/>
      <c r="F1779" s="29"/>
      <c r="G1779" s="47">
        <f>SUM(G1764:G1778)</f>
        <v>138.99999999999994</v>
      </c>
      <c r="H1779" s="47">
        <f t="shared" ref="H1779:J1779" si="512">SUM(H1764:H1778)</f>
        <v>1892281</v>
      </c>
      <c r="I1779" s="47">
        <f t="shared" si="512"/>
        <v>607719</v>
      </c>
      <c r="J1779" s="47">
        <f t="shared" si="512"/>
        <v>2499999.9999999995</v>
      </c>
    </row>
    <row r="1780" spans="1:10" s="3" customFormat="1" x14ac:dyDescent="0.25">
      <c r="A1780" s="36" t="s">
        <v>150</v>
      </c>
      <c r="B1780" s="5" t="s">
        <v>214</v>
      </c>
      <c r="C1780" s="5" t="s">
        <v>210</v>
      </c>
      <c r="D1780" s="21"/>
      <c r="E1780" s="22"/>
      <c r="F1780" s="29"/>
      <c r="G1780" s="48">
        <v>4</v>
      </c>
      <c r="H1780" s="35">
        <v>2480000</v>
      </c>
      <c r="I1780" s="35">
        <v>1520000</v>
      </c>
      <c r="J1780" s="51">
        <f t="shared" si="507"/>
        <v>4000000</v>
      </c>
    </row>
    <row r="1781" spans="1:10" s="3" customFormat="1" x14ac:dyDescent="0.25">
      <c r="A1781" s="36" t="s">
        <v>150</v>
      </c>
      <c r="B1781" s="21"/>
      <c r="C1781" s="21"/>
      <c r="D1781" s="21"/>
      <c r="E1781" s="22"/>
      <c r="F1781" s="29"/>
      <c r="G1781" s="48"/>
      <c r="H1781" s="48"/>
      <c r="I1781" s="48"/>
      <c r="J1781" s="51">
        <f t="shared" si="507"/>
        <v>0</v>
      </c>
    </row>
    <row r="1782" spans="1:10" s="3" customFormat="1" x14ac:dyDescent="0.25">
      <c r="A1782" s="36"/>
      <c r="B1782" s="1" t="s">
        <v>457</v>
      </c>
      <c r="C1782" s="1"/>
      <c r="D1782" s="1"/>
      <c r="E1782" s="41"/>
      <c r="F1782" s="2"/>
      <c r="G1782" s="47">
        <f>SUM(G1780:G1781)</f>
        <v>4</v>
      </c>
      <c r="H1782" s="47">
        <f>SUM(H1780:H1781)</f>
        <v>2480000</v>
      </c>
      <c r="I1782" s="47">
        <f t="shared" ref="I1782:J1782" si="513">SUM(I1780:I1781)</f>
        <v>1520000</v>
      </c>
      <c r="J1782" s="47">
        <f t="shared" si="513"/>
        <v>4000000</v>
      </c>
    </row>
    <row r="1783" spans="1:10" x14ac:dyDescent="0.25">
      <c r="A1783" s="4" t="s">
        <v>151</v>
      </c>
      <c r="B1783" s="5" t="s">
        <v>216</v>
      </c>
      <c r="C1783" s="5" t="s">
        <v>210</v>
      </c>
      <c r="D1783" s="5">
        <v>1</v>
      </c>
      <c r="E1783" s="6">
        <v>970</v>
      </c>
      <c r="F1783" s="11">
        <v>0</v>
      </c>
      <c r="G1783" s="27">
        <f>+D1783*4.81818181818182</f>
        <v>4.8181818181818201</v>
      </c>
      <c r="H1783" s="13">
        <f>+E1783*3461099/360786</f>
        <v>9305.422133896549</v>
      </c>
      <c r="I1783" s="13">
        <f>+F1783*38901/4055</f>
        <v>0</v>
      </c>
      <c r="J1783" s="51">
        <f t="shared" si="507"/>
        <v>9305.422133896549</v>
      </c>
    </row>
    <row r="1784" spans="1:10" x14ac:dyDescent="0.25">
      <c r="A1784" s="4" t="s">
        <v>151</v>
      </c>
      <c r="B1784" s="5" t="s">
        <v>217</v>
      </c>
      <c r="C1784" s="5" t="s">
        <v>218</v>
      </c>
      <c r="D1784" s="5">
        <v>1</v>
      </c>
      <c r="E1784" s="6">
        <v>3313</v>
      </c>
      <c r="F1784" s="6">
        <v>1325</v>
      </c>
      <c r="G1784" s="27">
        <f t="shared" ref="G1784:G1789" si="514">+D1784*4.81818181818182</f>
        <v>4.8181818181818201</v>
      </c>
      <c r="H1784" s="13">
        <f t="shared" ref="H1784:H1789" si="515">+E1784*3461099/360786</f>
        <v>31782.333535669342</v>
      </c>
      <c r="I1784" s="13">
        <f t="shared" ref="I1784:I1789" si="516">+F1784*38901/4055</f>
        <v>12711.177558569667</v>
      </c>
      <c r="J1784" s="51">
        <f t="shared" si="507"/>
        <v>44493.511094239009</v>
      </c>
    </row>
    <row r="1785" spans="1:10" x14ac:dyDescent="0.25">
      <c r="A1785" s="4" t="s">
        <v>151</v>
      </c>
      <c r="B1785" s="5" t="s">
        <v>223</v>
      </c>
      <c r="C1785" s="5" t="s">
        <v>224</v>
      </c>
      <c r="D1785" s="5">
        <v>1</v>
      </c>
      <c r="E1785" s="11">
        <v>0</v>
      </c>
      <c r="F1785" s="11">
        <v>0</v>
      </c>
      <c r="G1785" s="27">
        <f t="shared" si="514"/>
        <v>4.8181818181818201</v>
      </c>
      <c r="H1785" s="13">
        <f t="shared" si="515"/>
        <v>0</v>
      </c>
      <c r="I1785" s="13">
        <f t="shared" si="516"/>
        <v>0</v>
      </c>
      <c r="J1785" s="51">
        <f t="shared" si="507"/>
        <v>0</v>
      </c>
    </row>
    <row r="1786" spans="1:10" x14ac:dyDescent="0.25">
      <c r="A1786" s="4" t="s">
        <v>151</v>
      </c>
      <c r="B1786" s="5" t="s">
        <v>262</v>
      </c>
      <c r="C1786" s="5" t="s">
        <v>263</v>
      </c>
      <c r="D1786" s="5">
        <v>1</v>
      </c>
      <c r="E1786" s="6">
        <v>151666</v>
      </c>
      <c r="F1786" s="11">
        <v>0</v>
      </c>
      <c r="G1786" s="27">
        <f t="shared" si="514"/>
        <v>4.8181818181818201</v>
      </c>
      <c r="H1786" s="13">
        <f t="shared" si="515"/>
        <v>1454965.1065562412</v>
      </c>
      <c r="I1786" s="13">
        <f t="shared" si="516"/>
        <v>0</v>
      </c>
      <c r="J1786" s="51">
        <f t="shared" si="507"/>
        <v>1454965.1065562412</v>
      </c>
    </row>
    <row r="1787" spans="1:10" x14ac:dyDescent="0.25">
      <c r="A1787" s="4" t="s">
        <v>151</v>
      </c>
      <c r="B1787" s="5" t="s">
        <v>233</v>
      </c>
      <c r="C1787" s="5" t="s">
        <v>234</v>
      </c>
      <c r="D1787" s="5">
        <v>2</v>
      </c>
      <c r="E1787" s="6">
        <v>194132</v>
      </c>
      <c r="F1787" s="11">
        <v>0</v>
      </c>
      <c r="G1787" s="27">
        <f t="shared" si="514"/>
        <v>9.6363636363636402</v>
      </c>
      <c r="H1787" s="13">
        <f t="shared" si="515"/>
        <v>1862350.7316470151</v>
      </c>
      <c r="I1787" s="13">
        <f t="shared" si="516"/>
        <v>0</v>
      </c>
      <c r="J1787" s="51">
        <f t="shared" si="507"/>
        <v>1862350.7316470151</v>
      </c>
    </row>
    <row r="1788" spans="1:10" x14ac:dyDescent="0.25">
      <c r="A1788" s="4" t="s">
        <v>151</v>
      </c>
      <c r="B1788" s="5" t="s">
        <v>241</v>
      </c>
      <c r="C1788" s="5" t="s">
        <v>236</v>
      </c>
      <c r="D1788" s="5">
        <v>1</v>
      </c>
      <c r="E1788" s="6">
        <v>6825</v>
      </c>
      <c r="F1788" s="6">
        <v>2730</v>
      </c>
      <c r="G1788" s="27">
        <f t="shared" si="514"/>
        <v>4.8181818181818201</v>
      </c>
      <c r="H1788" s="13">
        <f t="shared" si="515"/>
        <v>65473.717591591689</v>
      </c>
      <c r="I1788" s="13">
        <f t="shared" si="516"/>
        <v>26189.822441430333</v>
      </c>
      <c r="J1788" s="51">
        <f t="shared" si="507"/>
        <v>91663.540033022029</v>
      </c>
    </row>
    <row r="1789" spans="1:10" x14ac:dyDescent="0.25">
      <c r="A1789" s="15" t="s">
        <v>151</v>
      </c>
      <c r="B1789" s="16" t="s">
        <v>253</v>
      </c>
      <c r="C1789" s="16" t="s">
        <v>210</v>
      </c>
      <c r="D1789" s="16">
        <v>4</v>
      </c>
      <c r="E1789" s="17">
        <v>3880</v>
      </c>
      <c r="F1789" s="18">
        <v>0</v>
      </c>
      <c r="G1789" s="27">
        <f t="shared" si="514"/>
        <v>19.27272727272728</v>
      </c>
      <c r="H1789" s="13">
        <f t="shared" si="515"/>
        <v>37221.688535586196</v>
      </c>
      <c r="I1789" s="13">
        <f t="shared" si="516"/>
        <v>0</v>
      </c>
      <c r="J1789" s="51">
        <f t="shared" si="507"/>
        <v>37221.688535586196</v>
      </c>
    </row>
    <row r="1790" spans="1:10" s="3" customFormat="1" x14ac:dyDescent="0.25">
      <c r="A1790" s="4"/>
      <c r="B1790" s="20" t="s">
        <v>380</v>
      </c>
      <c r="C1790" s="21"/>
      <c r="D1790" s="21"/>
      <c r="E1790" s="22"/>
      <c r="F1790" s="29"/>
      <c r="G1790" s="47">
        <f>SUM(G1783:G1789)</f>
        <v>53.000000000000021</v>
      </c>
      <c r="H1790" s="47">
        <f t="shared" ref="H1790:J1790" si="517">SUM(H1783:H1789)</f>
        <v>3461098.9999999995</v>
      </c>
      <c r="I1790" s="47">
        <f t="shared" si="517"/>
        <v>38901</v>
      </c>
      <c r="J1790" s="47">
        <f t="shared" si="517"/>
        <v>3500000</v>
      </c>
    </row>
    <row r="1791" spans="1:10" x14ac:dyDescent="0.25">
      <c r="A1791" s="23" t="s">
        <v>152</v>
      </c>
      <c r="B1791" s="24" t="s">
        <v>214</v>
      </c>
      <c r="C1791" s="24" t="s">
        <v>210</v>
      </c>
      <c r="D1791" s="24">
        <v>1</v>
      </c>
      <c r="E1791" s="25">
        <v>485</v>
      </c>
      <c r="F1791" s="30">
        <v>0</v>
      </c>
      <c r="G1791" s="27">
        <f>+D1791*4.77777777777778</f>
        <v>4.7777777777777803</v>
      </c>
      <c r="H1791" s="13">
        <f>+E1791*1305830/11569</f>
        <v>54743.499870343156</v>
      </c>
      <c r="I1791" s="13">
        <f>+F1791*694170/6150</f>
        <v>0</v>
      </c>
      <c r="J1791" s="51">
        <f t="shared" si="507"/>
        <v>54743.499870343156</v>
      </c>
    </row>
    <row r="1792" spans="1:10" x14ac:dyDescent="0.25">
      <c r="A1792" s="4" t="s">
        <v>152</v>
      </c>
      <c r="B1792" s="5" t="s">
        <v>226</v>
      </c>
      <c r="C1792" s="5" t="s">
        <v>210</v>
      </c>
      <c r="D1792" s="5">
        <v>1</v>
      </c>
      <c r="E1792" s="6">
        <v>485</v>
      </c>
      <c r="F1792" s="11">
        <v>0</v>
      </c>
      <c r="G1792" s="27">
        <f t="shared" ref="G1792:G1796" si="518">+D1792*4.77777777777778</f>
        <v>4.7777777777777803</v>
      </c>
      <c r="H1792" s="13">
        <f t="shared" ref="H1792:H1796" si="519">+E1792*1305830/11569</f>
        <v>54743.499870343156</v>
      </c>
      <c r="I1792" s="13">
        <f t="shared" ref="I1792:I1796" si="520">+F1792*694170/6150</f>
        <v>0</v>
      </c>
      <c r="J1792" s="51">
        <f t="shared" si="507"/>
        <v>54743.499870343156</v>
      </c>
    </row>
    <row r="1793" spans="1:10" x14ac:dyDescent="0.25">
      <c r="A1793" s="4" t="s">
        <v>152</v>
      </c>
      <c r="B1793" s="5" t="s">
        <v>227</v>
      </c>
      <c r="C1793" s="5" t="s">
        <v>210</v>
      </c>
      <c r="D1793" s="5">
        <v>1</v>
      </c>
      <c r="E1793" s="6">
        <v>485</v>
      </c>
      <c r="F1793" s="11">
        <v>0</v>
      </c>
      <c r="G1793" s="27">
        <f t="shared" si="518"/>
        <v>4.7777777777777803</v>
      </c>
      <c r="H1793" s="13">
        <f t="shared" si="519"/>
        <v>54743.499870343156</v>
      </c>
      <c r="I1793" s="13">
        <f t="shared" si="520"/>
        <v>0</v>
      </c>
      <c r="J1793" s="51">
        <f t="shared" si="507"/>
        <v>54743.499870343156</v>
      </c>
    </row>
    <row r="1794" spans="1:10" x14ac:dyDescent="0.25">
      <c r="A1794" s="4" t="s">
        <v>152</v>
      </c>
      <c r="B1794" s="5" t="s">
        <v>228</v>
      </c>
      <c r="C1794" s="5" t="s">
        <v>229</v>
      </c>
      <c r="D1794" s="5">
        <v>2</v>
      </c>
      <c r="E1794" s="6">
        <v>1940</v>
      </c>
      <c r="F1794" s="11">
        <v>0</v>
      </c>
      <c r="G1794" s="27">
        <f t="shared" si="518"/>
        <v>9.5555555555555607</v>
      </c>
      <c r="H1794" s="13">
        <f t="shared" si="519"/>
        <v>218973.99948137262</v>
      </c>
      <c r="I1794" s="13">
        <f t="shared" si="520"/>
        <v>0</v>
      </c>
      <c r="J1794" s="51">
        <f t="shared" si="507"/>
        <v>218973.99948137262</v>
      </c>
    </row>
    <row r="1795" spans="1:10" x14ac:dyDescent="0.25">
      <c r="A1795" s="4" t="s">
        <v>152</v>
      </c>
      <c r="B1795" s="5" t="s">
        <v>242</v>
      </c>
      <c r="C1795" s="5" t="s">
        <v>238</v>
      </c>
      <c r="D1795" s="5">
        <v>3</v>
      </c>
      <c r="E1795" s="6">
        <v>7689</v>
      </c>
      <c r="F1795" s="6">
        <v>6150</v>
      </c>
      <c r="G1795" s="27">
        <f t="shared" si="518"/>
        <v>14.333333333333341</v>
      </c>
      <c r="H1795" s="13">
        <f t="shared" si="519"/>
        <v>867882.0010372547</v>
      </c>
      <c r="I1795" s="13">
        <f t="shared" si="520"/>
        <v>694170</v>
      </c>
      <c r="J1795" s="51">
        <f t="shared" si="507"/>
        <v>1562052.0010372547</v>
      </c>
    </row>
    <row r="1796" spans="1:10" x14ac:dyDescent="0.25">
      <c r="A1796" s="15" t="s">
        <v>152</v>
      </c>
      <c r="B1796" s="16" t="s">
        <v>253</v>
      </c>
      <c r="C1796" s="16" t="s">
        <v>210</v>
      </c>
      <c r="D1796" s="16">
        <v>1</v>
      </c>
      <c r="E1796" s="17">
        <v>485</v>
      </c>
      <c r="F1796" s="18">
        <v>0</v>
      </c>
      <c r="G1796" s="27">
        <f t="shared" si="518"/>
        <v>4.7777777777777803</v>
      </c>
      <c r="H1796" s="13">
        <f t="shared" si="519"/>
        <v>54743.499870343156</v>
      </c>
      <c r="I1796" s="13">
        <f t="shared" si="520"/>
        <v>0</v>
      </c>
      <c r="J1796" s="51">
        <f t="shared" si="507"/>
        <v>54743.499870343156</v>
      </c>
    </row>
    <row r="1797" spans="1:10" s="3" customFormat="1" x14ac:dyDescent="0.25">
      <c r="A1797" s="4"/>
      <c r="B1797" s="20" t="s">
        <v>381</v>
      </c>
      <c r="C1797" s="21"/>
      <c r="D1797" s="21"/>
      <c r="E1797" s="22"/>
      <c r="F1797" s="29"/>
      <c r="G1797" s="47">
        <f>SUM(G1791:G1796)</f>
        <v>43.000000000000021</v>
      </c>
      <c r="H1797" s="47">
        <f t="shared" ref="H1797:J1797" si="521">SUM(H1791:H1796)</f>
        <v>1305830</v>
      </c>
      <c r="I1797" s="47">
        <f t="shared" si="521"/>
        <v>694170</v>
      </c>
      <c r="J1797" s="47">
        <f t="shared" si="521"/>
        <v>2000000</v>
      </c>
    </row>
    <row r="1798" spans="1:10" x14ac:dyDescent="0.25">
      <c r="A1798" s="23" t="s">
        <v>153</v>
      </c>
      <c r="B1798" s="24" t="s">
        <v>207</v>
      </c>
      <c r="C1798" s="24" t="s">
        <v>208</v>
      </c>
      <c r="D1798" s="24">
        <v>2</v>
      </c>
      <c r="E1798" s="25">
        <v>23296</v>
      </c>
      <c r="F1798" s="25">
        <v>9318</v>
      </c>
      <c r="G1798" s="27">
        <f>+D1798*4.78767123287671</f>
        <v>9.5753424657534207</v>
      </c>
      <c r="H1798" s="13">
        <f>+E1798*17754616/1270412</f>
        <v>325572.75461503828</v>
      </c>
      <c r="I1798" s="13">
        <f>+F1798*2245384/160666</f>
        <v>130223.49540039586</v>
      </c>
      <c r="J1798" s="51">
        <f t="shared" si="507"/>
        <v>455796.25001543411</v>
      </c>
    </row>
    <row r="1799" spans="1:10" x14ac:dyDescent="0.25">
      <c r="A1799" s="4" t="s">
        <v>153</v>
      </c>
      <c r="B1799" s="5" t="s">
        <v>214</v>
      </c>
      <c r="C1799" s="5" t="s">
        <v>210</v>
      </c>
      <c r="D1799" s="5">
        <v>6</v>
      </c>
      <c r="E1799" s="6">
        <v>5820</v>
      </c>
      <c r="F1799" s="11">
        <v>0</v>
      </c>
      <c r="G1799" s="27">
        <f t="shared" ref="G1799:G1820" si="522">+D1799*4.78767123287671</f>
        <v>28.72602739726026</v>
      </c>
      <c r="H1799" s="13">
        <f t="shared" ref="H1799:H1820" si="523">+E1799*17754616/1270412</f>
        <v>81337.286738475392</v>
      </c>
      <c r="I1799" s="13">
        <f t="shared" ref="I1799:I1820" si="524">+F1799*2245384/160666</f>
        <v>0</v>
      </c>
      <c r="J1799" s="51">
        <f t="shared" si="507"/>
        <v>81337.286738475392</v>
      </c>
    </row>
    <row r="1800" spans="1:10" x14ac:dyDescent="0.25">
      <c r="A1800" s="4" t="s">
        <v>153</v>
      </c>
      <c r="B1800" s="5" t="s">
        <v>216</v>
      </c>
      <c r="C1800" s="5" t="s">
        <v>210</v>
      </c>
      <c r="D1800" s="5">
        <v>10</v>
      </c>
      <c r="E1800" s="6">
        <v>9700</v>
      </c>
      <c r="F1800" s="11">
        <v>0</v>
      </c>
      <c r="G1800" s="27">
        <f t="shared" si="522"/>
        <v>47.876712328767105</v>
      </c>
      <c r="H1800" s="13">
        <f t="shared" si="523"/>
        <v>135562.14456412566</v>
      </c>
      <c r="I1800" s="13">
        <f t="shared" si="524"/>
        <v>0</v>
      </c>
      <c r="J1800" s="51">
        <f t="shared" si="507"/>
        <v>135562.14456412566</v>
      </c>
    </row>
    <row r="1801" spans="1:10" x14ac:dyDescent="0.25">
      <c r="A1801" s="4" t="s">
        <v>153</v>
      </c>
      <c r="B1801" s="5" t="s">
        <v>217</v>
      </c>
      <c r="C1801" s="5" t="s">
        <v>218</v>
      </c>
      <c r="D1801" s="5">
        <v>14</v>
      </c>
      <c r="E1801" s="6">
        <v>46382</v>
      </c>
      <c r="F1801" s="6">
        <v>18550</v>
      </c>
      <c r="G1801" s="27">
        <f t="shared" si="522"/>
        <v>67.027397260273943</v>
      </c>
      <c r="H1801" s="13">
        <f t="shared" si="523"/>
        <v>648210.65867765737</v>
      </c>
      <c r="I1801" s="13">
        <f t="shared" si="524"/>
        <v>259245.09977219821</v>
      </c>
      <c r="J1801" s="51">
        <f t="shared" si="507"/>
        <v>907455.75844985561</v>
      </c>
    </row>
    <row r="1802" spans="1:10" x14ac:dyDescent="0.25">
      <c r="A1802" s="4" t="s">
        <v>153</v>
      </c>
      <c r="B1802" s="5" t="s">
        <v>219</v>
      </c>
      <c r="C1802" s="5" t="s">
        <v>220</v>
      </c>
      <c r="D1802" s="5">
        <v>8</v>
      </c>
      <c r="E1802" s="6">
        <v>27176</v>
      </c>
      <c r="F1802" s="6">
        <v>10864</v>
      </c>
      <c r="G1802" s="27">
        <f t="shared" si="522"/>
        <v>38.301369863013683</v>
      </c>
      <c r="H1802" s="13">
        <f t="shared" si="523"/>
        <v>379797.61244068854</v>
      </c>
      <c r="I1802" s="13">
        <f t="shared" si="524"/>
        <v>151829.58296092515</v>
      </c>
      <c r="J1802" s="51">
        <f t="shared" si="507"/>
        <v>531627.19540161372</v>
      </c>
    </row>
    <row r="1803" spans="1:10" x14ac:dyDescent="0.25">
      <c r="A1803" s="4" t="s">
        <v>153</v>
      </c>
      <c r="B1803" s="5" t="s">
        <v>223</v>
      </c>
      <c r="C1803" s="5" t="s">
        <v>224</v>
      </c>
      <c r="D1803" s="5">
        <v>21</v>
      </c>
      <c r="E1803" s="11">
        <v>0</v>
      </c>
      <c r="F1803" s="11">
        <v>0</v>
      </c>
      <c r="G1803" s="27">
        <f t="shared" si="522"/>
        <v>100.54109589041092</v>
      </c>
      <c r="H1803" s="13">
        <f t="shared" si="523"/>
        <v>0</v>
      </c>
      <c r="I1803" s="13">
        <f t="shared" si="524"/>
        <v>0</v>
      </c>
      <c r="J1803" s="51">
        <f t="shared" si="507"/>
        <v>0</v>
      </c>
    </row>
    <row r="1804" spans="1:10" x14ac:dyDescent="0.25">
      <c r="A1804" s="4" t="s">
        <v>153</v>
      </c>
      <c r="B1804" s="5" t="s">
        <v>266</v>
      </c>
      <c r="C1804" s="5" t="s">
        <v>210</v>
      </c>
      <c r="D1804" s="5">
        <v>2</v>
      </c>
      <c r="E1804" s="6">
        <v>1940</v>
      </c>
      <c r="F1804" s="11">
        <v>0</v>
      </c>
      <c r="G1804" s="27">
        <f t="shared" si="522"/>
        <v>9.5753424657534207</v>
      </c>
      <c r="H1804" s="13">
        <f t="shared" si="523"/>
        <v>27112.428912825129</v>
      </c>
      <c r="I1804" s="13">
        <f t="shared" si="524"/>
        <v>0</v>
      </c>
      <c r="J1804" s="51">
        <f t="shared" si="507"/>
        <v>27112.428912825129</v>
      </c>
    </row>
    <row r="1805" spans="1:10" x14ac:dyDescent="0.25">
      <c r="A1805" s="4" t="s">
        <v>153</v>
      </c>
      <c r="B1805" s="5" t="s">
        <v>225</v>
      </c>
      <c r="C1805" s="5" t="s">
        <v>210</v>
      </c>
      <c r="D1805" s="5">
        <v>1</v>
      </c>
      <c r="E1805" s="6">
        <v>970</v>
      </c>
      <c r="F1805" s="11">
        <v>0</v>
      </c>
      <c r="G1805" s="27">
        <f t="shared" si="522"/>
        <v>4.7876712328767104</v>
      </c>
      <c r="H1805" s="13">
        <f t="shared" si="523"/>
        <v>13556.214456412565</v>
      </c>
      <c r="I1805" s="13">
        <f t="shared" si="524"/>
        <v>0</v>
      </c>
      <c r="J1805" s="51">
        <f t="shared" si="507"/>
        <v>13556.214456412565</v>
      </c>
    </row>
    <row r="1806" spans="1:10" x14ac:dyDescent="0.25">
      <c r="A1806" s="4" t="s">
        <v>153</v>
      </c>
      <c r="B1806" s="5" t="s">
        <v>226</v>
      </c>
      <c r="C1806" s="5" t="s">
        <v>210</v>
      </c>
      <c r="D1806" s="5">
        <v>9</v>
      </c>
      <c r="E1806" s="6">
        <v>8730</v>
      </c>
      <c r="F1806" s="11">
        <v>0</v>
      </c>
      <c r="G1806" s="27">
        <f t="shared" si="522"/>
        <v>43.089041095890394</v>
      </c>
      <c r="H1806" s="13">
        <f t="shared" si="523"/>
        <v>122005.93010771309</v>
      </c>
      <c r="I1806" s="13">
        <f t="shared" si="524"/>
        <v>0</v>
      </c>
      <c r="J1806" s="51">
        <f t="shared" si="507"/>
        <v>122005.93010771309</v>
      </c>
    </row>
    <row r="1807" spans="1:10" x14ac:dyDescent="0.25">
      <c r="A1807" s="4" t="s">
        <v>153</v>
      </c>
      <c r="B1807" s="5" t="s">
        <v>227</v>
      </c>
      <c r="C1807" s="5" t="s">
        <v>210</v>
      </c>
      <c r="D1807" s="5">
        <v>1</v>
      </c>
      <c r="E1807" s="6">
        <v>970</v>
      </c>
      <c r="F1807" s="11">
        <v>0</v>
      </c>
      <c r="G1807" s="27">
        <f t="shared" si="522"/>
        <v>4.7876712328767104</v>
      </c>
      <c r="H1807" s="13">
        <f t="shared" si="523"/>
        <v>13556.214456412565</v>
      </c>
      <c r="I1807" s="13">
        <f t="shared" si="524"/>
        <v>0</v>
      </c>
      <c r="J1807" s="51">
        <f t="shared" si="507"/>
        <v>13556.214456412565</v>
      </c>
    </row>
    <row r="1808" spans="1:10" x14ac:dyDescent="0.25">
      <c r="A1808" s="4" t="s">
        <v>153</v>
      </c>
      <c r="B1808" s="5" t="s">
        <v>228</v>
      </c>
      <c r="C1808" s="5" t="s">
        <v>229</v>
      </c>
      <c r="D1808" s="5">
        <v>16</v>
      </c>
      <c r="E1808" s="6">
        <v>31056</v>
      </c>
      <c r="F1808" s="11">
        <v>0</v>
      </c>
      <c r="G1808" s="27">
        <f t="shared" si="522"/>
        <v>76.602739726027366</v>
      </c>
      <c r="H1808" s="13">
        <f t="shared" si="523"/>
        <v>434022.47026633879</v>
      </c>
      <c r="I1808" s="13">
        <f t="shared" si="524"/>
        <v>0</v>
      </c>
      <c r="J1808" s="51">
        <f t="shared" si="507"/>
        <v>434022.47026633879</v>
      </c>
    </row>
    <row r="1809" spans="1:10" x14ac:dyDescent="0.25">
      <c r="A1809" s="4" t="s">
        <v>153</v>
      </c>
      <c r="B1809" s="5" t="s">
        <v>230</v>
      </c>
      <c r="C1809" s="5" t="s">
        <v>229</v>
      </c>
      <c r="D1809" s="5">
        <v>1</v>
      </c>
      <c r="E1809" s="6">
        <v>1941</v>
      </c>
      <c r="F1809" s="11">
        <v>0</v>
      </c>
      <c r="G1809" s="27">
        <f t="shared" si="522"/>
        <v>4.7876712328767104</v>
      </c>
      <c r="H1809" s="13">
        <f t="shared" si="523"/>
        <v>27126.404391646174</v>
      </c>
      <c r="I1809" s="13">
        <f t="shared" si="524"/>
        <v>0</v>
      </c>
      <c r="J1809" s="51">
        <f t="shared" si="507"/>
        <v>27126.404391646174</v>
      </c>
    </row>
    <row r="1810" spans="1:10" x14ac:dyDescent="0.25">
      <c r="A1810" s="4" t="s">
        <v>153</v>
      </c>
      <c r="B1810" s="5" t="s">
        <v>231</v>
      </c>
      <c r="C1810" s="5" t="s">
        <v>232</v>
      </c>
      <c r="D1810" s="5">
        <v>1</v>
      </c>
      <c r="E1810" s="6">
        <v>212333</v>
      </c>
      <c r="F1810" s="11">
        <v>0</v>
      </c>
      <c r="G1810" s="27">
        <f t="shared" si="522"/>
        <v>4.7876712328767104</v>
      </c>
      <c r="H1810" s="13">
        <f t="shared" si="523"/>
        <v>2967455.3445087108</v>
      </c>
      <c r="I1810" s="13">
        <f t="shared" si="524"/>
        <v>0</v>
      </c>
      <c r="J1810" s="51">
        <f t="shared" si="507"/>
        <v>2967455.3445087108</v>
      </c>
    </row>
    <row r="1811" spans="1:10" x14ac:dyDescent="0.25">
      <c r="A1811" s="4" t="s">
        <v>153</v>
      </c>
      <c r="B1811" s="5" t="s">
        <v>262</v>
      </c>
      <c r="C1811" s="5" t="s">
        <v>263</v>
      </c>
      <c r="D1811" s="5">
        <v>1</v>
      </c>
      <c r="E1811" s="6">
        <v>151666</v>
      </c>
      <c r="F1811" s="11">
        <v>0</v>
      </c>
      <c r="G1811" s="27">
        <f t="shared" si="522"/>
        <v>4.7876712328767104</v>
      </c>
      <c r="H1811" s="13">
        <f t="shared" si="523"/>
        <v>2119604.9708724413</v>
      </c>
      <c r="I1811" s="13">
        <f t="shared" si="524"/>
        <v>0</v>
      </c>
      <c r="J1811" s="51">
        <f t="shared" si="507"/>
        <v>2119604.9708724413</v>
      </c>
    </row>
    <row r="1812" spans="1:10" x14ac:dyDescent="0.25">
      <c r="A1812" s="4" t="s">
        <v>153</v>
      </c>
      <c r="B1812" s="5" t="s">
        <v>233</v>
      </c>
      <c r="C1812" s="5" t="s">
        <v>234</v>
      </c>
      <c r="D1812" s="5">
        <v>4</v>
      </c>
      <c r="E1812" s="6">
        <v>388264</v>
      </c>
      <c r="F1812" s="11">
        <v>0</v>
      </c>
      <c r="G1812" s="27">
        <f t="shared" si="522"/>
        <v>19.150684931506841</v>
      </c>
      <c r="H1812" s="13">
        <f t="shared" si="523"/>
        <v>5426175.3089737818</v>
      </c>
      <c r="I1812" s="13">
        <f t="shared" si="524"/>
        <v>0</v>
      </c>
      <c r="J1812" s="51">
        <f t="shared" si="507"/>
        <v>5426175.3089737818</v>
      </c>
    </row>
    <row r="1813" spans="1:10" x14ac:dyDescent="0.25">
      <c r="A1813" s="4" t="s">
        <v>153</v>
      </c>
      <c r="B1813" s="5" t="s">
        <v>241</v>
      </c>
      <c r="C1813" s="5" t="s">
        <v>236</v>
      </c>
      <c r="D1813" s="5">
        <v>7</v>
      </c>
      <c r="E1813" s="6">
        <v>47775</v>
      </c>
      <c r="F1813" s="6">
        <v>19110</v>
      </c>
      <c r="G1813" s="27">
        <f t="shared" si="522"/>
        <v>33.513698630136972</v>
      </c>
      <c r="H1813" s="13">
        <f t="shared" si="523"/>
        <v>667678.5006753715</v>
      </c>
      <c r="I1813" s="13">
        <f t="shared" si="524"/>
        <v>267071.36693513254</v>
      </c>
      <c r="J1813" s="51">
        <f t="shared" si="507"/>
        <v>934749.86761050404</v>
      </c>
    </row>
    <row r="1814" spans="1:10" x14ac:dyDescent="0.25">
      <c r="A1814" s="4" t="s">
        <v>153</v>
      </c>
      <c r="B1814" s="5" t="s">
        <v>242</v>
      </c>
      <c r="C1814" s="5" t="s">
        <v>238</v>
      </c>
      <c r="D1814" s="5">
        <v>2</v>
      </c>
      <c r="E1814" s="6">
        <v>10252</v>
      </c>
      <c r="F1814" s="6">
        <v>4100</v>
      </c>
      <c r="G1814" s="27">
        <f t="shared" si="522"/>
        <v>9.5753424657534207</v>
      </c>
      <c r="H1814" s="13">
        <f t="shared" si="523"/>
        <v>143276.60887334187</v>
      </c>
      <c r="I1814" s="13">
        <f t="shared" si="524"/>
        <v>57299.456014340307</v>
      </c>
      <c r="J1814" s="51">
        <f t="shared" si="507"/>
        <v>200576.06488768218</v>
      </c>
    </row>
    <row r="1815" spans="1:10" x14ac:dyDescent="0.25">
      <c r="A1815" s="4" t="s">
        <v>153</v>
      </c>
      <c r="B1815" s="5" t="s">
        <v>265</v>
      </c>
      <c r="C1815" s="5" t="s">
        <v>208</v>
      </c>
      <c r="D1815" s="5">
        <v>1</v>
      </c>
      <c r="E1815" s="6">
        <v>46592</v>
      </c>
      <c r="F1815" s="6">
        <v>4659</v>
      </c>
      <c r="G1815" s="27">
        <f t="shared" si="522"/>
        <v>4.7876712328767104</v>
      </c>
      <c r="H1815" s="13">
        <f t="shared" si="523"/>
        <v>651145.50923007657</v>
      </c>
      <c r="I1815" s="13">
        <f t="shared" si="524"/>
        <v>65111.747700197928</v>
      </c>
      <c r="J1815" s="51">
        <f t="shared" si="507"/>
        <v>716257.25693027454</v>
      </c>
    </row>
    <row r="1816" spans="1:10" x14ac:dyDescent="0.25">
      <c r="A1816" s="4" t="s">
        <v>153</v>
      </c>
      <c r="B1816" s="5" t="s">
        <v>248</v>
      </c>
      <c r="C1816" s="5" t="s">
        <v>246</v>
      </c>
      <c r="D1816" s="5">
        <v>3</v>
      </c>
      <c r="E1816" s="6">
        <v>7689</v>
      </c>
      <c r="F1816" s="6">
        <v>3075</v>
      </c>
      <c r="G1816" s="27">
        <f t="shared" si="522"/>
        <v>14.36301369863013</v>
      </c>
      <c r="H1816" s="13">
        <f t="shared" si="523"/>
        <v>107457.4566550064</v>
      </c>
      <c r="I1816" s="13">
        <f t="shared" si="524"/>
        <v>42974.59201075523</v>
      </c>
      <c r="J1816" s="51">
        <f t="shared" si="507"/>
        <v>150432.04866576163</v>
      </c>
    </row>
    <row r="1817" spans="1:10" x14ac:dyDescent="0.25">
      <c r="A1817" s="4" t="s">
        <v>153</v>
      </c>
      <c r="B1817" s="5" t="s">
        <v>249</v>
      </c>
      <c r="C1817" s="5" t="s">
        <v>250</v>
      </c>
      <c r="D1817" s="5">
        <v>15</v>
      </c>
      <c r="E1817" s="6">
        <v>227490</v>
      </c>
      <c r="F1817" s="6">
        <v>90990</v>
      </c>
      <c r="G1817" s="27">
        <f t="shared" si="522"/>
        <v>71.815068493150662</v>
      </c>
      <c r="H1817" s="13">
        <f t="shared" si="523"/>
        <v>3179281.6769992728</v>
      </c>
      <c r="I1817" s="13">
        <f t="shared" si="524"/>
        <v>1271628.6592060549</v>
      </c>
      <c r="J1817" s="51">
        <f t="shared" si="507"/>
        <v>4450910.3362053279</v>
      </c>
    </row>
    <row r="1818" spans="1:10" x14ac:dyDescent="0.25">
      <c r="A1818" s="4" t="s">
        <v>153</v>
      </c>
      <c r="B1818" s="5" t="s">
        <v>253</v>
      </c>
      <c r="C1818" s="5" t="s">
        <v>210</v>
      </c>
      <c r="D1818" s="5">
        <v>7</v>
      </c>
      <c r="E1818" s="6">
        <v>6790</v>
      </c>
      <c r="F1818" s="11">
        <v>0</v>
      </c>
      <c r="G1818" s="27">
        <f t="shared" si="522"/>
        <v>33.513698630136972</v>
      </c>
      <c r="H1818" s="13">
        <f t="shared" si="523"/>
        <v>94893.501194887955</v>
      </c>
      <c r="I1818" s="13">
        <f t="shared" si="524"/>
        <v>0</v>
      </c>
      <c r="J1818" s="51">
        <f t="shared" si="507"/>
        <v>94893.501194887955</v>
      </c>
    </row>
    <row r="1819" spans="1:10" x14ac:dyDescent="0.25">
      <c r="A1819" s="4" t="s">
        <v>153</v>
      </c>
      <c r="B1819" s="5" t="s">
        <v>255</v>
      </c>
      <c r="C1819" s="5" t="s">
        <v>210</v>
      </c>
      <c r="D1819" s="5">
        <v>13</v>
      </c>
      <c r="E1819" s="6">
        <v>12610</v>
      </c>
      <c r="F1819" s="11">
        <v>0</v>
      </c>
      <c r="G1819" s="27">
        <f t="shared" si="522"/>
        <v>62.239726027397232</v>
      </c>
      <c r="H1819" s="13">
        <f t="shared" si="523"/>
        <v>176230.78793336335</v>
      </c>
      <c r="I1819" s="13">
        <f t="shared" si="524"/>
        <v>0</v>
      </c>
      <c r="J1819" s="51">
        <f t="shared" si="507"/>
        <v>176230.78793336335</v>
      </c>
    </row>
    <row r="1820" spans="1:10" x14ac:dyDescent="0.25">
      <c r="A1820" s="15" t="s">
        <v>153</v>
      </c>
      <c r="B1820" s="16" t="s">
        <v>257</v>
      </c>
      <c r="C1820" s="16" t="s">
        <v>210</v>
      </c>
      <c r="D1820" s="16">
        <v>1</v>
      </c>
      <c r="E1820" s="17">
        <v>970</v>
      </c>
      <c r="F1820" s="18">
        <v>0</v>
      </c>
      <c r="G1820" s="27">
        <f t="shared" si="522"/>
        <v>4.7876712328767104</v>
      </c>
      <c r="H1820" s="13">
        <f t="shared" si="523"/>
        <v>13556.214456412565</v>
      </c>
      <c r="I1820" s="13">
        <f t="shared" si="524"/>
        <v>0</v>
      </c>
      <c r="J1820" s="51">
        <f t="shared" si="507"/>
        <v>13556.214456412565</v>
      </c>
    </row>
    <row r="1821" spans="1:10" s="3" customFormat="1" x14ac:dyDescent="0.25">
      <c r="A1821" s="4"/>
      <c r="B1821" s="20" t="s">
        <v>382</v>
      </c>
      <c r="C1821" s="21"/>
      <c r="D1821" s="21"/>
      <c r="E1821" s="22"/>
      <c r="F1821" s="29"/>
      <c r="G1821" s="47">
        <f>SUM(G1798:G1820)</f>
        <v>698.99999999999977</v>
      </c>
      <c r="H1821" s="47">
        <f t="shared" ref="H1821:J1821" si="525">SUM(H1798:H1820)</f>
        <v>17754616</v>
      </c>
      <c r="I1821" s="47">
        <f t="shared" si="525"/>
        <v>2245384</v>
      </c>
      <c r="J1821" s="47">
        <f t="shared" si="525"/>
        <v>20000000.000000004</v>
      </c>
    </row>
    <row r="1822" spans="1:10" x14ac:dyDescent="0.25">
      <c r="A1822" s="23" t="s">
        <v>154</v>
      </c>
      <c r="B1822" s="24" t="s">
        <v>214</v>
      </c>
      <c r="C1822" s="24" t="s">
        <v>210</v>
      </c>
      <c r="D1822" s="24">
        <v>1</v>
      </c>
      <c r="E1822" s="25">
        <v>970</v>
      </c>
      <c r="F1822" s="30">
        <v>0</v>
      </c>
      <c r="G1822" s="27">
        <f>+D1822*4.75</f>
        <v>4.75</v>
      </c>
      <c r="H1822" s="13">
        <f>+E1822*1487457/161869</f>
        <v>8913.5862333121222</v>
      </c>
      <c r="I1822" s="13">
        <f>+F1822*9.18901098901099</f>
        <v>0</v>
      </c>
      <c r="J1822" s="51">
        <f t="shared" si="507"/>
        <v>8913.5862333121222</v>
      </c>
    </row>
    <row r="1823" spans="1:10" x14ac:dyDescent="0.25">
      <c r="A1823" s="4" t="s">
        <v>154</v>
      </c>
      <c r="B1823" s="5" t="s">
        <v>230</v>
      </c>
      <c r="C1823" s="5" t="s">
        <v>229</v>
      </c>
      <c r="D1823" s="5">
        <v>1</v>
      </c>
      <c r="E1823" s="6">
        <v>1941</v>
      </c>
      <c r="F1823" s="11">
        <v>0</v>
      </c>
      <c r="G1823" s="27">
        <f t="shared" ref="G1823:G1827" si="526">+D1823*4.75</f>
        <v>4.75</v>
      </c>
      <c r="H1823" s="13">
        <f t="shared" ref="H1823:H1827" si="527">+E1823*1487457/161869</f>
        <v>17836.361730782301</v>
      </c>
      <c r="I1823" s="13">
        <f t="shared" ref="I1823:I1827" si="528">+F1823*9.18901098901099</f>
        <v>0</v>
      </c>
      <c r="J1823" s="51">
        <f t="shared" si="507"/>
        <v>17836.361730782301</v>
      </c>
    </row>
    <row r="1824" spans="1:10" x14ac:dyDescent="0.25">
      <c r="A1824" s="4" t="s">
        <v>154</v>
      </c>
      <c r="B1824" s="5" t="s">
        <v>262</v>
      </c>
      <c r="C1824" s="5" t="s">
        <v>263</v>
      </c>
      <c r="D1824" s="5">
        <v>1</v>
      </c>
      <c r="E1824" s="6">
        <v>151666</v>
      </c>
      <c r="F1824" s="11">
        <v>0</v>
      </c>
      <c r="G1824" s="27">
        <f t="shared" si="526"/>
        <v>4.75</v>
      </c>
      <c r="H1824" s="13">
        <f t="shared" si="527"/>
        <v>1393698.9377953778</v>
      </c>
      <c r="I1824" s="13">
        <f t="shared" si="528"/>
        <v>0</v>
      </c>
      <c r="J1824" s="51">
        <f t="shared" si="507"/>
        <v>1393698.9377953778</v>
      </c>
    </row>
    <row r="1825" spans="1:10" x14ac:dyDescent="0.25">
      <c r="A1825" s="4" t="s">
        <v>154</v>
      </c>
      <c r="B1825" s="5" t="s">
        <v>247</v>
      </c>
      <c r="C1825" s="5" t="s">
        <v>244</v>
      </c>
      <c r="D1825" s="5">
        <v>1</v>
      </c>
      <c r="E1825" s="6">
        <v>3412</v>
      </c>
      <c r="F1825" s="6">
        <v>1365</v>
      </c>
      <c r="G1825" s="27">
        <f t="shared" si="526"/>
        <v>4.75</v>
      </c>
      <c r="H1825" s="13">
        <f t="shared" si="527"/>
        <v>31353.769307279345</v>
      </c>
      <c r="I1825" s="13">
        <f t="shared" si="528"/>
        <v>12543.000000000002</v>
      </c>
      <c r="J1825" s="51">
        <f t="shared" si="507"/>
        <v>43896.769307279348</v>
      </c>
    </row>
    <row r="1826" spans="1:10" x14ac:dyDescent="0.25">
      <c r="A1826" s="4" t="s">
        <v>154</v>
      </c>
      <c r="B1826" s="5" t="s">
        <v>253</v>
      </c>
      <c r="C1826" s="5" t="s">
        <v>210</v>
      </c>
      <c r="D1826" s="5">
        <v>1</v>
      </c>
      <c r="E1826" s="6">
        <v>970</v>
      </c>
      <c r="F1826" s="11">
        <v>0</v>
      </c>
      <c r="G1826" s="27">
        <f t="shared" si="526"/>
        <v>4.75</v>
      </c>
      <c r="H1826" s="13">
        <f t="shared" si="527"/>
        <v>8913.5862333121222</v>
      </c>
      <c r="I1826" s="13">
        <f t="shared" si="528"/>
        <v>0</v>
      </c>
      <c r="J1826" s="51">
        <f t="shared" ref="J1826:J1895" si="529">SUM(H1826:I1826)</f>
        <v>8913.5862333121222</v>
      </c>
    </row>
    <row r="1827" spans="1:10" x14ac:dyDescent="0.25">
      <c r="A1827" s="15" t="s">
        <v>154</v>
      </c>
      <c r="B1827" s="16" t="s">
        <v>255</v>
      </c>
      <c r="C1827" s="16" t="s">
        <v>210</v>
      </c>
      <c r="D1827" s="16">
        <v>3</v>
      </c>
      <c r="E1827" s="17">
        <v>2910</v>
      </c>
      <c r="F1827" s="18">
        <v>0</v>
      </c>
      <c r="G1827" s="27">
        <f t="shared" si="526"/>
        <v>14.25</v>
      </c>
      <c r="H1827" s="13">
        <f t="shared" si="527"/>
        <v>26740.758699936367</v>
      </c>
      <c r="I1827" s="13">
        <f t="shared" si="528"/>
        <v>0</v>
      </c>
      <c r="J1827" s="51">
        <f t="shared" si="529"/>
        <v>26740.758699936367</v>
      </c>
    </row>
    <row r="1828" spans="1:10" s="3" customFormat="1" x14ac:dyDescent="0.25">
      <c r="A1828" s="4"/>
      <c r="B1828" s="20" t="s">
        <v>383</v>
      </c>
      <c r="C1828" s="21"/>
      <c r="D1828" s="21"/>
      <c r="E1828" s="22"/>
      <c r="F1828" s="29"/>
      <c r="G1828" s="47">
        <f>SUM(G1822:G1827)</f>
        <v>38</v>
      </c>
      <c r="H1828" s="47">
        <f t="shared" ref="H1828:J1828" si="530">SUM(H1822:H1827)</f>
        <v>1487456.9999999998</v>
      </c>
      <c r="I1828" s="47">
        <f t="shared" si="530"/>
        <v>12543.000000000002</v>
      </c>
      <c r="J1828" s="47">
        <f t="shared" si="530"/>
        <v>1499999.9999999998</v>
      </c>
    </row>
    <row r="1829" spans="1:10" x14ac:dyDescent="0.25">
      <c r="A1829" s="23" t="s">
        <v>155</v>
      </c>
      <c r="B1829" s="24" t="s">
        <v>214</v>
      </c>
      <c r="C1829" s="24" t="s">
        <v>210</v>
      </c>
      <c r="D1829" s="24">
        <v>2</v>
      </c>
      <c r="E1829" s="25">
        <v>970</v>
      </c>
      <c r="F1829" s="30">
        <v>0</v>
      </c>
      <c r="G1829" s="27">
        <f>+D1829*4.77777777777778</f>
        <v>9.5555555555555607</v>
      </c>
      <c r="H1829" s="13">
        <f>+E1829*1409031/211427</f>
        <v>6464.4537831024418</v>
      </c>
      <c r="I1829" s="13">
        <f>+F1829*90969/13650</f>
        <v>0</v>
      </c>
      <c r="J1829" s="51">
        <f t="shared" si="529"/>
        <v>6464.4537831024418</v>
      </c>
    </row>
    <row r="1830" spans="1:10" x14ac:dyDescent="0.25">
      <c r="A1830" s="4" t="s">
        <v>155</v>
      </c>
      <c r="B1830" s="5" t="s">
        <v>216</v>
      </c>
      <c r="C1830" s="5" t="s">
        <v>210</v>
      </c>
      <c r="D1830" s="5">
        <v>1</v>
      </c>
      <c r="E1830" s="6">
        <v>485</v>
      </c>
      <c r="F1830" s="11">
        <v>0</v>
      </c>
      <c r="G1830" s="27">
        <f t="shared" ref="G1830:G1838" si="531">+D1830*4.77777777777778</f>
        <v>4.7777777777777803</v>
      </c>
      <c r="H1830" s="13">
        <f t="shared" ref="H1830:H1838" si="532">+E1830*1409031/211427</f>
        <v>3232.2268915512209</v>
      </c>
      <c r="I1830" s="13">
        <f t="shared" ref="I1830:I1838" si="533">+F1830*90969/13650</f>
        <v>0</v>
      </c>
      <c r="J1830" s="51">
        <f t="shared" si="529"/>
        <v>3232.2268915512209</v>
      </c>
    </row>
    <row r="1831" spans="1:10" x14ac:dyDescent="0.25">
      <c r="A1831" s="4" t="s">
        <v>155</v>
      </c>
      <c r="B1831" s="5" t="s">
        <v>223</v>
      </c>
      <c r="C1831" s="5" t="s">
        <v>224</v>
      </c>
      <c r="D1831" s="5">
        <v>5</v>
      </c>
      <c r="E1831" s="11">
        <v>0</v>
      </c>
      <c r="F1831" s="11">
        <v>0</v>
      </c>
      <c r="G1831" s="27">
        <f t="shared" si="531"/>
        <v>23.8888888888889</v>
      </c>
      <c r="H1831" s="13">
        <f t="shared" si="532"/>
        <v>0</v>
      </c>
      <c r="I1831" s="13">
        <f t="shared" si="533"/>
        <v>0</v>
      </c>
      <c r="J1831" s="51">
        <f t="shared" si="529"/>
        <v>0</v>
      </c>
    </row>
    <row r="1832" spans="1:10" x14ac:dyDescent="0.25">
      <c r="A1832" s="4" t="s">
        <v>155</v>
      </c>
      <c r="B1832" s="5" t="s">
        <v>226</v>
      </c>
      <c r="C1832" s="5" t="s">
        <v>210</v>
      </c>
      <c r="D1832" s="5">
        <v>1</v>
      </c>
      <c r="E1832" s="6">
        <v>485</v>
      </c>
      <c r="F1832" s="11">
        <v>0</v>
      </c>
      <c r="G1832" s="27">
        <f t="shared" si="531"/>
        <v>4.7777777777777803</v>
      </c>
      <c r="H1832" s="13">
        <f t="shared" si="532"/>
        <v>3232.2268915512209</v>
      </c>
      <c r="I1832" s="13">
        <f t="shared" si="533"/>
        <v>0</v>
      </c>
      <c r="J1832" s="51">
        <f t="shared" si="529"/>
        <v>3232.2268915512209</v>
      </c>
    </row>
    <row r="1833" spans="1:10" x14ac:dyDescent="0.25">
      <c r="A1833" s="4" t="s">
        <v>155</v>
      </c>
      <c r="B1833" s="5" t="s">
        <v>228</v>
      </c>
      <c r="C1833" s="5" t="s">
        <v>229</v>
      </c>
      <c r="D1833" s="5">
        <v>3</v>
      </c>
      <c r="E1833" s="6">
        <v>2910</v>
      </c>
      <c r="F1833" s="11">
        <v>0</v>
      </c>
      <c r="G1833" s="27">
        <f t="shared" si="531"/>
        <v>14.333333333333341</v>
      </c>
      <c r="H1833" s="13">
        <f t="shared" si="532"/>
        <v>19393.361349307324</v>
      </c>
      <c r="I1833" s="13">
        <f t="shared" si="533"/>
        <v>0</v>
      </c>
      <c r="J1833" s="51">
        <f t="shared" si="529"/>
        <v>19393.361349307324</v>
      </c>
    </row>
    <row r="1834" spans="1:10" x14ac:dyDescent="0.25">
      <c r="A1834" s="4" t="s">
        <v>155</v>
      </c>
      <c r="B1834" s="5" t="s">
        <v>230</v>
      </c>
      <c r="C1834" s="5" t="s">
        <v>229</v>
      </c>
      <c r="D1834" s="5">
        <v>7</v>
      </c>
      <c r="E1834" s="6">
        <v>6790</v>
      </c>
      <c r="F1834" s="11">
        <v>0</v>
      </c>
      <c r="G1834" s="27">
        <f t="shared" si="531"/>
        <v>33.444444444444464</v>
      </c>
      <c r="H1834" s="13">
        <f t="shared" si="532"/>
        <v>45251.176481717092</v>
      </c>
      <c r="I1834" s="13">
        <f t="shared" si="533"/>
        <v>0</v>
      </c>
      <c r="J1834" s="51">
        <f t="shared" si="529"/>
        <v>45251.176481717092</v>
      </c>
    </row>
    <row r="1835" spans="1:10" x14ac:dyDescent="0.25">
      <c r="A1835" s="4" t="s">
        <v>155</v>
      </c>
      <c r="B1835" s="5" t="s">
        <v>231</v>
      </c>
      <c r="C1835" s="5" t="s">
        <v>232</v>
      </c>
      <c r="D1835" s="5">
        <v>1</v>
      </c>
      <c r="E1835" s="6">
        <v>106166</v>
      </c>
      <c r="F1835" s="11">
        <v>0</v>
      </c>
      <c r="G1835" s="27">
        <f t="shared" si="531"/>
        <v>4.7777777777777803</v>
      </c>
      <c r="H1835" s="13">
        <f t="shared" si="532"/>
        <v>707531.13436789054</v>
      </c>
      <c r="I1835" s="13">
        <f t="shared" si="533"/>
        <v>0</v>
      </c>
      <c r="J1835" s="51">
        <f t="shared" si="529"/>
        <v>707531.13436789054</v>
      </c>
    </row>
    <row r="1836" spans="1:10" x14ac:dyDescent="0.25">
      <c r="A1836" s="4" t="s">
        <v>155</v>
      </c>
      <c r="B1836" s="5" t="s">
        <v>262</v>
      </c>
      <c r="C1836" s="5" t="s">
        <v>263</v>
      </c>
      <c r="D1836" s="5">
        <v>1</v>
      </c>
      <c r="E1836" s="6">
        <v>75833</v>
      </c>
      <c r="F1836" s="11">
        <v>0</v>
      </c>
      <c r="G1836" s="27">
        <f t="shared" si="531"/>
        <v>4.7777777777777803</v>
      </c>
      <c r="H1836" s="13">
        <f t="shared" si="532"/>
        <v>505380.33374639944</v>
      </c>
      <c r="I1836" s="13">
        <f t="shared" si="533"/>
        <v>0</v>
      </c>
      <c r="J1836" s="51">
        <f t="shared" si="529"/>
        <v>505380.33374639944</v>
      </c>
    </row>
    <row r="1837" spans="1:10" x14ac:dyDescent="0.25">
      <c r="A1837" s="4" t="s">
        <v>155</v>
      </c>
      <c r="B1837" s="5" t="s">
        <v>241</v>
      </c>
      <c r="C1837" s="5" t="s">
        <v>236</v>
      </c>
      <c r="D1837" s="5">
        <v>5</v>
      </c>
      <c r="E1837" s="6">
        <v>17060</v>
      </c>
      <c r="F1837" s="6">
        <v>13650</v>
      </c>
      <c r="G1837" s="27">
        <f t="shared" si="531"/>
        <v>23.8888888888889</v>
      </c>
      <c r="H1837" s="13">
        <f t="shared" si="532"/>
        <v>113694.41395848212</v>
      </c>
      <c r="I1837" s="13">
        <f t="shared" si="533"/>
        <v>90969</v>
      </c>
      <c r="J1837" s="51">
        <f t="shared" si="529"/>
        <v>204663.41395848212</v>
      </c>
    </row>
    <row r="1838" spans="1:10" x14ac:dyDescent="0.25">
      <c r="A1838" s="15" t="s">
        <v>155</v>
      </c>
      <c r="B1838" s="16" t="s">
        <v>256</v>
      </c>
      <c r="C1838" s="16" t="s">
        <v>212</v>
      </c>
      <c r="D1838" s="16">
        <v>1</v>
      </c>
      <c r="E1838" s="17">
        <v>728</v>
      </c>
      <c r="F1838" s="18">
        <v>0</v>
      </c>
      <c r="G1838" s="27">
        <f t="shared" si="531"/>
        <v>4.7777777777777803</v>
      </c>
      <c r="H1838" s="13">
        <f t="shared" si="532"/>
        <v>4851.6725299985337</v>
      </c>
      <c r="I1838" s="13">
        <f t="shared" si="533"/>
        <v>0</v>
      </c>
      <c r="J1838" s="51">
        <f t="shared" si="529"/>
        <v>4851.6725299985337</v>
      </c>
    </row>
    <row r="1839" spans="1:10" s="3" customFormat="1" x14ac:dyDescent="0.25">
      <c r="A1839" s="4"/>
      <c r="B1839" s="20" t="s">
        <v>384</v>
      </c>
      <c r="C1839" s="21"/>
      <c r="D1839" s="21"/>
      <c r="E1839" s="22"/>
      <c r="F1839" s="29"/>
      <c r="G1839" s="47">
        <f>SUM(G1829:G1838)</f>
        <v>129.00000000000009</v>
      </c>
      <c r="H1839" s="47">
        <f t="shared" ref="H1839:J1839" si="534">SUM(H1829:H1838)</f>
        <v>1409031</v>
      </c>
      <c r="I1839" s="47">
        <f t="shared" si="534"/>
        <v>90969</v>
      </c>
      <c r="J1839" s="47">
        <f t="shared" si="534"/>
        <v>1500000</v>
      </c>
    </row>
    <row r="1840" spans="1:10" s="3" customFormat="1" x14ac:dyDescent="0.25">
      <c r="A1840" s="36" t="s">
        <v>156</v>
      </c>
      <c r="B1840" s="5" t="s">
        <v>214</v>
      </c>
      <c r="C1840" s="5" t="s">
        <v>210</v>
      </c>
      <c r="D1840" s="21"/>
      <c r="E1840" s="22"/>
      <c r="F1840" s="29"/>
      <c r="G1840" s="48">
        <v>4</v>
      </c>
      <c r="H1840" s="35">
        <v>1250000</v>
      </c>
      <c r="I1840" s="35">
        <v>750000</v>
      </c>
      <c r="J1840" s="51">
        <f t="shared" si="529"/>
        <v>2000000</v>
      </c>
    </row>
    <row r="1841" spans="1:10" s="3" customFormat="1" x14ac:dyDescent="0.25">
      <c r="A1841" s="36" t="s">
        <v>156</v>
      </c>
      <c r="B1841" s="21"/>
      <c r="C1841" s="21"/>
      <c r="D1841" s="21"/>
      <c r="E1841" s="22"/>
      <c r="F1841" s="29"/>
      <c r="G1841" s="48"/>
      <c r="H1841" s="48"/>
      <c r="I1841" s="48"/>
      <c r="J1841" s="51">
        <f t="shared" si="529"/>
        <v>0</v>
      </c>
    </row>
    <row r="1842" spans="1:10" s="3" customFormat="1" x14ac:dyDescent="0.25">
      <c r="A1842" s="36"/>
      <c r="B1842" s="1" t="s">
        <v>456</v>
      </c>
      <c r="C1842" s="1"/>
      <c r="D1842" s="1"/>
      <c r="E1842" s="41"/>
      <c r="F1842" s="2"/>
      <c r="G1842" s="47">
        <f>SUM(G1840:G1841)</f>
        <v>4</v>
      </c>
      <c r="H1842" s="47">
        <f>SUM(H1840:H1841)</f>
        <v>1250000</v>
      </c>
      <c r="I1842" s="47">
        <f t="shared" ref="I1842:J1842" si="535">SUM(I1840:I1841)</f>
        <v>750000</v>
      </c>
      <c r="J1842" s="47">
        <f t="shared" si="535"/>
        <v>2000000</v>
      </c>
    </row>
    <row r="1843" spans="1:10" x14ac:dyDescent="0.25">
      <c r="A1843" s="4" t="s">
        <v>157</v>
      </c>
      <c r="B1843" s="5" t="s">
        <v>207</v>
      </c>
      <c r="C1843" s="5" t="s">
        <v>208</v>
      </c>
      <c r="D1843" s="5">
        <v>3</v>
      </c>
      <c r="E1843" s="6">
        <v>34944</v>
      </c>
      <c r="F1843" s="6">
        <v>13977</v>
      </c>
      <c r="G1843" s="27">
        <f>+D1843*4.8125</f>
        <v>14.4375</v>
      </c>
      <c r="H1843" s="13">
        <f>+E1843*4382363/247664</f>
        <v>618326.81646101165</v>
      </c>
      <c r="I1843" s="13">
        <f>+F1843*617637/34905</f>
        <v>247320.22200257843</v>
      </c>
      <c r="J1843" s="51">
        <f t="shared" si="529"/>
        <v>865647.03846359008</v>
      </c>
    </row>
    <row r="1844" spans="1:10" x14ac:dyDescent="0.25">
      <c r="A1844" s="4" t="s">
        <v>157</v>
      </c>
      <c r="B1844" s="5" t="s">
        <v>214</v>
      </c>
      <c r="C1844" s="5" t="s">
        <v>210</v>
      </c>
      <c r="D1844" s="5">
        <v>1</v>
      </c>
      <c r="E1844" s="6">
        <v>970</v>
      </c>
      <c r="F1844" s="11">
        <v>0</v>
      </c>
      <c r="G1844" s="27">
        <f t="shared" ref="G1844:G1852" si="536">+D1844*4.8125</f>
        <v>4.8125</v>
      </c>
      <c r="H1844" s="13">
        <f t="shared" ref="H1844:H1852" si="537">+E1844*4382363/247664</f>
        <v>17163.948373602947</v>
      </c>
      <c r="I1844" s="13">
        <f t="shared" ref="I1844:I1852" si="538">+F1844*617637/34905</f>
        <v>0</v>
      </c>
      <c r="J1844" s="51">
        <f t="shared" si="529"/>
        <v>17163.948373602947</v>
      </c>
    </row>
    <row r="1845" spans="1:10" x14ac:dyDescent="0.25">
      <c r="A1845" s="4" t="s">
        <v>157</v>
      </c>
      <c r="B1845" s="5" t="s">
        <v>223</v>
      </c>
      <c r="C1845" s="5" t="s">
        <v>224</v>
      </c>
      <c r="D1845" s="5">
        <v>1</v>
      </c>
      <c r="E1845" s="6">
        <v>970</v>
      </c>
      <c r="F1845" s="11">
        <v>0</v>
      </c>
      <c r="G1845" s="27">
        <f t="shared" si="536"/>
        <v>4.8125</v>
      </c>
      <c r="H1845" s="13">
        <f t="shared" si="537"/>
        <v>17163.948373602947</v>
      </c>
      <c r="I1845" s="13">
        <f t="shared" si="538"/>
        <v>0</v>
      </c>
      <c r="J1845" s="51">
        <f t="shared" si="529"/>
        <v>17163.948373602947</v>
      </c>
    </row>
    <row r="1846" spans="1:10" x14ac:dyDescent="0.25">
      <c r="A1846" s="4" t="s">
        <v>157</v>
      </c>
      <c r="B1846" s="5" t="s">
        <v>225</v>
      </c>
      <c r="C1846" s="5" t="s">
        <v>210</v>
      </c>
      <c r="D1846" s="5">
        <v>2</v>
      </c>
      <c r="E1846" s="6">
        <v>1940</v>
      </c>
      <c r="F1846" s="11">
        <v>0</v>
      </c>
      <c r="G1846" s="27">
        <f t="shared" si="536"/>
        <v>9.625</v>
      </c>
      <c r="H1846" s="13">
        <f t="shared" si="537"/>
        <v>34327.896747205894</v>
      </c>
      <c r="I1846" s="13">
        <f t="shared" si="538"/>
        <v>0</v>
      </c>
      <c r="J1846" s="51">
        <f t="shared" si="529"/>
        <v>34327.896747205894</v>
      </c>
    </row>
    <row r="1847" spans="1:10" x14ac:dyDescent="0.25">
      <c r="A1847" s="4" t="s">
        <v>157</v>
      </c>
      <c r="B1847" s="5" t="s">
        <v>230</v>
      </c>
      <c r="C1847" s="5" t="s">
        <v>229</v>
      </c>
      <c r="D1847" s="5">
        <v>1</v>
      </c>
      <c r="E1847" s="6">
        <v>1941</v>
      </c>
      <c r="F1847" s="11">
        <v>0</v>
      </c>
      <c r="G1847" s="27">
        <f t="shared" si="536"/>
        <v>4.8125</v>
      </c>
      <c r="H1847" s="13">
        <f t="shared" si="537"/>
        <v>34345.59153934363</v>
      </c>
      <c r="I1847" s="13">
        <f t="shared" si="538"/>
        <v>0</v>
      </c>
      <c r="J1847" s="51">
        <f t="shared" si="529"/>
        <v>34345.59153934363</v>
      </c>
    </row>
    <row r="1848" spans="1:10" x14ac:dyDescent="0.25">
      <c r="A1848" s="4" t="s">
        <v>157</v>
      </c>
      <c r="B1848" s="5" t="s">
        <v>262</v>
      </c>
      <c r="C1848" s="5" t="s">
        <v>263</v>
      </c>
      <c r="D1848" s="5">
        <v>1</v>
      </c>
      <c r="E1848" s="6">
        <v>151666</v>
      </c>
      <c r="F1848" s="11">
        <v>0</v>
      </c>
      <c r="G1848" s="27">
        <f t="shared" si="536"/>
        <v>4.8125</v>
      </c>
      <c r="H1848" s="13">
        <f t="shared" si="537"/>
        <v>2683698.344361716</v>
      </c>
      <c r="I1848" s="13">
        <f t="shared" si="538"/>
        <v>0</v>
      </c>
      <c r="J1848" s="51">
        <f t="shared" si="529"/>
        <v>2683698.344361716</v>
      </c>
    </row>
    <row r="1849" spans="1:10" x14ac:dyDescent="0.25">
      <c r="A1849" s="4" t="s">
        <v>157</v>
      </c>
      <c r="B1849" s="5" t="s">
        <v>241</v>
      </c>
      <c r="C1849" s="5" t="s">
        <v>236</v>
      </c>
      <c r="D1849" s="5">
        <v>1</v>
      </c>
      <c r="E1849" s="6">
        <v>6825</v>
      </c>
      <c r="F1849" s="11">
        <v>2730</v>
      </c>
      <c r="G1849" s="27">
        <f t="shared" si="536"/>
        <v>4.8125</v>
      </c>
      <c r="H1849" s="13">
        <f t="shared" si="537"/>
        <v>120766.95634004135</v>
      </c>
      <c r="I1849" s="13">
        <f t="shared" si="538"/>
        <v>48306.804469273746</v>
      </c>
      <c r="J1849" s="51">
        <f t="shared" si="529"/>
        <v>169073.76080931508</v>
      </c>
    </row>
    <row r="1850" spans="1:10" x14ac:dyDescent="0.25">
      <c r="A1850" s="4" t="s">
        <v>157</v>
      </c>
      <c r="B1850" s="5" t="s">
        <v>249</v>
      </c>
      <c r="C1850" s="5" t="s">
        <v>250</v>
      </c>
      <c r="D1850" s="5">
        <v>3</v>
      </c>
      <c r="E1850" s="6">
        <v>45498</v>
      </c>
      <c r="F1850" s="11">
        <v>18198</v>
      </c>
      <c r="G1850" s="27">
        <f t="shared" si="536"/>
        <v>14.4375</v>
      </c>
      <c r="H1850" s="13">
        <f t="shared" si="537"/>
        <v>805077.65268266678</v>
      </c>
      <c r="I1850" s="13">
        <f t="shared" si="538"/>
        <v>322009.97352814785</v>
      </c>
      <c r="J1850" s="51">
        <f t="shared" si="529"/>
        <v>1127087.6262108146</v>
      </c>
    </row>
    <row r="1851" spans="1:10" x14ac:dyDescent="0.25">
      <c r="A1851" s="4" t="s">
        <v>157</v>
      </c>
      <c r="B1851" s="5" t="s">
        <v>253</v>
      </c>
      <c r="C1851" s="5" t="s">
        <v>210</v>
      </c>
      <c r="D1851" s="5">
        <v>2</v>
      </c>
      <c r="E1851" s="6">
        <v>1940</v>
      </c>
      <c r="F1851" s="11">
        <v>0</v>
      </c>
      <c r="G1851" s="27">
        <f t="shared" si="536"/>
        <v>9.625</v>
      </c>
      <c r="H1851" s="13">
        <f t="shared" si="537"/>
        <v>34327.896747205894</v>
      </c>
      <c r="I1851" s="13">
        <f t="shared" si="538"/>
        <v>0</v>
      </c>
      <c r="J1851" s="51">
        <f t="shared" si="529"/>
        <v>34327.896747205894</v>
      </c>
    </row>
    <row r="1852" spans="1:10" x14ac:dyDescent="0.25">
      <c r="A1852" s="15" t="s">
        <v>157</v>
      </c>
      <c r="B1852" s="16" t="s">
        <v>255</v>
      </c>
      <c r="C1852" s="16" t="s">
        <v>210</v>
      </c>
      <c r="D1852" s="16">
        <v>1</v>
      </c>
      <c r="E1852" s="17">
        <v>970</v>
      </c>
      <c r="F1852" s="18">
        <v>0</v>
      </c>
      <c r="G1852" s="27">
        <f t="shared" si="536"/>
        <v>4.8125</v>
      </c>
      <c r="H1852" s="13">
        <f t="shared" si="537"/>
        <v>17163.948373602947</v>
      </c>
      <c r="I1852" s="13">
        <f t="shared" si="538"/>
        <v>0</v>
      </c>
      <c r="J1852" s="51">
        <f t="shared" si="529"/>
        <v>17163.948373602947</v>
      </c>
    </row>
    <row r="1853" spans="1:10" s="3" customFormat="1" x14ac:dyDescent="0.25">
      <c r="A1853" s="4"/>
      <c r="B1853" s="20" t="s">
        <v>385</v>
      </c>
      <c r="C1853" s="21"/>
      <c r="D1853" s="21"/>
      <c r="E1853" s="22"/>
      <c r="F1853" s="29"/>
      <c r="G1853" s="47">
        <f>SUM(G1843:G1852)</f>
        <v>77</v>
      </c>
      <c r="H1853" s="47">
        <f t="shared" ref="H1853:J1853" si="539">SUM(H1843:H1852)</f>
        <v>4382363</v>
      </c>
      <c r="I1853" s="47">
        <f t="shared" si="539"/>
        <v>617637</v>
      </c>
      <c r="J1853" s="47">
        <f t="shared" si="539"/>
        <v>5000000</v>
      </c>
    </row>
    <row r="1854" spans="1:10" s="3" customFormat="1" x14ac:dyDescent="0.25">
      <c r="A1854" s="36" t="s">
        <v>158</v>
      </c>
      <c r="B1854" s="5" t="s">
        <v>214</v>
      </c>
      <c r="C1854" s="5" t="s">
        <v>210</v>
      </c>
      <c r="D1854" s="21"/>
      <c r="E1854" s="22"/>
      <c r="F1854" s="29"/>
      <c r="G1854" s="48">
        <v>4</v>
      </c>
      <c r="H1854" s="35">
        <v>1475000</v>
      </c>
      <c r="I1854" s="35">
        <v>1025000</v>
      </c>
      <c r="J1854" s="51">
        <f t="shared" si="529"/>
        <v>2500000</v>
      </c>
    </row>
    <row r="1855" spans="1:10" s="3" customFormat="1" x14ac:dyDescent="0.25">
      <c r="A1855" s="36" t="s">
        <v>158</v>
      </c>
      <c r="B1855" s="21"/>
      <c r="C1855" s="21"/>
      <c r="D1855" s="21"/>
      <c r="E1855" s="22"/>
      <c r="F1855" s="29"/>
      <c r="G1855" s="48"/>
      <c r="H1855" s="48"/>
      <c r="I1855" s="48"/>
      <c r="J1855" s="51">
        <f t="shared" si="529"/>
        <v>0</v>
      </c>
    </row>
    <row r="1856" spans="1:10" s="3" customFormat="1" x14ac:dyDescent="0.25">
      <c r="A1856" s="36"/>
      <c r="B1856" s="1" t="s">
        <v>455</v>
      </c>
      <c r="C1856" s="1"/>
      <c r="D1856" s="1"/>
      <c r="E1856" s="41"/>
      <c r="F1856" s="2"/>
      <c r="G1856" s="47">
        <f>SUM(G1854:G1855)</f>
        <v>4</v>
      </c>
      <c r="H1856" s="47">
        <f>SUM(H1854:H1855)</f>
        <v>1475000</v>
      </c>
      <c r="I1856" s="47">
        <f t="shared" ref="I1856:J1856" si="540">SUM(I1854:I1855)</f>
        <v>1025000</v>
      </c>
      <c r="J1856" s="47">
        <f t="shared" si="540"/>
        <v>2500000</v>
      </c>
    </row>
    <row r="1857" spans="1:10" x14ac:dyDescent="0.25">
      <c r="A1857" s="4" t="s">
        <v>159</v>
      </c>
      <c r="B1857" s="5" t="s">
        <v>217</v>
      </c>
      <c r="C1857" s="5" t="s">
        <v>218</v>
      </c>
      <c r="D1857" s="5">
        <v>1</v>
      </c>
      <c r="E1857" s="6">
        <v>3313</v>
      </c>
      <c r="F1857" s="6">
        <v>1325</v>
      </c>
      <c r="G1857" s="27">
        <f>+D1857*4.66666666666667</f>
        <v>4.6666666666666696</v>
      </c>
      <c r="H1857" s="13">
        <f>+E1857*1475000/11594</f>
        <v>421483.09470415732</v>
      </c>
      <c r="I1857" s="13">
        <f>+F1857*1025000/4055</f>
        <v>334926.01726263872</v>
      </c>
      <c r="J1857" s="51">
        <f t="shared" si="529"/>
        <v>756409.11196679599</v>
      </c>
    </row>
    <row r="1858" spans="1:10" x14ac:dyDescent="0.25">
      <c r="A1858" s="4" t="s">
        <v>159</v>
      </c>
      <c r="B1858" s="5" t="s">
        <v>235</v>
      </c>
      <c r="C1858" s="5" t="s">
        <v>236</v>
      </c>
      <c r="D1858" s="5">
        <v>1</v>
      </c>
      <c r="E1858" s="6">
        <v>6825</v>
      </c>
      <c r="F1858" s="6">
        <v>2730</v>
      </c>
      <c r="G1858" s="27">
        <f t="shared" ref="G1858:G1859" si="541">+D1858*4.66666666666667</f>
        <v>4.6666666666666696</v>
      </c>
      <c r="H1858" s="13">
        <f t="shared" ref="H1858:H1859" si="542">+E1858*1475000/11594</f>
        <v>868283.1637053648</v>
      </c>
      <c r="I1858" s="13">
        <f t="shared" ref="I1858:I1859" si="543">+F1858*1025000/4055</f>
        <v>690073.98273736134</v>
      </c>
      <c r="J1858" s="51">
        <f t="shared" si="529"/>
        <v>1558357.1464427263</v>
      </c>
    </row>
    <row r="1859" spans="1:10" x14ac:dyDescent="0.25">
      <c r="A1859" s="15" t="s">
        <v>159</v>
      </c>
      <c r="B1859" s="16" t="s">
        <v>252</v>
      </c>
      <c r="C1859" s="16" t="s">
        <v>212</v>
      </c>
      <c r="D1859" s="16">
        <v>1</v>
      </c>
      <c r="E1859" s="17">
        <v>1456</v>
      </c>
      <c r="F1859" s="18">
        <v>0</v>
      </c>
      <c r="G1859" s="27">
        <f t="shared" si="541"/>
        <v>4.6666666666666696</v>
      </c>
      <c r="H1859" s="13">
        <f t="shared" si="542"/>
        <v>185233.74159047785</v>
      </c>
      <c r="I1859" s="13">
        <f t="shared" si="543"/>
        <v>0</v>
      </c>
      <c r="J1859" s="51">
        <f t="shared" si="529"/>
        <v>185233.74159047785</v>
      </c>
    </row>
    <row r="1860" spans="1:10" s="3" customFormat="1" x14ac:dyDescent="0.25">
      <c r="A1860" s="4"/>
      <c r="B1860" s="20" t="s">
        <v>386</v>
      </c>
      <c r="C1860" s="21"/>
      <c r="D1860" s="21"/>
      <c r="E1860" s="22"/>
      <c r="F1860" s="29"/>
      <c r="G1860" s="47">
        <f>SUM(G1857:G1859)</f>
        <v>14.000000000000009</v>
      </c>
      <c r="H1860" s="47">
        <f t="shared" ref="H1860:I1860" si="544">SUM(H1857:H1859)</f>
        <v>1474999.9999999998</v>
      </c>
      <c r="I1860" s="47">
        <f t="shared" si="544"/>
        <v>1025000</v>
      </c>
      <c r="J1860" s="47">
        <f>SUM(J1857:J1859)</f>
        <v>2500000.0000000005</v>
      </c>
    </row>
    <row r="1861" spans="1:10" x14ac:dyDescent="0.25">
      <c r="A1861" s="23" t="s">
        <v>160</v>
      </c>
      <c r="B1861" s="24" t="s">
        <v>216</v>
      </c>
      <c r="C1861" s="24" t="s">
        <v>210</v>
      </c>
      <c r="D1861" s="24">
        <v>1</v>
      </c>
      <c r="E1861" s="25">
        <v>970</v>
      </c>
      <c r="F1861" s="30">
        <v>0</v>
      </c>
      <c r="G1861" s="27">
        <f>+D1861*4.7906976744186</f>
        <v>4.7906976744185998</v>
      </c>
      <c r="H1861" s="13">
        <f>+E1861*2570558/232507</f>
        <v>10724.155659829597</v>
      </c>
      <c r="I1861" s="13">
        <f>+F1861*929442/84068</f>
        <v>0</v>
      </c>
      <c r="J1861" s="51">
        <f t="shared" si="529"/>
        <v>10724.155659829597</v>
      </c>
    </row>
    <row r="1862" spans="1:10" x14ac:dyDescent="0.25">
      <c r="A1862" s="4" t="s">
        <v>160</v>
      </c>
      <c r="B1862" s="5" t="s">
        <v>217</v>
      </c>
      <c r="C1862" s="5" t="s">
        <v>218</v>
      </c>
      <c r="D1862" s="5">
        <v>12</v>
      </c>
      <c r="E1862" s="6">
        <v>39756</v>
      </c>
      <c r="F1862" s="6">
        <v>15900</v>
      </c>
      <c r="G1862" s="27">
        <f t="shared" ref="G1862:G1869" si="545">+D1862*4.7906976744186</f>
        <v>57.488372093023202</v>
      </c>
      <c r="H1862" s="13">
        <f t="shared" ref="H1862:H1869" si="546">+E1862*2570558/232507</f>
        <v>439535.60042493342</v>
      </c>
      <c r="I1862" s="13">
        <f t="shared" ref="I1862:I1869" si="547">+F1862*929442/84068</f>
        <v>175787.7884569634</v>
      </c>
      <c r="J1862" s="51">
        <f t="shared" si="529"/>
        <v>615323.38888189686</v>
      </c>
    </row>
    <row r="1863" spans="1:10" x14ac:dyDescent="0.25">
      <c r="A1863" s="4" t="s">
        <v>160</v>
      </c>
      <c r="B1863" s="5" t="s">
        <v>219</v>
      </c>
      <c r="C1863" s="5" t="s">
        <v>220</v>
      </c>
      <c r="D1863" s="5">
        <v>1</v>
      </c>
      <c r="E1863" s="6">
        <v>3397</v>
      </c>
      <c r="F1863" s="6">
        <v>1358</v>
      </c>
      <c r="G1863" s="27">
        <f t="shared" si="545"/>
        <v>4.7906976744185998</v>
      </c>
      <c r="H1863" s="13">
        <f t="shared" si="546"/>
        <v>37556.656470557878</v>
      </c>
      <c r="I1863" s="13">
        <f t="shared" si="547"/>
        <v>15013.824951229957</v>
      </c>
      <c r="J1863" s="51">
        <f t="shared" si="529"/>
        <v>52570.481421787837</v>
      </c>
    </row>
    <row r="1864" spans="1:10" x14ac:dyDescent="0.25">
      <c r="A1864" s="4" t="s">
        <v>160</v>
      </c>
      <c r="B1864" s="5" t="s">
        <v>266</v>
      </c>
      <c r="C1864" s="5" t="s">
        <v>210</v>
      </c>
      <c r="D1864" s="5">
        <v>1</v>
      </c>
      <c r="E1864" s="6">
        <v>970</v>
      </c>
      <c r="F1864" s="11">
        <v>0</v>
      </c>
      <c r="G1864" s="27">
        <f t="shared" si="545"/>
        <v>4.7906976744185998</v>
      </c>
      <c r="H1864" s="13">
        <f t="shared" si="546"/>
        <v>10724.155659829597</v>
      </c>
      <c r="I1864" s="13">
        <f t="shared" si="547"/>
        <v>0</v>
      </c>
      <c r="J1864" s="51">
        <f t="shared" si="529"/>
        <v>10724.155659829597</v>
      </c>
    </row>
    <row r="1865" spans="1:10" x14ac:dyDescent="0.25">
      <c r="A1865" s="4" t="s">
        <v>160</v>
      </c>
      <c r="B1865" s="5" t="s">
        <v>226</v>
      </c>
      <c r="C1865" s="5" t="s">
        <v>210</v>
      </c>
      <c r="D1865" s="5">
        <v>3</v>
      </c>
      <c r="E1865" s="6">
        <v>2910</v>
      </c>
      <c r="F1865" s="11">
        <v>0</v>
      </c>
      <c r="G1865" s="27">
        <f t="shared" si="545"/>
        <v>14.3720930232558</v>
      </c>
      <c r="H1865" s="13">
        <f t="shared" si="546"/>
        <v>32172.466979488789</v>
      </c>
      <c r="I1865" s="13">
        <f t="shared" si="547"/>
        <v>0</v>
      </c>
      <c r="J1865" s="51">
        <f t="shared" si="529"/>
        <v>32172.466979488789</v>
      </c>
    </row>
    <row r="1866" spans="1:10" x14ac:dyDescent="0.25">
      <c r="A1866" s="4" t="s">
        <v>160</v>
      </c>
      <c r="B1866" s="5" t="s">
        <v>228</v>
      </c>
      <c r="C1866" s="5" t="s">
        <v>229</v>
      </c>
      <c r="D1866" s="5">
        <v>6</v>
      </c>
      <c r="E1866" s="6">
        <v>11646</v>
      </c>
      <c r="F1866" s="11">
        <v>0</v>
      </c>
      <c r="G1866" s="27">
        <f t="shared" si="545"/>
        <v>28.744186046511601</v>
      </c>
      <c r="H1866" s="13">
        <f t="shared" si="546"/>
        <v>128756.20290141802</v>
      </c>
      <c r="I1866" s="13">
        <f t="shared" si="547"/>
        <v>0</v>
      </c>
      <c r="J1866" s="51">
        <f t="shared" si="529"/>
        <v>128756.20290141802</v>
      </c>
    </row>
    <row r="1867" spans="1:10" x14ac:dyDescent="0.25">
      <c r="A1867" s="4" t="s">
        <v>160</v>
      </c>
      <c r="B1867" s="5" t="s">
        <v>242</v>
      </c>
      <c r="C1867" s="5" t="s">
        <v>238</v>
      </c>
      <c r="D1867" s="5">
        <v>3</v>
      </c>
      <c r="E1867" s="6">
        <v>15378</v>
      </c>
      <c r="F1867" s="6">
        <v>6150</v>
      </c>
      <c r="G1867" s="27">
        <f t="shared" si="545"/>
        <v>14.3720930232558</v>
      </c>
      <c r="H1867" s="13">
        <f t="shared" si="546"/>
        <v>170016.5626153191</v>
      </c>
      <c r="I1867" s="13">
        <f t="shared" si="547"/>
        <v>67993.389874863205</v>
      </c>
      <c r="J1867" s="51">
        <f t="shared" si="529"/>
        <v>238009.9524901823</v>
      </c>
    </row>
    <row r="1868" spans="1:10" x14ac:dyDescent="0.25">
      <c r="A1868" s="4" t="s">
        <v>160</v>
      </c>
      <c r="B1868" s="5" t="s">
        <v>249</v>
      </c>
      <c r="C1868" s="5" t="s">
        <v>250</v>
      </c>
      <c r="D1868" s="5">
        <v>10</v>
      </c>
      <c r="E1868" s="6">
        <v>151660</v>
      </c>
      <c r="F1868" s="6">
        <v>60660</v>
      </c>
      <c r="G1868" s="27">
        <f t="shared" si="545"/>
        <v>47.906976744185997</v>
      </c>
      <c r="H1868" s="13">
        <f t="shared" si="546"/>
        <v>1676727.2653296459</v>
      </c>
      <c r="I1868" s="13">
        <f t="shared" si="547"/>
        <v>670646.99671694345</v>
      </c>
      <c r="J1868" s="51">
        <f t="shared" si="529"/>
        <v>2347374.2620465895</v>
      </c>
    </row>
    <row r="1869" spans="1:10" x14ac:dyDescent="0.25">
      <c r="A1869" s="15" t="s">
        <v>160</v>
      </c>
      <c r="B1869" s="16" t="s">
        <v>253</v>
      </c>
      <c r="C1869" s="16" t="s">
        <v>210</v>
      </c>
      <c r="D1869" s="16">
        <v>6</v>
      </c>
      <c r="E1869" s="17">
        <v>5820</v>
      </c>
      <c r="F1869" s="18">
        <v>0</v>
      </c>
      <c r="G1869" s="27">
        <f t="shared" si="545"/>
        <v>28.744186046511601</v>
      </c>
      <c r="H1869" s="13">
        <f t="shared" si="546"/>
        <v>64344.933958977577</v>
      </c>
      <c r="I1869" s="13">
        <f t="shared" si="547"/>
        <v>0</v>
      </c>
      <c r="J1869" s="51">
        <f t="shared" si="529"/>
        <v>64344.933958977577</v>
      </c>
    </row>
    <row r="1870" spans="1:10" s="3" customFormat="1" x14ac:dyDescent="0.25">
      <c r="A1870" s="4"/>
      <c r="B1870" s="20" t="s">
        <v>387</v>
      </c>
      <c r="C1870" s="21"/>
      <c r="D1870" s="21"/>
      <c r="E1870" s="22"/>
      <c r="F1870" s="29"/>
      <c r="G1870" s="47">
        <f>SUM(G1861:G1869)</f>
        <v>205.9999999999998</v>
      </c>
      <c r="H1870" s="47">
        <f t="shared" ref="H1870:J1870" si="548">SUM(H1861:H1869)</f>
        <v>2570558</v>
      </c>
      <c r="I1870" s="47">
        <f t="shared" si="548"/>
        <v>929442</v>
      </c>
      <c r="J1870" s="47">
        <f t="shared" si="548"/>
        <v>3500000</v>
      </c>
    </row>
    <row r="1871" spans="1:10" x14ac:dyDescent="0.25">
      <c r="A1871" s="23" t="s">
        <v>161</v>
      </c>
      <c r="B1871" s="24" t="s">
        <v>213</v>
      </c>
      <c r="C1871" s="24" t="s">
        <v>212</v>
      </c>
      <c r="D1871" s="24">
        <v>1</v>
      </c>
      <c r="E1871" s="25">
        <v>728</v>
      </c>
      <c r="F1871" s="30">
        <v>0</v>
      </c>
      <c r="G1871" s="27">
        <f>+D1871*4.83333333333333</f>
        <v>4.8333333333333304</v>
      </c>
      <c r="H1871" s="13">
        <f>+E1871*1475681/80400</f>
        <v>13361.887661691542</v>
      </c>
      <c r="I1871" s="13">
        <f>+F1871*18.3539622641509</f>
        <v>0</v>
      </c>
      <c r="J1871" s="51">
        <f t="shared" si="529"/>
        <v>13361.887661691542</v>
      </c>
    </row>
    <row r="1872" spans="1:10" x14ac:dyDescent="0.25">
      <c r="A1872" s="4" t="s">
        <v>161</v>
      </c>
      <c r="B1872" s="5" t="s">
        <v>214</v>
      </c>
      <c r="C1872" s="5" t="s">
        <v>210</v>
      </c>
      <c r="D1872" s="5">
        <v>1</v>
      </c>
      <c r="E1872" s="6">
        <v>485</v>
      </c>
      <c r="F1872" s="11">
        <v>0</v>
      </c>
      <c r="G1872" s="27">
        <f t="shared" ref="G1872:G1876" si="549">+D1872*4.83333333333333</f>
        <v>4.8333333333333304</v>
      </c>
      <c r="H1872" s="13">
        <f t="shared" ref="H1872:H1876" si="550">+E1872*1475681/80400</f>
        <v>8901.8070273631838</v>
      </c>
      <c r="I1872" s="13">
        <f t="shared" ref="I1872:I1876" si="551">+F1872*18.3539622641509</f>
        <v>0</v>
      </c>
      <c r="J1872" s="51">
        <f t="shared" si="529"/>
        <v>8901.8070273631838</v>
      </c>
    </row>
    <row r="1873" spans="1:10" x14ac:dyDescent="0.25">
      <c r="A1873" s="4" t="s">
        <v>161</v>
      </c>
      <c r="B1873" s="5" t="s">
        <v>217</v>
      </c>
      <c r="C1873" s="5" t="s">
        <v>218</v>
      </c>
      <c r="D1873" s="5">
        <v>1</v>
      </c>
      <c r="E1873" s="6">
        <v>1656</v>
      </c>
      <c r="F1873" s="6">
        <v>1325</v>
      </c>
      <c r="G1873" s="27">
        <f t="shared" si="549"/>
        <v>4.8333333333333304</v>
      </c>
      <c r="H1873" s="13">
        <f t="shared" si="550"/>
        <v>30394.623582089553</v>
      </c>
      <c r="I1873" s="13">
        <f t="shared" si="551"/>
        <v>24318.999999999945</v>
      </c>
      <c r="J1873" s="51">
        <f t="shared" si="529"/>
        <v>54713.623582089494</v>
      </c>
    </row>
    <row r="1874" spans="1:10" x14ac:dyDescent="0.25">
      <c r="A1874" s="4" t="s">
        <v>161</v>
      </c>
      <c r="B1874" s="5" t="s">
        <v>228</v>
      </c>
      <c r="C1874" s="5" t="s">
        <v>229</v>
      </c>
      <c r="D1874" s="5">
        <v>1</v>
      </c>
      <c r="E1874" s="6">
        <v>970</v>
      </c>
      <c r="F1874" s="11">
        <v>0</v>
      </c>
      <c r="G1874" s="27">
        <f t="shared" si="549"/>
        <v>4.8333333333333304</v>
      </c>
      <c r="H1874" s="13">
        <f t="shared" si="550"/>
        <v>17803.614054726368</v>
      </c>
      <c r="I1874" s="13">
        <f t="shared" si="551"/>
        <v>0</v>
      </c>
      <c r="J1874" s="51">
        <f t="shared" si="529"/>
        <v>17803.614054726368</v>
      </c>
    </row>
    <row r="1875" spans="1:10" x14ac:dyDescent="0.25">
      <c r="A1875" s="4" t="s">
        <v>161</v>
      </c>
      <c r="B1875" s="5" t="s">
        <v>262</v>
      </c>
      <c r="C1875" s="5" t="s">
        <v>263</v>
      </c>
      <c r="D1875" s="5">
        <v>1</v>
      </c>
      <c r="E1875" s="6">
        <v>75833</v>
      </c>
      <c r="F1875" s="11">
        <v>0</v>
      </c>
      <c r="G1875" s="27">
        <f t="shared" si="549"/>
        <v>4.8333333333333304</v>
      </c>
      <c r="H1875" s="13">
        <f t="shared" si="550"/>
        <v>1391857.1800124377</v>
      </c>
      <c r="I1875" s="13">
        <f t="shared" si="551"/>
        <v>0</v>
      </c>
      <c r="J1875" s="51">
        <f t="shared" si="529"/>
        <v>1391857.1800124377</v>
      </c>
    </row>
    <row r="1876" spans="1:10" x14ac:dyDescent="0.25">
      <c r="A1876" s="15" t="s">
        <v>161</v>
      </c>
      <c r="B1876" s="16" t="s">
        <v>256</v>
      </c>
      <c r="C1876" s="16" t="s">
        <v>212</v>
      </c>
      <c r="D1876" s="16">
        <v>1</v>
      </c>
      <c r="E1876" s="17">
        <v>728</v>
      </c>
      <c r="F1876" s="18">
        <v>0</v>
      </c>
      <c r="G1876" s="27">
        <f t="shared" si="549"/>
        <v>4.8333333333333304</v>
      </c>
      <c r="H1876" s="13">
        <f t="shared" si="550"/>
        <v>13361.887661691542</v>
      </c>
      <c r="I1876" s="13">
        <f t="shared" si="551"/>
        <v>0</v>
      </c>
      <c r="J1876" s="51">
        <f t="shared" si="529"/>
        <v>13361.887661691542</v>
      </c>
    </row>
    <row r="1877" spans="1:10" s="3" customFormat="1" x14ac:dyDescent="0.25">
      <c r="A1877" s="4"/>
      <c r="B1877" s="20" t="s">
        <v>388</v>
      </c>
      <c r="C1877" s="21"/>
      <c r="D1877" s="21"/>
      <c r="E1877" s="22"/>
      <c r="F1877" s="29"/>
      <c r="G1877" s="47">
        <f>SUM(G1871:G1876)</f>
        <v>28.999999999999979</v>
      </c>
      <c r="H1877" s="47">
        <f t="shared" ref="H1877:J1877" si="552">SUM(H1871:H1876)</f>
        <v>1475681</v>
      </c>
      <c r="I1877" s="47">
        <f t="shared" si="552"/>
        <v>24318.999999999945</v>
      </c>
      <c r="J1877" s="47">
        <f t="shared" si="552"/>
        <v>1499999.9999999998</v>
      </c>
    </row>
    <row r="1878" spans="1:10" x14ac:dyDescent="0.25">
      <c r="A1878" s="23" t="s">
        <v>162</v>
      </c>
      <c r="B1878" s="24" t="s">
        <v>213</v>
      </c>
      <c r="C1878" s="24" t="s">
        <v>212</v>
      </c>
      <c r="D1878" s="24">
        <v>1</v>
      </c>
      <c r="E1878" s="25">
        <v>728</v>
      </c>
      <c r="F1878" s="30">
        <v>0</v>
      </c>
      <c r="G1878" s="27">
        <f>+D1878*4.8</f>
        <v>4.8</v>
      </c>
      <c r="H1878" s="13">
        <f>+E1878*872000/12158</f>
        <v>52213.850962329328</v>
      </c>
      <c r="I1878" s="13">
        <f>+F1878*628000/8756</f>
        <v>0</v>
      </c>
      <c r="J1878" s="51">
        <f t="shared" si="529"/>
        <v>52213.850962329328</v>
      </c>
    </row>
    <row r="1879" spans="1:10" x14ac:dyDescent="0.25">
      <c r="A1879" s="4" t="s">
        <v>162</v>
      </c>
      <c r="B1879" s="5" t="s">
        <v>214</v>
      </c>
      <c r="C1879" s="5" t="s">
        <v>210</v>
      </c>
      <c r="D1879" s="5">
        <v>1</v>
      </c>
      <c r="E1879" s="6">
        <v>485</v>
      </c>
      <c r="F1879" s="11">
        <v>0</v>
      </c>
      <c r="G1879" s="27">
        <f t="shared" ref="G1879:G1882" si="553">+D1879*4.8</f>
        <v>4.8</v>
      </c>
      <c r="H1879" s="13">
        <f t="shared" ref="H1879:H1882" si="554">+E1879*872000/12158</f>
        <v>34785.326533969404</v>
      </c>
      <c r="I1879" s="13">
        <f t="shared" ref="I1879:I1882" si="555">+F1879*628000/8756</f>
        <v>0</v>
      </c>
      <c r="J1879" s="51">
        <f t="shared" si="529"/>
        <v>34785.326533969404</v>
      </c>
    </row>
    <row r="1880" spans="1:10" x14ac:dyDescent="0.25">
      <c r="A1880" s="4" t="s">
        <v>162</v>
      </c>
      <c r="B1880" s="5" t="s">
        <v>217</v>
      </c>
      <c r="C1880" s="5" t="s">
        <v>218</v>
      </c>
      <c r="D1880" s="5">
        <v>1</v>
      </c>
      <c r="E1880" s="6">
        <v>1656</v>
      </c>
      <c r="F1880" s="6">
        <v>1325</v>
      </c>
      <c r="G1880" s="27">
        <f t="shared" si="553"/>
        <v>4.8</v>
      </c>
      <c r="H1880" s="13">
        <f t="shared" si="554"/>
        <v>118772.16647474913</v>
      </c>
      <c r="I1880" s="13">
        <f t="shared" si="555"/>
        <v>95031.978072179074</v>
      </c>
      <c r="J1880" s="51">
        <f t="shared" si="529"/>
        <v>213804.1445469282</v>
      </c>
    </row>
    <row r="1881" spans="1:10" x14ac:dyDescent="0.25">
      <c r="A1881" s="4" t="s">
        <v>162</v>
      </c>
      <c r="B1881" s="5" t="s">
        <v>247</v>
      </c>
      <c r="C1881" s="5" t="s">
        <v>244</v>
      </c>
      <c r="D1881" s="5">
        <v>1</v>
      </c>
      <c r="E1881" s="6">
        <v>1706</v>
      </c>
      <c r="F1881" s="6">
        <v>1365</v>
      </c>
      <c r="G1881" s="27">
        <f t="shared" si="553"/>
        <v>4.8</v>
      </c>
      <c r="H1881" s="13">
        <f t="shared" si="554"/>
        <v>122358.28261227175</v>
      </c>
      <c r="I1881" s="13">
        <f t="shared" si="555"/>
        <v>97900.867976244859</v>
      </c>
      <c r="J1881" s="51">
        <f t="shared" si="529"/>
        <v>220259.15058851661</v>
      </c>
    </row>
    <row r="1882" spans="1:10" x14ac:dyDescent="0.25">
      <c r="A1882" s="15" t="s">
        <v>162</v>
      </c>
      <c r="B1882" s="16" t="s">
        <v>249</v>
      </c>
      <c r="C1882" s="16" t="s">
        <v>250</v>
      </c>
      <c r="D1882" s="16">
        <v>1</v>
      </c>
      <c r="E1882" s="17">
        <v>7583</v>
      </c>
      <c r="F1882" s="17">
        <v>6066</v>
      </c>
      <c r="G1882" s="27">
        <f t="shared" si="553"/>
        <v>4.8</v>
      </c>
      <c r="H1882" s="13">
        <f t="shared" si="554"/>
        <v>543870.37341668038</v>
      </c>
      <c r="I1882" s="13">
        <f t="shared" si="555"/>
        <v>435067.15395157604</v>
      </c>
      <c r="J1882" s="51">
        <f t="shared" si="529"/>
        <v>978937.52736825636</v>
      </c>
    </row>
    <row r="1883" spans="1:10" s="3" customFormat="1" x14ac:dyDescent="0.25">
      <c r="A1883" s="4"/>
      <c r="B1883" s="20" t="s">
        <v>389</v>
      </c>
      <c r="C1883" s="21"/>
      <c r="D1883" s="21"/>
      <c r="E1883" s="22"/>
      <c r="F1883" s="22"/>
      <c r="G1883" s="47">
        <f>SUM(G1878:G1882)</f>
        <v>24</v>
      </c>
      <c r="H1883" s="47">
        <f t="shared" ref="H1883:J1883" si="556">SUM(H1878:H1882)</f>
        <v>872000</v>
      </c>
      <c r="I1883" s="47">
        <f t="shared" si="556"/>
        <v>628000</v>
      </c>
      <c r="J1883" s="47">
        <f t="shared" si="556"/>
        <v>1500000</v>
      </c>
    </row>
    <row r="1884" spans="1:10" x14ac:dyDescent="0.25">
      <c r="A1884" s="23" t="s">
        <v>163</v>
      </c>
      <c r="B1884" s="24" t="s">
        <v>213</v>
      </c>
      <c r="C1884" s="24" t="s">
        <v>212</v>
      </c>
      <c r="D1884" s="24">
        <v>5</v>
      </c>
      <c r="E1884" s="25">
        <v>3640</v>
      </c>
      <c r="F1884" s="30">
        <v>0</v>
      </c>
      <c r="G1884" s="27">
        <f>+D1884*4.77777777777778</f>
        <v>23.8888888888889</v>
      </c>
      <c r="H1884" s="13">
        <f>+E1884*1077864/10456</f>
        <v>375231.92042846215</v>
      </c>
      <c r="I1884" s="13">
        <f>+F1884*422136/4095</f>
        <v>0</v>
      </c>
      <c r="J1884" s="51">
        <f t="shared" si="529"/>
        <v>375231.92042846215</v>
      </c>
    </row>
    <row r="1885" spans="1:10" x14ac:dyDescent="0.25">
      <c r="A1885" s="4" t="s">
        <v>163</v>
      </c>
      <c r="B1885" s="5" t="s">
        <v>230</v>
      </c>
      <c r="C1885" s="5" t="s">
        <v>229</v>
      </c>
      <c r="D1885" s="5">
        <v>1</v>
      </c>
      <c r="E1885" s="6">
        <v>970</v>
      </c>
      <c r="F1885" s="11">
        <v>0</v>
      </c>
      <c r="G1885" s="27">
        <f t="shared" ref="G1885:G1888" si="557">+D1885*4.77777777777778</f>
        <v>4.7777777777777803</v>
      </c>
      <c r="H1885" s="13">
        <f t="shared" ref="H1885:H1888" si="558">+E1885*1077864/10456</f>
        <v>99993.121652639631</v>
      </c>
      <c r="I1885" s="13">
        <f t="shared" ref="I1885:I1888" si="559">+F1885*422136/4095</f>
        <v>0</v>
      </c>
      <c r="J1885" s="51">
        <f t="shared" si="529"/>
        <v>99993.121652639631</v>
      </c>
    </row>
    <row r="1886" spans="1:10" x14ac:dyDescent="0.25">
      <c r="A1886" s="4" t="s">
        <v>163</v>
      </c>
      <c r="B1886" s="5" t="s">
        <v>241</v>
      </c>
      <c r="C1886" s="5" t="s">
        <v>236</v>
      </c>
      <c r="D1886" s="5">
        <v>1</v>
      </c>
      <c r="E1886" s="6">
        <v>3412</v>
      </c>
      <c r="F1886" s="6">
        <v>2730</v>
      </c>
      <c r="G1886" s="27">
        <f t="shared" si="557"/>
        <v>4.7777777777777803</v>
      </c>
      <c r="H1886" s="13">
        <f t="shared" si="558"/>
        <v>351728.38255547057</v>
      </c>
      <c r="I1886" s="13">
        <f t="shared" si="559"/>
        <v>281424</v>
      </c>
      <c r="J1886" s="51">
        <f t="shared" si="529"/>
        <v>633152.38255547057</v>
      </c>
    </row>
    <row r="1887" spans="1:10" x14ac:dyDescent="0.25">
      <c r="A1887" s="4" t="s">
        <v>163</v>
      </c>
      <c r="B1887" s="5" t="s">
        <v>247</v>
      </c>
      <c r="C1887" s="5" t="s">
        <v>244</v>
      </c>
      <c r="D1887" s="5">
        <v>1</v>
      </c>
      <c r="E1887" s="6">
        <v>1706</v>
      </c>
      <c r="F1887" s="6">
        <v>1365</v>
      </c>
      <c r="G1887" s="27">
        <f t="shared" si="557"/>
        <v>4.7777777777777803</v>
      </c>
      <c r="H1887" s="13">
        <f t="shared" si="558"/>
        <v>175864.19127773528</v>
      </c>
      <c r="I1887" s="13">
        <f t="shared" si="559"/>
        <v>140712</v>
      </c>
      <c r="J1887" s="51">
        <f t="shared" si="529"/>
        <v>316576.19127773528</v>
      </c>
    </row>
    <row r="1888" spans="1:10" x14ac:dyDescent="0.25">
      <c r="A1888" s="15" t="s">
        <v>163</v>
      </c>
      <c r="B1888" s="16" t="s">
        <v>252</v>
      </c>
      <c r="C1888" s="16" t="s">
        <v>212</v>
      </c>
      <c r="D1888" s="16">
        <v>1</v>
      </c>
      <c r="E1888" s="17">
        <v>728</v>
      </c>
      <c r="F1888" s="18">
        <v>0</v>
      </c>
      <c r="G1888" s="27">
        <f t="shared" si="557"/>
        <v>4.7777777777777803</v>
      </c>
      <c r="H1888" s="13">
        <f t="shared" si="558"/>
        <v>75046.384085692422</v>
      </c>
      <c r="I1888" s="13">
        <f t="shared" si="559"/>
        <v>0</v>
      </c>
      <c r="J1888" s="51">
        <f t="shared" si="529"/>
        <v>75046.384085692422</v>
      </c>
    </row>
    <row r="1889" spans="1:10" s="3" customFormat="1" x14ac:dyDescent="0.25">
      <c r="A1889" s="15"/>
      <c r="B1889" s="20" t="s">
        <v>390</v>
      </c>
      <c r="C1889" s="20"/>
      <c r="D1889" s="20"/>
      <c r="E1889" s="42"/>
      <c r="F1889" s="40"/>
      <c r="G1889" s="47">
        <f>SUM(G1884:G1888)</f>
        <v>43.000000000000014</v>
      </c>
      <c r="H1889" s="47">
        <f t="shared" ref="H1889:J1889" si="560">SUM(H1884:H1888)</f>
        <v>1077864</v>
      </c>
      <c r="I1889" s="47">
        <f t="shared" si="560"/>
        <v>422136</v>
      </c>
      <c r="J1889" s="47">
        <f t="shared" si="560"/>
        <v>1500000</v>
      </c>
    </row>
    <row r="1890" spans="1:10" x14ac:dyDescent="0.25">
      <c r="A1890" s="36" t="s">
        <v>164</v>
      </c>
      <c r="B1890" s="34" t="s">
        <v>241</v>
      </c>
      <c r="C1890" s="34" t="s">
        <v>236</v>
      </c>
      <c r="D1890" s="34">
        <v>2</v>
      </c>
      <c r="E1890" s="35">
        <v>13650</v>
      </c>
      <c r="F1890" s="35">
        <v>5460</v>
      </c>
      <c r="G1890" s="27">
        <f>+D1890*5</f>
        <v>10</v>
      </c>
      <c r="H1890" s="13">
        <f>+E1890*1071429/13650</f>
        <v>1071429</v>
      </c>
      <c r="I1890" s="13">
        <v>428571</v>
      </c>
      <c r="J1890" s="51">
        <f t="shared" si="529"/>
        <v>1500000</v>
      </c>
    </row>
    <row r="1891" spans="1:10" s="3" customFormat="1" x14ac:dyDescent="0.25">
      <c r="A1891" s="23"/>
      <c r="B1891" s="1" t="s">
        <v>391</v>
      </c>
      <c r="C1891" s="37"/>
      <c r="D1891" s="37"/>
      <c r="E1891" s="43"/>
      <c r="F1891" s="43"/>
      <c r="G1891" s="47">
        <f>SUM(G1890)</f>
        <v>10</v>
      </c>
      <c r="H1891" s="47">
        <f t="shared" ref="H1891:J1891" si="561">SUM(H1890)</f>
        <v>1071429</v>
      </c>
      <c r="I1891" s="47">
        <f t="shared" si="561"/>
        <v>428571</v>
      </c>
      <c r="J1891" s="47">
        <f t="shared" si="561"/>
        <v>1500000</v>
      </c>
    </row>
    <row r="1892" spans="1:10" x14ac:dyDescent="0.25">
      <c r="A1892" s="23" t="s">
        <v>165</v>
      </c>
      <c r="B1892" s="24" t="s">
        <v>207</v>
      </c>
      <c r="C1892" s="24" t="s">
        <v>208</v>
      </c>
      <c r="D1892" s="24">
        <v>1</v>
      </c>
      <c r="E1892" s="25">
        <v>11648</v>
      </c>
      <c r="F1892" s="25">
        <v>4659</v>
      </c>
      <c r="G1892" s="27">
        <f>+D1892*4.77777777777778</f>
        <v>4.7777777777777803</v>
      </c>
      <c r="H1892" s="13">
        <f>+E1892*2381956/448709</f>
        <v>61832.99975708087</v>
      </c>
      <c r="I1892" s="13">
        <f>+F1892*118044/22237</f>
        <v>24732.067994783469</v>
      </c>
      <c r="J1892" s="51">
        <f t="shared" si="529"/>
        <v>86565.067751864335</v>
      </c>
    </row>
    <row r="1893" spans="1:10" x14ac:dyDescent="0.25">
      <c r="A1893" s="4" t="s">
        <v>165</v>
      </c>
      <c r="B1893" s="5" t="s">
        <v>213</v>
      </c>
      <c r="C1893" s="5" t="s">
        <v>212</v>
      </c>
      <c r="D1893" s="5">
        <v>2</v>
      </c>
      <c r="E1893" s="6">
        <v>2912</v>
      </c>
      <c r="F1893" s="11">
        <v>0</v>
      </c>
      <c r="G1893" s="27">
        <f t="shared" ref="G1893:G1906" si="562">+D1893*4.77777777777778</f>
        <v>9.5555555555555607</v>
      </c>
      <c r="H1893" s="13">
        <f t="shared" ref="H1893:H1906" si="563">+E1893*2381956/448709</f>
        <v>15458.249939270218</v>
      </c>
      <c r="I1893" s="13">
        <f t="shared" ref="I1893:I1906" si="564">+F1893*118044/22237</f>
        <v>0</v>
      </c>
      <c r="J1893" s="51">
        <f t="shared" si="529"/>
        <v>15458.249939270218</v>
      </c>
    </row>
    <row r="1894" spans="1:10" x14ac:dyDescent="0.25">
      <c r="A1894" s="4" t="s">
        <v>165</v>
      </c>
      <c r="B1894" s="5" t="s">
        <v>214</v>
      </c>
      <c r="C1894" s="5" t="s">
        <v>210</v>
      </c>
      <c r="D1894" s="5">
        <v>5</v>
      </c>
      <c r="E1894" s="6">
        <v>4850</v>
      </c>
      <c r="F1894" s="11">
        <v>0</v>
      </c>
      <c r="G1894" s="27">
        <f t="shared" si="562"/>
        <v>23.8888888888889</v>
      </c>
      <c r="H1894" s="13">
        <f t="shared" si="563"/>
        <v>25746.055015611455</v>
      </c>
      <c r="I1894" s="13">
        <f t="shared" si="564"/>
        <v>0</v>
      </c>
      <c r="J1894" s="51">
        <f t="shared" si="529"/>
        <v>25746.055015611455</v>
      </c>
    </row>
    <row r="1895" spans="1:10" x14ac:dyDescent="0.25">
      <c r="A1895" s="4" t="s">
        <v>165</v>
      </c>
      <c r="B1895" s="5" t="s">
        <v>215</v>
      </c>
      <c r="C1895" s="5" t="s">
        <v>212</v>
      </c>
      <c r="D1895" s="5">
        <v>1</v>
      </c>
      <c r="E1895" s="6">
        <v>1456</v>
      </c>
      <c r="F1895" s="11">
        <v>0</v>
      </c>
      <c r="G1895" s="27">
        <f t="shared" si="562"/>
        <v>4.7777777777777803</v>
      </c>
      <c r="H1895" s="13">
        <f t="shared" si="563"/>
        <v>7729.1249696351088</v>
      </c>
      <c r="I1895" s="13">
        <f t="shared" si="564"/>
        <v>0</v>
      </c>
      <c r="J1895" s="51">
        <f t="shared" si="529"/>
        <v>7729.1249696351088</v>
      </c>
    </row>
    <row r="1896" spans="1:10" x14ac:dyDescent="0.25">
      <c r="A1896" s="4" t="s">
        <v>165</v>
      </c>
      <c r="B1896" s="5" t="s">
        <v>216</v>
      </c>
      <c r="C1896" s="5" t="s">
        <v>210</v>
      </c>
      <c r="D1896" s="5">
        <v>2</v>
      </c>
      <c r="E1896" s="6">
        <v>1940</v>
      </c>
      <c r="F1896" s="11">
        <v>0</v>
      </c>
      <c r="G1896" s="27">
        <f t="shared" si="562"/>
        <v>9.5555555555555607</v>
      </c>
      <c r="H1896" s="13">
        <f t="shared" si="563"/>
        <v>10298.422006244582</v>
      </c>
      <c r="I1896" s="13">
        <f t="shared" si="564"/>
        <v>0</v>
      </c>
      <c r="J1896" s="51">
        <f t="shared" ref="J1896:J1959" si="565">SUM(H1896:I1896)</f>
        <v>10298.422006244582</v>
      </c>
    </row>
    <row r="1897" spans="1:10" x14ac:dyDescent="0.25">
      <c r="A1897" s="4" t="s">
        <v>165</v>
      </c>
      <c r="B1897" s="5" t="s">
        <v>219</v>
      </c>
      <c r="C1897" s="5" t="s">
        <v>220</v>
      </c>
      <c r="D1897" s="5">
        <v>2</v>
      </c>
      <c r="E1897" s="6">
        <v>6794</v>
      </c>
      <c r="F1897" s="6">
        <v>2716</v>
      </c>
      <c r="G1897" s="27">
        <f t="shared" si="562"/>
        <v>9.5555555555555607</v>
      </c>
      <c r="H1897" s="13">
        <f t="shared" si="563"/>
        <v>36065.710881662722</v>
      </c>
      <c r="I1897" s="13">
        <f t="shared" si="564"/>
        <v>14417.749876332238</v>
      </c>
      <c r="J1897" s="51">
        <f t="shared" si="565"/>
        <v>50483.460757994959</v>
      </c>
    </row>
    <row r="1898" spans="1:10" x14ac:dyDescent="0.25">
      <c r="A1898" s="4" t="s">
        <v>165</v>
      </c>
      <c r="B1898" s="5" t="s">
        <v>223</v>
      </c>
      <c r="C1898" s="5" t="s">
        <v>224</v>
      </c>
      <c r="D1898" s="5">
        <v>7</v>
      </c>
      <c r="E1898" s="11">
        <v>0</v>
      </c>
      <c r="F1898" s="11">
        <v>0</v>
      </c>
      <c r="G1898" s="27">
        <f t="shared" si="562"/>
        <v>33.444444444444464</v>
      </c>
      <c r="H1898" s="13">
        <f t="shared" si="563"/>
        <v>0</v>
      </c>
      <c r="I1898" s="13">
        <f t="shared" si="564"/>
        <v>0</v>
      </c>
      <c r="J1898" s="51">
        <f t="shared" si="565"/>
        <v>0</v>
      </c>
    </row>
    <row r="1899" spans="1:10" x14ac:dyDescent="0.25">
      <c r="A1899" s="4" t="s">
        <v>165</v>
      </c>
      <c r="B1899" s="5" t="s">
        <v>228</v>
      </c>
      <c r="C1899" s="5" t="s">
        <v>229</v>
      </c>
      <c r="D1899" s="5">
        <v>5</v>
      </c>
      <c r="E1899" s="6">
        <v>9705</v>
      </c>
      <c r="F1899" s="11">
        <v>0</v>
      </c>
      <c r="G1899" s="27">
        <f t="shared" si="562"/>
        <v>23.8888888888889</v>
      </c>
      <c r="H1899" s="13">
        <f t="shared" si="563"/>
        <v>51518.65235598127</v>
      </c>
      <c r="I1899" s="13">
        <f t="shared" si="564"/>
        <v>0</v>
      </c>
      <c r="J1899" s="51">
        <f t="shared" si="565"/>
        <v>51518.65235598127</v>
      </c>
    </row>
    <row r="1900" spans="1:10" x14ac:dyDescent="0.25">
      <c r="A1900" s="4" t="s">
        <v>165</v>
      </c>
      <c r="B1900" s="5" t="s">
        <v>230</v>
      </c>
      <c r="C1900" s="5" t="s">
        <v>229</v>
      </c>
      <c r="D1900" s="5">
        <v>2</v>
      </c>
      <c r="E1900" s="6">
        <v>3882</v>
      </c>
      <c r="F1900" s="11">
        <v>0</v>
      </c>
      <c r="G1900" s="27">
        <f t="shared" si="562"/>
        <v>9.5555555555555607</v>
      </c>
      <c r="H1900" s="13">
        <f t="shared" si="563"/>
        <v>20607.460942392507</v>
      </c>
      <c r="I1900" s="13">
        <f t="shared" si="564"/>
        <v>0</v>
      </c>
      <c r="J1900" s="51">
        <f t="shared" si="565"/>
        <v>20607.460942392507</v>
      </c>
    </row>
    <row r="1901" spans="1:10" x14ac:dyDescent="0.25">
      <c r="A1901" s="4" t="s">
        <v>165</v>
      </c>
      <c r="B1901" s="5" t="s">
        <v>231</v>
      </c>
      <c r="C1901" s="5" t="s">
        <v>232</v>
      </c>
      <c r="D1901" s="5">
        <v>1</v>
      </c>
      <c r="E1901" s="6">
        <v>212333</v>
      </c>
      <c r="F1901" s="11">
        <v>0</v>
      </c>
      <c r="G1901" s="27">
        <f t="shared" si="562"/>
        <v>4.7777777777777803</v>
      </c>
      <c r="H1901" s="13">
        <f t="shared" si="563"/>
        <v>1127162.2885834696</v>
      </c>
      <c r="I1901" s="13">
        <f t="shared" si="564"/>
        <v>0</v>
      </c>
      <c r="J1901" s="51">
        <f t="shared" si="565"/>
        <v>1127162.2885834696</v>
      </c>
    </row>
    <row r="1902" spans="1:10" x14ac:dyDescent="0.25">
      <c r="A1902" s="4" t="s">
        <v>165</v>
      </c>
      <c r="B1902" s="5" t="s">
        <v>262</v>
      </c>
      <c r="C1902" s="5" t="s">
        <v>263</v>
      </c>
      <c r="D1902" s="5">
        <v>1</v>
      </c>
      <c r="E1902" s="6">
        <v>151666</v>
      </c>
      <c r="F1902" s="11">
        <v>0</v>
      </c>
      <c r="G1902" s="27">
        <f t="shared" si="562"/>
        <v>4.7777777777777803</v>
      </c>
      <c r="H1902" s="13">
        <f t="shared" si="563"/>
        <v>805113.64536035608</v>
      </c>
      <c r="I1902" s="13">
        <f t="shared" si="564"/>
        <v>0</v>
      </c>
      <c r="J1902" s="51">
        <f t="shared" si="565"/>
        <v>805113.64536035608</v>
      </c>
    </row>
    <row r="1903" spans="1:10" x14ac:dyDescent="0.25">
      <c r="A1903" s="4" t="s">
        <v>165</v>
      </c>
      <c r="B1903" s="5" t="s">
        <v>235</v>
      </c>
      <c r="C1903" s="5" t="s">
        <v>236</v>
      </c>
      <c r="D1903" s="5">
        <v>1</v>
      </c>
      <c r="E1903" s="6">
        <v>6825</v>
      </c>
      <c r="F1903" s="6">
        <v>2730</v>
      </c>
      <c r="G1903" s="27">
        <f t="shared" si="562"/>
        <v>4.7777777777777803</v>
      </c>
      <c r="H1903" s="13">
        <f t="shared" si="563"/>
        <v>36230.273295164574</v>
      </c>
      <c r="I1903" s="13">
        <f t="shared" si="564"/>
        <v>14492.068174663849</v>
      </c>
      <c r="J1903" s="51">
        <f t="shared" si="565"/>
        <v>50722.341469828425</v>
      </c>
    </row>
    <row r="1904" spans="1:10" x14ac:dyDescent="0.25">
      <c r="A1904" s="4" t="s">
        <v>165</v>
      </c>
      <c r="B1904" s="5" t="s">
        <v>249</v>
      </c>
      <c r="C1904" s="5" t="s">
        <v>250</v>
      </c>
      <c r="D1904" s="5">
        <v>2</v>
      </c>
      <c r="E1904" s="6">
        <v>30332</v>
      </c>
      <c r="F1904" s="6">
        <v>12132</v>
      </c>
      <c r="G1904" s="27">
        <f t="shared" si="562"/>
        <v>9.5555555555555607</v>
      </c>
      <c r="H1904" s="13">
        <f t="shared" si="563"/>
        <v>161016.3589141292</v>
      </c>
      <c r="I1904" s="13">
        <f t="shared" si="564"/>
        <v>64402.11395422044</v>
      </c>
      <c r="J1904" s="51">
        <f t="shared" si="565"/>
        <v>225418.47286834964</v>
      </c>
    </row>
    <row r="1905" spans="1:10" x14ac:dyDescent="0.25">
      <c r="A1905" s="4" t="s">
        <v>165</v>
      </c>
      <c r="B1905" s="5" t="s">
        <v>252</v>
      </c>
      <c r="C1905" s="5" t="s">
        <v>212</v>
      </c>
      <c r="D1905" s="5">
        <v>1</v>
      </c>
      <c r="E1905" s="6">
        <v>1456</v>
      </c>
      <c r="F1905" s="11">
        <v>0</v>
      </c>
      <c r="G1905" s="27">
        <f t="shared" si="562"/>
        <v>4.7777777777777803</v>
      </c>
      <c r="H1905" s="13">
        <f t="shared" si="563"/>
        <v>7729.1249696351088</v>
      </c>
      <c r="I1905" s="13">
        <f t="shared" si="564"/>
        <v>0</v>
      </c>
      <c r="J1905" s="51">
        <f t="shared" si="565"/>
        <v>7729.1249696351088</v>
      </c>
    </row>
    <row r="1906" spans="1:10" x14ac:dyDescent="0.25">
      <c r="A1906" s="15" t="s">
        <v>165</v>
      </c>
      <c r="B1906" s="16" t="s">
        <v>253</v>
      </c>
      <c r="C1906" s="16" t="s">
        <v>210</v>
      </c>
      <c r="D1906" s="16">
        <v>3</v>
      </c>
      <c r="E1906" s="17">
        <v>2910</v>
      </c>
      <c r="F1906" s="18">
        <v>0</v>
      </c>
      <c r="G1906" s="27">
        <f t="shared" si="562"/>
        <v>14.333333333333341</v>
      </c>
      <c r="H1906" s="13">
        <f t="shared" si="563"/>
        <v>15447.633009366873</v>
      </c>
      <c r="I1906" s="13">
        <f t="shared" si="564"/>
        <v>0</v>
      </c>
      <c r="J1906" s="51">
        <f t="shared" si="565"/>
        <v>15447.633009366873</v>
      </c>
    </row>
    <row r="1907" spans="1:10" s="3" customFormat="1" x14ac:dyDescent="0.25">
      <c r="A1907" s="4"/>
      <c r="B1907" s="20" t="s">
        <v>392</v>
      </c>
      <c r="C1907" s="21"/>
      <c r="D1907" s="21"/>
      <c r="E1907" s="22"/>
      <c r="F1907" s="29"/>
      <c r="G1907" s="47">
        <f>SUM(G1892:G1906)</f>
        <v>172.00000000000006</v>
      </c>
      <c r="H1907" s="47">
        <f t="shared" ref="H1907:J1907" si="566">SUM(H1892:H1906)</f>
        <v>2381956</v>
      </c>
      <c r="I1907" s="47">
        <f t="shared" si="566"/>
        <v>118044</v>
      </c>
      <c r="J1907" s="47">
        <f t="shared" si="566"/>
        <v>2500000</v>
      </c>
    </row>
    <row r="1908" spans="1:10" x14ac:dyDescent="0.25">
      <c r="A1908" s="23" t="s">
        <v>166</v>
      </c>
      <c r="B1908" s="24" t="s">
        <v>209</v>
      </c>
      <c r="C1908" s="24" t="s">
        <v>210</v>
      </c>
      <c r="D1908" s="24">
        <v>1</v>
      </c>
      <c r="E1908" s="25">
        <v>485</v>
      </c>
      <c r="F1908" s="30">
        <v>0</v>
      </c>
      <c r="G1908" s="27">
        <f>+D1908*4.78571428571429</f>
        <v>4.78571428571429</v>
      </c>
      <c r="H1908" s="13">
        <f>+E1908*1285010/20715</f>
        <v>30085.920830316198</v>
      </c>
      <c r="I1908" s="13">
        <f>+F1908*714990/11526</f>
        <v>0</v>
      </c>
      <c r="J1908" s="51">
        <f t="shared" si="565"/>
        <v>30085.920830316198</v>
      </c>
    </row>
    <row r="1909" spans="1:10" x14ac:dyDescent="0.25">
      <c r="A1909" s="4" t="s">
        <v>166</v>
      </c>
      <c r="B1909" s="5" t="s">
        <v>213</v>
      </c>
      <c r="C1909" s="5" t="s">
        <v>212</v>
      </c>
      <c r="D1909" s="5">
        <v>3</v>
      </c>
      <c r="E1909" s="6">
        <v>2184</v>
      </c>
      <c r="F1909" s="11">
        <v>0</v>
      </c>
      <c r="G1909" s="27">
        <f t="shared" ref="G1909:G1916" si="567">+D1909*4.78571428571429</f>
        <v>14.35714285714287</v>
      </c>
      <c r="H1909" s="13">
        <f t="shared" ref="H1909:H1916" si="568">+E1909*1285010/20715</f>
        <v>135479.69297610427</v>
      </c>
      <c r="I1909" s="13">
        <f t="shared" ref="I1909:I1916" si="569">+F1909*714990/11526</f>
        <v>0</v>
      </c>
      <c r="J1909" s="51">
        <f t="shared" si="565"/>
        <v>135479.69297610427</v>
      </c>
    </row>
    <row r="1910" spans="1:10" x14ac:dyDescent="0.25">
      <c r="A1910" s="4" t="s">
        <v>166</v>
      </c>
      <c r="B1910" s="5" t="s">
        <v>223</v>
      </c>
      <c r="C1910" s="5" t="s">
        <v>224</v>
      </c>
      <c r="D1910" s="5">
        <v>1</v>
      </c>
      <c r="E1910" s="11">
        <v>0</v>
      </c>
      <c r="F1910" s="11">
        <v>0</v>
      </c>
      <c r="G1910" s="27">
        <f t="shared" si="567"/>
        <v>4.78571428571429</v>
      </c>
      <c r="H1910" s="13">
        <f t="shared" si="568"/>
        <v>0</v>
      </c>
      <c r="I1910" s="13">
        <f t="shared" si="569"/>
        <v>0</v>
      </c>
      <c r="J1910" s="51">
        <f t="shared" si="565"/>
        <v>0</v>
      </c>
    </row>
    <row r="1911" spans="1:10" x14ac:dyDescent="0.25">
      <c r="A1911" s="4" t="s">
        <v>166</v>
      </c>
      <c r="B1911" s="5" t="s">
        <v>266</v>
      </c>
      <c r="C1911" s="5" t="s">
        <v>210</v>
      </c>
      <c r="D1911" s="5">
        <v>1</v>
      </c>
      <c r="E1911" s="6">
        <v>485</v>
      </c>
      <c r="F1911" s="11">
        <v>0</v>
      </c>
      <c r="G1911" s="27">
        <f t="shared" si="567"/>
        <v>4.78571428571429</v>
      </c>
      <c r="H1911" s="13">
        <f t="shared" si="568"/>
        <v>30085.920830316198</v>
      </c>
      <c r="I1911" s="13">
        <f t="shared" si="569"/>
        <v>0</v>
      </c>
      <c r="J1911" s="51">
        <f t="shared" si="565"/>
        <v>30085.920830316198</v>
      </c>
    </row>
    <row r="1912" spans="1:10" x14ac:dyDescent="0.25">
      <c r="A1912" s="4" t="s">
        <v>166</v>
      </c>
      <c r="B1912" s="5" t="s">
        <v>226</v>
      </c>
      <c r="C1912" s="5" t="s">
        <v>210</v>
      </c>
      <c r="D1912" s="5">
        <v>2</v>
      </c>
      <c r="E1912" s="6">
        <v>970</v>
      </c>
      <c r="F1912" s="11">
        <v>0</v>
      </c>
      <c r="G1912" s="27">
        <f t="shared" si="567"/>
        <v>9.5714285714285801</v>
      </c>
      <c r="H1912" s="13">
        <f t="shared" si="568"/>
        <v>60171.841660632395</v>
      </c>
      <c r="I1912" s="13">
        <f t="shared" si="569"/>
        <v>0</v>
      </c>
      <c r="J1912" s="51">
        <f t="shared" si="565"/>
        <v>60171.841660632395</v>
      </c>
    </row>
    <row r="1913" spans="1:10" x14ac:dyDescent="0.25">
      <c r="A1913" s="4" t="s">
        <v>166</v>
      </c>
      <c r="B1913" s="5" t="s">
        <v>241</v>
      </c>
      <c r="C1913" s="5" t="s">
        <v>236</v>
      </c>
      <c r="D1913" s="5">
        <v>2</v>
      </c>
      <c r="E1913" s="6">
        <v>6824</v>
      </c>
      <c r="F1913" s="6">
        <v>5460</v>
      </c>
      <c r="G1913" s="27">
        <f t="shared" si="567"/>
        <v>9.5714285714285801</v>
      </c>
      <c r="H1913" s="13">
        <f t="shared" si="568"/>
        <v>423312.00772387162</v>
      </c>
      <c r="I1913" s="13">
        <f t="shared" si="569"/>
        <v>338699.06298802706</v>
      </c>
      <c r="J1913" s="51">
        <f t="shared" si="565"/>
        <v>762011.07071189862</v>
      </c>
    </row>
    <row r="1914" spans="1:10" x14ac:dyDescent="0.25">
      <c r="A1914" s="4" t="s">
        <v>166</v>
      </c>
      <c r="B1914" s="5" t="s">
        <v>249</v>
      </c>
      <c r="C1914" s="5" t="s">
        <v>250</v>
      </c>
      <c r="D1914" s="5">
        <v>1</v>
      </c>
      <c r="E1914" s="6">
        <v>7583</v>
      </c>
      <c r="F1914" s="6">
        <v>6066</v>
      </c>
      <c r="G1914" s="27">
        <f t="shared" si="567"/>
        <v>4.78571428571429</v>
      </c>
      <c r="H1914" s="13">
        <f t="shared" si="568"/>
        <v>470394.92300265509</v>
      </c>
      <c r="I1914" s="13">
        <f t="shared" si="569"/>
        <v>376290.93701197294</v>
      </c>
      <c r="J1914" s="51">
        <f t="shared" si="565"/>
        <v>846685.86001462804</v>
      </c>
    </row>
    <row r="1915" spans="1:10" x14ac:dyDescent="0.25">
      <c r="A1915" s="4" t="s">
        <v>166</v>
      </c>
      <c r="B1915" s="5" t="s">
        <v>252</v>
      </c>
      <c r="C1915" s="5" t="s">
        <v>212</v>
      </c>
      <c r="D1915" s="5">
        <v>2</v>
      </c>
      <c r="E1915" s="6">
        <v>1456</v>
      </c>
      <c r="F1915" s="11">
        <v>0</v>
      </c>
      <c r="G1915" s="27">
        <f t="shared" si="567"/>
        <v>9.5714285714285801</v>
      </c>
      <c r="H1915" s="13">
        <f t="shared" si="568"/>
        <v>90319.795317402852</v>
      </c>
      <c r="I1915" s="13">
        <f t="shared" si="569"/>
        <v>0</v>
      </c>
      <c r="J1915" s="51">
        <f t="shared" si="565"/>
        <v>90319.795317402852</v>
      </c>
    </row>
    <row r="1916" spans="1:10" x14ac:dyDescent="0.25">
      <c r="A1916" s="15" t="s">
        <v>166</v>
      </c>
      <c r="B1916" s="16" t="s">
        <v>254</v>
      </c>
      <c r="C1916" s="16" t="s">
        <v>212</v>
      </c>
      <c r="D1916" s="16">
        <v>1</v>
      </c>
      <c r="E1916" s="17">
        <v>728</v>
      </c>
      <c r="F1916" s="18">
        <v>0</v>
      </c>
      <c r="G1916" s="27">
        <f t="shared" si="567"/>
        <v>4.78571428571429</v>
      </c>
      <c r="H1916" s="13">
        <f t="shared" si="568"/>
        <v>45159.897658701426</v>
      </c>
      <c r="I1916" s="13">
        <f t="shared" si="569"/>
        <v>0</v>
      </c>
      <c r="J1916" s="51">
        <f t="shared" si="565"/>
        <v>45159.897658701426</v>
      </c>
    </row>
    <row r="1917" spans="1:10" s="3" customFormat="1" x14ac:dyDescent="0.25">
      <c r="A1917" s="4"/>
      <c r="B1917" s="20" t="s">
        <v>393</v>
      </c>
      <c r="C1917" s="21"/>
      <c r="D1917" s="21"/>
      <c r="E1917" s="22"/>
      <c r="F1917" s="29"/>
      <c r="G1917" s="47">
        <f>SUM(G1908:G1916)</f>
        <v>67.000000000000071</v>
      </c>
      <c r="H1917" s="47">
        <f t="shared" ref="H1917:J1917" si="570">SUM(H1908:H1916)</f>
        <v>1285010.0000000002</v>
      </c>
      <c r="I1917" s="47">
        <f t="shared" si="570"/>
        <v>714990</v>
      </c>
      <c r="J1917" s="47">
        <f t="shared" si="570"/>
        <v>2000000.0000000002</v>
      </c>
    </row>
    <row r="1918" spans="1:10" x14ac:dyDescent="0.25">
      <c r="A1918" s="23" t="s">
        <v>167</v>
      </c>
      <c r="B1918" s="24" t="s">
        <v>207</v>
      </c>
      <c r="C1918" s="24" t="s">
        <v>208</v>
      </c>
      <c r="D1918" s="24">
        <v>1</v>
      </c>
      <c r="E1918" s="25">
        <v>11648</v>
      </c>
      <c r="F1918" s="25">
        <v>4659</v>
      </c>
      <c r="G1918" s="27">
        <f>+D1918*4.78260869565217</f>
        <v>4.7826086956521703</v>
      </c>
      <c r="H1918" s="13">
        <f>+E1918*4755932/157071</f>
        <v>352688.24885561306</v>
      </c>
      <c r="I1918" s="13">
        <f>+F1918*1244068/41087</f>
        <v>141069.26307591208</v>
      </c>
      <c r="J1918" s="51">
        <f t="shared" si="565"/>
        <v>493757.51193152514</v>
      </c>
    </row>
    <row r="1919" spans="1:10" x14ac:dyDescent="0.25">
      <c r="A1919" s="4" t="s">
        <v>167</v>
      </c>
      <c r="B1919" s="5" t="s">
        <v>215</v>
      </c>
      <c r="C1919" s="5" t="s">
        <v>212</v>
      </c>
      <c r="D1919" s="5">
        <v>3</v>
      </c>
      <c r="E1919" s="6">
        <v>4368</v>
      </c>
      <c r="F1919" s="11">
        <v>0</v>
      </c>
      <c r="G1919" s="27">
        <f t="shared" ref="G1919:G1930" si="571">+D1919*4.78260869565217</f>
        <v>14.347826086956511</v>
      </c>
      <c r="H1919" s="13">
        <f t="shared" ref="H1919:H1930" si="572">+E1919*4755932/157071</f>
        <v>132258.09332085491</v>
      </c>
      <c r="I1919" s="13">
        <f t="shared" ref="I1919:I1930" si="573">+F1919*1244068/41087</f>
        <v>0</v>
      </c>
      <c r="J1919" s="51">
        <f t="shared" si="565"/>
        <v>132258.09332085491</v>
      </c>
    </row>
    <row r="1920" spans="1:10" x14ac:dyDescent="0.25">
      <c r="A1920" s="4" t="s">
        <v>167</v>
      </c>
      <c r="B1920" s="5" t="s">
        <v>217</v>
      </c>
      <c r="C1920" s="5" t="s">
        <v>218</v>
      </c>
      <c r="D1920" s="5">
        <v>5</v>
      </c>
      <c r="E1920" s="6">
        <v>16565</v>
      </c>
      <c r="F1920" s="6">
        <v>6625</v>
      </c>
      <c r="G1920" s="27">
        <f t="shared" si="571"/>
        <v>23.913043478260853</v>
      </c>
      <c r="H1920" s="13">
        <f t="shared" si="572"/>
        <v>501569.44044413033</v>
      </c>
      <c r="I1920" s="13">
        <f t="shared" si="573"/>
        <v>200597.52476452405</v>
      </c>
      <c r="J1920" s="51">
        <f t="shared" si="565"/>
        <v>702166.96520865441</v>
      </c>
    </row>
    <row r="1921" spans="1:10" x14ac:dyDescent="0.25">
      <c r="A1921" s="4" t="s">
        <v>167</v>
      </c>
      <c r="B1921" s="5" t="s">
        <v>223</v>
      </c>
      <c r="C1921" s="5" t="s">
        <v>224</v>
      </c>
      <c r="D1921" s="5">
        <v>1</v>
      </c>
      <c r="E1921" s="11">
        <v>0</v>
      </c>
      <c r="F1921" s="11">
        <v>0</v>
      </c>
      <c r="G1921" s="27">
        <f t="shared" si="571"/>
        <v>4.7826086956521703</v>
      </c>
      <c r="H1921" s="13">
        <f t="shared" si="572"/>
        <v>0</v>
      </c>
      <c r="I1921" s="13">
        <f t="shared" si="573"/>
        <v>0</v>
      </c>
      <c r="J1921" s="51">
        <f t="shared" si="565"/>
        <v>0</v>
      </c>
    </row>
    <row r="1922" spans="1:10" x14ac:dyDescent="0.25">
      <c r="A1922" s="4" t="s">
        <v>167</v>
      </c>
      <c r="B1922" s="5" t="s">
        <v>226</v>
      </c>
      <c r="C1922" s="5" t="s">
        <v>210</v>
      </c>
      <c r="D1922" s="5">
        <v>2</v>
      </c>
      <c r="E1922" s="6">
        <v>1940</v>
      </c>
      <c r="F1922" s="11">
        <v>0</v>
      </c>
      <c r="G1922" s="27">
        <f t="shared" si="571"/>
        <v>9.5652173913043406</v>
      </c>
      <c r="H1922" s="13">
        <f t="shared" si="572"/>
        <v>58741.002985910833</v>
      </c>
      <c r="I1922" s="13">
        <f t="shared" si="573"/>
        <v>0</v>
      </c>
      <c r="J1922" s="51">
        <f t="shared" si="565"/>
        <v>58741.002985910833</v>
      </c>
    </row>
    <row r="1923" spans="1:10" x14ac:dyDescent="0.25">
      <c r="A1923" s="4" t="s">
        <v>167</v>
      </c>
      <c r="B1923" s="5" t="s">
        <v>228</v>
      </c>
      <c r="C1923" s="5" t="s">
        <v>229</v>
      </c>
      <c r="D1923" s="5">
        <v>21</v>
      </c>
      <c r="E1923" s="6">
        <v>40761</v>
      </c>
      <c r="F1923" s="11">
        <v>0</v>
      </c>
      <c r="G1923" s="27">
        <f t="shared" si="571"/>
        <v>100.43478260869557</v>
      </c>
      <c r="H1923" s="13">
        <f t="shared" si="572"/>
        <v>1234196.9189220162</v>
      </c>
      <c r="I1923" s="13">
        <f t="shared" si="573"/>
        <v>0</v>
      </c>
      <c r="J1923" s="51">
        <f t="shared" si="565"/>
        <v>1234196.9189220162</v>
      </c>
    </row>
    <row r="1924" spans="1:10" x14ac:dyDescent="0.25">
      <c r="A1924" s="4" t="s">
        <v>167</v>
      </c>
      <c r="B1924" s="5" t="s">
        <v>230</v>
      </c>
      <c r="C1924" s="5" t="s">
        <v>229</v>
      </c>
      <c r="D1924" s="5">
        <v>3</v>
      </c>
      <c r="E1924" s="6">
        <v>5823</v>
      </c>
      <c r="F1924" s="11">
        <v>0</v>
      </c>
      <c r="G1924" s="27">
        <f t="shared" si="571"/>
        <v>14.347826086956511</v>
      </c>
      <c r="H1924" s="13">
        <f t="shared" si="572"/>
        <v>176313.84556028803</v>
      </c>
      <c r="I1924" s="13">
        <f t="shared" si="573"/>
        <v>0</v>
      </c>
      <c r="J1924" s="51">
        <f t="shared" si="565"/>
        <v>176313.84556028803</v>
      </c>
    </row>
    <row r="1925" spans="1:10" x14ac:dyDescent="0.25">
      <c r="A1925" s="4" t="s">
        <v>167</v>
      </c>
      <c r="B1925" s="5" t="s">
        <v>237</v>
      </c>
      <c r="C1925" s="5" t="s">
        <v>238</v>
      </c>
      <c r="D1925" s="5">
        <v>1</v>
      </c>
      <c r="E1925" s="6">
        <v>5126</v>
      </c>
      <c r="F1925" s="6">
        <v>2050</v>
      </c>
      <c r="G1925" s="27">
        <f t="shared" si="571"/>
        <v>4.7826086956521703</v>
      </c>
      <c r="H1925" s="13">
        <f t="shared" si="572"/>
        <v>155209.47489988603</v>
      </c>
      <c r="I1925" s="13">
        <f t="shared" si="573"/>
        <v>62071.686908267824</v>
      </c>
      <c r="J1925" s="51">
        <f t="shared" si="565"/>
        <v>217281.16180815385</v>
      </c>
    </row>
    <row r="1926" spans="1:10" x14ac:dyDescent="0.25">
      <c r="A1926" s="4" t="s">
        <v>167</v>
      </c>
      <c r="B1926" s="5" t="s">
        <v>239</v>
      </c>
      <c r="C1926" s="5" t="s">
        <v>236</v>
      </c>
      <c r="D1926" s="5">
        <v>1</v>
      </c>
      <c r="E1926" s="6">
        <v>6825</v>
      </c>
      <c r="F1926" s="6">
        <v>2730</v>
      </c>
      <c r="G1926" s="27">
        <f t="shared" si="571"/>
        <v>4.7826086956521703</v>
      </c>
      <c r="H1926" s="13">
        <f t="shared" si="572"/>
        <v>206653.27081383578</v>
      </c>
      <c r="I1926" s="13">
        <f t="shared" si="573"/>
        <v>82661.319638815199</v>
      </c>
      <c r="J1926" s="51">
        <f t="shared" si="565"/>
        <v>289314.59045265097</v>
      </c>
    </row>
    <row r="1927" spans="1:10" x14ac:dyDescent="0.25">
      <c r="A1927" s="4" t="s">
        <v>167</v>
      </c>
      <c r="B1927" s="5" t="s">
        <v>241</v>
      </c>
      <c r="C1927" s="5" t="s">
        <v>236</v>
      </c>
      <c r="D1927" s="5">
        <v>1</v>
      </c>
      <c r="E1927" s="6">
        <v>6825</v>
      </c>
      <c r="F1927" s="6">
        <v>2730</v>
      </c>
      <c r="G1927" s="27">
        <f t="shared" si="571"/>
        <v>4.7826086956521703</v>
      </c>
      <c r="H1927" s="13">
        <f t="shared" si="572"/>
        <v>206653.27081383578</v>
      </c>
      <c r="I1927" s="13">
        <f t="shared" si="573"/>
        <v>82661.319638815199</v>
      </c>
      <c r="J1927" s="51">
        <f t="shared" si="565"/>
        <v>289314.59045265097</v>
      </c>
    </row>
    <row r="1928" spans="1:10" x14ac:dyDescent="0.25">
      <c r="A1928" s="4" t="s">
        <v>167</v>
      </c>
      <c r="B1928" s="5" t="s">
        <v>243</v>
      </c>
      <c r="C1928" s="5" t="s">
        <v>244</v>
      </c>
      <c r="D1928" s="5">
        <v>3</v>
      </c>
      <c r="E1928" s="6">
        <v>10236</v>
      </c>
      <c r="F1928" s="6">
        <v>4095</v>
      </c>
      <c r="G1928" s="27">
        <f t="shared" si="571"/>
        <v>14.347826086956511</v>
      </c>
      <c r="H1928" s="13">
        <f t="shared" si="572"/>
        <v>309934.48791947588</v>
      </c>
      <c r="I1928" s="13">
        <f t="shared" si="573"/>
        <v>123991.97945822279</v>
      </c>
      <c r="J1928" s="51">
        <f t="shared" si="565"/>
        <v>433926.46737769869</v>
      </c>
    </row>
    <row r="1929" spans="1:10" x14ac:dyDescent="0.25">
      <c r="A1929" s="4" t="s">
        <v>167</v>
      </c>
      <c r="B1929" s="5" t="s">
        <v>249</v>
      </c>
      <c r="C1929" s="5" t="s">
        <v>250</v>
      </c>
      <c r="D1929" s="5">
        <v>3</v>
      </c>
      <c r="E1929" s="6">
        <v>45498</v>
      </c>
      <c r="F1929" s="6">
        <v>18198</v>
      </c>
      <c r="G1929" s="27">
        <f t="shared" si="571"/>
        <v>14.347826086956511</v>
      </c>
      <c r="H1929" s="13">
        <f t="shared" si="572"/>
        <v>1377627.9143572014</v>
      </c>
      <c r="I1929" s="13">
        <f t="shared" si="573"/>
        <v>551014.90651544288</v>
      </c>
      <c r="J1929" s="51">
        <f t="shared" si="565"/>
        <v>1928642.8208726444</v>
      </c>
    </row>
    <row r="1930" spans="1:10" x14ac:dyDescent="0.25">
      <c r="A1930" s="15" t="s">
        <v>167</v>
      </c>
      <c r="B1930" s="16" t="s">
        <v>252</v>
      </c>
      <c r="C1930" s="16" t="s">
        <v>212</v>
      </c>
      <c r="D1930" s="16">
        <v>1</v>
      </c>
      <c r="E1930" s="17">
        <v>1456</v>
      </c>
      <c r="F1930" s="18">
        <v>0</v>
      </c>
      <c r="G1930" s="27">
        <f t="shared" si="571"/>
        <v>4.7826086956521703</v>
      </c>
      <c r="H1930" s="13">
        <f t="shared" si="572"/>
        <v>44086.031106951632</v>
      </c>
      <c r="I1930" s="13">
        <f t="shared" si="573"/>
        <v>0</v>
      </c>
      <c r="J1930" s="51">
        <f t="shared" si="565"/>
        <v>44086.031106951632</v>
      </c>
    </row>
    <row r="1931" spans="1:10" s="3" customFormat="1" x14ac:dyDescent="0.25">
      <c r="A1931" s="4"/>
      <c r="B1931" s="20" t="s">
        <v>394</v>
      </c>
      <c r="C1931" s="21"/>
      <c r="D1931" s="21"/>
      <c r="E1931" s="22"/>
      <c r="F1931" s="29"/>
      <c r="G1931" s="47">
        <f>SUM(G1918:G1930)</f>
        <v>219.99999999999977</v>
      </c>
      <c r="H1931" s="47">
        <f t="shared" ref="H1931:I1931" si="574">SUM(H1918:H1930)</f>
        <v>4755932</v>
      </c>
      <c r="I1931" s="47">
        <f t="shared" si="574"/>
        <v>1244068</v>
      </c>
      <c r="J1931" s="47">
        <f>SUM(J1918:J1930)</f>
        <v>6000000</v>
      </c>
    </row>
    <row r="1932" spans="1:10" x14ac:dyDescent="0.25">
      <c r="A1932" s="23" t="s">
        <v>168</v>
      </c>
      <c r="B1932" s="24" t="s">
        <v>215</v>
      </c>
      <c r="C1932" s="24" t="s">
        <v>212</v>
      </c>
      <c r="D1932" s="24">
        <v>1</v>
      </c>
      <c r="E1932" s="25">
        <v>1456</v>
      </c>
      <c r="F1932" s="30">
        <v>0</v>
      </c>
      <c r="G1932" s="27">
        <f>+D1932*4.8</f>
        <v>4.8</v>
      </c>
      <c r="H1932" s="13">
        <f>+E1932*1929476/280156</f>
        <v>10027.688345064893</v>
      </c>
      <c r="I1932" s="13">
        <f>+F1932*70524/10240</f>
        <v>0</v>
      </c>
      <c r="J1932" s="51">
        <f t="shared" si="565"/>
        <v>10027.688345064893</v>
      </c>
    </row>
    <row r="1933" spans="1:10" x14ac:dyDescent="0.25">
      <c r="A1933" s="4" t="s">
        <v>168</v>
      </c>
      <c r="B1933" s="5" t="s">
        <v>226</v>
      </c>
      <c r="C1933" s="5" t="s">
        <v>210</v>
      </c>
      <c r="D1933" s="5">
        <v>1</v>
      </c>
      <c r="E1933" s="6">
        <v>970</v>
      </c>
      <c r="F1933" s="11">
        <v>0</v>
      </c>
      <c r="G1933" s="27">
        <f t="shared" ref="G1933:G1940" si="575">+D1933*4.8</f>
        <v>4.8</v>
      </c>
      <c r="H1933" s="13">
        <f t="shared" ref="H1933:H1940" si="576">+E1933*1929476/280156</f>
        <v>6680.534130984166</v>
      </c>
      <c r="I1933" s="13">
        <f t="shared" ref="I1933:I1940" si="577">+F1933*70524/10240</f>
        <v>0</v>
      </c>
      <c r="J1933" s="51">
        <f t="shared" si="565"/>
        <v>6680.534130984166</v>
      </c>
    </row>
    <row r="1934" spans="1:10" x14ac:dyDescent="0.25">
      <c r="A1934" s="4" t="s">
        <v>168</v>
      </c>
      <c r="B1934" s="5" t="s">
        <v>230</v>
      </c>
      <c r="C1934" s="5" t="s">
        <v>229</v>
      </c>
      <c r="D1934" s="5">
        <v>1</v>
      </c>
      <c r="E1934" s="6">
        <v>1941</v>
      </c>
      <c r="F1934" s="11">
        <v>0</v>
      </c>
      <c r="G1934" s="27">
        <f t="shared" si="575"/>
        <v>4.8</v>
      </c>
      <c r="H1934" s="13">
        <f t="shared" si="576"/>
        <v>13367.955410556975</v>
      </c>
      <c r="I1934" s="13">
        <f t="shared" si="577"/>
        <v>0</v>
      </c>
      <c r="J1934" s="51">
        <f t="shared" si="565"/>
        <v>13367.955410556975</v>
      </c>
    </row>
    <row r="1935" spans="1:10" x14ac:dyDescent="0.25">
      <c r="A1935" s="4" t="s">
        <v>168</v>
      </c>
      <c r="B1935" s="5" t="s">
        <v>262</v>
      </c>
      <c r="C1935" s="5" t="s">
        <v>263</v>
      </c>
      <c r="D1935" s="5">
        <v>1</v>
      </c>
      <c r="E1935" s="6">
        <v>151666</v>
      </c>
      <c r="F1935" s="11">
        <v>0</v>
      </c>
      <c r="G1935" s="27">
        <f t="shared" si="575"/>
        <v>4.8</v>
      </c>
      <c r="H1935" s="13">
        <f t="shared" si="576"/>
        <v>1044546.2778452005</v>
      </c>
      <c r="I1935" s="13">
        <f t="shared" si="577"/>
        <v>0</v>
      </c>
      <c r="J1935" s="51">
        <f t="shared" si="565"/>
        <v>1044546.2778452005</v>
      </c>
    </row>
    <row r="1936" spans="1:10" x14ac:dyDescent="0.25">
      <c r="A1936" s="4" t="s">
        <v>168</v>
      </c>
      <c r="B1936" s="5" t="s">
        <v>233</v>
      </c>
      <c r="C1936" s="5" t="s">
        <v>234</v>
      </c>
      <c r="D1936" s="5">
        <v>1</v>
      </c>
      <c r="E1936" s="6">
        <v>97066</v>
      </c>
      <c r="F1936" s="11">
        <v>0</v>
      </c>
      <c r="G1936" s="27">
        <f t="shared" si="575"/>
        <v>4.8</v>
      </c>
      <c r="H1936" s="13">
        <f t="shared" si="576"/>
        <v>668507.96490526712</v>
      </c>
      <c r="I1936" s="13">
        <f t="shared" si="577"/>
        <v>0</v>
      </c>
      <c r="J1936" s="51">
        <f t="shared" si="565"/>
        <v>668507.96490526712</v>
      </c>
    </row>
    <row r="1937" spans="1:10" x14ac:dyDescent="0.25">
      <c r="A1937" s="4" t="s">
        <v>168</v>
      </c>
      <c r="B1937" s="5" t="s">
        <v>239</v>
      </c>
      <c r="C1937" s="5" t="s">
        <v>236</v>
      </c>
      <c r="D1937" s="5">
        <v>1</v>
      </c>
      <c r="E1937" s="6">
        <v>6825</v>
      </c>
      <c r="F1937" s="6">
        <v>2730</v>
      </c>
      <c r="G1937" s="27">
        <f t="shared" si="575"/>
        <v>4.8</v>
      </c>
      <c r="H1937" s="13">
        <f t="shared" si="576"/>
        <v>47004.78911749168</v>
      </c>
      <c r="I1937" s="13">
        <f t="shared" si="577"/>
        <v>18801.80859375</v>
      </c>
      <c r="J1937" s="51">
        <f t="shared" si="565"/>
        <v>65806.597711241688</v>
      </c>
    </row>
    <row r="1938" spans="1:10" x14ac:dyDescent="0.25">
      <c r="A1938" s="4" t="s">
        <v>168</v>
      </c>
      <c r="B1938" s="5" t="s">
        <v>240</v>
      </c>
      <c r="C1938" s="5" t="s">
        <v>238</v>
      </c>
      <c r="D1938" s="5">
        <v>1</v>
      </c>
      <c r="E1938" s="6">
        <v>5126</v>
      </c>
      <c r="F1938" s="6">
        <v>2050</v>
      </c>
      <c r="G1938" s="27">
        <f t="shared" si="575"/>
        <v>4.8</v>
      </c>
      <c r="H1938" s="13">
        <f t="shared" si="576"/>
        <v>35303.523665386427</v>
      </c>
      <c r="I1938" s="13">
        <f t="shared" si="577"/>
        <v>14118.57421875</v>
      </c>
      <c r="J1938" s="51">
        <f t="shared" si="565"/>
        <v>49422.097884136427</v>
      </c>
    </row>
    <row r="1939" spans="1:10" x14ac:dyDescent="0.25">
      <c r="A1939" s="4" t="s">
        <v>168</v>
      </c>
      <c r="B1939" s="5" t="s">
        <v>241</v>
      </c>
      <c r="C1939" s="5" t="s">
        <v>236</v>
      </c>
      <c r="D1939" s="5">
        <v>2</v>
      </c>
      <c r="E1939" s="6">
        <v>13650</v>
      </c>
      <c r="F1939" s="6">
        <v>5460</v>
      </c>
      <c r="G1939" s="27">
        <f t="shared" si="575"/>
        <v>9.6</v>
      </c>
      <c r="H1939" s="13">
        <f t="shared" si="576"/>
        <v>94009.578234983361</v>
      </c>
      <c r="I1939" s="13">
        <f t="shared" si="577"/>
        <v>37603.6171875</v>
      </c>
      <c r="J1939" s="51">
        <f t="shared" si="565"/>
        <v>131613.19542248338</v>
      </c>
    </row>
    <row r="1940" spans="1:10" x14ac:dyDescent="0.25">
      <c r="A1940" s="15" t="s">
        <v>168</v>
      </c>
      <c r="B1940" s="16" t="s">
        <v>256</v>
      </c>
      <c r="C1940" s="16" t="s">
        <v>212</v>
      </c>
      <c r="D1940" s="16">
        <v>1</v>
      </c>
      <c r="E1940" s="17">
        <v>1456</v>
      </c>
      <c r="F1940" s="18">
        <v>0</v>
      </c>
      <c r="G1940" s="27">
        <f t="shared" si="575"/>
        <v>4.8</v>
      </c>
      <c r="H1940" s="13">
        <f t="shared" si="576"/>
        <v>10027.688345064893</v>
      </c>
      <c r="I1940" s="13">
        <f t="shared" si="577"/>
        <v>0</v>
      </c>
      <c r="J1940" s="51">
        <f t="shared" si="565"/>
        <v>10027.688345064893</v>
      </c>
    </row>
    <row r="1941" spans="1:10" s="3" customFormat="1" x14ac:dyDescent="0.25">
      <c r="A1941" s="4"/>
      <c r="B1941" s="20" t="s">
        <v>395</v>
      </c>
      <c r="C1941" s="21"/>
      <c r="D1941" s="21"/>
      <c r="E1941" s="22"/>
      <c r="F1941" s="29"/>
      <c r="G1941" s="47">
        <f>SUM(G1932:G1940)</f>
        <v>48</v>
      </c>
      <c r="H1941" s="47">
        <f t="shared" ref="H1941:J1941" si="578">SUM(H1932:H1940)</f>
        <v>1929476</v>
      </c>
      <c r="I1941" s="47">
        <f t="shared" si="578"/>
        <v>70524</v>
      </c>
      <c r="J1941" s="47">
        <f t="shared" si="578"/>
        <v>2000000</v>
      </c>
    </row>
    <row r="1942" spans="1:10" x14ac:dyDescent="0.25">
      <c r="A1942" s="23" t="s">
        <v>169</v>
      </c>
      <c r="B1942" s="24" t="s">
        <v>213</v>
      </c>
      <c r="C1942" s="24" t="s">
        <v>212</v>
      </c>
      <c r="D1942" s="24">
        <v>2</v>
      </c>
      <c r="E1942" s="25">
        <v>1456</v>
      </c>
      <c r="F1942" s="30">
        <v>0</v>
      </c>
      <c r="G1942" s="27">
        <f>+D1942*4.8125</f>
        <v>9.625</v>
      </c>
      <c r="H1942" s="13">
        <f>+E1942*1956768/334529</f>
        <v>8516.6135312633578</v>
      </c>
      <c r="I1942" s="13">
        <f>+F1942*43232/7391</f>
        <v>0</v>
      </c>
      <c r="J1942" s="51">
        <f t="shared" si="565"/>
        <v>8516.6135312633578</v>
      </c>
    </row>
    <row r="1943" spans="1:10" x14ac:dyDescent="0.25">
      <c r="A1943" s="4" t="s">
        <v>169</v>
      </c>
      <c r="B1943" s="5" t="s">
        <v>214</v>
      </c>
      <c r="C1943" s="5" t="s">
        <v>210</v>
      </c>
      <c r="D1943" s="5">
        <v>5</v>
      </c>
      <c r="E1943" s="6">
        <v>2425</v>
      </c>
      <c r="F1943" s="11">
        <v>0</v>
      </c>
      <c r="G1943" s="27">
        <f t="shared" ref="G1943:G1949" si="579">+D1943*4.8125</f>
        <v>24.0625</v>
      </c>
      <c r="H1943" s="13">
        <f t="shared" ref="H1943:H1949" si="580">+E1943*1956768/334529</f>
        <v>14184.607014638492</v>
      </c>
      <c r="I1943" s="13">
        <f t="shared" ref="I1943:I1949" si="581">+F1943*43232/7391</f>
        <v>0</v>
      </c>
      <c r="J1943" s="51">
        <f t="shared" si="565"/>
        <v>14184.607014638492</v>
      </c>
    </row>
    <row r="1944" spans="1:10" x14ac:dyDescent="0.25">
      <c r="A1944" s="4" t="s">
        <v>169</v>
      </c>
      <c r="B1944" s="5" t="s">
        <v>215</v>
      </c>
      <c r="C1944" s="5" t="s">
        <v>212</v>
      </c>
      <c r="D1944" s="5">
        <v>2</v>
      </c>
      <c r="E1944" s="6">
        <v>1456</v>
      </c>
      <c r="F1944" s="11">
        <v>0</v>
      </c>
      <c r="G1944" s="27">
        <f t="shared" si="579"/>
        <v>9.625</v>
      </c>
      <c r="H1944" s="13">
        <f t="shared" si="580"/>
        <v>8516.6135312633578</v>
      </c>
      <c r="I1944" s="13">
        <f t="shared" si="581"/>
        <v>0</v>
      </c>
      <c r="J1944" s="51">
        <f t="shared" si="565"/>
        <v>8516.6135312633578</v>
      </c>
    </row>
    <row r="1945" spans="1:10" x14ac:dyDescent="0.25">
      <c r="A1945" s="4" t="s">
        <v>169</v>
      </c>
      <c r="B1945" s="5" t="s">
        <v>217</v>
      </c>
      <c r="C1945" s="5" t="s">
        <v>218</v>
      </c>
      <c r="D1945" s="5">
        <v>1</v>
      </c>
      <c r="E1945" s="6">
        <v>1656</v>
      </c>
      <c r="F1945" s="6">
        <v>1325</v>
      </c>
      <c r="G1945" s="27">
        <f t="shared" si="579"/>
        <v>4.8125</v>
      </c>
      <c r="H1945" s="13">
        <f t="shared" si="580"/>
        <v>9686.4780273160177</v>
      </c>
      <c r="I1945" s="13">
        <f t="shared" si="581"/>
        <v>7750.290894330943</v>
      </c>
      <c r="J1945" s="51">
        <f t="shared" si="565"/>
        <v>17436.768921646959</v>
      </c>
    </row>
    <row r="1946" spans="1:10" x14ac:dyDescent="0.25">
      <c r="A1946" s="4" t="s">
        <v>169</v>
      </c>
      <c r="B1946" s="5" t="s">
        <v>226</v>
      </c>
      <c r="C1946" s="5" t="s">
        <v>210</v>
      </c>
      <c r="D1946" s="5">
        <v>1</v>
      </c>
      <c r="E1946" s="6">
        <v>485</v>
      </c>
      <c r="F1946" s="11">
        <v>0</v>
      </c>
      <c r="G1946" s="27">
        <f t="shared" si="579"/>
        <v>4.8125</v>
      </c>
      <c r="H1946" s="13">
        <f t="shared" si="580"/>
        <v>2836.9214029276982</v>
      </c>
      <c r="I1946" s="13">
        <f t="shared" si="581"/>
        <v>0</v>
      </c>
      <c r="J1946" s="51">
        <f t="shared" si="565"/>
        <v>2836.9214029276982</v>
      </c>
    </row>
    <row r="1947" spans="1:10" x14ac:dyDescent="0.25">
      <c r="A1947" s="4" t="s">
        <v>169</v>
      </c>
      <c r="B1947" s="5" t="s">
        <v>230</v>
      </c>
      <c r="C1947" s="5" t="s">
        <v>229</v>
      </c>
      <c r="D1947" s="5">
        <v>1</v>
      </c>
      <c r="E1947" s="6">
        <v>970</v>
      </c>
      <c r="F1947" s="11">
        <v>0</v>
      </c>
      <c r="G1947" s="27">
        <f t="shared" si="579"/>
        <v>4.8125</v>
      </c>
      <c r="H1947" s="13">
        <f t="shared" si="580"/>
        <v>5673.8428058553964</v>
      </c>
      <c r="I1947" s="13">
        <f t="shared" si="581"/>
        <v>0</v>
      </c>
      <c r="J1947" s="51">
        <f t="shared" si="565"/>
        <v>5673.8428058553964</v>
      </c>
    </row>
    <row r="1948" spans="1:10" x14ac:dyDescent="0.25">
      <c r="A1948" s="4" t="s">
        <v>169</v>
      </c>
      <c r="B1948" s="5" t="s">
        <v>231</v>
      </c>
      <c r="C1948" s="5" t="s">
        <v>232</v>
      </c>
      <c r="D1948" s="5">
        <v>3</v>
      </c>
      <c r="E1948" s="6">
        <v>318498</v>
      </c>
      <c r="F1948" s="11">
        <v>0</v>
      </c>
      <c r="G1948" s="27">
        <f t="shared" si="579"/>
        <v>14.4375</v>
      </c>
      <c r="H1948" s="13">
        <f t="shared" si="580"/>
        <v>1862997.511318899</v>
      </c>
      <c r="I1948" s="13">
        <f t="shared" si="581"/>
        <v>0</v>
      </c>
      <c r="J1948" s="51">
        <f t="shared" si="565"/>
        <v>1862997.511318899</v>
      </c>
    </row>
    <row r="1949" spans="1:10" x14ac:dyDescent="0.25">
      <c r="A1949" s="15" t="s">
        <v>169</v>
      </c>
      <c r="B1949" s="16" t="s">
        <v>249</v>
      </c>
      <c r="C1949" s="16" t="s">
        <v>250</v>
      </c>
      <c r="D1949" s="16">
        <v>1</v>
      </c>
      <c r="E1949" s="17">
        <v>7583</v>
      </c>
      <c r="F1949" s="17">
        <v>6066</v>
      </c>
      <c r="G1949" s="27">
        <f t="shared" si="579"/>
        <v>4.8125</v>
      </c>
      <c r="H1949" s="13">
        <f t="shared" si="580"/>
        <v>44355.412367836572</v>
      </c>
      <c r="I1949" s="13">
        <f t="shared" si="581"/>
        <v>35481.709105669055</v>
      </c>
      <c r="J1949" s="51">
        <f t="shared" si="565"/>
        <v>79837.121473505627</v>
      </c>
    </row>
    <row r="1950" spans="1:10" s="3" customFormat="1" x14ac:dyDescent="0.25">
      <c r="A1950" s="4"/>
      <c r="B1950" s="20" t="s">
        <v>396</v>
      </c>
      <c r="C1950" s="21"/>
      <c r="D1950" s="21"/>
      <c r="E1950" s="22"/>
      <c r="F1950" s="22"/>
      <c r="G1950" s="47">
        <f>SUM(G1942:G1949)</f>
        <v>77</v>
      </c>
      <c r="H1950" s="47">
        <f t="shared" ref="H1950:J1950" si="582">SUM(H1942:H1949)</f>
        <v>1956768</v>
      </c>
      <c r="I1950" s="47">
        <f t="shared" si="582"/>
        <v>43232</v>
      </c>
      <c r="J1950" s="47">
        <f t="shared" si="582"/>
        <v>2000000</v>
      </c>
    </row>
    <row r="1951" spans="1:10" x14ac:dyDescent="0.25">
      <c r="A1951" s="23" t="s">
        <v>170</v>
      </c>
      <c r="B1951" s="24" t="s">
        <v>214</v>
      </c>
      <c r="C1951" s="24" t="s">
        <v>210</v>
      </c>
      <c r="D1951" s="24">
        <v>2</v>
      </c>
      <c r="E1951" s="25">
        <v>1940</v>
      </c>
      <c r="F1951" s="30">
        <v>0</v>
      </c>
      <c r="G1951" s="27">
        <f>+D1951*498/104</f>
        <v>9.5769230769230766</v>
      </c>
      <c r="H1951" s="13">
        <f>+E1951*2107636/218733</f>
        <v>18693.173138026727</v>
      </c>
      <c r="I1951" s="13">
        <f>+F1951*392364/40720</f>
        <v>0</v>
      </c>
      <c r="J1951" s="51">
        <f t="shared" si="565"/>
        <v>18693.173138026727</v>
      </c>
    </row>
    <row r="1952" spans="1:10" x14ac:dyDescent="0.25">
      <c r="A1952" s="4" t="s">
        <v>170</v>
      </c>
      <c r="B1952" s="5" t="s">
        <v>215</v>
      </c>
      <c r="C1952" s="5" t="s">
        <v>212</v>
      </c>
      <c r="D1952" s="5">
        <v>1</v>
      </c>
      <c r="E1952" s="6">
        <v>1456</v>
      </c>
      <c r="F1952" s="11">
        <v>0</v>
      </c>
      <c r="G1952" s="27">
        <f t="shared" ref="G1952:G1969" si="583">+D1952*498/104</f>
        <v>4.7884615384615383</v>
      </c>
      <c r="H1952" s="13">
        <f t="shared" ref="H1952:H1969" si="584">+E1952*2107636/218733</f>
        <v>14029.51550977676</v>
      </c>
      <c r="I1952" s="13">
        <f t="shared" ref="I1952:I1969" si="585">+F1952*392364/40720</f>
        <v>0</v>
      </c>
      <c r="J1952" s="51">
        <f t="shared" si="565"/>
        <v>14029.51550977676</v>
      </c>
    </row>
    <row r="1953" spans="1:10" x14ac:dyDescent="0.25">
      <c r="A1953" s="4" t="s">
        <v>170</v>
      </c>
      <c r="B1953" s="5" t="s">
        <v>216</v>
      </c>
      <c r="C1953" s="5" t="s">
        <v>210</v>
      </c>
      <c r="D1953" s="5">
        <v>2</v>
      </c>
      <c r="E1953" s="6">
        <v>1940</v>
      </c>
      <c r="F1953" s="11">
        <v>0</v>
      </c>
      <c r="G1953" s="27">
        <f t="shared" si="583"/>
        <v>9.5769230769230766</v>
      </c>
      <c r="H1953" s="13">
        <f t="shared" si="584"/>
        <v>18693.173138026727</v>
      </c>
      <c r="I1953" s="13">
        <f t="shared" si="585"/>
        <v>0</v>
      </c>
      <c r="J1953" s="51">
        <f t="shared" si="565"/>
        <v>18693.173138026727</v>
      </c>
    </row>
    <row r="1954" spans="1:10" x14ac:dyDescent="0.25">
      <c r="A1954" s="4" t="s">
        <v>170</v>
      </c>
      <c r="B1954" s="5" t="s">
        <v>217</v>
      </c>
      <c r="C1954" s="5" t="s">
        <v>218</v>
      </c>
      <c r="D1954" s="5">
        <v>2</v>
      </c>
      <c r="E1954" s="6">
        <v>6626</v>
      </c>
      <c r="F1954" s="6">
        <v>2650</v>
      </c>
      <c r="G1954" s="27">
        <f t="shared" si="583"/>
        <v>9.5769230769230766</v>
      </c>
      <c r="H1954" s="13">
        <f t="shared" si="584"/>
        <v>63845.858356992314</v>
      </c>
      <c r="I1954" s="13">
        <f t="shared" si="585"/>
        <v>25534.494106090373</v>
      </c>
      <c r="J1954" s="51">
        <f t="shared" si="565"/>
        <v>89380.352463082687</v>
      </c>
    </row>
    <row r="1955" spans="1:10" x14ac:dyDescent="0.25">
      <c r="A1955" s="4" t="s">
        <v>170</v>
      </c>
      <c r="B1955" s="5" t="s">
        <v>219</v>
      </c>
      <c r="C1955" s="5" t="s">
        <v>220</v>
      </c>
      <c r="D1955" s="5">
        <v>1</v>
      </c>
      <c r="E1955" s="6">
        <v>3397</v>
      </c>
      <c r="F1955" s="6">
        <v>1358</v>
      </c>
      <c r="G1955" s="27">
        <f t="shared" si="583"/>
        <v>4.7884615384615383</v>
      </c>
      <c r="H1955" s="13">
        <f t="shared" si="584"/>
        <v>32732.324304060203</v>
      </c>
      <c r="I1955" s="13">
        <f t="shared" si="585"/>
        <v>13085.223772102161</v>
      </c>
      <c r="J1955" s="51">
        <f t="shared" si="565"/>
        <v>45817.548076162362</v>
      </c>
    </row>
    <row r="1956" spans="1:10" x14ac:dyDescent="0.25">
      <c r="A1956" s="4" t="s">
        <v>170</v>
      </c>
      <c r="B1956" s="5" t="s">
        <v>223</v>
      </c>
      <c r="C1956" s="5" t="s">
        <v>224</v>
      </c>
      <c r="D1956" s="5">
        <v>3</v>
      </c>
      <c r="E1956" s="11">
        <v>0</v>
      </c>
      <c r="F1956" s="11">
        <v>0</v>
      </c>
      <c r="G1956" s="27">
        <f t="shared" si="583"/>
        <v>14.365384615384615</v>
      </c>
      <c r="H1956" s="13">
        <f t="shared" si="584"/>
        <v>0</v>
      </c>
      <c r="I1956" s="13">
        <f t="shared" si="585"/>
        <v>0</v>
      </c>
      <c r="J1956" s="51">
        <f t="shared" si="565"/>
        <v>0</v>
      </c>
    </row>
    <row r="1957" spans="1:10" x14ac:dyDescent="0.25">
      <c r="A1957" s="4" t="s">
        <v>170</v>
      </c>
      <c r="B1957" s="5" t="s">
        <v>226</v>
      </c>
      <c r="C1957" s="5" t="s">
        <v>210</v>
      </c>
      <c r="D1957" s="5">
        <v>28</v>
      </c>
      <c r="E1957" s="6">
        <v>27160</v>
      </c>
      <c r="F1957" s="11">
        <v>0</v>
      </c>
      <c r="G1957" s="27">
        <f t="shared" si="583"/>
        <v>134.07692307692307</v>
      </c>
      <c r="H1957" s="13">
        <f t="shared" si="584"/>
        <v>261704.42393237416</v>
      </c>
      <c r="I1957" s="13">
        <f t="shared" si="585"/>
        <v>0</v>
      </c>
      <c r="J1957" s="51">
        <f t="shared" si="565"/>
        <v>261704.42393237416</v>
      </c>
    </row>
    <row r="1958" spans="1:10" x14ac:dyDescent="0.25">
      <c r="A1958" s="4" t="s">
        <v>170</v>
      </c>
      <c r="B1958" s="5" t="s">
        <v>227</v>
      </c>
      <c r="C1958" s="5" t="s">
        <v>210</v>
      </c>
      <c r="D1958" s="5">
        <v>3</v>
      </c>
      <c r="E1958" s="6">
        <v>2910</v>
      </c>
      <c r="F1958" s="11">
        <v>0</v>
      </c>
      <c r="G1958" s="27">
        <f t="shared" si="583"/>
        <v>14.365384615384615</v>
      </c>
      <c r="H1958" s="13">
        <f t="shared" si="584"/>
        <v>28039.759707040092</v>
      </c>
      <c r="I1958" s="13">
        <f t="shared" si="585"/>
        <v>0</v>
      </c>
      <c r="J1958" s="51">
        <f t="shared" si="565"/>
        <v>28039.759707040092</v>
      </c>
    </row>
    <row r="1959" spans="1:10" x14ac:dyDescent="0.25">
      <c r="A1959" s="4" t="s">
        <v>170</v>
      </c>
      <c r="B1959" s="5" t="s">
        <v>228</v>
      </c>
      <c r="C1959" s="5" t="s">
        <v>229</v>
      </c>
      <c r="D1959" s="5">
        <v>29</v>
      </c>
      <c r="E1959" s="6">
        <v>56289</v>
      </c>
      <c r="F1959" s="11">
        <v>0</v>
      </c>
      <c r="G1959" s="27">
        <f t="shared" si="583"/>
        <v>138.86538461538461</v>
      </c>
      <c r="H1959" s="13">
        <f t="shared" si="584"/>
        <v>542381.45503421978</v>
      </c>
      <c r="I1959" s="13">
        <f t="shared" si="585"/>
        <v>0</v>
      </c>
      <c r="J1959" s="51">
        <f t="shared" si="565"/>
        <v>542381.45503421978</v>
      </c>
    </row>
    <row r="1960" spans="1:10" x14ac:dyDescent="0.25">
      <c r="A1960" s="4" t="s">
        <v>170</v>
      </c>
      <c r="B1960" s="5" t="s">
        <v>230</v>
      </c>
      <c r="C1960" s="5" t="s">
        <v>229</v>
      </c>
      <c r="D1960" s="5">
        <v>3</v>
      </c>
      <c r="E1960" s="6">
        <v>5823</v>
      </c>
      <c r="F1960" s="11">
        <v>0</v>
      </c>
      <c r="G1960" s="27">
        <f t="shared" si="583"/>
        <v>14.365384615384615</v>
      </c>
      <c r="H1960" s="13">
        <f t="shared" si="584"/>
        <v>56108.426382850324</v>
      </c>
      <c r="I1960" s="13">
        <f t="shared" si="585"/>
        <v>0</v>
      </c>
      <c r="J1960" s="51">
        <f t="shared" ref="J1960:J2023" si="586">SUM(H1960:I1960)</f>
        <v>56108.426382850324</v>
      </c>
    </row>
    <row r="1961" spans="1:10" x14ac:dyDescent="0.25">
      <c r="A1961" s="4" t="s">
        <v>170</v>
      </c>
      <c r="B1961" s="5" t="s">
        <v>235</v>
      </c>
      <c r="C1961" s="5" t="s">
        <v>236</v>
      </c>
      <c r="D1961" s="5">
        <v>1</v>
      </c>
      <c r="E1961" s="6">
        <v>6825</v>
      </c>
      <c r="F1961" s="6">
        <v>2730</v>
      </c>
      <c r="G1961" s="27">
        <f t="shared" si="583"/>
        <v>4.7884615384615383</v>
      </c>
      <c r="H1961" s="13">
        <f t="shared" si="584"/>
        <v>65763.353952078556</v>
      </c>
      <c r="I1961" s="13">
        <f t="shared" si="585"/>
        <v>26305.346758349704</v>
      </c>
      <c r="J1961" s="51">
        <f t="shared" si="586"/>
        <v>92068.700710428267</v>
      </c>
    </row>
    <row r="1962" spans="1:10" x14ac:dyDescent="0.25">
      <c r="A1962" s="4" t="s">
        <v>170</v>
      </c>
      <c r="B1962" s="5" t="s">
        <v>240</v>
      </c>
      <c r="C1962" s="5" t="s">
        <v>238</v>
      </c>
      <c r="D1962" s="5">
        <v>3</v>
      </c>
      <c r="E1962" s="6">
        <v>15378</v>
      </c>
      <c r="F1962" s="6">
        <v>6150</v>
      </c>
      <c r="G1962" s="27">
        <f t="shared" si="583"/>
        <v>14.365384615384615</v>
      </c>
      <c r="H1962" s="13">
        <f t="shared" si="584"/>
        <v>148177.1219157603</v>
      </c>
      <c r="I1962" s="13">
        <f t="shared" si="585"/>
        <v>59259.297642436148</v>
      </c>
      <c r="J1962" s="51">
        <f t="shared" si="586"/>
        <v>207436.41955819644</v>
      </c>
    </row>
    <row r="1963" spans="1:10" x14ac:dyDescent="0.25">
      <c r="A1963" s="4" t="s">
        <v>170</v>
      </c>
      <c r="B1963" s="5" t="s">
        <v>241</v>
      </c>
      <c r="C1963" s="5" t="s">
        <v>236</v>
      </c>
      <c r="D1963" s="5">
        <v>5</v>
      </c>
      <c r="E1963" s="6">
        <v>34125</v>
      </c>
      <c r="F1963" s="6">
        <v>13650</v>
      </c>
      <c r="G1963" s="27">
        <f t="shared" si="583"/>
        <v>23.942307692307693</v>
      </c>
      <c r="H1963" s="13">
        <f t="shared" si="584"/>
        <v>328816.76976039278</v>
      </c>
      <c r="I1963" s="13">
        <f t="shared" si="585"/>
        <v>131526.73379174853</v>
      </c>
      <c r="J1963" s="51">
        <f t="shared" si="586"/>
        <v>460343.50355214131</v>
      </c>
    </row>
    <row r="1964" spans="1:10" x14ac:dyDescent="0.25">
      <c r="A1964" s="4" t="s">
        <v>170</v>
      </c>
      <c r="B1964" s="5" t="s">
        <v>248</v>
      </c>
      <c r="C1964" s="5" t="s">
        <v>246</v>
      </c>
      <c r="D1964" s="5">
        <v>2</v>
      </c>
      <c r="E1964" s="6">
        <v>5126</v>
      </c>
      <c r="F1964" s="6">
        <v>2050</v>
      </c>
      <c r="G1964" s="27">
        <f t="shared" si="583"/>
        <v>9.5769230769230766</v>
      </c>
      <c r="H1964" s="13">
        <f t="shared" si="584"/>
        <v>49392.373971920104</v>
      </c>
      <c r="I1964" s="13">
        <f t="shared" si="585"/>
        <v>19753.099214145383</v>
      </c>
      <c r="J1964" s="51">
        <f t="shared" si="586"/>
        <v>69145.473186065487</v>
      </c>
    </row>
    <row r="1965" spans="1:10" x14ac:dyDescent="0.25">
      <c r="A1965" s="4" t="s">
        <v>170</v>
      </c>
      <c r="B1965" s="5" t="s">
        <v>249</v>
      </c>
      <c r="C1965" s="5" t="s">
        <v>250</v>
      </c>
      <c r="D1965" s="5">
        <v>2</v>
      </c>
      <c r="E1965" s="6">
        <v>30332</v>
      </c>
      <c r="F1965" s="6">
        <v>12132</v>
      </c>
      <c r="G1965" s="27">
        <f t="shared" si="583"/>
        <v>9.5769230769230766</v>
      </c>
      <c r="H1965" s="13">
        <f t="shared" si="584"/>
        <v>292268.72557867353</v>
      </c>
      <c r="I1965" s="13">
        <f t="shared" si="585"/>
        <v>116899.8047151277</v>
      </c>
      <c r="J1965" s="51">
        <f t="shared" si="586"/>
        <v>409168.53029380122</v>
      </c>
    </row>
    <row r="1966" spans="1:10" x14ac:dyDescent="0.25">
      <c r="A1966" s="4" t="s">
        <v>170</v>
      </c>
      <c r="B1966" s="5" t="s">
        <v>252</v>
      </c>
      <c r="C1966" s="5" t="s">
        <v>212</v>
      </c>
      <c r="D1966" s="5">
        <v>3</v>
      </c>
      <c r="E1966" s="6">
        <v>4368</v>
      </c>
      <c r="F1966" s="11">
        <v>0</v>
      </c>
      <c r="G1966" s="27">
        <f t="shared" si="583"/>
        <v>14.365384615384615</v>
      </c>
      <c r="H1966" s="13">
        <f t="shared" si="584"/>
        <v>42088.546529330277</v>
      </c>
      <c r="I1966" s="13">
        <f t="shared" si="585"/>
        <v>0</v>
      </c>
      <c r="J1966" s="51">
        <f t="shared" si="586"/>
        <v>42088.546529330277</v>
      </c>
    </row>
    <row r="1967" spans="1:10" x14ac:dyDescent="0.25">
      <c r="A1967" s="4" t="s">
        <v>170</v>
      </c>
      <c r="B1967" s="5" t="s">
        <v>253</v>
      </c>
      <c r="C1967" s="5" t="s">
        <v>210</v>
      </c>
      <c r="D1967" s="5">
        <v>8</v>
      </c>
      <c r="E1967" s="6">
        <v>7760</v>
      </c>
      <c r="F1967" s="11">
        <v>0</v>
      </c>
      <c r="G1967" s="27">
        <f t="shared" si="583"/>
        <v>38.307692307692307</v>
      </c>
      <c r="H1967" s="13">
        <f t="shared" si="584"/>
        <v>74772.692552106906</v>
      </c>
      <c r="I1967" s="13">
        <f t="shared" si="585"/>
        <v>0</v>
      </c>
      <c r="J1967" s="51">
        <f t="shared" si="586"/>
        <v>74772.692552106906</v>
      </c>
    </row>
    <row r="1968" spans="1:10" x14ac:dyDescent="0.25">
      <c r="A1968" s="4" t="s">
        <v>170</v>
      </c>
      <c r="B1968" s="5" t="s">
        <v>256</v>
      </c>
      <c r="C1968" s="5" t="s">
        <v>212</v>
      </c>
      <c r="D1968" s="5">
        <v>3</v>
      </c>
      <c r="E1968" s="6">
        <v>4368</v>
      </c>
      <c r="F1968" s="11">
        <v>0</v>
      </c>
      <c r="G1968" s="27">
        <f t="shared" si="583"/>
        <v>14.365384615384615</v>
      </c>
      <c r="H1968" s="13">
        <f t="shared" si="584"/>
        <v>42088.546529330277</v>
      </c>
      <c r="I1968" s="13">
        <f t="shared" si="585"/>
        <v>0</v>
      </c>
      <c r="J1968" s="51">
        <f t="shared" si="586"/>
        <v>42088.546529330277</v>
      </c>
    </row>
    <row r="1969" spans="1:10" x14ac:dyDescent="0.25">
      <c r="A1969" s="15" t="s">
        <v>170</v>
      </c>
      <c r="B1969" s="16" t="s">
        <v>257</v>
      </c>
      <c r="C1969" s="16" t="s">
        <v>210</v>
      </c>
      <c r="D1969" s="16">
        <v>3</v>
      </c>
      <c r="E1969" s="17">
        <v>2910</v>
      </c>
      <c r="F1969" s="18">
        <v>0</v>
      </c>
      <c r="G1969" s="27">
        <f t="shared" si="583"/>
        <v>14.365384615384615</v>
      </c>
      <c r="H1969" s="13">
        <f t="shared" si="584"/>
        <v>28039.759707040092</v>
      </c>
      <c r="I1969" s="13">
        <f t="shared" si="585"/>
        <v>0</v>
      </c>
      <c r="J1969" s="51">
        <f t="shared" si="586"/>
        <v>28039.759707040092</v>
      </c>
    </row>
    <row r="1970" spans="1:10" s="3" customFormat="1" x14ac:dyDescent="0.25">
      <c r="A1970" s="4"/>
      <c r="B1970" s="20" t="s">
        <v>397</v>
      </c>
      <c r="C1970" s="21"/>
      <c r="D1970" s="21"/>
      <c r="E1970" s="22"/>
      <c r="F1970" s="29"/>
      <c r="G1970" s="47">
        <f>SUM(G1951:G1969)</f>
        <v>498.00000000000017</v>
      </c>
      <c r="H1970" s="47">
        <f t="shared" ref="H1970:J1970" si="587">SUM(H1951:H1969)</f>
        <v>2107636</v>
      </c>
      <c r="I1970" s="47">
        <f t="shared" si="587"/>
        <v>392364</v>
      </c>
      <c r="J1970" s="47">
        <f t="shared" si="587"/>
        <v>2500000</v>
      </c>
    </row>
    <row r="1971" spans="1:10" x14ac:dyDescent="0.25">
      <c r="A1971" s="23" t="s">
        <v>171</v>
      </c>
      <c r="B1971" s="24" t="s">
        <v>207</v>
      </c>
      <c r="C1971" s="24" t="s">
        <v>208</v>
      </c>
      <c r="D1971" s="24">
        <v>1</v>
      </c>
      <c r="E1971" s="25">
        <v>11648</v>
      </c>
      <c r="F1971" s="25">
        <v>4659</v>
      </c>
      <c r="G1971" s="27">
        <f>+D1971*4.78571428571429</f>
        <v>4.78571428571429</v>
      </c>
      <c r="H1971" s="13">
        <f>+E1971*13144022/430564</f>
        <v>355583.76514525135</v>
      </c>
      <c r="I1971" s="13">
        <f>+F1971*1855978/60797</f>
        <v>142227.43724196916</v>
      </c>
      <c r="J1971" s="51">
        <f t="shared" si="586"/>
        <v>497811.20238722052</v>
      </c>
    </row>
    <row r="1972" spans="1:10" x14ac:dyDescent="0.25">
      <c r="A1972" s="4" t="s">
        <v>171</v>
      </c>
      <c r="B1972" s="5" t="s">
        <v>213</v>
      </c>
      <c r="C1972" s="5" t="s">
        <v>212</v>
      </c>
      <c r="D1972" s="5">
        <v>1</v>
      </c>
      <c r="E1972" s="6">
        <v>1456</v>
      </c>
      <c r="F1972" s="11">
        <v>0</v>
      </c>
      <c r="G1972" s="27">
        <f t="shared" ref="G1972:G1988" si="588">+D1972*4.78571428571429</f>
        <v>4.78571428571429</v>
      </c>
      <c r="H1972" s="13">
        <f t="shared" ref="H1972:H1988" si="589">+E1972*13144022/430564</f>
        <v>44447.970643156419</v>
      </c>
      <c r="I1972" s="13">
        <f t="shared" ref="I1972:I1988" si="590">+F1972*1855978/60797</f>
        <v>0</v>
      </c>
      <c r="J1972" s="51">
        <f t="shared" si="586"/>
        <v>44447.970643156419</v>
      </c>
    </row>
    <row r="1973" spans="1:10" x14ac:dyDescent="0.25">
      <c r="A1973" s="4" t="s">
        <v>171</v>
      </c>
      <c r="B1973" s="5" t="s">
        <v>217</v>
      </c>
      <c r="C1973" s="5" t="s">
        <v>218</v>
      </c>
      <c r="D1973" s="5">
        <v>3</v>
      </c>
      <c r="E1973" s="6">
        <v>9939</v>
      </c>
      <c r="F1973" s="6">
        <v>3975</v>
      </c>
      <c r="G1973" s="27">
        <f t="shared" si="588"/>
        <v>14.35714285714287</v>
      </c>
      <c r="H1973" s="13">
        <f t="shared" si="589"/>
        <v>303412.34905379917</v>
      </c>
      <c r="I1973" s="13">
        <f t="shared" si="590"/>
        <v>121346.65444018619</v>
      </c>
      <c r="J1973" s="51">
        <f t="shared" si="586"/>
        <v>424759.00349398539</v>
      </c>
    </row>
    <row r="1974" spans="1:10" x14ac:dyDescent="0.25">
      <c r="A1974" s="4" t="s">
        <v>171</v>
      </c>
      <c r="B1974" s="5" t="s">
        <v>219</v>
      </c>
      <c r="C1974" s="5" t="s">
        <v>220</v>
      </c>
      <c r="D1974" s="5">
        <v>1</v>
      </c>
      <c r="E1974" s="6">
        <v>3397</v>
      </c>
      <c r="F1974" s="6">
        <v>1358</v>
      </c>
      <c r="G1974" s="27">
        <f t="shared" si="588"/>
        <v>4.78571428571429</v>
      </c>
      <c r="H1974" s="13">
        <f t="shared" si="589"/>
        <v>103701.75568324338</v>
      </c>
      <c r="I1974" s="13">
        <f t="shared" si="590"/>
        <v>41456.29100120072</v>
      </c>
      <c r="J1974" s="51">
        <f t="shared" si="586"/>
        <v>145158.0466844441</v>
      </c>
    </row>
    <row r="1975" spans="1:10" x14ac:dyDescent="0.25">
      <c r="A1975" s="4" t="s">
        <v>171</v>
      </c>
      <c r="B1975" s="5" t="s">
        <v>225</v>
      </c>
      <c r="C1975" s="5" t="s">
        <v>210</v>
      </c>
      <c r="D1975" s="5">
        <v>1</v>
      </c>
      <c r="E1975" s="6">
        <v>970</v>
      </c>
      <c r="F1975" s="11">
        <v>0</v>
      </c>
      <c r="G1975" s="27">
        <f t="shared" si="588"/>
        <v>4.78571428571429</v>
      </c>
      <c r="H1975" s="13">
        <f t="shared" si="589"/>
        <v>29611.628793861077</v>
      </c>
      <c r="I1975" s="13">
        <f t="shared" si="590"/>
        <v>0</v>
      </c>
      <c r="J1975" s="51">
        <f t="shared" si="586"/>
        <v>29611.628793861077</v>
      </c>
    </row>
    <row r="1976" spans="1:10" x14ac:dyDescent="0.25">
      <c r="A1976" s="4" t="s">
        <v>171</v>
      </c>
      <c r="B1976" s="5" t="s">
        <v>226</v>
      </c>
      <c r="C1976" s="5" t="s">
        <v>210</v>
      </c>
      <c r="D1976" s="5">
        <v>6</v>
      </c>
      <c r="E1976" s="6">
        <v>5820</v>
      </c>
      <c r="F1976" s="11">
        <v>0</v>
      </c>
      <c r="G1976" s="27">
        <f t="shared" si="588"/>
        <v>28.71428571428574</v>
      </c>
      <c r="H1976" s="13">
        <f t="shared" si="589"/>
        <v>177669.77276316646</v>
      </c>
      <c r="I1976" s="13">
        <f t="shared" si="590"/>
        <v>0</v>
      </c>
      <c r="J1976" s="51">
        <f t="shared" si="586"/>
        <v>177669.77276316646</v>
      </c>
    </row>
    <row r="1977" spans="1:10" x14ac:dyDescent="0.25">
      <c r="A1977" s="4" t="s">
        <v>171</v>
      </c>
      <c r="B1977" s="5" t="s">
        <v>227</v>
      </c>
      <c r="C1977" s="5" t="s">
        <v>210</v>
      </c>
      <c r="D1977" s="5">
        <v>1</v>
      </c>
      <c r="E1977" s="6">
        <v>970</v>
      </c>
      <c r="F1977" s="11">
        <v>0</v>
      </c>
      <c r="G1977" s="27">
        <f t="shared" si="588"/>
        <v>4.78571428571429</v>
      </c>
      <c r="H1977" s="13">
        <f t="shared" si="589"/>
        <v>29611.628793861077</v>
      </c>
      <c r="I1977" s="13">
        <f t="shared" si="590"/>
        <v>0</v>
      </c>
      <c r="J1977" s="51">
        <f t="shared" si="586"/>
        <v>29611.628793861077</v>
      </c>
    </row>
    <row r="1978" spans="1:10" x14ac:dyDescent="0.25">
      <c r="A1978" s="4" t="s">
        <v>171</v>
      </c>
      <c r="B1978" s="5" t="s">
        <v>228</v>
      </c>
      <c r="C1978" s="5" t="s">
        <v>229</v>
      </c>
      <c r="D1978" s="5">
        <v>28</v>
      </c>
      <c r="E1978" s="6">
        <v>54348</v>
      </c>
      <c r="F1978" s="11">
        <v>0</v>
      </c>
      <c r="G1978" s="27">
        <f t="shared" si="588"/>
        <v>134.00000000000011</v>
      </c>
      <c r="H1978" s="13">
        <f t="shared" si="589"/>
        <v>1659105.9811224348</v>
      </c>
      <c r="I1978" s="13">
        <f t="shared" si="590"/>
        <v>0</v>
      </c>
      <c r="J1978" s="51">
        <f t="shared" si="586"/>
        <v>1659105.9811224348</v>
      </c>
    </row>
    <row r="1979" spans="1:10" x14ac:dyDescent="0.25">
      <c r="A1979" s="4" t="s">
        <v>171</v>
      </c>
      <c r="B1979" s="5" t="s">
        <v>230</v>
      </c>
      <c r="C1979" s="5" t="s">
        <v>229</v>
      </c>
      <c r="D1979" s="5">
        <v>5</v>
      </c>
      <c r="E1979" s="6">
        <v>9705</v>
      </c>
      <c r="F1979" s="11">
        <v>0</v>
      </c>
      <c r="G1979" s="27">
        <f t="shared" si="588"/>
        <v>23.928571428571452</v>
      </c>
      <c r="H1979" s="13">
        <f t="shared" si="589"/>
        <v>296268.92520043475</v>
      </c>
      <c r="I1979" s="13">
        <f t="shared" si="590"/>
        <v>0</v>
      </c>
      <c r="J1979" s="51">
        <f t="shared" si="586"/>
        <v>296268.92520043475</v>
      </c>
    </row>
    <row r="1980" spans="1:10" x14ac:dyDescent="0.25">
      <c r="A1980" s="4" t="s">
        <v>171</v>
      </c>
      <c r="B1980" s="5" t="s">
        <v>233</v>
      </c>
      <c r="C1980" s="5" t="s">
        <v>234</v>
      </c>
      <c r="D1980" s="5">
        <v>2</v>
      </c>
      <c r="E1980" s="6">
        <v>194132</v>
      </c>
      <c r="F1980" s="11">
        <v>0</v>
      </c>
      <c r="G1980" s="27">
        <f t="shared" si="588"/>
        <v>9.5714285714285801</v>
      </c>
      <c r="H1980" s="13">
        <f t="shared" si="589"/>
        <v>5926355.382484369</v>
      </c>
      <c r="I1980" s="13">
        <f t="shared" si="590"/>
        <v>0</v>
      </c>
      <c r="J1980" s="51">
        <f t="shared" si="586"/>
        <v>5926355.382484369</v>
      </c>
    </row>
    <row r="1981" spans="1:10" x14ac:dyDescent="0.25">
      <c r="A1981" s="4" t="s">
        <v>171</v>
      </c>
      <c r="B1981" s="5" t="s">
        <v>239</v>
      </c>
      <c r="C1981" s="5" t="s">
        <v>236</v>
      </c>
      <c r="D1981" s="5">
        <v>2</v>
      </c>
      <c r="E1981" s="6">
        <v>13650</v>
      </c>
      <c r="F1981" s="6">
        <v>5460</v>
      </c>
      <c r="G1981" s="27">
        <f t="shared" si="588"/>
        <v>9.5714285714285801</v>
      </c>
      <c r="H1981" s="13">
        <f t="shared" si="589"/>
        <v>416699.72477959143</v>
      </c>
      <c r="I1981" s="13">
        <f t="shared" si="590"/>
        <v>166679.93289142556</v>
      </c>
      <c r="J1981" s="51">
        <f t="shared" si="586"/>
        <v>583379.65767101699</v>
      </c>
    </row>
    <row r="1982" spans="1:10" x14ac:dyDescent="0.25">
      <c r="A1982" s="4" t="s">
        <v>171</v>
      </c>
      <c r="B1982" s="5" t="s">
        <v>241</v>
      </c>
      <c r="C1982" s="5" t="s">
        <v>236</v>
      </c>
      <c r="D1982" s="5">
        <v>5</v>
      </c>
      <c r="E1982" s="6">
        <v>34125</v>
      </c>
      <c r="F1982" s="6">
        <v>13650</v>
      </c>
      <c r="G1982" s="27">
        <f t="shared" si="588"/>
        <v>23.928571428571452</v>
      </c>
      <c r="H1982" s="13">
        <f t="shared" si="589"/>
        <v>1041749.3119489786</v>
      </c>
      <c r="I1982" s="13">
        <f t="shared" si="590"/>
        <v>416699.8322285639</v>
      </c>
      <c r="J1982" s="51">
        <f t="shared" si="586"/>
        <v>1458449.1441775425</v>
      </c>
    </row>
    <row r="1983" spans="1:10" x14ac:dyDescent="0.25">
      <c r="A1983" s="4" t="s">
        <v>171</v>
      </c>
      <c r="B1983" s="5" t="s">
        <v>247</v>
      </c>
      <c r="C1983" s="5" t="s">
        <v>244</v>
      </c>
      <c r="D1983" s="5">
        <v>1</v>
      </c>
      <c r="E1983" s="6">
        <v>3412</v>
      </c>
      <c r="F1983" s="6">
        <v>1365</v>
      </c>
      <c r="G1983" s="27">
        <f t="shared" si="588"/>
        <v>4.78571428571429</v>
      </c>
      <c r="H1983" s="13">
        <f t="shared" si="589"/>
        <v>104159.66746871546</v>
      </c>
      <c r="I1983" s="13">
        <f t="shared" si="590"/>
        <v>41669.98322285639</v>
      </c>
      <c r="J1983" s="51">
        <f t="shared" si="586"/>
        <v>145829.65069157185</v>
      </c>
    </row>
    <row r="1984" spans="1:10" x14ac:dyDescent="0.25">
      <c r="A1984" s="4" t="s">
        <v>171</v>
      </c>
      <c r="B1984" s="5" t="s">
        <v>249</v>
      </c>
      <c r="C1984" s="5" t="s">
        <v>250</v>
      </c>
      <c r="D1984" s="5">
        <v>5</v>
      </c>
      <c r="E1984" s="6">
        <v>75830</v>
      </c>
      <c r="F1984" s="6">
        <v>30330</v>
      </c>
      <c r="G1984" s="27">
        <f t="shared" si="588"/>
        <v>23.928571428571452</v>
      </c>
      <c r="H1984" s="13">
        <f t="shared" si="589"/>
        <v>2314896.7128231809</v>
      </c>
      <c r="I1984" s="13">
        <f t="shared" si="590"/>
        <v>925897.868973798</v>
      </c>
      <c r="J1984" s="51">
        <f t="shared" si="586"/>
        <v>3240794.5817969791</v>
      </c>
    </row>
    <row r="1985" spans="1:10" x14ac:dyDescent="0.25">
      <c r="A1985" s="4" t="s">
        <v>171</v>
      </c>
      <c r="B1985" s="5" t="s">
        <v>252</v>
      </c>
      <c r="C1985" s="5" t="s">
        <v>212</v>
      </c>
      <c r="D1985" s="5">
        <v>4</v>
      </c>
      <c r="E1985" s="6">
        <v>5824</v>
      </c>
      <c r="F1985" s="11">
        <v>0</v>
      </c>
      <c r="G1985" s="27">
        <f t="shared" si="588"/>
        <v>19.14285714285716</v>
      </c>
      <c r="H1985" s="13">
        <f t="shared" si="589"/>
        <v>177791.88257262568</v>
      </c>
      <c r="I1985" s="13">
        <f t="shared" si="590"/>
        <v>0</v>
      </c>
      <c r="J1985" s="51">
        <f t="shared" si="586"/>
        <v>177791.88257262568</v>
      </c>
    </row>
    <row r="1986" spans="1:10" x14ac:dyDescent="0.25">
      <c r="A1986" s="4" t="s">
        <v>171</v>
      </c>
      <c r="B1986" s="5" t="s">
        <v>253</v>
      </c>
      <c r="C1986" s="5" t="s">
        <v>210</v>
      </c>
      <c r="D1986" s="5">
        <v>1</v>
      </c>
      <c r="E1986" s="6">
        <v>970</v>
      </c>
      <c r="F1986" s="11">
        <v>0</v>
      </c>
      <c r="G1986" s="27">
        <f t="shared" si="588"/>
        <v>4.78571428571429</v>
      </c>
      <c r="H1986" s="13">
        <f t="shared" si="589"/>
        <v>29611.628793861077</v>
      </c>
      <c r="I1986" s="13">
        <f t="shared" si="590"/>
        <v>0</v>
      </c>
      <c r="J1986" s="51">
        <f t="shared" si="586"/>
        <v>29611.628793861077</v>
      </c>
    </row>
    <row r="1987" spans="1:10" x14ac:dyDescent="0.25">
      <c r="A1987" s="4" t="s">
        <v>171</v>
      </c>
      <c r="B1987" s="5" t="s">
        <v>254</v>
      </c>
      <c r="C1987" s="5" t="s">
        <v>212</v>
      </c>
      <c r="D1987" s="5">
        <v>2</v>
      </c>
      <c r="E1987" s="6">
        <v>2912</v>
      </c>
      <c r="F1987" s="11">
        <v>0</v>
      </c>
      <c r="G1987" s="27">
        <f t="shared" si="588"/>
        <v>9.5714285714285801</v>
      </c>
      <c r="H1987" s="13">
        <f t="shared" si="589"/>
        <v>88895.941286312838</v>
      </c>
      <c r="I1987" s="13">
        <f t="shared" si="590"/>
        <v>0</v>
      </c>
      <c r="J1987" s="51">
        <f t="shared" si="586"/>
        <v>88895.941286312838</v>
      </c>
    </row>
    <row r="1988" spans="1:10" x14ac:dyDescent="0.25">
      <c r="A1988" s="15" t="s">
        <v>171</v>
      </c>
      <c r="B1988" s="16" t="s">
        <v>256</v>
      </c>
      <c r="C1988" s="16" t="s">
        <v>212</v>
      </c>
      <c r="D1988" s="16">
        <v>1</v>
      </c>
      <c r="E1988" s="17">
        <v>1456</v>
      </c>
      <c r="F1988" s="18">
        <v>0</v>
      </c>
      <c r="G1988" s="27">
        <f t="shared" si="588"/>
        <v>4.78571428571429</v>
      </c>
      <c r="H1988" s="13">
        <f t="shared" si="589"/>
        <v>44447.970643156419</v>
      </c>
      <c r="I1988" s="13">
        <f t="shared" si="590"/>
        <v>0</v>
      </c>
      <c r="J1988" s="51">
        <f t="shared" si="586"/>
        <v>44447.970643156419</v>
      </c>
    </row>
    <row r="1989" spans="1:10" s="3" customFormat="1" x14ac:dyDescent="0.25">
      <c r="A1989" s="4"/>
      <c r="B1989" s="20" t="s">
        <v>398</v>
      </c>
      <c r="C1989" s="21"/>
      <c r="D1989" s="21"/>
      <c r="E1989" s="22"/>
      <c r="F1989" s="29"/>
      <c r="G1989" s="47">
        <f>SUM(G1971:G1988)</f>
        <v>335.00000000000023</v>
      </c>
      <c r="H1989" s="47">
        <f t="shared" ref="H1989:J1989" si="591">SUM(H1971:H1988)</f>
        <v>13144022</v>
      </c>
      <c r="I1989" s="47">
        <f t="shared" si="591"/>
        <v>1855978</v>
      </c>
      <c r="J1989" s="47">
        <f t="shared" si="591"/>
        <v>15000000.000000002</v>
      </c>
    </row>
    <row r="1990" spans="1:10" x14ac:dyDescent="0.25">
      <c r="A1990" s="23" t="s">
        <v>172</v>
      </c>
      <c r="B1990" s="24" t="s">
        <v>214</v>
      </c>
      <c r="C1990" s="24" t="s">
        <v>210</v>
      </c>
      <c r="D1990" s="24">
        <v>1</v>
      </c>
      <c r="E1990" s="25">
        <v>970</v>
      </c>
      <c r="F1990" s="30">
        <v>0</v>
      </c>
      <c r="G1990" s="27">
        <f>+D1990*4.76923076923077</f>
        <v>4.7692307692307701</v>
      </c>
      <c r="H1990" s="13">
        <f>+E1990*1922846/287252</f>
        <v>6493.1162185119683</v>
      </c>
      <c r="I1990" s="13">
        <f>+F1990*77154/11526</f>
        <v>0</v>
      </c>
      <c r="J1990" s="51">
        <f t="shared" si="586"/>
        <v>6493.1162185119683</v>
      </c>
    </row>
    <row r="1991" spans="1:10" x14ac:dyDescent="0.25">
      <c r="A1991" s="4" t="s">
        <v>172</v>
      </c>
      <c r="B1991" s="5" t="s">
        <v>223</v>
      </c>
      <c r="C1991" s="5" t="s">
        <v>224</v>
      </c>
      <c r="D1991" s="5">
        <v>2</v>
      </c>
      <c r="E1991" s="11">
        <v>0</v>
      </c>
      <c r="F1991" s="11">
        <v>0</v>
      </c>
      <c r="G1991" s="27">
        <f t="shared" ref="G1991:G1998" si="592">+D1991*4.76923076923077</f>
        <v>9.5384615384615401</v>
      </c>
      <c r="H1991" s="13">
        <f t="shared" ref="H1991:H1998" si="593">+E1991*1922846/287252</f>
        <v>0</v>
      </c>
      <c r="I1991" s="13">
        <f t="shared" ref="I1991:I1998" si="594">+F1991*77154/11526</f>
        <v>0</v>
      </c>
      <c r="J1991" s="51">
        <f t="shared" si="586"/>
        <v>0</v>
      </c>
    </row>
    <row r="1992" spans="1:10" x14ac:dyDescent="0.25">
      <c r="A1992" s="4" t="s">
        <v>172</v>
      </c>
      <c r="B1992" s="5" t="s">
        <v>228</v>
      </c>
      <c r="C1992" s="5" t="s">
        <v>229</v>
      </c>
      <c r="D1992" s="5">
        <v>4</v>
      </c>
      <c r="E1992" s="6">
        <v>7764</v>
      </c>
      <c r="F1992" s="11">
        <v>0</v>
      </c>
      <c r="G1992" s="27">
        <f t="shared" si="592"/>
        <v>19.07692307692308</v>
      </c>
      <c r="H1992" s="13">
        <f t="shared" si="593"/>
        <v>51971.705485079307</v>
      </c>
      <c r="I1992" s="13">
        <f t="shared" si="594"/>
        <v>0</v>
      </c>
      <c r="J1992" s="51">
        <f t="shared" si="586"/>
        <v>51971.705485079307</v>
      </c>
    </row>
    <row r="1993" spans="1:10" x14ac:dyDescent="0.25">
      <c r="A1993" s="4" t="s">
        <v>172</v>
      </c>
      <c r="B1993" s="5" t="s">
        <v>262</v>
      </c>
      <c r="C1993" s="5" t="s">
        <v>263</v>
      </c>
      <c r="D1993" s="5">
        <v>1</v>
      </c>
      <c r="E1993" s="6">
        <v>151666</v>
      </c>
      <c r="F1993" s="11">
        <v>0</v>
      </c>
      <c r="G1993" s="27">
        <f t="shared" si="592"/>
        <v>4.7692307692307701</v>
      </c>
      <c r="H1993" s="13">
        <f t="shared" si="593"/>
        <v>1015242.2313369446</v>
      </c>
      <c r="I1993" s="13">
        <f t="shared" si="594"/>
        <v>0</v>
      </c>
      <c r="J1993" s="51">
        <f t="shared" si="586"/>
        <v>1015242.2313369446</v>
      </c>
    </row>
    <row r="1994" spans="1:10" x14ac:dyDescent="0.25">
      <c r="A1994" s="4" t="s">
        <v>172</v>
      </c>
      <c r="B1994" s="5" t="s">
        <v>233</v>
      </c>
      <c r="C1994" s="5" t="s">
        <v>234</v>
      </c>
      <c r="D1994" s="5">
        <v>1</v>
      </c>
      <c r="E1994" s="6">
        <v>97066</v>
      </c>
      <c r="F1994" s="11">
        <v>0</v>
      </c>
      <c r="G1994" s="27">
        <f t="shared" si="592"/>
        <v>4.7692307692307701</v>
      </c>
      <c r="H1994" s="13">
        <f t="shared" si="593"/>
        <v>649753.42151142552</v>
      </c>
      <c r="I1994" s="13">
        <f t="shared" si="594"/>
        <v>0</v>
      </c>
      <c r="J1994" s="51">
        <f t="shared" si="586"/>
        <v>649753.42151142552</v>
      </c>
    </row>
    <row r="1995" spans="1:10" x14ac:dyDescent="0.25">
      <c r="A1995" s="4" t="s">
        <v>172</v>
      </c>
      <c r="B1995" s="5" t="s">
        <v>235</v>
      </c>
      <c r="C1995" s="5" t="s">
        <v>236</v>
      </c>
      <c r="D1995" s="5">
        <v>1</v>
      </c>
      <c r="E1995" s="6">
        <v>6825</v>
      </c>
      <c r="F1995" s="6">
        <v>2730</v>
      </c>
      <c r="G1995" s="27">
        <f t="shared" si="592"/>
        <v>4.7692307692307701</v>
      </c>
      <c r="H1995" s="13">
        <f t="shared" si="593"/>
        <v>45686.10122818988</v>
      </c>
      <c r="I1995" s="13">
        <f t="shared" si="594"/>
        <v>18274.372722540342</v>
      </c>
      <c r="J1995" s="51">
        <f t="shared" si="586"/>
        <v>63960.473950730222</v>
      </c>
    </row>
    <row r="1996" spans="1:10" x14ac:dyDescent="0.25">
      <c r="A1996" s="4" t="s">
        <v>172</v>
      </c>
      <c r="B1996" s="5" t="s">
        <v>241</v>
      </c>
      <c r="C1996" s="5" t="s">
        <v>236</v>
      </c>
      <c r="D1996" s="5">
        <v>1</v>
      </c>
      <c r="E1996" s="6">
        <v>6825</v>
      </c>
      <c r="F1996" s="6">
        <v>2730</v>
      </c>
      <c r="G1996" s="27">
        <f t="shared" si="592"/>
        <v>4.7692307692307701</v>
      </c>
      <c r="H1996" s="13">
        <f t="shared" si="593"/>
        <v>45686.10122818988</v>
      </c>
      <c r="I1996" s="13">
        <f t="shared" si="594"/>
        <v>18274.372722540342</v>
      </c>
      <c r="J1996" s="51">
        <f t="shared" si="586"/>
        <v>63960.473950730222</v>
      </c>
    </row>
    <row r="1997" spans="1:10" x14ac:dyDescent="0.25">
      <c r="A1997" s="4" t="s">
        <v>172</v>
      </c>
      <c r="B1997" s="5" t="s">
        <v>249</v>
      </c>
      <c r="C1997" s="5" t="s">
        <v>250</v>
      </c>
      <c r="D1997" s="5">
        <v>1</v>
      </c>
      <c r="E1997" s="6">
        <v>15166</v>
      </c>
      <c r="F1997" s="6">
        <v>6066</v>
      </c>
      <c r="G1997" s="27">
        <f t="shared" si="592"/>
        <v>4.7692307692307701</v>
      </c>
      <c r="H1997" s="13">
        <f t="shared" si="593"/>
        <v>101520.20677314693</v>
      </c>
      <c r="I1997" s="13">
        <f t="shared" si="594"/>
        <v>40605.254554919316</v>
      </c>
      <c r="J1997" s="51">
        <f t="shared" si="586"/>
        <v>142125.46132806625</v>
      </c>
    </row>
    <row r="1998" spans="1:10" x14ac:dyDescent="0.25">
      <c r="A1998" s="15" t="s">
        <v>172</v>
      </c>
      <c r="B1998" s="16" t="s">
        <v>253</v>
      </c>
      <c r="C1998" s="16" t="s">
        <v>210</v>
      </c>
      <c r="D1998" s="16">
        <v>1</v>
      </c>
      <c r="E1998" s="17">
        <v>970</v>
      </c>
      <c r="F1998" s="18">
        <v>0</v>
      </c>
      <c r="G1998" s="27">
        <f t="shared" si="592"/>
        <v>4.7692307692307701</v>
      </c>
      <c r="H1998" s="13">
        <f t="shared" si="593"/>
        <v>6493.1162185119683</v>
      </c>
      <c r="I1998" s="13">
        <f t="shared" si="594"/>
        <v>0</v>
      </c>
      <c r="J1998" s="51">
        <f t="shared" si="586"/>
        <v>6493.1162185119683</v>
      </c>
    </row>
    <row r="1999" spans="1:10" s="3" customFormat="1" x14ac:dyDescent="0.25">
      <c r="A1999" s="4"/>
      <c r="B1999" s="20" t="s">
        <v>399</v>
      </c>
      <c r="C1999" s="21"/>
      <c r="D1999" s="21"/>
      <c r="E1999" s="22"/>
      <c r="F1999" s="29"/>
      <c r="G1999" s="47">
        <f>SUM(G1990:G1998)</f>
        <v>62.000000000000028</v>
      </c>
      <c r="H1999" s="47">
        <f t="shared" ref="H1999:J1999" si="595">SUM(H1990:H1998)</f>
        <v>1922846</v>
      </c>
      <c r="I1999" s="47">
        <f t="shared" si="595"/>
        <v>77154</v>
      </c>
      <c r="J1999" s="47">
        <f t="shared" si="595"/>
        <v>1999999.9999999998</v>
      </c>
    </row>
    <row r="2000" spans="1:10" x14ac:dyDescent="0.25">
      <c r="A2000" s="23" t="s">
        <v>173</v>
      </c>
      <c r="B2000" s="24" t="s">
        <v>207</v>
      </c>
      <c r="C2000" s="24" t="s">
        <v>208</v>
      </c>
      <c r="D2000" s="24">
        <v>1</v>
      </c>
      <c r="E2000" s="25">
        <v>10920</v>
      </c>
      <c r="F2000" s="25">
        <v>4368</v>
      </c>
      <c r="G2000" s="27">
        <f>+D2000*4.79245283018868</f>
        <v>4.7924528301886804</v>
      </c>
      <c r="H2000" s="13">
        <f>+E2000*2100310/162627</f>
        <v>141030.61115312955</v>
      </c>
      <c r="I2000" s="13">
        <f>+F2000*399690/30948</f>
        <v>56412.237301279565</v>
      </c>
      <c r="J2000" s="51">
        <f t="shared" si="586"/>
        <v>197442.8484544091</v>
      </c>
    </row>
    <row r="2001" spans="1:10" x14ac:dyDescent="0.25">
      <c r="A2001" s="4" t="s">
        <v>173</v>
      </c>
      <c r="B2001" s="5" t="s">
        <v>214</v>
      </c>
      <c r="C2001" s="5" t="s">
        <v>210</v>
      </c>
      <c r="D2001" s="5">
        <v>30</v>
      </c>
      <c r="E2001" s="6">
        <v>34758</v>
      </c>
      <c r="F2001" s="11">
        <v>0</v>
      </c>
      <c r="G2001" s="27">
        <f t="shared" ref="G2001:G2007" si="596">+D2001*4.79245283018868</f>
        <v>143.77358490566041</v>
      </c>
      <c r="H2001" s="13">
        <f t="shared" ref="H2001:H2007" si="597">+E2001*2100310/162627</f>
        <v>448895.7859396041</v>
      </c>
      <c r="I2001" s="13">
        <f t="shared" ref="I2001:I2007" si="598">+F2001*399690/30948</f>
        <v>0</v>
      </c>
      <c r="J2001" s="51">
        <f t="shared" si="586"/>
        <v>448895.7859396041</v>
      </c>
    </row>
    <row r="2002" spans="1:10" x14ac:dyDescent="0.25">
      <c r="A2002" s="4" t="s">
        <v>173</v>
      </c>
      <c r="B2002" s="5" t="s">
        <v>217</v>
      </c>
      <c r="C2002" s="5" t="s">
        <v>218</v>
      </c>
      <c r="D2002" s="5">
        <v>5</v>
      </c>
      <c r="E2002" s="6">
        <v>54600</v>
      </c>
      <c r="F2002" s="6">
        <v>21840</v>
      </c>
      <c r="G2002" s="27">
        <f t="shared" si="596"/>
        <v>23.962264150943401</v>
      </c>
      <c r="H2002" s="13">
        <f t="shared" si="597"/>
        <v>705153.05576564779</v>
      </c>
      <c r="I2002" s="13">
        <f t="shared" si="598"/>
        <v>282061.18650639785</v>
      </c>
      <c r="J2002" s="51">
        <f t="shared" si="586"/>
        <v>987214.2422720457</v>
      </c>
    </row>
    <row r="2003" spans="1:10" x14ac:dyDescent="0.25">
      <c r="A2003" s="4" t="s">
        <v>173</v>
      </c>
      <c r="B2003" s="5" t="s">
        <v>219</v>
      </c>
      <c r="C2003" s="5" t="s">
        <v>220</v>
      </c>
      <c r="D2003" s="5">
        <v>5</v>
      </c>
      <c r="E2003" s="6">
        <v>16565</v>
      </c>
      <c r="F2003" s="6">
        <v>2350</v>
      </c>
      <c r="G2003" s="27">
        <f t="shared" si="596"/>
        <v>23.962264150943401</v>
      </c>
      <c r="H2003" s="13">
        <f t="shared" si="597"/>
        <v>213935.17158897355</v>
      </c>
      <c r="I2003" s="13">
        <f t="shared" si="598"/>
        <v>30349.99030632028</v>
      </c>
      <c r="J2003" s="51">
        <f t="shared" si="586"/>
        <v>244285.16189529383</v>
      </c>
    </row>
    <row r="2004" spans="1:10" x14ac:dyDescent="0.25">
      <c r="A2004" s="4" t="s">
        <v>173</v>
      </c>
      <c r="B2004" s="5" t="s">
        <v>228</v>
      </c>
      <c r="C2004" s="5" t="s">
        <v>229</v>
      </c>
      <c r="D2004" s="5">
        <v>2</v>
      </c>
      <c r="E2004" s="6">
        <v>21840</v>
      </c>
      <c r="F2004" s="11">
        <v>0</v>
      </c>
      <c r="G2004" s="27">
        <f t="shared" si="596"/>
        <v>9.5849056603773608</v>
      </c>
      <c r="H2004" s="13">
        <f t="shared" si="597"/>
        <v>282061.22230625909</v>
      </c>
      <c r="I2004" s="13">
        <f t="shared" si="598"/>
        <v>0</v>
      </c>
      <c r="J2004" s="51">
        <f t="shared" si="586"/>
        <v>282061.22230625909</v>
      </c>
    </row>
    <row r="2005" spans="1:10" x14ac:dyDescent="0.25">
      <c r="A2005" s="4" t="s">
        <v>173</v>
      </c>
      <c r="B2005" s="5" t="s">
        <v>241</v>
      </c>
      <c r="C2005" s="5" t="s">
        <v>236</v>
      </c>
      <c r="D2005" s="5">
        <v>6</v>
      </c>
      <c r="E2005" s="6">
        <v>14307</v>
      </c>
      <c r="F2005" s="6">
        <v>1025</v>
      </c>
      <c r="G2005" s="27">
        <f t="shared" si="596"/>
        <v>28.754716981132084</v>
      </c>
      <c r="H2005" s="13">
        <f t="shared" si="597"/>
        <v>184773.34741463594</v>
      </c>
      <c r="I2005" s="13">
        <f t="shared" si="598"/>
        <v>13237.761729352462</v>
      </c>
      <c r="J2005" s="51">
        <f t="shared" si="586"/>
        <v>198011.1091439884</v>
      </c>
    </row>
    <row r="2006" spans="1:10" x14ac:dyDescent="0.25">
      <c r="A2006" s="4" t="s">
        <v>173</v>
      </c>
      <c r="B2006" s="5" t="s">
        <v>243</v>
      </c>
      <c r="C2006" s="5" t="s">
        <v>244</v>
      </c>
      <c r="D2006" s="5">
        <v>2</v>
      </c>
      <c r="E2006" s="6">
        <v>2912</v>
      </c>
      <c r="F2006" s="11">
        <v>0</v>
      </c>
      <c r="G2006" s="27">
        <f t="shared" si="596"/>
        <v>9.5849056603773608</v>
      </c>
      <c r="H2006" s="13">
        <f t="shared" si="597"/>
        <v>37608.162974167884</v>
      </c>
      <c r="I2006" s="13">
        <f t="shared" si="598"/>
        <v>0</v>
      </c>
      <c r="J2006" s="51">
        <f t="shared" si="586"/>
        <v>37608.162974167884</v>
      </c>
    </row>
    <row r="2007" spans="1:10" x14ac:dyDescent="0.25">
      <c r="A2007" s="15" t="s">
        <v>173</v>
      </c>
      <c r="B2007" s="16" t="s">
        <v>249</v>
      </c>
      <c r="C2007" s="16" t="s">
        <v>250</v>
      </c>
      <c r="D2007" s="16">
        <v>2</v>
      </c>
      <c r="E2007" s="17">
        <v>6725</v>
      </c>
      <c r="F2007" s="17">
        <v>1365</v>
      </c>
      <c r="G2007" s="27">
        <f t="shared" si="596"/>
        <v>9.5849056603773608</v>
      </c>
      <c r="H2007" s="13">
        <f t="shared" si="597"/>
        <v>86852.642857582076</v>
      </c>
      <c r="I2007" s="13">
        <f t="shared" si="598"/>
        <v>17628.824156649865</v>
      </c>
      <c r="J2007" s="51">
        <f t="shared" si="586"/>
        <v>104481.46701423194</v>
      </c>
    </row>
    <row r="2008" spans="1:10" s="3" customFormat="1" x14ac:dyDescent="0.25">
      <c r="A2008" s="15"/>
      <c r="B2008" s="20" t="s">
        <v>400</v>
      </c>
      <c r="C2008" s="20"/>
      <c r="D2008" s="20"/>
      <c r="E2008" s="42"/>
      <c r="F2008" s="42"/>
      <c r="G2008" s="47">
        <f>SUM(G2000:G2007)</f>
        <v>254.00000000000009</v>
      </c>
      <c r="H2008" s="47">
        <f t="shared" ref="H2008:J2008" si="599">SUM(H2000:H2007)</f>
        <v>2100310</v>
      </c>
      <c r="I2008" s="47">
        <f t="shared" si="599"/>
        <v>399690.00000000006</v>
      </c>
      <c r="J2008" s="47">
        <f t="shared" si="599"/>
        <v>2499999.9999999995</v>
      </c>
    </row>
    <row r="2009" spans="1:10" x14ac:dyDescent="0.25">
      <c r="A2009" s="36" t="s">
        <v>174</v>
      </c>
      <c r="B2009" s="34" t="s">
        <v>223</v>
      </c>
      <c r="C2009" s="34" t="s">
        <v>224</v>
      </c>
      <c r="D2009" s="34">
        <v>1</v>
      </c>
      <c r="E2009" s="39">
        <v>0</v>
      </c>
      <c r="F2009" s="39">
        <v>0</v>
      </c>
      <c r="G2009" s="27">
        <v>5</v>
      </c>
      <c r="H2009" s="13">
        <v>1050000</v>
      </c>
      <c r="I2009" s="13">
        <v>450000</v>
      </c>
      <c r="J2009" s="51">
        <f t="shared" si="586"/>
        <v>1500000</v>
      </c>
    </row>
    <row r="2010" spans="1:10" s="3" customFormat="1" x14ac:dyDescent="0.25">
      <c r="A2010" s="23"/>
      <c r="B2010" s="1" t="s">
        <v>401</v>
      </c>
      <c r="C2010" s="37"/>
      <c r="D2010" s="37"/>
      <c r="E2010" s="38"/>
      <c r="F2010" s="38"/>
      <c r="G2010" s="47">
        <f>SUM(G2009)</f>
        <v>5</v>
      </c>
      <c r="H2010" s="47">
        <f t="shared" ref="H2010:J2010" si="600">SUM(H2009)</f>
        <v>1050000</v>
      </c>
      <c r="I2010" s="47">
        <f t="shared" si="600"/>
        <v>450000</v>
      </c>
      <c r="J2010" s="47">
        <f t="shared" si="600"/>
        <v>1500000</v>
      </c>
    </row>
    <row r="2011" spans="1:10" x14ac:dyDescent="0.25">
      <c r="A2011" s="23" t="s">
        <v>175</v>
      </c>
      <c r="B2011" s="24" t="s">
        <v>214</v>
      </c>
      <c r="C2011" s="24" t="s">
        <v>210</v>
      </c>
      <c r="D2011" s="24">
        <v>1</v>
      </c>
      <c r="E2011" s="25">
        <v>970</v>
      </c>
      <c r="F2011" s="30">
        <v>0</v>
      </c>
      <c r="G2011" s="27">
        <f>+D2011*4.8</f>
        <v>4.8</v>
      </c>
      <c r="H2011" s="13">
        <f>+E2011*2000000/8734</f>
        <v>222120.44882070072</v>
      </c>
      <c r="I2011" s="13">
        <v>0</v>
      </c>
      <c r="J2011" s="51">
        <f t="shared" si="586"/>
        <v>222120.44882070072</v>
      </c>
    </row>
    <row r="2012" spans="1:10" x14ac:dyDescent="0.25">
      <c r="A2012" s="4" t="s">
        <v>175</v>
      </c>
      <c r="B2012" s="5" t="s">
        <v>228</v>
      </c>
      <c r="C2012" s="5" t="s">
        <v>229</v>
      </c>
      <c r="D2012" s="5">
        <v>1</v>
      </c>
      <c r="E2012" s="6">
        <v>1941</v>
      </c>
      <c r="F2012" s="11">
        <v>0</v>
      </c>
      <c r="G2012" s="27">
        <f t="shared" ref="G2012:G2013" si="601">+D2012*4.8</f>
        <v>4.8</v>
      </c>
      <c r="H2012" s="13">
        <f t="shared" ref="H2012:H2013" si="602">+E2012*2000000/8734</f>
        <v>444469.88779482484</v>
      </c>
      <c r="I2012" s="13">
        <v>0</v>
      </c>
      <c r="J2012" s="51">
        <f t="shared" si="586"/>
        <v>444469.88779482484</v>
      </c>
    </row>
    <row r="2013" spans="1:10" x14ac:dyDescent="0.25">
      <c r="A2013" s="15" t="s">
        <v>175</v>
      </c>
      <c r="B2013" s="16" t="s">
        <v>230</v>
      </c>
      <c r="C2013" s="16" t="s">
        <v>229</v>
      </c>
      <c r="D2013" s="16">
        <v>3</v>
      </c>
      <c r="E2013" s="17">
        <v>5823</v>
      </c>
      <c r="F2013" s="18">
        <v>0</v>
      </c>
      <c r="G2013" s="27">
        <f t="shared" si="601"/>
        <v>14.399999999999999</v>
      </c>
      <c r="H2013" s="13">
        <f t="shared" si="602"/>
        <v>1333409.6633844746</v>
      </c>
      <c r="I2013" s="13">
        <v>0</v>
      </c>
      <c r="J2013" s="51">
        <f t="shared" si="586"/>
        <v>1333409.6633844746</v>
      </c>
    </row>
    <row r="2014" spans="1:10" s="3" customFormat="1" x14ac:dyDescent="0.25">
      <c r="A2014" s="4"/>
      <c r="B2014" s="20" t="s">
        <v>402</v>
      </c>
      <c r="C2014" s="21"/>
      <c r="D2014" s="21"/>
      <c r="E2014" s="22"/>
      <c r="F2014" s="29"/>
      <c r="G2014" s="47">
        <f>SUM(G2011:G2013)</f>
        <v>24</v>
      </c>
      <c r="H2014" s="47">
        <f t="shared" ref="H2014:J2014" si="603">SUM(H2011:H2013)</f>
        <v>2000000</v>
      </c>
      <c r="I2014" s="47">
        <f t="shared" si="603"/>
        <v>0</v>
      </c>
      <c r="J2014" s="47">
        <f t="shared" si="603"/>
        <v>2000000</v>
      </c>
    </row>
    <row r="2015" spans="1:10" x14ac:dyDescent="0.25">
      <c r="A2015" s="23" t="s">
        <v>176</v>
      </c>
      <c r="B2015" s="24" t="s">
        <v>207</v>
      </c>
      <c r="C2015" s="24" t="s">
        <v>208</v>
      </c>
      <c r="D2015" s="24">
        <v>2</v>
      </c>
      <c r="E2015" s="25">
        <v>23296</v>
      </c>
      <c r="F2015" s="25">
        <v>9318</v>
      </c>
      <c r="G2015" s="27">
        <f>+D2015*4.78125</f>
        <v>9.5625</v>
      </c>
      <c r="H2015" s="13">
        <f>+E2015*1558470/121443</f>
        <v>298956.02974234824</v>
      </c>
      <c r="I2015" s="13">
        <f>+F2015*441530/34406</f>
        <v>119577.29872696623</v>
      </c>
      <c r="J2015" s="51">
        <f t="shared" si="586"/>
        <v>418533.3284693145</v>
      </c>
    </row>
    <row r="2016" spans="1:10" x14ac:dyDescent="0.25">
      <c r="A2016" s="4" t="s">
        <v>176</v>
      </c>
      <c r="B2016" s="5" t="s">
        <v>214</v>
      </c>
      <c r="C2016" s="5" t="s">
        <v>210</v>
      </c>
      <c r="D2016" s="5">
        <v>1</v>
      </c>
      <c r="E2016" s="6">
        <v>970</v>
      </c>
      <c r="F2016" s="11">
        <v>0</v>
      </c>
      <c r="G2016" s="27">
        <f t="shared" ref="G2016:G2025" si="604">+D2016*4.78125</f>
        <v>4.78125</v>
      </c>
      <c r="H2016" s="13">
        <f t="shared" ref="H2016:H2025" si="605">+E2016*1558470/121443</f>
        <v>12447.945949951829</v>
      </c>
      <c r="I2016" s="13">
        <f t="shared" ref="I2016:I2025" si="606">+F2016*441530/34406</f>
        <v>0</v>
      </c>
      <c r="J2016" s="51">
        <f t="shared" si="586"/>
        <v>12447.945949951829</v>
      </c>
    </row>
    <row r="2017" spans="1:10" x14ac:dyDescent="0.25">
      <c r="A2017" s="4" t="s">
        <v>176</v>
      </c>
      <c r="B2017" s="5" t="s">
        <v>219</v>
      </c>
      <c r="C2017" s="5" t="s">
        <v>220</v>
      </c>
      <c r="D2017" s="5">
        <v>2</v>
      </c>
      <c r="E2017" s="6">
        <v>6794</v>
      </c>
      <c r="F2017" s="6">
        <v>2716</v>
      </c>
      <c r="G2017" s="27">
        <f t="shared" si="604"/>
        <v>9.5625</v>
      </c>
      <c r="H2017" s="13">
        <f t="shared" si="605"/>
        <v>87186.953385538902</v>
      </c>
      <c r="I2017" s="13">
        <f t="shared" si="606"/>
        <v>34854.254490495841</v>
      </c>
      <c r="J2017" s="51">
        <f t="shared" si="586"/>
        <v>122041.20787603475</v>
      </c>
    </row>
    <row r="2018" spans="1:10" x14ac:dyDescent="0.25">
      <c r="A2018" s="4" t="s">
        <v>176</v>
      </c>
      <c r="B2018" s="5" t="s">
        <v>226</v>
      </c>
      <c r="C2018" s="5" t="s">
        <v>210</v>
      </c>
      <c r="D2018" s="5">
        <v>6</v>
      </c>
      <c r="E2018" s="6">
        <v>5820</v>
      </c>
      <c r="F2018" s="11">
        <v>0</v>
      </c>
      <c r="G2018" s="27">
        <f t="shared" si="604"/>
        <v>28.6875</v>
      </c>
      <c r="H2018" s="13">
        <f t="shared" si="605"/>
        <v>74687.675699710977</v>
      </c>
      <c r="I2018" s="13">
        <f t="shared" si="606"/>
        <v>0</v>
      </c>
      <c r="J2018" s="51">
        <f t="shared" si="586"/>
        <v>74687.675699710977</v>
      </c>
    </row>
    <row r="2019" spans="1:10" x14ac:dyDescent="0.25">
      <c r="A2019" s="4" t="s">
        <v>176</v>
      </c>
      <c r="B2019" s="5" t="s">
        <v>228</v>
      </c>
      <c r="C2019" s="5" t="s">
        <v>229</v>
      </c>
      <c r="D2019" s="5">
        <v>8</v>
      </c>
      <c r="E2019" s="6">
        <v>15528</v>
      </c>
      <c r="F2019" s="11">
        <v>0</v>
      </c>
      <c r="G2019" s="27">
        <f t="shared" si="604"/>
        <v>38.25</v>
      </c>
      <c r="H2019" s="13">
        <f t="shared" si="605"/>
        <v>199269.79867098146</v>
      </c>
      <c r="I2019" s="13">
        <f t="shared" si="606"/>
        <v>0</v>
      </c>
      <c r="J2019" s="51">
        <f t="shared" si="586"/>
        <v>199269.79867098146</v>
      </c>
    </row>
    <row r="2020" spans="1:10" x14ac:dyDescent="0.25">
      <c r="A2020" s="4" t="s">
        <v>176</v>
      </c>
      <c r="B2020" s="5" t="s">
        <v>230</v>
      </c>
      <c r="C2020" s="5" t="s">
        <v>229</v>
      </c>
      <c r="D2020" s="5">
        <v>6</v>
      </c>
      <c r="E2020" s="6">
        <v>11646</v>
      </c>
      <c r="F2020" s="11">
        <v>0</v>
      </c>
      <c r="G2020" s="27">
        <f t="shared" si="604"/>
        <v>28.6875</v>
      </c>
      <c r="H2020" s="13">
        <f t="shared" si="605"/>
        <v>149452.3490032361</v>
      </c>
      <c r="I2020" s="13">
        <f t="shared" si="606"/>
        <v>0</v>
      </c>
      <c r="J2020" s="51">
        <f t="shared" si="586"/>
        <v>149452.3490032361</v>
      </c>
    </row>
    <row r="2021" spans="1:10" x14ac:dyDescent="0.25">
      <c r="A2021" s="4" t="s">
        <v>176</v>
      </c>
      <c r="B2021" s="5" t="s">
        <v>235</v>
      </c>
      <c r="C2021" s="5" t="s">
        <v>236</v>
      </c>
      <c r="D2021" s="5">
        <v>1</v>
      </c>
      <c r="E2021" s="6">
        <v>6825</v>
      </c>
      <c r="F2021" s="6">
        <v>2730</v>
      </c>
      <c r="G2021" s="27">
        <f t="shared" si="604"/>
        <v>4.78125</v>
      </c>
      <c r="H2021" s="13">
        <f t="shared" si="605"/>
        <v>87584.774338578587</v>
      </c>
      <c r="I2021" s="13">
        <f t="shared" si="606"/>
        <v>35033.91559611696</v>
      </c>
      <c r="J2021" s="51">
        <f t="shared" si="586"/>
        <v>122618.68993469555</v>
      </c>
    </row>
    <row r="2022" spans="1:10" x14ac:dyDescent="0.25">
      <c r="A2022" s="4" t="s">
        <v>176</v>
      </c>
      <c r="B2022" s="5" t="s">
        <v>240</v>
      </c>
      <c r="C2022" s="5" t="s">
        <v>238</v>
      </c>
      <c r="D2022" s="5">
        <v>1</v>
      </c>
      <c r="E2022" s="6">
        <v>5126</v>
      </c>
      <c r="F2022" s="6">
        <v>2050</v>
      </c>
      <c r="G2022" s="27">
        <f t="shared" si="604"/>
        <v>4.78125</v>
      </c>
      <c r="H2022" s="13">
        <f t="shared" si="605"/>
        <v>65781.61952520936</v>
      </c>
      <c r="I2022" s="13">
        <f t="shared" si="606"/>
        <v>26307.519037377202</v>
      </c>
      <c r="J2022" s="51">
        <f t="shared" si="586"/>
        <v>92089.138562586566</v>
      </c>
    </row>
    <row r="2023" spans="1:10" x14ac:dyDescent="0.25">
      <c r="A2023" s="4" t="s">
        <v>176</v>
      </c>
      <c r="B2023" s="5" t="s">
        <v>241</v>
      </c>
      <c r="C2023" s="5" t="s">
        <v>236</v>
      </c>
      <c r="D2023" s="5">
        <v>2</v>
      </c>
      <c r="E2023" s="6">
        <v>13650</v>
      </c>
      <c r="F2023" s="6">
        <v>5460</v>
      </c>
      <c r="G2023" s="27">
        <f t="shared" si="604"/>
        <v>9.5625</v>
      </c>
      <c r="H2023" s="13">
        <f t="shared" si="605"/>
        <v>175169.54867715717</v>
      </c>
      <c r="I2023" s="13">
        <f t="shared" si="606"/>
        <v>70067.83119223392</v>
      </c>
      <c r="J2023" s="51">
        <f t="shared" si="586"/>
        <v>245237.37986939109</v>
      </c>
    </row>
    <row r="2024" spans="1:10" x14ac:dyDescent="0.25">
      <c r="A2024" s="4" t="s">
        <v>176</v>
      </c>
      <c r="B2024" s="5" t="s">
        <v>249</v>
      </c>
      <c r="C2024" s="5" t="s">
        <v>250</v>
      </c>
      <c r="D2024" s="5">
        <v>2</v>
      </c>
      <c r="E2024" s="6">
        <v>30332</v>
      </c>
      <c r="F2024" s="6">
        <v>12132</v>
      </c>
      <c r="G2024" s="27">
        <f t="shared" si="604"/>
        <v>9.5625</v>
      </c>
      <c r="H2024" s="13">
        <f t="shared" si="605"/>
        <v>389248.55314839061</v>
      </c>
      <c r="I2024" s="13">
        <f t="shared" si="606"/>
        <v>155689.18095680987</v>
      </c>
      <c r="J2024" s="51">
        <f t="shared" ref="J2024:J2094" si="607">SUM(H2024:I2024)</f>
        <v>544937.73410520051</v>
      </c>
    </row>
    <row r="2025" spans="1:10" x14ac:dyDescent="0.25">
      <c r="A2025" s="15" t="s">
        <v>176</v>
      </c>
      <c r="B2025" s="16" t="s">
        <v>252</v>
      </c>
      <c r="C2025" s="16" t="s">
        <v>212</v>
      </c>
      <c r="D2025" s="16">
        <v>1</v>
      </c>
      <c r="E2025" s="17">
        <v>1456</v>
      </c>
      <c r="F2025" s="18">
        <v>0</v>
      </c>
      <c r="G2025" s="27">
        <f t="shared" si="604"/>
        <v>4.78125</v>
      </c>
      <c r="H2025" s="13">
        <f t="shared" si="605"/>
        <v>18684.751858896765</v>
      </c>
      <c r="I2025" s="13">
        <f t="shared" si="606"/>
        <v>0</v>
      </c>
      <c r="J2025" s="51">
        <f t="shared" si="607"/>
        <v>18684.751858896765</v>
      </c>
    </row>
    <row r="2026" spans="1:10" s="3" customFormat="1" x14ac:dyDescent="0.25">
      <c r="A2026" s="4"/>
      <c r="B2026" s="20" t="s">
        <v>403</v>
      </c>
      <c r="C2026" s="21"/>
      <c r="D2026" s="21"/>
      <c r="E2026" s="22"/>
      <c r="F2026" s="29"/>
      <c r="G2026" s="47">
        <f>SUM(G2015:G2025)</f>
        <v>153</v>
      </c>
      <c r="H2026" s="47">
        <f t="shared" ref="H2026:I2026" si="608">SUM(H2015:H2025)</f>
        <v>1558469.9999999998</v>
      </c>
      <c r="I2026" s="47">
        <f t="shared" si="608"/>
        <v>441530</v>
      </c>
      <c r="J2026" s="47">
        <f>SUM(J2015:J2025)</f>
        <v>2000000.0000000002</v>
      </c>
    </row>
    <row r="2027" spans="1:10" x14ac:dyDescent="0.25">
      <c r="A2027" s="23" t="s">
        <v>177</v>
      </c>
      <c r="B2027" s="24" t="s">
        <v>214</v>
      </c>
      <c r="C2027" s="24" t="s">
        <v>210</v>
      </c>
      <c r="D2027" s="24">
        <v>2</v>
      </c>
      <c r="E2027" s="25">
        <v>1940</v>
      </c>
      <c r="F2027" s="30">
        <v>0</v>
      </c>
      <c r="G2027" s="27">
        <f>+D2027*4.66666666666667</f>
        <v>9.3333333333333393</v>
      </c>
      <c r="H2027" s="13">
        <f>+E2027*1143758/8765</f>
        <v>253153.51055333714</v>
      </c>
      <c r="I2027" s="13">
        <f>+F2027*356242/2730</f>
        <v>0</v>
      </c>
      <c r="J2027" s="51">
        <f t="shared" si="607"/>
        <v>253153.51055333714</v>
      </c>
    </row>
    <row r="2028" spans="1:10" x14ac:dyDescent="0.25">
      <c r="A2028" s="15" t="s">
        <v>177</v>
      </c>
      <c r="B2028" s="16" t="s">
        <v>239</v>
      </c>
      <c r="C2028" s="16" t="s">
        <v>236</v>
      </c>
      <c r="D2028" s="16">
        <v>1</v>
      </c>
      <c r="E2028" s="17">
        <v>6825</v>
      </c>
      <c r="F2028" s="17">
        <v>2730</v>
      </c>
      <c r="G2028" s="27">
        <f>+D2028*4.66666666666667</f>
        <v>4.6666666666666696</v>
      </c>
      <c r="H2028" s="13">
        <f>+E2028*1143758/8765</f>
        <v>890604.48944666283</v>
      </c>
      <c r="I2028" s="13">
        <f>+F2028*356242/2730</f>
        <v>356242</v>
      </c>
      <c r="J2028" s="51">
        <f t="shared" si="607"/>
        <v>1246846.4894466628</v>
      </c>
    </row>
    <row r="2029" spans="1:10" s="3" customFormat="1" x14ac:dyDescent="0.25">
      <c r="A2029" s="4"/>
      <c r="B2029" s="20" t="s">
        <v>404</v>
      </c>
      <c r="C2029" s="21"/>
      <c r="D2029" s="21"/>
      <c r="E2029" s="22"/>
      <c r="F2029" s="22"/>
      <c r="G2029" s="47">
        <f>SUM(G2027:G2028)</f>
        <v>14.000000000000009</v>
      </c>
      <c r="H2029" s="47">
        <f t="shared" ref="H2029:J2029" si="609">SUM(H2027:H2028)</f>
        <v>1143758</v>
      </c>
      <c r="I2029" s="47">
        <f t="shared" si="609"/>
        <v>356242</v>
      </c>
      <c r="J2029" s="47">
        <f t="shared" si="609"/>
        <v>1500000</v>
      </c>
    </row>
    <row r="2030" spans="1:10" x14ac:dyDescent="0.25">
      <c r="A2030" s="23" t="s">
        <v>178</v>
      </c>
      <c r="B2030" s="24" t="s">
        <v>214</v>
      </c>
      <c r="C2030" s="24" t="s">
        <v>210</v>
      </c>
      <c r="D2030" s="24">
        <v>1</v>
      </c>
      <c r="E2030" s="25">
        <v>485</v>
      </c>
      <c r="F2030" s="30">
        <v>0</v>
      </c>
      <c r="G2030" s="27">
        <f>+D2030*4.81818181818182</f>
        <v>4.8181818181818201</v>
      </c>
      <c r="H2030" s="13">
        <f>+E2030*862086/35553</f>
        <v>11760.237110792339</v>
      </c>
      <c r="I2030" s="13">
        <f>+F2030*637914/26308</f>
        <v>0</v>
      </c>
      <c r="J2030" s="51">
        <f t="shared" si="607"/>
        <v>11760.237110792339</v>
      </c>
    </row>
    <row r="2031" spans="1:10" x14ac:dyDescent="0.25">
      <c r="A2031" s="4" t="s">
        <v>178</v>
      </c>
      <c r="B2031" s="5" t="s">
        <v>215</v>
      </c>
      <c r="C2031" s="5" t="s">
        <v>212</v>
      </c>
      <c r="D2031" s="5">
        <v>1</v>
      </c>
      <c r="E2031" s="6">
        <v>728</v>
      </c>
      <c r="F2031" s="11">
        <v>0</v>
      </c>
      <c r="G2031" s="27">
        <f t="shared" ref="G2031:G2037" si="610">+D2031*4.81818181818182</f>
        <v>4.8181818181818201</v>
      </c>
      <c r="H2031" s="13">
        <f t="shared" ref="H2031:H2037" si="611">+E2031*862086/35553</f>
        <v>17652.479621972831</v>
      </c>
      <c r="I2031" s="13">
        <f t="shared" ref="I2031:I2037" si="612">+F2031*637914/26308</f>
        <v>0</v>
      </c>
      <c r="J2031" s="51">
        <f t="shared" si="607"/>
        <v>17652.479621972831</v>
      </c>
    </row>
    <row r="2032" spans="1:10" x14ac:dyDescent="0.25">
      <c r="A2032" s="4" t="s">
        <v>178</v>
      </c>
      <c r="B2032" s="5" t="s">
        <v>217</v>
      </c>
      <c r="C2032" s="5" t="s">
        <v>218</v>
      </c>
      <c r="D2032" s="5">
        <v>2</v>
      </c>
      <c r="E2032" s="6">
        <v>3312</v>
      </c>
      <c r="F2032" s="6">
        <v>2650</v>
      </c>
      <c r="G2032" s="27">
        <f t="shared" si="610"/>
        <v>9.6363636363636402</v>
      </c>
      <c r="H2032" s="13">
        <f t="shared" si="611"/>
        <v>80309.083115348913</v>
      </c>
      <c r="I2032" s="13">
        <f t="shared" si="612"/>
        <v>64256.959860118593</v>
      </c>
      <c r="J2032" s="51">
        <f t="shared" si="607"/>
        <v>144566.04297546751</v>
      </c>
    </row>
    <row r="2033" spans="1:10" x14ac:dyDescent="0.25">
      <c r="A2033" s="4" t="s">
        <v>178</v>
      </c>
      <c r="B2033" s="5" t="s">
        <v>230</v>
      </c>
      <c r="C2033" s="5" t="s">
        <v>229</v>
      </c>
      <c r="D2033" s="5">
        <v>1</v>
      </c>
      <c r="E2033" s="6">
        <v>970</v>
      </c>
      <c r="F2033" s="11">
        <v>0</v>
      </c>
      <c r="G2033" s="27">
        <f t="shared" si="610"/>
        <v>4.8181818181818201</v>
      </c>
      <c r="H2033" s="13">
        <f t="shared" si="611"/>
        <v>23520.474221584678</v>
      </c>
      <c r="I2033" s="13">
        <f t="shared" si="612"/>
        <v>0</v>
      </c>
      <c r="J2033" s="51">
        <f t="shared" si="607"/>
        <v>23520.474221584678</v>
      </c>
    </row>
    <row r="2034" spans="1:10" x14ac:dyDescent="0.25">
      <c r="A2034" s="4" t="s">
        <v>178</v>
      </c>
      <c r="B2034" s="5" t="s">
        <v>239</v>
      </c>
      <c r="C2034" s="5" t="s">
        <v>236</v>
      </c>
      <c r="D2034" s="5">
        <v>1</v>
      </c>
      <c r="E2034" s="6">
        <v>3412</v>
      </c>
      <c r="F2034" s="6">
        <v>2730</v>
      </c>
      <c r="G2034" s="27">
        <f t="shared" si="610"/>
        <v>4.8181818181818201</v>
      </c>
      <c r="H2034" s="13">
        <f t="shared" si="611"/>
        <v>82733.874272213317</v>
      </c>
      <c r="I2034" s="13">
        <f t="shared" si="612"/>
        <v>66196.792610612742</v>
      </c>
      <c r="J2034" s="51">
        <f t="shared" si="607"/>
        <v>148930.66688282607</v>
      </c>
    </row>
    <row r="2035" spans="1:10" x14ac:dyDescent="0.25">
      <c r="A2035" s="4" t="s">
        <v>178</v>
      </c>
      <c r="B2035" s="5" t="s">
        <v>241</v>
      </c>
      <c r="C2035" s="5" t="s">
        <v>236</v>
      </c>
      <c r="D2035" s="5">
        <v>1</v>
      </c>
      <c r="E2035" s="6">
        <v>3412</v>
      </c>
      <c r="F2035" s="6">
        <v>2730</v>
      </c>
      <c r="G2035" s="27">
        <f t="shared" si="610"/>
        <v>4.8181818181818201</v>
      </c>
      <c r="H2035" s="13">
        <f t="shared" si="611"/>
        <v>82733.874272213317</v>
      </c>
      <c r="I2035" s="13">
        <f t="shared" si="612"/>
        <v>66196.792610612742</v>
      </c>
      <c r="J2035" s="51">
        <f t="shared" si="607"/>
        <v>148930.66688282607</v>
      </c>
    </row>
    <row r="2036" spans="1:10" x14ac:dyDescent="0.25">
      <c r="A2036" s="4" t="s">
        <v>178</v>
      </c>
      <c r="B2036" s="5" t="s">
        <v>249</v>
      </c>
      <c r="C2036" s="5" t="s">
        <v>250</v>
      </c>
      <c r="D2036" s="5">
        <v>3</v>
      </c>
      <c r="E2036" s="6">
        <v>22749</v>
      </c>
      <c r="F2036" s="6">
        <v>18198</v>
      </c>
      <c r="G2036" s="27">
        <f t="shared" si="610"/>
        <v>14.45454545454546</v>
      </c>
      <c r="H2036" s="13">
        <f t="shared" si="611"/>
        <v>551615.74027508229</v>
      </c>
      <c r="I2036" s="13">
        <f t="shared" si="612"/>
        <v>441263.45491865592</v>
      </c>
      <c r="J2036" s="51">
        <f t="shared" si="607"/>
        <v>992879.19519373821</v>
      </c>
    </row>
    <row r="2037" spans="1:10" x14ac:dyDescent="0.25">
      <c r="A2037" s="15" t="s">
        <v>178</v>
      </c>
      <c r="B2037" s="16" t="s">
        <v>253</v>
      </c>
      <c r="C2037" s="16" t="s">
        <v>210</v>
      </c>
      <c r="D2037" s="16">
        <v>1</v>
      </c>
      <c r="E2037" s="17">
        <v>485</v>
      </c>
      <c r="F2037" s="18">
        <v>0</v>
      </c>
      <c r="G2037" s="27">
        <f t="shared" si="610"/>
        <v>4.8181818181818201</v>
      </c>
      <c r="H2037" s="13">
        <f t="shared" si="611"/>
        <v>11760.237110792339</v>
      </c>
      <c r="I2037" s="13">
        <f t="shared" si="612"/>
        <v>0</v>
      </c>
      <c r="J2037" s="51">
        <f t="shared" si="607"/>
        <v>11760.237110792339</v>
      </c>
    </row>
    <row r="2038" spans="1:10" s="3" customFormat="1" x14ac:dyDescent="0.25">
      <c r="A2038" s="4"/>
      <c r="B2038" s="20" t="s">
        <v>405</v>
      </c>
      <c r="C2038" s="21"/>
      <c r="D2038" s="21"/>
      <c r="E2038" s="22"/>
      <c r="F2038" s="29"/>
      <c r="G2038" s="47">
        <f>SUM(G2030:G2037)</f>
        <v>53.000000000000021</v>
      </c>
      <c r="H2038" s="47">
        <f t="shared" ref="H2038:J2038" si="613">SUM(H2030:H2037)</f>
        <v>862086</v>
      </c>
      <c r="I2038" s="47">
        <f t="shared" si="613"/>
        <v>637914</v>
      </c>
      <c r="J2038" s="47">
        <f t="shared" si="613"/>
        <v>1500000.0000000002</v>
      </c>
    </row>
    <row r="2039" spans="1:10" x14ac:dyDescent="0.25">
      <c r="A2039" s="23" t="s">
        <v>179</v>
      </c>
      <c r="B2039" s="24" t="s">
        <v>209</v>
      </c>
      <c r="C2039" s="24" t="s">
        <v>210</v>
      </c>
      <c r="D2039" s="24">
        <v>4</v>
      </c>
      <c r="E2039" s="25">
        <v>3880</v>
      </c>
      <c r="F2039" s="30">
        <v>0</v>
      </c>
      <c r="G2039" s="27">
        <f>+D2039*4.78688524590164</f>
        <v>19.147540983606561</v>
      </c>
      <c r="H2039" s="13">
        <f>+E2039*2861671/588187</f>
        <v>18877.131728514913</v>
      </c>
      <c r="I2039" s="13">
        <f>+F2039*138329/28432</f>
        <v>0</v>
      </c>
      <c r="J2039" s="51">
        <f t="shared" si="607"/>
        <v>18877.131728514913</v>
      </c>
    </row>
    <row r="2040" spans="1:10" x14ac:dyDescent="0.25">
      <c r="A2040" s="4" t="s">
        <v>179</v>
      </c>
      <c r="B2040" s="5" t="s">
        <v>211</v>
      </c>
      <c r="C2040" s="5" t="s">
        <v>212</v>
      </c>
      <c r="D2040" s="5">
        <v>10</v>
      </c>
      <c r="E2040" s="6">
        <v>14560</v>
      </c>
      <c r="F2040" s="11">
        <v>0</v>
      </c>
      <c r="G2040" s="27">
        <f t="shared" ref="G2040:G2052" si="614">+D2040*4.78688524590164</f>
        <v>47.868852459016402</v>
      </c>
      <c r="H2040" s="13">
        <f t="shared" ref="H2040:H2052" si="615">+E2040*2861671/588187</f>
        <v>70837.896383293075</v>
      </c>
      <c r="I2040" s="13">
        <f t="shared" ref="I2040:I2052" si="616">+F2040*138329/28432</f>
        <v>0</v>
      </c>
      <c r="J2040" s="51">
        <f t="shared" si="607"/>
        <v>70837.896383293075</v>
      </c>
    </row>
    <row r="2041" spans="1:10" x14ac:dyDescent="0.25">
      <c r="A2041" s="4" t="s">
        <v>179</v>
      </c>
      <c r="B2041" s="5" t="s">
        <v>213</v>
      </c>
      <c r="C2041" s="5" t="s">
        <v>212</v>
      </c>
      <c r="D2041" s="5">
        <v>1</v>
      </c>
      <c r="E2041" s="6">
        <v>1456</v>
      </c>
      <c r="F2041" s="11">
        <v>0</v>
      </c>
      <c r="G2041" s="27">
        <f t="shared" si="614"/>
        <v>4.7868852459016402</v>
      </c>
      <c r="H2041" s="13">
        <f t="shared" si="615"/>
        <v>7083.7896383293064</v>
      </c>
      <c r="I2041" s="13">
        <f t="shared" si="616"/>
        <v>0</v>
      </c>
      <c r="J2041" s="51">
        <f t="shared" si="607"/>
        <v>7083.7896383293064</v>
      </c>
    </row>
    <row r="2042" spans="1:10" x14ac:dyDescent="0.25">
      <c r="A2042" s="4" t="s">
        <v>179</v>
      </c>
      <c r="B2042" s="5" t="s">
        <v>217</v>
      </c>
      <c r="C2042" s="5" t="s">
        <v>218</v>
      </c>
      <c r="D2042" s="5">
        <v>2</v>
      </c>
      <c r="E2042" s="6">
        <v>6626</v>
      </c>
      <c r="F2042" s="6">
        <v>2650</v>
      </c>
      <c r="G2042" s="27">
        <f t="shared" si="614"/>
        <v>9.5737704918032804</v>
      </c>
      <c r="H2042" s="13">
        <f t="shared" si="615"/>
        <v>32237.081142561805</v>
      </c>
      <c r="I2042" s="13">
        <f t="shared" si="616"/>
        <v>12892.932259425999</v>
      </c>
      <c r="J2042" s="51">
        <f t="shared" si="607"/>
        <v>45130.013401987802</v>
      </c>
    </row>
    <row r="2043" spans="1:10" x14ac:dyDescent="0.25">
      <c r="A2043" s="4" t="s">
        <v>179</v>
      </c>
      <c r="B2043" s="5" t="s">
        <v>223</v>
      </c>
      <c r="C2043" s="5" t="s">
        <v>224</v>
      </c>
      <c r="D2043" s="5">
        <v>3</v>
      </c>
      <c r="E2043" s="6">
        <v>2910</v>
      </c>
      <c r="F2043" s="11">
        <v>0</v>
      </c>
      <c r="G2043" s="27">
        <f t="shared" si="614"/>
        <v>14.360655737704921</v>
      </c>
      <c r="H2043" s="13">
        <f t="shared" si="615"/>
        <v>14157.848796386183</v>
      </c>
      <c r="I2043" s="13">
        <f t="shared" si="616"/>
        <v>0</v>
      </c>
      <c r="J2043" s="51">
        <f t="shared" si="607"/>
        <v>14157.848796386183</v>
      </c>
    </row>
    <row r="2044" spans="1:10" x14ac:dyDescent="0.25">
      <c r="A2044" s="4" t="s">
        <v>179</v>
      </c>
      <c r="B2044" s="5" t="s">
        <v>226</v>
      </c>
      <c r="C2044" s="5" t="s">
        <v>210</v>
      </c>
      <c r="D2044" s="5">
        <v>4</v>
      </c>
      <c r="E2044" s="6">
        <v>3880</v>
      </c>
      <c r="F2044" s="11">
        <v>0</v>
      </c>
      <c r="G2044" s="27">
        <f t="shared" si="614"/>
        <v>19.147540983606561</v>
      </c>
      <c r="H2044" s="13">
        <f t="shared" si="615"/>
        <v>18877.131728514913</v>
      </c>
      <c r="I2044" s="13">
        <f t="shared" si="616"/>
        <v>0</v>
      </c>
      <c r="J2044" s="51">
        <f t="shared" si="607"/>
        <v>18877.131728514913</v>
      </c>
    </row>
    <row r="2045" spans="1:10" x14ac:dyDescent="0.25">
      <c r="A2045" s="4" t="s">
        <v>179</v>
      </c>
      <c r="B2045" s="5" t="s">
        <v>228</v>
      </c>
      <c r="C2045" s="5" t="s">
        <v>229</v>
      </c>
      <c r="D2045" s="5">
        <v>23</v>
      </c>
      <c r="E2045" s="6">
        <v>44643</v>
      </c>
      <c r="F2045" s="11">
        <v>0</v>
      </c>
      <c r="G2045" s="27">
        <f t="shared" si="614"/>
        <v>110.09836065573772</v>
      </c>
      <c r="H2045" s="13">
        <f t="shared" si="615"/>
        <v>217198.91540105443</v>
      </c>
      <c r="I2045" s="13">
        <f t="shared" si="616"/>
        <v>0</v>
      </c>
      <c r="J2045" s="51">
        <f t="shared" si="607"/>
        <v>217198.91540105443</v>
      </c>
    </row>
    <row r="2046" spans="1:10" x14ac:dyDescent="0.25">
      <c r="A2046" s="4" t="s">
        <v>179</v>
      </c>
      <c r="B2046" s="5" t="s">
        <v>262</v>
      </c>
      <c r="C2046" s="5" t="s">
        <v>263</v>
      </c>
      <c r="D2046" s="5">
        <v>1</v>
      </c>
      <c r="E2046" s="6">
        <v>151666</v>
      </c>
      <c r="F2046" s="11">
        <v>0</v>
      </c>
      <c r="G2046" s="27">
        <f t="shared" si="614"/>
        <v>4.7868852459016402</v>
      </c>
      <c r="H2046" s="13">
        <f t="shared" si="615"/>
        <v>737891.51049921196</v>
      </c>
      <c r="I2046" s="13">
        <f t="shared" si="616"/>
        <v>0</v>
      </c>
      <c r="J2046" s="51">
        <f t="shared" si="607"/>
        <v>737891.51049921196</v>
      </c>
    </row>
    <row r="2047" spans="1:10" x14ac:dyDescent="0.25">
      <c r="A2047" s="4" t="s">
        <v>179</v>
      </c>
      <c r="B2047" s="5" t="s">
        <v>233</v>
      </c>
      <c r="C2047" s="5" t="s">
        <v>234</v>
      </c>
      <c r="D2047" s="5">
        <v>3</v>
      </c>
      <c r="E2047" s="6">
        <v>291198</v>
      </c>
      <c r="F2047" s="11">
        <v>0</v>
      </c>
      <c r="G2047" s="27">
        <f t="shared" si="614"/>
        <v>14.360655737704921</v>
      </c>
      <c r="H2047" s="13">
        <f t="shared" si="615"/>
        <v>1416748.197185589</v>
      </c>
      <c r="I2047" s="13">
        <f t="shared" si="616"/>
        <v>0</v>
      </c>
      <c r="J2047" s="51">
        <f t="shared" si="607"/>
        <v>1416748.197185589</v>
      </c>
    </row>
    <row r="2048" spans="1:10" x14ac:dyDescent="0.25">
      <c r="A2048" s="4" t="s">
        <v>179</v>
      </c>
      <c r="B2048" s="5" t="s">
        <v>241</v>
      </c>
      <c r="C2048" s="5" t="s">
        <v>236</v>
      </c>
      <c r="D2048" s="5">
        <v>4</v>
      </c>
      <c r="E2048" s="6">
        <v>27300</v>
      </c>
      <c r="F2048" s="6">
        <v>10920</v>
      </c>
      <c r="G2048" s="27">
        <f t="shared" si="614"/>
        <v>19.147540983606561</v>
      </c>
      <c r="H2048" s="13">
        <f t="shared" si="615"/>
        <v>132821.0557186745</v>
      </c>
      <c r="I2048" s="13">
        <f t="shared" si="616"/>
        <v>53128.611423747891</v>
      </c>
      <c r="J2048" s="51">
        <f t="shared" si="607"/>
        <v>185949.6671424224</v>
      </c>
    </row>
    <row r="2049" spans="1:10" x14ac:dyDescent="0.25">
      <c r="A2049" s="4" t="s">
        <v>179</v>
      </c>
      <c r="B2049" s="5" t="s">
        <v>243</v>
      </c>
      <c r="C2049" s="5" t="s">
        <v>244</v>
      </c>
      <c r="D2049" s="5">
        <v>2</v>
      </c>
      <c r="E2049" s="6">
        <v>6824</v>
      </c>
      <c r="F2049" s="6">
        <v>2730</v>
      </c>
      <c r="G2049" s="27">
        <f t="shared" si="614"/>
        <v>9.5737704918032804</v>
      </c>
      <c r="H2049" s="13">
        <f t="shared" si="615"/>
        <v>33200.398689532412</v>
      </c>
      <c r="I2049" s="13">
        <f t="shared" si="616"/>
        <v>13282.152855936973</v>
      </c>
      <c r="J2049" s="51">
        <f t="shared" si="607"/>
        <v>46482.551545469381</v>
      </c>
    </row>
    <row r="2050" spans="1:10" x14ac:dyDescent="0.25">
      <c r="A2050" s="4" t="s">
        <v>179</v>
      </c>
      <c r="B2050" s="5" t="s">
        <v>249</v>
      </c>
      <c r="C2050" s="5" t="s">
        <v>250</v>
      </c>
      <c r="D2050" s="5">
        <v>2</v>
      </c>
      <c r="E2050" s="6">
        <v>30332</v>
      </c>
      <c r="F2050" s="6">
        <v>12132</v>
      </c>
      <c r="G2050" s="27">
        <f t="shared" si="614"/>
        <v>9.5737704918032804</v>
      </c>
      <c r="H2050" s="13">
        <f t="shared" si="615"/>
        <v>147572.46381167893</v>
      </c>
      <c r="I2050" s="13">
        <f t="shared" si="616"/>
        <v>59025.303460889139</v>
      </c>
      <c r="J2050" s="51">
        <f t="shared" si="607"/>
        <v>206597.76727256807</v>
      </c>
    </row>
    <row r="2051" spans="1:10" x14ac:dyDescent="0.25">
      <c r="A2051" s="4" t="s">
        <v>179</v>
      </c>
      <c r="B2051" s="5" t="s">
        <v>252</v>
      </c>
      <c r="C2051" s="5" t="s">
        <v>212</v>
      </c>
      <c r="D2051" s="5">
        <v>1</v>
      </c>
      <c r="E2051" s="6">
        <v>1456</v>
      </c>
      <c r="F2051" s="11">
        <v>0</v>
      </c>
      <c r="G2051" s="27">
        <f t="shared" si="614"/>
        <v>4.7868852459016402</v>
      </c>
      <c r="H2051" s="13">
        <f t="shared" si="615"/>
        <v>7083.7896383293064</v>
      </c>
      <c r="I2051" s="13">
        <f t="shared" si="616"/>
        <v>0</v>
      </c>
      <c r="J2051" s="51">
        <f t="shared" si="607"/>
        <v>7083.7896383293064</v>
      </c>
    </row>
    <row r="2052" spans="1:10" x14ac:dyDescent="0.25">
      <c r="A2052" s="15" t="s">
        <v>179</v>
      </c>
      <c r="B2052" s="16" t="s">
        <v>254</v>
      </c>
      <c r="C2052" s="16" t="s">
        <v>212</v>
      </c>
      <c r="D2052" s="16">
        <v>1</v>
      </c>
      <c r="E2052" s="17">
        <v>1456</v>
      </c>
      <c r="F2052" s="18">
        <v>0</v>
      </c>
      <c r="G2052" s="27">
        <f t="shared" si="614"/>
        <v>4.7868852459016402</v>
      </c>
      <c r="H2052" s="13">
        <f t="shared" si="615"/>
        <v>7083.7896383293064</v>
      </c>
      <c r="I2052" s="13">
        <f t="shared" si="616"/>
        <v>0</v>
      </c>
      <c r="J2052" s="51">
        <f t="shared" si="607"/>
        <v>7083.7896383293064</v>
      </c>
    </row>
    <row r="2053" spans="1:10" s="3" customFormat="1" x14ac:dyDescent="0.25">
      <c r="A2053" s="4"/>
      <c r="B2053" s="20" t="s">
        <v>406</v>
      </c>
      <c r="C2053" s="21"/>
      <c r="D2053" s="21"/>
      <c r="E2053" s="22"/>
      <c r="F2053" s="29"/>
      <c r="G2053" s="47">
        <f>SUM(G2039:G2052)</f>
        <v>292</v>
      </c>
      <c r="H2053" s="47">
        <f t="shared" ref="H2053:J2053" si="617">SUM(H2039:H2052)</f>
        <v>2861670.9999999995</v>
      </c>
      <c r="I2053" s="47">
        <f t="shared" si="617"/>
        <v>138329</v>
      </c>
      <c r="J2053" s="47">
        <f t="shared" si="617"/>
        <v>3000000</v>
      </c>
    </row>
    <row r="2054" spans="1:10" x14ac:dyDescent="0.25">
      <c r="A2054" s="23" t="s">
        <v>180</v>
      </c>
      <c r="B2054" s="24" t="s">
        <v>223</v>
      </c>
      <c r="C2054" s="24" t="s">
        <v>224</v>
      </c>
      <c r="D2054" s="24">
        <v>1</v>
      </c>
      <c r="E2054" s="30">
        <v>0</v>
      </c>
      <c r="F2054" s="30">
        <v>0</v>
      </c>
      <c r="G2054" s="27">
        <f>+D2054*4.8</f>
        <v>4.8</v>
      </c>
      <c r="H2054" s="13">
        <f>+E2054*662162/4018</f>
        <v>0</v>
      </c>
      <c r="I2054" s="13">
        <f>+F2054*337838/2050</f>
        <v>0</v>
      </c>
      <c r="J2054" s="51">
        <f t="shared" si="607"/>
        <v>0</v>
      </c>
    </row>
    <row r="2055" spans="1:10" x14ac:dyDescent="0.25">
      <c r="A2055" s="4" t="s">
        <v>180</v>
      </c>
      <c r="B2055" s="5" t="s">
        <v>225</v>
      </c>
      <c r="C2055" s="5" t="s">
        <v>210</v>
      </c>
      <c r="D2055" s="5">
        <v>1</v>
      </c>
      <c r="E2055" s="6">
        <v>485</v>
      </c>
      <c r="F2055" s="11">
        <v>0</v>
      </c>
      <c r="G2055" s="27">
        <f t="shared" ref="G2055:G2057" si="618">+D2055*4.8</f>
        <v>4.8</v>
      </c>
      <c r="H2055" s="13">
        <f t="shared" ref="H2055:H2057" si="619">+E2055*662162/4018</f>
        <v>79927.468889995027</v>
      </c>
      <c r="I2055" s="13">
        <f t="shared" ref="I2055:I2057" si="620">+F2055*337838/2050</f>
        <v>0</v>
      </c>
      <c r="J2055" s="51">
        <f t="shared" si="607"/>
        <v>79927.468889995027</v>
      </c>
    </row>
    <row r="2056" spans="1:10" x14ac:dyDescent="0.25">
      <c r="A2056" s="4" t="s">
        <v>180</v>
      </c>
      <c r="B2056" s="5" t="s">
        <v>240</v>
      </c>
      <c r="C2056" s="5" t="s">
        <v>238</v>
      </c>
      <c r="D2056" s="5">
        <v>1</v>
      </c>
      <c r="E2056" s="6">
        <v>2563</v>
      </c>
      <c r="F2056" s="6">
        <v>2050</v>
      </c>
      <c r="G2056" s="27">
        <f t="shared" si="618"/>
        <v>4.8</v>
      </c>
      <c r="H2056" s="13">
        <f t="shared" si="619"/>
        <v>422379.5933300149</v>
      </c>
      <c r="I2056" s="13">
        <f t="shared" si="620"/>
        <v>337838</v>
      </c>
      <c r="J2056" s="51">
        <f t="shared" si="607"/>
        <v>760217.59333001496</v>
      </c>
    </row>
    <row r="2057" spans="1:10" x14ac:dyDescent="0.25">
      <c r="A2057" s="15" t="s">
        <v>180</v>
      </c>
      <c r="B2057" s="16" t="s">
        <v>253</v>
      </c>
      <c r="C2057" s="16" t="s">
        <v>210</v>
      </c>
      <c r="D2057" s="16">
        <v>2</v>
      </c>
      <c r="E2057" s="17">
        <v>970</v>
      </c>
      <c r="F2057" s="18">
        <v>0</v>
      </c>
      <c r="G2057" s="27">
        <f t="shared" si="618"/>
        <v>9.6</v>
      </c>
      <c r="H2057" s="13">
        <f t="shared" si="619"/>
        <v>159854.93777999005</v>
      </c>
      <c r="I2057" s="13">
        <f t="shared" si="620"/>
        <v>0</v>
      </c>
      <c r="J2057" s="51">
        <f t="shared" si="607"/>
        <v>159854.93777999005</v>
      </c>
    </row>
    <row r="2058" spans="1:10" s="3" customFormat="1" x14ac:dyDescent="0.25">
      <c r="A2058" s="4"/>
      <c r="B2058" s="20" t="s">
        <v>407</v>
      </c>
      <c r="C2058" s="21"/>
      <c r="D2058" s="21"/>
      <c r="E2058" s="22"/>
      <c r="F2058" s="29"/>
      <c r="G2058" s="47">
        <f>SUM(G2054:G2057)</f>
        <v>24</v>
      </c>
      <c r="H2058" s="47">
        <f t="shared" ref="H2058:J2058" si="621">SUM(H2054:H2057)</f>
        <v>662162</v>
      </c>
      <c r="I2058" s="47">
        <f t="shared" si="621"/>
        <v>337838</v>
      </c>
      <c r="J2058" s="47">
        <f t="shared" si="621"/>
        <v>1000000</v>
      </c>
    </row>
    <row r="2059" spans="1:10" x14ac:dyDescent="0.25">
      <c r="A2059" s="23" t="s">
        <v>181</v>
      </c>
      <c r="B2059" s="24" t="s">
        <v>207</v>
      </c>
      <c r="C2059" s="24" t="s">
        <v>208</v>
      </c>
      <c r="D2059" s="24">
        <v>1</v>
      </c>
      <c r="E2059" s="25">
        <v>11648</v>
      </c>
      <c r="F2059" s="25">
        <v>4659</v>
      </c>
      <c r="G2059" s="27">
        <f>+D2059*4.78947368421053</f>
        <v>4.7894736842105301</v>
      </c>
      <c r="H2059" s="13">
        <f>+E2059*1105613/215279</f>
        <v>59820.884638074313</v>
      </c>
      <c r="I2059" s="13">
        <f>+F2059*394387/76793</f>
        <v>23927.298490747853</v>
      </c>
      <c r="J2059" s="51">
        <f t="shared" si="607"/>
        <v>83748.183128822158</v>
      </c>
    </row>
    <row r="2060" spans="1:10" x14ac:dyDescent="0.25">
      <c r="A2060" s="4" t="s">
        <v>181</v>
      </c>
      <c r="B2060" s="5" t="s">
        <v>209</v>
      </c>
      <c r="C2060" s="5" t="s">
        <v>210</v>
      </c>
      <c r="D2060" s="5">
        <v>1</v>
      </c>
      <c r="E2060" s="6">
        <v>970</v>
      </c>
      <c r="F2060" s="11">
        <v>0</v>
      </c>
      <c r="G2060" s="27">
        <f t="shared" ref="G2060:G2074" si="622">+D2060*4.78947368421053</f>
        <v>4.7894736842105301</v>
      </c>
      <c r="H2060" s="13">
        <f t="shared" ref="H2060:H2074" si="623">+E2060*1105613/215279</f>
        <v>4981.6499054715041</v>
      </c>
      <c r="I2060" s="13">
        <f t="shared" ref="I2060:I2074" si="624">+F2060*394387/76793</f>
        <v>0</v>
      </c>
      <c r="J2060" s="51">
        <f t="shared" si="607"/>
        <v>4981.6499054715041</v>
      </c>
    </row>
    <row r="2061" spans="1:10" x14ac:dyDescent="0.25">
      <c r="A2061" s="4" t="s">
        <v>181</v>
      </c>
      <c r="B2061" s="5" t="s">
        <v>213</v>
      </c>
      <c r="C2061" s="5" t="s">
        <v>212</v>
      </c>
      <c r="D2061" s="5">
        <v>1</v>
      </c>
      <c r="E2061" s="6">
        <v>1456</v>
      </c>
      <c r="F2061" s="11">
        <v>0</v>
      </c>
      <c r="G2061" s="27">
        <f t="shared" si="622"/>
        <v>4.7894736842105301</v>
      </c>
      <c r="H2061" s="13">
        <f t="shared" si="623"/>
        <v>7477.6105797592891</v>
      </c>
      <c r="I2061" s="13">
        <f t="shared" si="624"/>
        <v>0</v>
      </c>
      <c r="J2061" s="51">
        <f t="shared" si="607"/>
        <v>7477.6105797592891</v>
      </c>
    </row>
    <row r="2062" spans="1:10" x14ac:dyDescent="0.25">
      <c r="A2062" s="4" t="s">
        <v>181</v>
      </c>
      <c r="B2062" s="5" t="s">
        <v>215</v>
      </c>
      <c r="C2062" s="5" t="s">
        <v>212</v>
      </c>
      <c r="D2062" s="5">
        <v>2</v>
      </c>
      <c r="E2062" s="6">
        <v>2912</v>
      </c>
      <c r="F2062" s="11">
        <v>0</v>
      </c>
      <c r="G2062" s="27">
        <f t="shared" si="622"/>
        <v>9.5789473684210602</v>
      </c>
      <c r="H2062" s="13">
        <f t="shared" si="623"/>
        <v>14955.221159518578</v>
      </c>
      <c r="I2062" s="13">
        <f t="shared" si="624"/>
        <v>0</v>
      </c>
      <c r="J2062" s="51">
        <f t="shared" si="607"/>
        <v>14955.221159518578</v>
      </c>
    </row>
    <row r="2063" spans="1:10" x14ac:dyDescent="0.25">
      <c r="A2063" s="4" t="s">
        <v>181</v>
      </c>
      <c r="B2063" s="5" t="s">
        <v>216</v>
      </c>
      <c r="C2063" s="5" t="s">
        <v>210</v>
      </c>
      <c r="D2063" s="5">
        <v>4</v>
      </c>
      <c r="E2063" s="6">
        <v>3880</v>
      </c>
      <c r="F2063" s="11">
        <v>0</v>
      </c>
      <c r="G2063" s="27">
        <f t="shared" si="622"/>
        <v>19.15789473684212</v>
      </c>
      <c r="H2063" s="13">
        <f t="shared" si="623"/>
        <v>19926.599621886016</v>
      </c>
      <c r="I2063" s="13">
        <f t="shared" si="624"/>
        <v>0</v>
      </c>
      <c r="J2063" s="51">
        <f t="shared" si="607"/>
        <v>19926.599621886016</v>
      </c>
    </row>
    <row r="2064" spans="1:10" x14ac:dyDescent="0.25">
      <c r="A2064" s="4" t="s">
        <v>181</v>
      </c>
      <c r="B2064" s="5" t="s">
        <v>217</v>
      </c>
      <c r="C2064" s="5" t="s">
        <v>218</v>
      </c>
      <c r="D2064" s="5">
        <v>9</v>
      </c>
      <c r="E2064" s="6">
        <v>29817</v>
      </c>
      <c r="F2064" s="6">
        <v>11925</v>
      </c>
      <c r="G2064" s="27">
        <f t="shared" si="622"/>
        <v>43.105263157894768</v>
      </c>
      <c r="H2064" s="13">
        <f t="shared" si="623"/>
        <v>153131.80951695243</v>
      </c>
      <c r="I2064" s="13">
        <f t="shared" si="624"/>
        <v>61243.407276704907</v>
      </c>
      <c r="J2064" s="51">
        <f t="shared" si="607"/>
        <v>214375.21679365734</v>
      </c>
    </row>
    <row r="2065" spans="1:10" x14ac:dyDescent="0.25">
      <c r="A2065" s="4" t="s">
        <v>181</v>
      </c>
      <c r="B2065" s="5" t="s">
        <v>221</v>
      </c>
      <c r="C2065" s="5" t="s">
        <v>222</v>
      </c>
      <c r="D2065" s="5">
        <v>1</v>
      </c>
      <c r="E2065" s="6">
        <v>72800</v>
      </c>
      <c r="F2065" s="6">
        <v>29120</v>
      </c>
      <c r="G2065" s="27">
        <f t="shared" si="622"/>
        <v>4.7894736842105301</v>
      </c>
      <c r="H2065" s="13">
        <f t="shared" si="623"/>
        <v>373880.52898796444</v>
      </c>
      <c r="I2065" s="13">
        <f t="shared" si="624"/>
        <v>149552.03521154271</v>
      </c>
      <c r="J2065" s="51">
        <f t="shared" si="607"/>
        <v>523432.56419950712</v>
      </c>
    </row>
    <row r="2066" spans="1:10" x14ac:dyDescent="0.25">
      <c r="A2066" s="4" t="s">
        <v>181</v>
      </c>
      <c r="B2066" s="5" t="s">
        <v>228</v>
      </c>
      <c r="C2066" s="5" t="s">
        <v>229</v>
      </c>
      <c r="D2066" s="5">
        <v>1</v>
      </c>
      <c r="E2066" s="6">
        <v>1941</v>
      </c>
      <c r="F2066" s="11">
        <v>0</v>
      </c>
      <c r="G2066" s="27">
        <f t="shared" si="622"/>
        <v>4.7894736842105301</v>
      </c>
      <c r="H2066" s="13">
        <f t="shared" si="623"/>
        <v>9968.4355324950411</v>
      </c>
      <c r="I2066" s="13">
        <f t="shared" si="624"/>
        <v>0</v>
      </c>
      <c r="J2066" s="51">
        <f t="shared" si="607"/>
        <v>9968.4355324950411</v>
      </c>
    </row>
    <row r="2067" spans="1:10" x14ac:dyDescent="0.25">
      <c r="A2067" s="4" t="s">
        <v>181</v>
      </c>
      <c r="B2067" s="5" t="s">
        <v>235</v>
      </c>
      <c r="C2067" s="5" t="s">
        <v>236</v>
      </c>
      <c r="D2067" s="5">
        <v>1</v>
      </c>
      <c r="E2067" s="6">
        <v>6825</v>
      </c>
      <c r="F2067" s="6">
        <v>2730</v>
      </c>
      <c r="G2067" s="27">
        <f t="shared" si="622"/>
        <v>4.7894736842105301</v>
      </c>
      <c r="H2067" s="13">
        <f t="shared" si="623"/>
        <v>35051.299592621668</v>
      </c>
      <c r="I2067" s="13">
        <f t="shared" si="624"/>
        <v>14020.50330108213</v>
      </c>
      <c r="J2067" s="51">
        <f t="shared" si="607"/>
        <v>49071.802893703796</v>
      </c>
    </row>
    <row r="2068" spans="1:10" x14ac:dyDescent="0.25">
      <c r="A2068" s="4" t="s">
        <v>181</v>
      </c>
      <c r="B2068" s="5" t="s">
        <v>243</v>
      </c>
      <c r="C2068" s="5" t="s">
        <v>244</v>
      </c>
      <c r="D2068" s="5">
        <v>1</v>
      </c>
      <c r="E2068" s="6">
        <v>3412</v>
      </c>
      <c r="F2068" s="6">
        <v>1365</v>
      </c>
      <c r="G2068" s="27">
        <f t="shared" si="622"/>
        <v>4.7894736842105301</v>
      </c>
      <c r="H2068" s="13">
        <f t="shared" si="623"/>
        <v>17523.081935534818</v>
      </c>
      <c r="I2068" s="13">
        <f t="shared" si="624"/>
        <v>7010.2516505410649</v>
      </c>
      <c r="J2068" s="51">
        <f t="shared" si="607"/>
        <v>24533.333586075882</v>
      </c>
    </row>
    <row r="2069" spans="1:10" x14ac:dyDescent="0.25">
      <c r="A2069" s="4" t="s">
        <v>181</v>
      </c>
      <c r="B2069" s="5" t="s">
        <v>247</v>
      </c>
      <c r="C2069" s="5" t="s">
        <v>244</v>
      </c>
      <c r="D2069" s="5">
        <v>2</v>
      </c>
      <c r="E2069" s="6">
        <v>6824</v>
      </c>
      <c r="F2069" s="6">
        <v>2730</v>
      </c>
      <c r="G2069" s="27">
        <f t="shared" si="622"/>
        <v>9.5789473684210602</v>
      </c>
      <c r="H2069" s="13">
        <f t="shared" si="623"/>
        <v>35046.163871069635</v>
      </c>
      <c r="I2069" s="13">
        <f t="shared" si="624"/>
        <v>14020.50330108213</v>
      </c>
      <c r="J2069" s="51">
        <f t="shared" si="607"/>
        <v>49066.667172151763</v>
      </c>
    </row>
    <row r="2070" spans="1:10" x14ac:dyDescent="0.25">
      <c r="A2070" s="4" t="s">
        <v>181</v>
      </c>
      <c r="B2070" s="5" t="s">
        <v>249</v>
      </c>
      <c r="C2070" s="5" t="s">
        <v>250</v>
      </c>
      <c r="D2070" s="5">
        <v>4</v>
      </c>
      <c r="E2070" s="6">
        <v>60664</v>
      </c>
      <c r="F2070" s="6">
        <v>24264</v>
      </c>
      <c r="G2070" s="27">
        <f t="shared" si="622"/>
        <v>19.15789473684212</v>
      </c>
      <c r="H2070" s="13">
        <f t="shared" si="623"/>
        <v>311553.41223249829</v>
      </c>
      <c r="I2070" s="13">
        <f t="shared" si="624"/>
        <v>124613.0007682992</v>
      </c>
      <c r="J2070" s="51">
        <f t="shared" si="607"/>
        <v>436166.4130007975</v>
      </c>
    </row>
    <row r="2071" spans="1:10" x14ac:dyDescent="0.25">
      <c r="A2071" s="4" t="s">
        <v>181</v>
      </c>
      <c r="B2071" s="5" t="s">
        <v>253</v>
      </c>
      <c r="C2071" s="5" t="s">
        <v>210</v>
      </c>
      <c r="D2071" s="5">
        <v>3</v>
      </c>
      <c r="E2071" s="6">
        <v>2910</v>
      </c>
      <c r="F2071" s="11">
        <v>0</v>
      </c>
      <c r="G2071" s="27">
        <f t="shared" si="622"/>
        <v>14.368421052631589</v>
      </c>
      <c r="H2071" s="13">
        <f t="shared" si="623"/>
        <v>14944.949716414514</v>
      </c>
      <c r="I2071" s="13">
        <f t="shared" si="624"/>
        <v>0</v>
      </c>
      <c r="J2071" s="51">
        <f t="shared" si="607"/>
        <v>14944.949716414514</v>
      </c>
    </row>
    <row r="2072" spans="1:10" x14ac:dyDescent="0.25">
      <c r="A2072" s="4" t="s">
        <v>181</v>
      </c>
      <c r="B2072" s="5" t="s">
        <v>254</v>
      </c>
      <c r="C2072" s="5" t="s">
        <v>212</v>
      </c>
      <c r="D2072" s="5">
        <v>3</v>
      </c>
      <c r="E2072" s="6">
        <v>4368</v>
      </c>
      <c r="F2072" s="11">
        <v>0</v>
      </c>
      <c r="G2072" s="27">
        <f t="shared" si="622"/>
        <v>14.368421052631589</v>
      </c>
      <c r="H2072" s="13">
        <f t="shared" si="623"/>
        <v>22432.831739277866</v>
      </c>
      <c r="I2072" s="13">
        <f t="shared" si="624"/>
        <v>0</v>
      </c>
      <c r="J2072" s="51">
        <f t="shared" si="607"/>
        <v>22432.831739277866</v>
      </c>
    </row>
    <row r="2073" spans="1:10" x14ac:dyDescent="0.25">
      <c r="A2073" s="4" t="s">
        <v>181</v>
      </c>
      <c r="B2073" s="5" t="s">
        <v>256</v>
      </c>
      <c r="C2073" s="5" t="s">
        <v>212</v>
      </c>
      <c r="D2073" s="5">
        <v>2</v>
      </c>
      <c r="E2073" s="6">
        <v>2912</v>
      </c>
      <c r="F2073" s="11">
        <v>0</v>
      </c>
      <c r="G2073" s="27">
        <f t="shared" si="622"/>
        <v>9.5789473684210602</v>
      </c>
      <c r="H2073" s="13">
        <f t="shared" si="623"/>
        <v>14955.221159518578</v>
      </c>
      <c r="I2073" s="13">
        <f t="shared" si="624"/>
        <v>0</v>
      </c>
      <c r="J2073" s="51">
        <f t="shared" si="607"/>
        <v>14955.221159518578</v>
      </c>
    </row>
    <row r="2074" spans="1:10" x14ac:dyDescent="0.25">
      <c r="A2074" s="15" t="s">
        <v>181</v>
      </c>
      <c r="B2074" s="16" t="s">
        <v>257</v>
      </c>
      <c r="C2074" s="16" t="s">
        <v>210</v>
      </c>
      <c r="D2074" s="16">
        <v>2</v>
      </c>
      <c r="E2074" s="17">
        <v>1940</v>
      </c>
      <c r="F2074" s="18">
        <v>0</v>
      </c>
      <c r="G2074" s="27">
        <f t="shared" si="622"/>
        <v>9.5789473684210602</v>
      </c>
      <c r="H2074" s="13">
        <f t="shared" si="623"/>
        <v>9963.2998109430082</v>
      </c>
      <c r="I2074" s="13">
        <f t="shared" si="624"/>
        <v>0</v>
      </c>
      <c r="J2074" s="51">
        <f t="shared" si="607"/>
        <v>9963.2998109430082</v>
      </c>
    </row>
    <row r="2075" spans="1:10" s="3" customFormat="1" x14ac:dyDescent="0.25">
      <c r="A2075" s="4"/>
      <c r="B2075" s="21" t="s">
        <v>408</v>
      </c>
      <c r="C2075" s="21"/>
      <c r="D2075" s="21"/>
      <c r="E2075" s="22"/>
      <c r="F2075" s="29"/>
      <c r="G2075" s="49">
        <f>SUM(G2059:G2074)</f>
        <v>182.00000000000017</v>
      </c>
      <c r="H2075" s="49">
        <f t="shared" ref="H2075:J2075" si="625">SUM(H2059:H2074)</f>
        <v>1105612.9999999998</v>
      </c>
      <c r="I2075" s="49">
        <f t="shared" si="625"/>
        <v>394387</v>
      </c>
      <c r="J2075" s="49">
        <f t="shared" si="625"/>
        <v>1499999.9999999998</v>
      </c>
    </row>
    <row r="2076" spans="1:10" s="3" customFormat="1" x14ac:dyDescent="0.25">
      <c r="A2076" s="36" t="s">
        <v>182</v>
      </c>
      <c r="B2076" s="5" t="s">
        <v>214</v>
      </c>
      <c r="C2076" s="5" t="s">
        <v>210</v>
      </c>
      <c r="D2076" s="37"/>
      <c r="E2076" s="43"/>
      <c r="F2076" s="38"/>
      <c r="G2076" s="49">
        <v>4</v>
      </c>
      <c r="H2076" s="35">
        <v>2000000</v>
      </c>
      <c r="I2076" s="35">
        <v>500000</v>
      </c>
      <c r="J2076" s="50">
        <f t="shared" si="607"/>
        <v>2500000</v>
      </c>
    </row>
    <row r="2077" spans="1:10" s="3" customFormat="1" x14ac:dyDescent="0.25">
      <c r="A2077" s="36" t="s">
        <v>182</v>
      </c>
      <c r="B2077" s="21"/>
      <c r="C2077" s="21"/>
      <c r="D2077" s="21"/>
      <c r="E2077" s="22"/>
      <c r="F2077" s="29"/>
      <c r="G2077" s="48"/>
      <c r="H2077" s="25"/>
      <c r="I2077" s="25"/>
      <c r="J2077" s="51">
        <f t="shared" si="607"/>
        <v>0</v>
      </c>
    </row>
    <row r="2078" spans="1:10" s="3" customFormat="1" x14ac:dyDescent="0.25">
      <c r="A2078" s="36"/>
      <c r="B2078" s="1" t="s">
        <v>453</v>
      </c>
      <c r="C2078" s="1"/>
      <c r="D2078" s="1"/>
      <c r="E2078" s="41"/>
      <c r="F2078" s="2"/>
      <c r="G2078" s="41">
        <f>SUM(G2076:G2077)</f>
        <v>4</v>
      </c>
      <c r="H2078" s="41">
        <f>SUM(H2076:H2077)</f>
        <v>2000000</v>
      </c>
      <c r="I2078" s="41">
        <f t="shared" ref="I2078:J2078" si="626">SUM(I2076:I2077)</f>
        <v>500000</v>
      </c>
      <c r="J2078" s="41">
        <f t="shared" si="626"/>
        <v>2500000</v>
      </c>
    </row>
    <row r="2079" spans="1:10" s="3" customFormat="1" x14ac:dyDescent="0.25">
      <c r="A2079" s="15" t="s">
        <v>183</v>
      </c>
      <c r="B2079" s="5" t="s">
        <v>214</v>
      </c>
      <c r="C2079" s="5" t="s">
        <v>210</v>
      </c>
      <c r="D2079" s="20"/>
      <c r="E2079" s="42"/>
      <c r="F2079" s="40"/>
      <c r="G2079" s="58">
        <v>4</v>
      </c>
      <c r="H2079" s="17">
        <v>500000</v>
      </c>
      <c r="I2079" s="17">
        <v>1000000</v>
      </c>
      <c r="J2079" s="53">
        <f t="shared" si="607"/>
        <v>1500000</v>
      </c>
    </row>
    <row r="2080" spans="1:10" s="3" customFormat="1" x14ac:dyDescent="0.25">
      <c r="A2080" s="15" t="s">
        <v>183</v>
      </c>
      <c r="B2080" s="21"/>
      <c r="C2080" s="21"/>
      <c r="D2080" s="21"/>
      <c r="E2080" s="22"/>
      <c r="F2080" s="29"/>
      <c r="G2080" s="48"/>
      <c r="H2080" s="48"/>
      <c r="I2080" s="48"/>
      <c r="J2080" s="53">
        <f t="shared" si="607"/>
        <v>0</v>
      </c>
    </row>
    <row r="2081" spans="1:10" s="3" customFormat="1" x14ac:dyDescent="0.25">
      <c r="A2081" s="36"/>
      <c r="B2081" s="1" t="s">
        <v>454</v>
      </c>
      <c r="C2081" s="1"/>
      <c r="D2081" s="1"/>
      <c r="E2081" s="41"/>
      <c r="F2081" s="2"/>
      <c r="G2081" s="47">
        <f>SUM(G2079:G2080)</f>
        <v>4</v>
      </c>
      <c r="H2081" s="47">
        <f>SUM(H2079:H2080)</f>
        <v>500000</v>
      </c>
      <c r="I2081" s="47">
        <f t="shared" ref="I2081:J2081" si="627">SUM(I2079:I2080)</f>
        <v>1000000</v>
      </c>
      <c r="J2081" s="47">
        <f t="shared" si="627"/>
        <v>1500000</v>
      </c>
    </row>
    <row r="2082" spans="1:10" x14ac:dyDescent="0.25">
      <c r="A2082" s="4" t="s">
        <v>184</v>
      </c>
      <c r="B2082" s="5" t="s">
        <v>214</v>
      </c>
      <c r="C2082" s="5" t="s">
        <v>210</v>
      </c>
      <c r="D2082" s="5">
        <v>3</v>
      </c>
      <c r="E2082" s="6">
        <v>1455</v>
      </c>
      <c r="F2082" s="11">
        <v>0</v>
      </c>
      <c r="G2082" s="27">
        <f>+D2082*4.77777777777778</f>
        <v>14.333333333333341</v>
      </c>
      <c r="H2082" s="13">
        <f>+E2082*1324799/92592</f>
        <v>20818.024721358215</v>
      </c>
      <c r="I2082" s="13">
        <f>+F2082*175201/12245</f>
        <v>0</v>
      </c>
      <c r="J2082" s="51">
        <f t="shared" si="607"/>
        <v>20818.024721358215</v>
      </c>
    </row>
    <row r="2083" spans="1:10" x14ac:dyDescent="0.25">
      <c r="A2083" s="4" t="s">
        <v>184</v>
      </c>
      <c r="B2083" s="5" t="s">
        <v>217</v>
      </c>
      <c r="C2083" s="5" t="s">
        <v>218</v>
      </c>
      <c r="D2083" s="5">
        <v>1</v>
      </c>
      <c r="E2083" s="6">
        <v>1656</v>
      </c>
      <c r="F2083" s="6">
        <v>1325</v>
      </c>
      <c r="G2083" s="27">
        <f t="shared" ref="G2083:G2086" si="628">+D2083*4.77777777777778</f>
        <v>4.7777777777777803</v>
      </c>
      <c r="H2083" s="13">
        <f t="shared" ref="H2083:H2086" si="629">+E2083*1324799/92592</f>
        <v>23693.916796267495</v>
      </c>
      <c r="I2083" s="13">
        <f t="shared" ref="I2083:I2086" si="630">+F2083*175201/12245</f>
        <v>18958.05022458146</v>
      </c>
      <c r="J2083" s="51">
        <f t="shared" si="607"/>
        <v>42651.967020848955</v>
      </c>
    </row>
    <row r="2084" spans="1:10" x14ac:dyDescent="0.25">
      <c r="A2084" s="4" t="s">
        <v>184</v>
      </c>
      <c r="B2084" s="5" t="s">
        <v>262</v>
      </c>
      <c r="C2084" s="5" t="s">
        <v>263</v>
      </c>
      <c r="D2084" s="5">
        <v>1</v>
      </c>
      <c r="E2084" s="6">
        <v>75833</v>
      </c>
      <c r="F2084" s="11">
        <v>0</v>
      </c>
      <c r="G2084" s="27">
        <f t="shared" si="628"/>
        <v>4.7777777777777803</v>
      </c>
      <c r="H2084" s="13">
        <f t="shared" si="629"/>
        <v>1085012.5558039572</v>
      </c>
      <c r="I2084" s="13">
        <f t="shared" si="630"/>
        <v>0</v>
      </c>
      <c r="J2084" s="51">
        <f t="shared" si="607"/>
        <v>1085012.5558039572</v>
      </c>
    </row>
    <row r="2085" spans="1:10" x14ac:dyDescent="0.25">
      <c r="A2085" s="4" t="s">
        <v>184</v>
      </c>
      <c r="B2085" s="5" t="s">
        <v>235</v>
      </c>
      <c r="C2085" s="5" t="s">
        <v>236</v>
      </c>
      <c r="D2085" s="5">
        <v>1</v>
      </c>
      <c r="E2085" s="6">
        <v>3412</v>
      </c>
      <c r="F2085" s="6">
        <v>2730</v>
      </c>
      <c r="G2085" s="27">
        <f t="shared" si="628"/>
        <v>4.7777777777777803</v>
      </c>
      <c r="H2085" s="13">
        <f t="shared" si="629"/>
        <v>48818.625669604284</v>
      </c>
      <c r="I2085" s="13">
        <f t="shared" si="630"/>
        <v>39060.737443854632</v>
      </c>
      <c r="J2085" s="51">
        <f t="shared" si="607"/>
        <v>87879.363113458909</v>
      </c>
    </row>
    <row r="2086" spans="1:10" x14ac:dyDescent="0.25">
      <c r="A2086" s="15" t="s">
        <v>184</v>
      </c>
      <c r="B2086" s="16" t="s">
        <v>239</v>
      </c>
      <c r="C2086" s="16" t="s">
        <v>236</v>
      </c>
      <c r="D2086" s="16">
        <v>3</v>
      </c>
      <c r="E2086" s="17">
        <v>10236</v>
      </c>
      <c r="F2086" s="17">
        <v>8190</v>
      </c>
      <c r="G2086" s="27">
        <f t="shared" si="628"/>
        <v>14.333333333333341</v>
      </c>
      <c r="H2086" s="13">
        <f t="shared" si="629"/>
        <v>146455.87700881285</v>
      </c>
      <c r="I2086" s="13">
        <f t="shared" si="630"/>
        <v>117182.2123315639</v>
      </c>
      <c r="J2086" s="51">
        <f t="shared" si="607"/>
        <v>263638.08934037678</v>
      </c>
    </row>
    <row r="2087" spans="1:10" s="3" customFormat="1" x14ac:dyDescent="0.25">
      <c r="A2087" s="4"/>
      <c r="B2087" s="20" t="s">
        <v>409</v>
      </c>
      <c r="C2087" s="21"/>
      <c r="D2087" s="21"/>
      <c r="E2087" s="22"/>
      <c r="F2087" s="22"/>
      <c r="G2087" s="47">
        <f>SUM(G2082:G2086)</f>
        <v>43.000000000000021</v>
      </c>
      <c r="H2087" s="47">
        <f t="shared" ref="H2087:J2087" si="631">SUM(H2082:H2086)</f>
        <v>1324799</v>
      </c>
      <c r="I2087" s="47">
        <f t="shared" si="631"/>
        <v>175201</v>
      </c>
      <c r="J2087" s="47">
        <f t="shared" si="631"/>
        <v>1500000</v>
      </c>
    </row>
    <row r="2088" spans="1:10" x14ac:dyDescent="0.25">
      <c r="A2088" s="23" t="s">
        <v>185</v>
      </c>
      <c r="B2088" s="24" t="s">
        <v>219</v>
      </c>
      <c r="C2088" s="24" t="s">
        <v>220</v>
      </c>
      <c r="D2088" s="24">
        <v>1</v>
      </c>
      <c r="E2088" s="25">
        <v>1706</v>
      </c>
      <c r="F2088" s="25">
        <v>1365</v>
      </c>
      <c r="G2088" s="27">
        <f>+D2088*4.85714285714286</f>
        <v>4.8571428571428603</v>
      </c>
      <c r="H2088" s="13">
        <f>+E2088*1869415/19541</f>
        <v>163206.69310680107</v>
      </c>
      <c r="I2088" s="13">
        <f>+F2088*130585/1365</f>
        <v>130585</v>
      </c>
      <c r="J2088" s="51">
        <f t="shared" si="607"/>
        <v>293791.69310680107</v>
      </c>
    </row>
    <row r="2089" spans="1:10" x14ac:dyDescent="0.25">
      <c r="A2089" s="4" t="s">
        <v>185</v>
      </c>
      <c r="B2089" s="5" t="s">
        <v>226</v>
      </c>
      <c r="C2089" s="5" t="s">
        <v>210</v>
      </c>
      <c r="D2089" s="5">
        <v>3</v>
      </c>
      <c r="E2089" s="6">
        <v>11405</v>
      </c>
      <c r="F2089" s="11">
        <v>0</v>
      </c>
      <c r="G2089" s="27">
        <f t="shared" ref="G2089:G2091" si="632">+D2089*4.85714285714286</f>
        <v>14.57142857142858</v>
      </c>
      <c r="H2089" s="13">
        <f t="shared" ref="H2089:H2091" si="633">+E2089*1869415/19541</f>
        <v>1091074.0532726063</v>
      </c>
      <c r="I2089" s="13">
        <f>+F2089*130585/1365</f>
        <v>0</v>
      </c>
      <c r="J2089" s="51">
        <f t="shared" si="607"/>
        <v>1091074.0532726063</v>
      </c>
    </row>
    <row r="2090" spans="1:10" x14ac:dyDescent="0.25">
      <c r="A2090" s="4" t="s">
        <v>185</v>
      </c>
      <c r="B2090" s="5" t="s">
        <v>228</v>
      </c>
      <c r="C2090" s="5" t="s">
        <v>229</v>
      </c>
      <c r="D2090" s="5">
        <v>1</v>
      </c>
      <c r="E2090" s="6">
        <v>5460</v>
      </c>
      <c r="F2090" s="11">
        <v>0</v>
      </c>
      <c r="G2090" s="27">
        <f t="shared" si="632"/>
        <v>4.8571428571428603</v>
      </c>
      <c r="H2090" s="13">
        <f t="shared" si="633"/>
        <v>522337.95097487333</v>
      </c>
      <c r="I2090" s="13">
        <f>+F2090*130585/1365</f>
        <v>0</v>
      </c>
      <c r="J2090" s="51">
        <f t="shared" si="607"/>
        <v>522337.95097487333</v>
      </c>
    </row>
    <row r="2091" spans="1:10" x14ac:dyDescent="0.25">
      <c r="A2091" s="15" t="s">
        <v>185</v>
      </c>
      <c r="B2091" s="16" t="s">
        <v>253</v>
      </c>
      <c r="C2091" s="16" t="s">
        <v>210</v>
      </c>
      <c r="D2091" s="16">
        <v>2</v>
      </c>
      <c r="E2091" s="17">
        <v>970</v>
      </c>
      <c r="F2091" s="18">
        <v>0</v>
      </c>
      <c r="G2091" s="27">
        <f t="shared" si="632"/>
        <v>9.7142857142857206</v>
      </c>
      <c r="H2091" s="13">
        <f t="shared" si="633"/>
        <v>92796.302645719261</v>
      </c>
      <c r="I2091" s="13">
        <f>+F2091*130585/1365</f>
        <v>0</v>
      </c>
      <c r="J2091" s="51">
        <f t="shared" si="607"/>
        <v>92796.302645719261</v>
      </c>
    </row>
    <row r="2092" spans="1:10" s="3" customFormat="1" x14ac:dyDescent="0.25">
      <c r="A2092" s="4"/>
      <c r="B2092" s="20" t="s">
        <v>410</v>
      </c>
      <c r="C2092" s="21"/>
      <c r="D2092" s="21"/>
      <c r="E2092" s="22"/>
      <c r="F2092" s="29"/>
      <c r="G2092" s="47">
        <f>SUM(G2088:G2091)</f>
        <v>34.000000000000021</v>
      </c>
      <c r="H2092" s="47">
        <f t="shared" ref="H2092:J2092" si="634">SUM(H2088:H2091)</f>
        <v>1869415</v>
      </c>
      <c r="I2092" s="47">
        <f t="shared" si="634"/>
        <v>130585</v>
      </c>
      <c r="J2092" s="47">
        <f t="shared" si="634"/>
        <v>2000000</v>
      </c>
    </row>
    <row r="2093" spans="1:10" x14ac:dyDescent="0.25">
      <c r="A2093" s="23" t="s">
        <v>186</v>
      </c>
      <c r="B2093" s="24" t="s">
        <v>207</v>
      </c>
      <c r="C2093" s="24" t="s">
        <v>208</v>
      </c>
      <c r="D2093" s="24">
        <v>1</v>
      </c>
      <c r="E2093" s="25">
        <v>11648</v>
      </c>
      <c r="F2093" s="25">
        <v>4659</v>
      </c>
      <c r="G2093" s="27">
        <f>+D2093*4.79591836734694</f>
        <v>4.7959183673469399</v>
      </c>
      <c r="H2093" s="13">
        <f>+E2093*2014292/103844</f>
        <v>225939.61342013019</v>
      </c>
      <c r="I2093" s="13">
        <f>+F2093*485708/25040</f>
        <v>90371.947763578268</v>
      </c>
      <c r="J2093" s="51">
        <f t="shared" si="607"/>
        <v>316311.56118370849</v>
      </c>
    </row>
    <row r="2094" spans="1:10" x14ac:dyDescent="0.25">
      <c r="A2094" s="4" t="s">
        <v>186</v>
      </c>
      <c r="B2094" s="5" t="s">
        <v>213</v>
      </c>
      <c r="C2094" s="5" t="s">
        <v>212</v>
      </c>
      <c r="D2094" s="5">
        <v>6</v>
      </c>
      <c r="E2094" s="6">
        <v>8736</v>
      </c>
      <c r="F2094" s="11">
        <v>0</v>
      </c>
      <c r="G2094" s="27">
        <f t="shared" ref="G2094:G2106" si="635">+D2094*4.79591836734694</f>
        <v>28.775510204081641</v>
      </c>
      <c r="H2094" s="13">
        <f t="shared" ref="H2094:H2106" si="636">+E2094*2014292/103844</f>
        <v>169454.71006509764</v>
      </c>
      <c r="I2094" s="13">
        <f t="shared" ref="I2094:I2106" si="637">+F2094*485708/25040</f>
        <v>0</v>
      </c>
      <c r="J2094" s="51">
        <f t="shared" si="607"/>
        <v>169454.71006509764</v>
      </c>
    </row>
    <row r="2095" spans="1:10" x14ac:dyDescent="0.25">
      <c r="A2095" s="4" t="s">
        <v>186</v>
      </c>
      <c r="B2095" s="5" t="s">
        <v>214</v>
      </c>
      <c r="C2095" s="5" t="s">
        <v>210</v>
      </c>
      <c r="D2095" s="5">
        <v>2</v>
      </c>
      <c r="E2095" s="6">
        <v>1940</v>
      </c>
      <c r="F2095" s="11">
        <v>0</v>
      </c>
      <c r="G2095" s="27">
        <f t="shared" si="635"/>
        <v>9.5918367346938798</v>
      </c>
      <c r="H2095" s="13">
        <f t="shared" si="636"/>
        <v>37630.739185701626</v>
      </c>
      <c r="I2095" s="13">
        <f t="shared" si="637"/>
        <v>0</v>
      </c>
      <c r="J2095" s="51">
        <f t="shared" ref="J2095:J2109" si="638">SUM(H2095:I2095)</f>
        <v>37630.739185701626</v>
      </c>
    </row>
    <row r="2096" spans="1:10" x14ac:dyDescent="0.25">
      <c r="A2096" s="4" t="s">
        <v>186</v>
      </c>
      <c r="B2096" s="5" t="s">
        <v>215</v>
      </c>
      <c r="C2096" s="5" t="s">
        <v>212</v>
      </c>
      <c r="D2096" s="5">
        <v>1</v>
      </c>
      <c r="E2096" s="6">
        <v>1456</v>
      </c>
      <c r="F2096" s="11">
        <v>0</v>
      </c>
      <c r="G2096" s="27">
        <f t="shared" si="635"/>
        <v>4.7959183673469399</v>
      </c>
      <c r="H2096" s="13">
        <f t="shared" si="636"/>
        <v>28242.451677516274</v>
      </c>
      <c r="I2096" s="13">
        <f t="shared" si="637"/>
        <v>0</v>
      </c>
      <c r="J2096" s="51">
        <f t="shared" si="638"/>
        <v>28242.451677516274</v>
      </c>
    </row>
    <row r="2097" spans="1:10" x14ac:dyDescent="0.25">
      <c r="A2097" s="4" t="s">
        <v>186</v>
      </c>
      <c r="B2097" s="5" t="s">
        <v>216</v>
      </c>
      <c r="C2097" s="5" t="s">
        <v>210</v>
      </c>
      <c r="D2097" s="5">
        <v>4</v>
      </c>
      <c r="E2097" s="6">
        <v>3880</v>
      </c>
      <c r="F2097" s="11">
        <v>0</v>
      </c>
      <c r="G2097" s="27">
        <f t="shared" si="635"/>
        <v>19.18367346938776</v>
      </c>
      <c r="H2097" s="13">
        <f t="shared" si="636"/>
        <v>75261.478371403253</v>
      </c>
      <c r="I2097" s="13">
        <f t="shared" si="637"/>
        <v>0</v>
      </c>
      <c r="J2097" s="51">
        <f t="shared" si="638"/>
        <v>75261.478371403253</v>
      </c>
    </row>
    <row r="2098" spans="1:10" x14ac:dyDescent="0.25">
      <c r="A2098" s="4" t="s">
        <v>186</v>
      </c>
      <c r="B2098" s="5" t="s">
        <v>217</v>
      </c>
      <c r="C2098" s="5" t="s">
        <v>218</v>
      </c>
      <c r="D2098" s="5">
        <v>2</v>
      </c>
      <c r="E2098" s="6">
        <v>6626</v>
      </c>
      <c r="F2098" s="6">
        <v>2650</v>
      </c>
      <c r="G2098" s="27">
        <f t="shared" si="635"/>
        <v>9.5918367346938798</v>
      </c>
      <c r="H2098" s="13">
        <f t="shared" si="636"/>
        <v>128526.43187858711</v>
      </c>
      <c r="I2098" s="13">
        <f t="shared" si="637"/>
        <v>51402.803514376996</v>
      </c>
      <c r="J2098" s="51">
        <f t="shared" si="638"/>
        <v>179929.2353929641</v>
      </c>
    </row>
    <row r="2099" spans="1:10" x14ac:dyDescent="0.25">
      <c r="A2099" s="4" t="s">
        <v>186</v>
      </c>
      <c r="B2099" s="5" t="s">
        <v>219</v>
      </c>
      <c r="C2099" s="5" t="s">
        <v>220</v>
      </c>
      <c r="D2099" s="5">
        <v>2</v>
      </c>
      <c r="E2099" s="6">
        <v>6794</v>
      </c>
      <c r="F2099" s="6">
        <v>2716</v>
      </c>
      <c r="G2099" s="27">
        <f t="shared" si="635"/>
        <v>9.5918367346938798</v>
      </c>
      <c r="H2099" s="13">
        <f t="shared" si="636"/>
        <v>131785.1763029159</v>
      </c>
      <c r="I2099" s="13">
        <f t="shared" si="637"/>
        <v>52683.024281150159</v>
      </c>
      <c r="J2099" s="51">
        <f t="shared" si="638"/>
        <v>184468.20058406607</v>
      </c>
    </row>
    <row r="2100" spans="1:10" x14ac:dyDescent="0.25">
      <c r="A2100" s="4" t="s">
        <v>186</v>
      </c>
      <c r="B2100" s="5" t="s">
        <v>223</v>
      </c>
      <c r="C2100" s="5" t="s">
        <v>224</v>
      </c>
      <c r="D2100" s="5">
        <v>5</v>
      </c>
      <c r="E2100" s="11">
        <v>0</v>
      </c>
      <c r="F2100" s="11">
        <v>0</v>
      </c>
      <c r="G2100" s="27">
        <f t="shared" si="635"/>
        <v>23.979591836734699</v>
      </c>
      <c r="H2100" s="13">
        <f t="shared" si="636"/>
        <v>0</v>
      </c>
      <c r="I2100" s="13">
        <f t="shared" si="637"/>
        <v>0</v>
      </c>
      <c r="J2100" s="51">
        <f t="shared" si="638"/>
        <v>0</v>
      </c>
    </row>
    <row r="2101" spans="1:10" x14ac:dyDescent="0.25">
      <c r="A2101" s="4" t="s">
        <v>186</v>
      </c>
      <c r="B2101" s="5" t="s">
        <v>226</v>
      </c>
      <c r="C2101" s="5" t="s">
        <v>210</v>
      </c>
      <c r="D2101" s="5">
        <v>2</v>
      </c>
      <c r="E2101" s="6">
        <v>1940</v>
      </c>
      <c r="F2101" s="11">
        <v>0</v>
      </c>
      <c r="G2101" s="27">
        <f t="shared" si="635"/>
        <v>9.5918367346938798</v>
      </c>
      <c r="H2101" s="13">
        <f t="shared" si="636"/>
        <v>37630.739185701626</v>
      </c>
      <c r="I2101" s="13">
        <f t="shared" si="637"/>
        <v>0</v>
      </c>
      <c r="J2101" s="51">
        <f t="shared" si="638"/>
        <v>37630.739185701626</v>
      </c>
    </row>
    <row r="2102" spans="1:10" x14ac:dyDescent="0.25">
      <c r="A2102" s="4" t="s">
        <v>186</v>
      </c>
      <c r="B2102" s="5" t="s">
        <v>227</v>
      </c>
      <c r="C2102" s="5" t="s">
        <v>210</v>
      </c>
      <c r="D2102" s="5">
        <v>5</v>
      </c>
      <c r="E2102" s="6">
        <v>4850</v>
      </c>
      <c r="F2102" s="11">
        <v>0</v>
      </c>
      <c r="G2102" s="27">
        <f t="shared" si="635"/>
        <v>23.979591836734699</v>
      </c>
      <c r="H2102" s="13">
        <f t="shared" si="636"/>
        <v>94076.847964254077</v>
      </c>
      <c r="I2102" s="13">
        <f t="shared" si="637"/>
        <v>0</v>
      </c>
      <c r="J2102" s="51">
        <f t="shared" si="638"/>
        <v>94076.847964254077</v>
      </c>
    </row>
    <row r="2103" spans="1:10" x14ac:dyDescent="0.25">
      <c r="A2103" s="4" t="s">
        <v>186</v>
      </c>
      <c r="B2103" s="5" t="s">
        <v>230</v>
      </c>
      <c r="C2103" s="5" t="s">
        <v>229</v>
      </c>
      <c r="D2103" s="5">
        <v>8</v>
      </c>
      <c r="E2103" s="6">
        <v>15528</v>
      </c>
      <c r="F2103" s="11">
        <v>0</v>
      </c>
      <c r="G2103" s="27">
        <f t="shared" si="635"/>
        <v>38.367346938775519</v>
      </c>
      <c r="H2103" s="13">
        <f t="shared" si="636"/>
        <v>301201.09179153346</v>
      </c>
      <c r="I2103" s="13">
        <f t="shared" si="637"/>
        <v>0</v>
      </c>
      <c r="J2103" s="51">
        <f t="shared" si="638"/>
        <v>301201.09179153346</v>
      </c>
    </row>
    <row r="2104" spans="1:10" x14ac:dyDescent="0.25">
      <c r="A2104" s="4" t="s">
        <v>186</v>
      </c>
      <c r="B2104" s="5" t="s">
        <v>241</v>
      </c>
      <c r="C2104" s="5" t="s">
        <v>236</v>
      </c>
      <c r="D2104" s="5">
        <v>2</v>
      </c>
      <c r="E2104" s="6">
        <v>13650</v>
      </c>
      <c r="F2104" s="6">
        <v>5460</v>
      </c>
      <c r="G2104" s="27">
        <f t="shared" si="635"/>
        <v>9.5918367346938798</v>
      </c>
      <c r="H2104" s="13">
        <f t="shared" si="636"/>
        <v>264772.98447671509</v>
      </c>
      <c r="I2104" s="13">
        <f t="shared" si="637"/>
        <v>105909.17252396166</v>
      </c>
      <c r="J2104" s="51">
        <f t="shared" si="638"/>
        <v>370682.15700067673</v>
      </c>
    </row>
    <row r="2105" spans="1:10" x14ac:dyDescent="0.25">
      <c r="A2105" s="4" t="s">
        <v>186</v>
      </c>
      <c r="B2105" s="5" t="s">
        <v>247</v>
      </c>
      <c r="C2105" s="5" t="s">
        <v>244</v>
      </c>
      <c r="D2105" s="5">
        <v>7</v>
      </c>
      <c r="E2105" s="6">
        <v>23884</v>
      </c>
      <c r="F2105" s="6">
        <v>9555</v>
      </c>
      <c r="G2105" s="27">
        <f t="shared" si="635"/>
        <v>33.571428571428577</v>
      </c>
      <c r="H2105" s="13">
        <f t="shared" si="636"/>
        <v>463284.8323254112</v>
      </c>
      <c r="I2105" s="13">
        <f t="shared" si="637"/>
        <v>185341.05191693292</v>
      </c>
      <c r="J2105" s="51">
        <f t="shared" si="638"/>
        <v>648625.88424234418</v>
      </c>
    </row>
    <row r="2106" spans="1:10" x14ac:dyDescent="0.25">
      <c r="A2106" s="15" t="s">
        <v>186</v>
      </c>
      <c r="B2106" s="16" t="s">
        <v>252</v>
      </c>
      <c r="C2106" s="16" t="s">
        <v>212</v>
      </c>
      <c r="D2106" s="16">
        <v>2</v>
      </c>
      <c r="E2106" s="17">
        <v>2912</v>
      </c>
      <c r="F2106" s="18">
        <v>0</v>
      </c>
      <c r="G2106" s="27">
        <f t="shared" si="635"/>
        <v>9.5918367346938798</v>
      </c>
      <c r="H2106" s="13">
        <f t="shared" si="636"/>
        <v>56484.903355032548</v>
      </c>
      <c r="I2106" s="13">
        <f t="shared" si="637"/>
        <v>0</v>
      </c>
      <c r="J2106" s="51">
        <f t="shared" si="638"/>
        <v>56484.903355032548</v>
      </c>
    </row>
    <row r="2107" spans="1:10" s="3" customFormat="1" x14ac:dyDescent="0.25">
      <c r="A2107" s="4"/>
      <c r="B2107" s="20" t="s">
        <v>411</v>
      </c>
      <c r="C2107" s="21"/>
      <c r="D2107" s="21"/>
      <c r="E2107" s="22"/>
      <c r="F2107" s="29"/>
      <c r="G2107" s="47">
        <f>SUM(G2093:G2106)</f>
        <v>235.00000000000009</v>
      </c>
      <c r="H2107" s="47">
        <f t="shared" ref="H2107:J2107" si="639">SUM(H2093:H2106)</f>
        <v>2014292</v>
      </c>
      <c r="I2107" s="47">
        <f t="shared" si="639"/>
        <v>485708</v>
      </c>
      <c r="J2107" s="47">
        <f t="shared" si="639"/>
        <v>2500000.0000000005</v>
      </c>
    </row>
    <row r="2108" spans="1:10" s="3" customFormat="1" x14ac:dyDescent="0.25">
      <c r="A2108" s="36" t="s">
        <v>187</v>
      </c>
      <c r="B2108" s="5" t="s">
        <v>214</v>
      </c>
      <c r="C2108" s="5" t="s">
        <v>210</v>
      </c>
      <c r="D2108" s="21"/>
      <c r="E2108" s="22"/>
      <c r="F2108" s="29"/>
      <c r="G2108" s="48">
        <v>2</v>
      </c>
      <c r="H2108" s="35">
        <v>1090000</v>
      </c>
      <c r="I2108" s="35">
        <v>910000</v>
      </c>
      <c r="J2108" s="51">
        <f t="shared" si="638"/>
        <v>2000000</v>
      </c>
    </row>
    <row r="2109" spans="1:10" s="3" customFormat="1" x14ac:dyDescent="0.25">
      <c r="A2109" s="23"/>
      <c r="B2109" s="21"/>
      <c r="C2109" s="21"/>
      <c r="D2109" s="21"/>
      <c r="E2109" s="22"/>
      <c r="F2109" s="29"/>
      <c r="G2109" s="48"/>
      <c r="H2109" s="6"/>
      <c r="I2109" s="6"/>
      <c r="J2109" s="51">
        <f t="shared" si="638"/>
        <v>0</v>
      </c>
    </row>
    <row r="2110" spans="1:10" s="3" customFormat="1" x14ac:dyDescent="0.25">
      <c r="A2110" s="37"/>
      <c r="B2110" s="1" t="s">
        <v>476</v>
      </c>
      <c r="C2110" s="21"/>
      <c r="D2110" s="21"/>
      <c r="E2110" s="22"/>
      <c r="F2110" s="29"/>
      <c r="G2110" s="22">
        <f>SUM(G2108:G2109)</f>
        <v>2</v>
      </c>
      <c r="H2110" s="22">
        <f>SUM(H2108:H2109)</f>
        <v>1090000</v>
      </c>
      <c r="I2110" s="22">
        <f>SUM(I2108:I2109)</f>
        <v>910000</v>
      </c>
      <c r="J2110" s="22">
        <f>SUM(J2108:J2109)</f>
        <v>2000000</v>
      </c>
    </row>
    <row r="2111" spans="1:10" x14ac:dyDescent="0.25">
      <c r="A2111" s="23" t="s">
        <v>188</v>
      </c>
      <c r="B2111" s="24" t="s">
        <v>215</v>
      </c>
      <c r="C2111" s="24" t="s">
        <v>212</v>
      </c>
      <c r="D2111" s="24">
        <v>1</v>
      </c>
      <c r="E2111" s="25">
        <v>1456</v>
      </c>
      <c r="F2111" s="30">
        <v>0</v>
      </c>
      <c r="G2111" s="27">
        <f>+D2111*4.77777777777778</f>
        <v>4.7777777777777803</v>
      </c>
      <c r="H2111" s="13">
        <f>+E2111*1210907/22870</f>
        <v>77091.411980760822</v>
      </c>
      <c r="I2111" s="13">
        <f>+F2111*289093/5460</f>
        <v>0</v>
      </c>
      <c r="J2111" s="51">
        <f t="shared" ref="J2111:J2174" si="640">SUM(H2111:I2111)</f>
        <v>77091.411980760822</v>
      </c>
    </row>
    <row r="2112" spans="1:10" x14ac:dyDescent="0.25">
      <c r="A2112" s="4" t="s">
        <v>188</v>
      </c>
      <c r="B2112" s="5" t="s">
        <v>216</v>
      </c>
      <c r="C2112" s="5" t="s">
        <v>210</v>
      </c>
      <c r="D2112" s="5">
        <v>2</v>
      </c>
      <c r="E2112" s="6">
        <v>1940</v>
      </c>
      <c r="F2112" s="11">
        <v>0</v>
      </c>
      <c r="G2112" s="27">
        <f t="shared" ref="G2112:G2115" si="641">+D2112*4.77777777777778</f>
        <v>9.5555555555555607</v>
      </c>
      <c r="H2112" s="13">
        <f t="shared" ref="H2112:H2115" si="642">+E2112*1210907/22870</f>
        <v>102717.95277656318</v>
      </c>
      <c r="I2112" s="13">
        <f t="shared" ref="I2112:I2115" si="643">+F2112*289093/5460</f>
        <v>0</v>
      </c>
      <c r="J2112" s="51">
        <f t="shared" si="640"/>
        <v>102717.95277656318</v>
      </c>
    </row>
    <row r="2113" spans="1:10" x14ac:dyDescent="0.25">
      <c r="A2113" s="4" t="s">
        <v>188</v>
      </c>
      <c r="B2113" s="5" t="s">
        <v>241</v>
      </c>
      <c r="C2113" s="5" t="s">
        <v>236</v>
      </c>
      <c r="D2113" s="5">
        <v>2</v>
      </c>
      <c r="E2113" s="6">
        <v>13650</v>
      </c>
      <c r="F2113" s="6">
        <v>5460</v>
      </c>
      <c r="G2113" s="27">
        <f t="shared" si="641"/>
        <v>9.5555555555555607</v>
      </c>
      <c r="H2113" s="13">
        <f t="shared" si="642"/>
        <v>722731.98731963267</v>
      </c>
      <c r="I2113" s="13">
        <f t="shared" si="643"/>
        <v>289093</v>
      </c>
      <c r="J2113" s="51">
        <f t="shared" si="640"/>
        <v>1011824.9873196327</v>
      </c>
    </row>
    <row r="2114" spans="1:10" x14ac:dyDescent="0.25">
      <c r="A2114" s="4" t="s">
        <v>188</v>
      </c>
      <c r="B2114" s="5" t="s">
        <v>252</v>
      </c>
      <c r="C2114" s="5" t="s">
        <v>212</v>
      </c>
      <c r="D2114" s="5">
        <v>2</v>
      </c>
      <c r="E2114" s="6">
        <v>2912</v>
      </c>
      <c r="F2114" s="11">
        <v>0</v>
      </c>
      <c r="G2114" s="27">
        <f t="shared" si="641"/>
        <v>9.5555555555555607</v>
      </c>
      <c r="H2114" s="13">
        <f t="shared" si="642"/>
        <v>154182.82396152164</v>
      </c>
      <c r="I2114" s="13">
        <f t="shared" si="643"/>
        <v>0</v>
      </c>
      <c r="J2114" s="51">
        <f t="shared" si="640"/>
        <v>154182.82396152164</v>
      </c>
    </row>
    <row r="2115" spans="1:10" x14ac:dyDescent="0.25">
      <c r="A2115" s="15" t="s">
        <v>188</v>
      </c>
      <c r="B2115" s="16" t="s">
        <v>256</v>
      </c>
      <c r="C2115" s="16" t="s">
        <v>212</v>
      </c>
      <c r="D2115" s="16">
        <v>2</v>
      </c>
      <c r="E2115" s="17">
        <v>2912</v>
      </c>
      <c r="F2115" s="18">
        <v>0</v>
      </c>
      <c r="G2115" s="27">
        <f t="shared" si="641"/>
        <v>9.5555555555555607</v>
      </c>
      <c r="H2115" s="13">
        <f t="shared" si="642"/>
        <v>154182.82396152164</v>
      </c>
      <c r="I2115" s="13">
        <f t="shared" si="643"/>
        <v>0</v>
      </c>
      <c r="J2115" s="51">
        <f t="shared" si="640"/>
        <v>154182.82396152164</v>
      </c>
    </row>
    <row r="2116" spans="1:10" s="3" customFormat="1" x14ac:dyDescent="0.25">
      <c r="A2116" s="4"/>
      <c r="B2116" s="20" t="s">
        <v>412</v>
      </c>
      <c r="C2116" s="21"/>
      <c r="D2116" s="21"/>
      <c r="E2116" s="22"/>
      <c r="F2116" s="29"/>
      <c r="G2116" s="48">
        <f>SUM(G2111:G2115)</f>
        <v>43.000000000000014</v>
      </c>
      <c r="H2116" s="48">
        <f t="shared" ref="H2116:J2116" si="644">SUM(H2111:H2115)</f>
        <v>1210907</v>
      </c>
      <c r="I2116" s="48">
        <f t="shared" si="644"/>
        <v>289093</v>
      </c>
      <c r="J2116" s="48">
        <f t="shared" si="644"/>
        <v>1500000</v>
      </c>
    </row>
    <row r="2117" spans="1:10" x14ac:dyDescent="0.25">
      <c r="A2117" s="23" t="s">
        <v>189</v>
      </c>
      <c r="B2117" s="24" t="s">
        <v>209</v>
      </c>
      <c r="C2117" s="24" t="s">
        <v>210</v>
      </c>
      <c r="D2117" s="24">
        <v>1</v>
      </c>
      <c r="E2117" s="25">
        <v>970</v>
      </c>
      <c r="F2117" s="30">
        <v>0</v>
      </c>
      <c r="G2117" s="27">
        <f>+D2117*4.77777777777778</f>
        <v>4.7777777777777803</v>
      </c>
      <c r="H2117" s="13">
        <f>+E2117*2165572/313444</f>
        <v>6701.6910197674861</v>
      </c>
      <c r="I2117" s="13">
        <f>+F2117*334428/48405</f>
        <v>0</v>
      </c>
      <c r="J2117" s="51">
        <f t="shared" si="640"/>
        <v>6701.6910197674861</v>
      </c>
    </row>
    <row r="2118" spans="1:10" x14ac:dyDescent="0.25">
      <c r="A2118" s="4" t="s">
        <v>189</v>
      </c>
      <c r="B2118" s="5" t="s">
        <v>214</v>
      </c>
      <c r="C2118" s="5" t="s">
        <v>210</v>
      </c>
      <c r="D2118" s="5">
        <v>2</v>
      </c>
      <c r="E2118" s="6">
        <v>1940</v>
      </c>
      <c r="F2118" s="11">
        <v>0</v>
      </c>
      <c r="G2118" s="27">
        <f t="shared" ref="G2118:G2130" si="645">+D2118*4.77777777777778</f>
        <v>9.5555555555555607</v>
      </c>
      <c r="H2118" s="13">
        <f t="shared" ref="H2118:H2130" si="646">+E2118*2165572/313444</f>
        <v>13403.382039534972</v>
      </c>
      <c r="I2118" s="13">
        <f t="shared" ref="I2118:I2130" si="647">+F2118*334428/48405</f>
        <v>0</v>
      </c>
      <c r="J2118" s="51">
        <f t="shared" si="640"/>
        <v>13403.382039534972</v>
      </c>
    </row>
    <row r="2119" spans="1:10" x14ac:dyDescent="0.25">
      <c r="A2119" s="4" t="s">
        <v>189</v>
      </c>
      <c r="B2119" s="5" t="s">
        <v>216</v>
      </c>
      <c r="C2119" s="5" t="s">
        <v>210</v>
      </c>
      <c r="D2119" s="5">
        <v>3</v>
      </c>
      <c r="E2119" s="6">
        <v>2910</v>
      </c>
      <c r="F2119" s="11">
        <v>0</v>
      </c>
      <c r="G2119" s="27">
        <f t="shared" si="645"/>
        <v>14.333333333333341</v>
      </c>
      <c r="H2119" s="13">
        <f t="shared" si="646"/>
        <v>20105.07305930246</v>
      </c>
      <c r="I2119" s="13">
        <f t="shared" si="647"/>
        <v>0</v>
      </c>
      <c r="J2119" s="51">
        <f t="shared" si="640"/>
        <v>20105.07305930246</v>
      </c>
    </row>
    <row r="2120" spans="1:10" x14ac:dyDescent="0.25">
      <c r="A2120" s="4" t="s">
        <v>189</v>
      </c>
      <c r="B2120" s="5" t="s">
        <v>217</v>
      </c>
      <c r="C2120" s="5" t="s">
        <v>218</v>
      </c>
      <c r="D2120" s="5">
        <v>2</v>
      </c>
      <c r="E2120" s="6">
        <v>6626</v>
      </c>
      <c r="F2120" s="6">
        <v>2650</v>
      </c>
      <c r="G2120" s="27">
        <f t="shared" si="645"/>
        <v>9.5555555555555607</v>
      </c>
      <c r="H2120" s="13">
        <f t="shared" si="646"/>
        <v>45778.767728844708</v>
      </c>
      <c r="I2120" s="13">
        <f t="shared" si="647"/>
        <v>18308.73256894949</v>
      </c>
      <c r="J2120" s="51">
        <f t="shared" si="640"/>
        <v>64087.500297794199</v>
      </c>
    </row>
    <row r="2121" spans="1:10" x14ac:dyDescent="0.25">
      <c r="A2121" s="4" t="s">
        <v>189</v>
      </c>
      <c r="B2121" s="5" t="s">
        <v>219</v>
      </c>
      <c r="C2121" s="5" t="s">
        <v>220</v>
      </c>
      <c r="D2121" s="5">
        <v>2</v>
      </c>
      <c r="E2121" s="6">
        <v>6794</v>
      </c>
      <c r="F2121" s="6">
        <v>2716</v>
      </c>
      <c r="G2121" s="27">
        <f t="shared" si="645"/>
        <v>9.5555555555555607</v>
      </c>
      <c r="H2121" s="13">
        <f t="shared" si="646"/>
        <v>46939.472977629179</v>
      </c>
      <c r="I2121" s="13">
        <f t="shared" si="647"/>
        <v>18764.723644251626</v>
      </c>
      <c r="J2121" s="51">
        <f t="shared" si="640"/>
        <v>65704.196621880808</v>
      </c>
    </row>
    <row r="2122" spans="1:10" x14ac:dyDescent="0.25">
      <c r="A2122" s="4" t="s">
        <v>189</v>
      </c>
      <c r="B2122" s="5" t="s">
        <v>228</v>
      </c>
      <c r="C2122" s="5" t="s">
        <v>229</v>
      </c>
      <c r="D2122" s="5">
        <v>7</v>
      </c>
      <c r="E2122" s="6">
        <v>13587</v>
      </c>
      <c r="F2122" s="11">
        <v>0</v>
      </c>
      <c r="G2122" s="27">
        <f t="shared" si="645"/>
        <v>33.444444444444464</v>
      </c>
      <c r="H2122" s="13">
        <f t="shared" si="646"/>
        <v>93872.036995444156</v>
      </c>
      <c r="I2122" s="13">
        <f t="shared" si="647"/>
        <v>0</v>
      </c>
      <c r="J2122" s="51">
        <f t="shared" si="640"/>
        <v>93872.036995444156</v>
      </c>
    </row>
    <row r="2123" spans="1:10" x14ac:dyDescent="0.25">
      <c r="A2123" s="4" t="s">
        <v>189</v>
      </c>
      <c r="B2123" s="5" t="s">
        <v>230</v>
      </c>
      <c r="C2123" s="5" t="s">
        <v>229</v>
      </c>
      <c r="D2123" s="5">
        <v>7</v>
      </c>
      <c r="E2123" s="6">
        <v>13587</v>
      </c>
      <c r="F2123" s="11">
        <v>0</v>
      </c>
      <c r="G2123" s="27">
        <f t="shared" si="645"/>
        <v>33.444444444444464</v>
      </c>
      <c r="H2123" s="13">
        <f t="shared" si="646"/>
        <v>93872.036995444156</v>
      </c>
      <c r="I2123" s="13">
        <f t="shared" si="647"/>
        <v>0</v>
      </c>
      <c r="J2123" s="51">
        <f t="shared" si="640"/>
        <v>93872.036995444156</v>
      </c>
    </row>
    <row r="2124" spans="1:10" x14ac:dyDescent="0.25">
      <c r="A2124" s="4" t="s">
        <v>189</v>
      </c>
      <c r="B2124" s="5" t="s">
        <v>262</v>
      </c>
      <c r="C2124" s="5" t="s">
        <v>263</v>
      </c>
      <c r="D2124" s="5">
        <v>1</v>
      </c>
      <c r="E2124" s="6">
        <v>151666</v>
      </c>
      <c r="F2124" s="11">
        <v>0</v>
      </c>
      <c r="G2124" s="27">
        <f t="shared" si="645"/>
        <v>4.7777777777777803</v>
      </c>
      <c r="H2124" s="13">
        <f t="shared" si="646"/>
        <v>1047854.2991794387</v>
      </c>
      <c r="I2124" s="13">
        <f t="shared" si="647"/>
        <v>0</v>
      </c>
      <c r="J2124" s="51">
        <f t="shared" si="640"/>
        <v>1047854.2991794387</v>
      </c>
    </row>
    <row r="2125" spans="1:10" x14ac:dyDescent="0.25">
      <c r="A2125" s="4" t="s">
        <v>189</v>
      </c>
      <c r="B2125" s="5" t="s">
        <v>237</v>
      </c>
      <c r="C2125" s="5" t="s">
        <v>238</v>
      </c>
      <c r="D2125" s="5">
        <v>2</v>
      </c>
      <c r="E2125" s="6">
        <v>10252</v>
      </c>
      <c r="F2125" s="6">
        <v>4100</v>
      </c>
      <c r="G2125" s="27">
        <f t="shared" si="645"/>
        <v>9.5555555555555607</v>
      </c>
      <c r="H2125" s="13">
        <f t="shared" si="646"/>
        <v>70830.656015109562</v>
      </c>
      <c r="I2125" s="13">
        <f t="shared" si="647"/>
        <v>28326.718314223737</v>
      </c>
      <c r="J2125" s="51">
        <f t="shared" si="640"/>
        <v>99157.374329333295</v>
      </c>
    </row>
    <row r="2126" spans="1:10" x14ac:dyDescent="0.25">
      <c r="A2126" s="4" t="s">
        <v>189</v>
      </c>
      <c r="B2126" s="5" t="s">
        <v>241</v>
      </c>
      <c r="C2126" s="5" t="s">
        <v>236</v>
      </c>
      <c r="D2126" s="5">
        <v>5</v>
      </c>
      <c r="E2126" s="6">
        <v>34125</v>
      </c>
      <c r="F2126" s="6">
        <v>13650</v>
      </c>
      <c r="G2126" s="27">
        <f t="shared" si="645"/>
        <v>23.8888888888889</v>
      </c>
      <c r="H2126" s="13">
        <f t="shared" si="646"/>
        <v>235768.25365934585</v>
      </c>
      <c r="I2126" s="13">
        <f t="shared" si="647"/>
        <v>94307.245119305851</v>
      </c>
      <c r="J2126" s="51">
        <f t="shared" si="640"/>
        <v>330075.4987786517</v>
      </c>
    </row>
    <row r="2127" spans="1:10" x14ac:dyDescent="0.25">
      <c r="A2127" s="4" t="s">
        <v>189</v>
      </c>
      <c r="B2127" s="5" t="s">
        <v>248</v>
      </c>
      <c r="C2127" s="5" t="s">
        <v>246</v>
      </c>
      <c r="D2127" s="5">
        <v>1</v>
      </c>
      <c r="E2127" s="6">
        <v>2563</v>
      </c>
      <c r="F2127" s="6">
        <v>1025</v>
      </c>
      <c r="G2127" s="27">
        <f t="shared" si="645"/>
        <v>4.7777777777777803</v>
      </c>
      <c r="H2127" s="13">
        <f t="shared" si="646"/>
        <v>17707.66400377739</v>
      </c>
      <c r="I2127" s="13">
        <f t="shared" si="647"/>
        <v>7081.6795785559343</v>
      </c>
      <c r="J2127" s="51">
        <f t="shared" si="640"/>
        <v>24789.343582333324</v>
      </c>
    </row>
    <row r="2128" spans="1:10" x14ac:dyDescent="0.25">
      <c r="A2128" s="4" t="s">
        <v>189</v>
      </c>
      <c r="B2128" s="5" t="s">
        <v>249</v>
      </c>
      <c r="C2128" s="5" t="s">
        <v>250</v>
      </c>
      <c r="D2128" s="5">
        <v>4</v>
      </c>
      <c r="E2128" s="6">
        <v>60664</v>
      </c>
      <c r="F2128" s="6">
        <v>24264</v>
      </c>
      <c r="G2128" s="27">
        <f t="shared" si="645"/>
        <v>19.111111111111121</v>
      </c>
      <c r="H2128" s="13">
        <f t="shared" si="646"/>
        <v>419125.13816822146</v>
      </c>
      <c r="I2128" s="13">
        <f t="shared" si="647"/>
        <v>167638.90077471334</v>
      </c>
      <c r="J2128" s="51">
        <f t="shared" si="640"/>
        <v>586764.03894293483</v>
      </c>
    </row>
    <row r="2129" spans="1:10" x14ac:dyDescent="0.25">
      <c r="A2129" s="4" t="s">
        <v>189</v>
      </c>
      <c r="B2129" s="5" t="s">
        <v>253</v>
      </c>
      <c r="C2129" s="5" t="s">
        <v>210</v>
      </c>
      <c r="D2129" s="5">
        <v>5</v>
      </c>
      <c r="E2129" s="6">
        <v>4850</v>
      </c>
      <c r="F2129" s="11">
        <v>0</v>
      </c>
      <c r="G2129" s="27">
        <f t="shared" si="645"/>
        <v>23.8888888888889</v>
      </c>
      <c r="H2129" s="13">
        <f t="shared" si="646"/>
        <v>33508.455098837432</v>
      </c>
      <c r="I2129" s="13">
        <f t="shared" si="647"/>
        <v>0</v>
      </c>
      <c r="J2129" s="51">
        <f t="shared" si="640"/>
        <v>33508.455098837432</v>
      </c>
    </row>
    <row r="2130" spans="1:10" x14ac:dyDescent="0.25">
      <c r="A2130" s="15" t="s">
        <v>189</v>
      </c>
      <c r="B2130" s="16" t="s">
        <v>257</v>
      </c>
      <c r="C2130" s="16" t="s">
        <v>210</v>
      </c>
      <c r="D2130" s="16">
        <v>3</v>
      </c>
      <c r="E2130" s="17">
        <v>2910</v>
      </c>
      <c r="F2130" s="18">
        <v>0</v>
      </c>
      <c r="G2130" s="27">
        <f t="shared" si="645"/>
        <v>14.333333333333341</v>
      </c>
      <c r="H2130" s="13">
        <f t="shared" si="646"/>
        <v>20105.07305930246</v>
      </c>
      <c r="I2130" s="13">
        <f t="shared" si="647"/>
        <v>0</v>
      </c>
      <c r="J2130" s="51">
        <f t="shared" si="640"/>
        <v>20105.07305930246</v>
      </c>
    </row>
    <row r="2131" spans="1:10" s="3" customFormat="1" x14ac:dyDescent="0.25">
      <c r="A2131" s="4"/>
      <c r="B2131" s="20" t="s">
        <v>413</v>
      </c>
      <c r="C2131" s="21"/>
      <c r="D2131" s="21"/>
      <c r="E2131" s="22"/>
      <c r="F2131" s="29"/>
      <c r="G2131" s="47">
        <f>SUM(G2117:G2130)</f>
        <v>215.00000000000009</v>
      </c>
      <c r="H2131" s="47">
        <f t="shared" ref="H2131:J2131" si="648">SUM(H2117:H2130)</f>
        <v>2165572</v>
      </c>
      <c r="I2131" s="47">
        <f t="shared" si="648"/>
        <v>334428</v>
      </c>
      <c r="J2131" s="47">
        <f t="shared" si="648"/>
        <v>2500000</v>
      </c>
    </row>
    <row r="2132" spans="1:10" x14ac:dyDescent="0.25">
      <c r="A2132" s="23" t="s">
        <v>190</v>
      </c>
      <c r="B2132" s="24" t="s">
        <v>214</v>
      </c>
      <c r="C2132" s="24" t="s">
        <v>210</v>
      </c>
      <c r="D2132" s="24">
        <v>2</v>
      </c>
      <c r="E2132" s="25">
        <v>1940</v>
      </c>
      <c r="F2132" s="30">
        <v>0</v>
      </c>
      <c r="G2132" s="27">
        <f>+D2132*4.76923076923077</f>
        <v>9.5384615384615401</v>
      </c>
      <c r="H2132" s="13">
        <f>+E2132*1617312/71279</f>
        <v>44018.368383394831</v>
      </c>
      <c r="I2132" s="13">
        <f>+F2132*382688/16866</f>
        <v>0</v>
      </c>
      <c r="J2132" s="51">
        <f t="shared" si="640"/>
        <v>44018.368383394831</v>
      </c>
    </row>
    <row r="2133" spans="1:10" x14ac:dyDescent="0.25">
      <c r="A2133" s="4" t="s">
        <v>190</v>
      </c>
      <c r="B2133" s="5" t="s">
        <v>217</v>
      </c>
      <c r="C2133" s="5" t="s">
        <v>218</v>
      </c>
      <c r="D2133" s="5">
        <v>3</v>
      </c>
      <c r="E2133" s="6">
        <v>9939</v>
      </c>
      <c r="F2133" s="6">
        <v>3975</v>
      </c>
      <c r="G2133" s="27">
        <f t="shared" ref="G2133:G2142" si="649">+D2133*4.76923076923077</f>
        <v>14.30769230769231</v>
      </c>
      <c r="H2133" s="13">
        <f t="shared" ref="H2133:H2142" si="650">+E2133*1617312/71279</f>
        <v>225514.72338276351</v>
      </c>
      <c r="I2133" s="13">
        <f t="shared" ref="I2133:I2142" si="651">+F2133*382688/16866</f>
        <v>90192.387050871577</v>
      </c>
      <c r="J2133" s="51">
        <f t="shared" si="640"/>
        <v>315707.11043363507</v>
      </c>
    </row>
    <row r="2134" spans="1:10" x14ac:dyDescent="0.25">
      <c r="A2134" s="4" t="s">
        <v>190</v>
      </c>
      <c r="B2134" s="5" t="s">
        <v>226</v>
      </c>
      <c r="C2134" s="5" t="s">
        <v>210</v>
      </c>
      <c r="D2134" s="5">
        <v>2</v>
      </c>
      <c r="E2134" s="6">
        <v>1940</v>
      </c>
      <c r="F2134" s="11">
        <v>0</v>
      </c>
      <c r="G2134" s="27">
        <f t="shared" si="649"/>
        <v>9.5384615384615401</v>
      </c>
      <c r="H2134" s="13">
        <f t="shared" si="650"/>
        <v>44018.368383394831</v>
      </c>
      <c r="I2134" s="13">
        <f t="shared" si="651"/>
        <v>0</v>
      </c>
      <c r="J2134" s="51">
        <f t="shared" si="640"/>
        <v>44018.368383394831</v>
      </c>
    </row>
    <row r="2135" spans="1:10" x14ac:dyDescent="0.25">
      <c r="A2135" s="4" t="s">
        <v>190</v>
      </c>
      <c r="B2135" s="5" t="s">
        <v>227</v>
      </c>
      <c r="C2135" s="5" t="s">
        <v>210</v>
      </c>
      <c r="D2135" s="5">
        <v>1</v>
      </c>
      <c r="E2135" s="6">
        <v>970</v>
      </c>
      <c r="F2135" s="11">
        <v>0</v>
      </c>
      <c r="G2135" s="27">
        <f t="shared" si="649"/>
        <v>4.7692307692307701</v>
      </c>
      <c r="H2135" s="13">
        <f t="shared" si="650"/>
        <v>22009.184191697415</v>
      </c>
      <c r="I2135" s="13">
        <f t="shared" si="651"/>
        <v>0</v>
      </c>
      <c r="J2135" s="51">
        <f t="shared" si="640"/>
        <v>22009.184191697415</v>
      </c>
    </row>
    <row r="2136" spans="1:10" x14ac:dyDescent="0.25">
      <c r="A2136" s="4" t="s">
        <v>190</v>
      </c>
      <c r="B2136" s="5" t="s">
        <v>228</v>
      </c>
      <c r="C2136" s="5" t="s">
        <v>229</v>
      </c>
      <c r="D2136" s="5">
        <v>3</v>
      </c>
      <c r="E2136" s="6">
        <v>5823</v>
      </c>
      <c r="F2136" s="11">
        <v>0</v>
      </c>
      <c r="G2136" s="27">
        <f t="shared" si="649"/>
        <v>14.30769230769231</v>
      </c>
      <c r="H2136" s="13">
        <f t="shared" si="650"/>
        <v>132123.17479201447</v>
      </c>
      <c r="I2136" s="13">
        <f t="shared" si="651"/>
        <v>0</v>
      </c>
      <c r="J2136" s="51">
        <f t="shared" si="640"/>
        <v>132123.17479201447</v>
      </c>
    </row>
    <row r="2137" spans="1:10" x14ac:dyDescent="0.25">
      <c r="A2137" s="4" t="s">
        <v>190</v>
      </c>
      <c r="B2137" s="5" t="s">
        <v>230</v>
      </c>
      <c r="C2137" s="5" t="s">
        <v>229</v>
      </c>
      <c r="D2137" s="5">
        <v>8</v>
      </c>
      <c r="E2137" s="6">
        <v>15528</v>
      </c>
      <c r="F2137" s="11">
        <v>0</v>
      </c>
      <c r="G2137" s="27">
        <f t="shared" si="649"/>
        <v>38.15384615384616</v>
      </c>
      <c r="H2137" s="13">
        <f t="shared" si="650"/>
        <v>352328.46611203859</v>
      </c>
      <c r="I2137" s="13">
        <f t="shared" si="651"/>
        <v>0</v>
      </c>
      <c r="J2137" s="51">
        <f t="shared" si="640"/>
        <v>352328.46611203859</v>
      </c>
    </row>
    <row r="2138" spans="1:10" x14ac:dyDescent="0.25">
      <c r="A2138" s="4" t="s">
        <v>190</v>
      </c>
      <c r="B2138" s="5" t="s">
        <v>241</v>
      </c>
      <c r="C2138" s="5" t="s">
        <v>236</v>
      </c>
      <c r="D2138" s="5">
        <v>1</v>
      </c>
      <c r="E2138" s="6">
        <v>6825</v>
      </c>
      <c r="F2138" s="6">
        <v>2730</v>
      </c>
      <c r="G2138" s="27">
        <f t="shared" si="649"/>
        <v>4.7692307692307701</v>
      </c>
      <c r="H2138" s="13">
        <f t="shared" si="650"/>
        <v>154858.4351632318</v>
      </c>
      <c r="I2138" s="13">
        <f t="shared" si="651"/>
        <v>61943.450729277836</v>
      </c>
      <c r="J2138" s="51">
        <f t="shared" si="640"/>
        <v>216801.88589250963</v>
      </c>
    </row>
    <row r="2139" spans="1:10" x14ac:dyDescent="0.25">
      <c r="A2139" s="4" t="s">
        <v>190</v>
      </c>
      <c r="B2139" s="5" t="s">
        <v>243</v>
      </c>
      <c r="C2139" s="5" t="s">
        <v>244</v>
      </c>
      <c r="D2139" s="5">
        <v>3</v>
      </c>
      <c r="E2139" s="6">
        <v>10236</v>
      </c>
      <c r="F2139" s="6">
        <v>4095</v>
      </c>
      <c r="G2139" s="27">
        <f t="shared" si="649"/>
        <v>14.30769230769231</v>
      </c>
      <c r="H2139" s="13">
        <f t="shared" si="650"/>
        <v>232253.6179239327</v>
      </c>
      <c r="I2139" s="13">
        <f t="shared" si="651"/>
        <v>92915.176093916758</v>
      </c>
      <c r="J2139" s="51">
        <f t="shared" si="640"/>
        <v>325168.79401784949</v>
      </c>
    </row>
    <row r="2140" spans="1:10" x14ac:dyDescent="0.25">
      <c r="A2140" s="4" t="s">
        <v>190</v>
      </c>
      <c r="B2140" s="5" t="s">
        <v>249</v>
      </c>
      <c r="C2140" s="5" t="s">
        <v>250</v>
      </c>
      <c r="D2140" s="5">
        <v>1</v>
      </c>
      <c r="E2140" s="6">
        <v>15166</v>
      </c>
      <c r="F2140" s="6">
        <v>6066</v>
      </c>
      <c r="G2140" s="27">
        <f t="shared" si="649"/>
        <v>4.7692307692307701</v>
      </c>
      <c r="H2140" s="13">
        <f t="shared" si="650"/>
        <v>344114.72933121957</v>
      </c>
      <c r="I2140" s="13">
        <f t="shared" si="651"/>
        <v>137636.98612593382</v>
      </c>
      <c r="J2140" s="51">
        <f t="shared" si="640"/>
        <v>481751.71545715339</v>
      </c>
    </row>
    <row r="2141" spans="1:10" x14ac:dyDescent="0.25">
      <c r="A2141" s="4" t="s">
        <v>190</v>
      </c>
      <c r="B2141" s="5" t="s">
        <v>252</v>
      </c>
      <c r="C2141" s="5" t="s">
        <v>212</v>
      </c>
      <c r="D2141" s="5">
        <v>1</v>
      </c>
      <c r="E2141" s="6">
        <v>1456</v>
      </c>
      <c r="F2141" s="11">
        <v>0</v>
      </c>
      <c r="G2141" s="27">
        <f t="shared" si="649"/>
        <v>4.7692307692307701</v>
      </c>
      <c r="H2141" s="13">
        <f t="shared" si="650"/>
        <v>33036.466168156119</v>
      </c>
      <c r="I2141" s="13">
        <f t="shared" si="651"/>
        <v>0</v>
      </c>
      <c r="J2141" s="51">
        <f t="shared" si="640"/>
        <v>33036.466168156119</v>
      </c>
    </row>
    <row r="2142" spans="1:10" x14ac:dyDescent="0.25">
      <c r="A2142" s="15" t="s">
        <v>190</v>
      </c>
      <c r="B2142" s="16" t="s">
        <v>254</v>
      </c>
      <c r="C2142" s="16" t="s">
        <v>212</v>
      </c>
      <c r="D2142" s="16">
        <v>1</v>
      </c>
      <c r="E2142" s="17">
        <v>1456</v>
      </c>
      <c r="F2142" s="18">
        <v>0</v>
      </c>
      <c r="G2142" s="27">
        <f t="shared" si="649"/>
        <v>4.7692307692307701</v>
      </c>
      <c r="H2142" s="13">
        <f t="shared" si="650"/>
        <v>33036.466168156119</v>
      </c>
      <c r="I2142" s="13">
        <f t="shared" si="651"/>
        <v>0</v>
      </c>
      <c r="J2142" s="51">
        <f t="shared" si="640"/>
        <v>33036.466168156119</v>
      </c>
    </row>
    <row r="2143" spans="1:10" s="3" customFormat="1" x14ac:dyDescent="0.25">
      <c r="A2143" s="4"/>
      <c r="B2143" s="20" t="s">
        <v>414</v>
      </c>
      <c r="C2143" s="21"/>
      <c r="D2143" s="21"/>
      <c r="E2143" s="22"/>
      <c r="F2143" s="29"/>
      <c r="G2143" s="47">
        <f>SUM(G2132:G2142)</f>
        <v>124.00000000000003</v>
      </c>
      <c r="H2143" s="47">
        <f t="shared" ref="H2143:J2143" si="652">SUM(H2132:H2142)</f>
        <v>1617312</v>
      </c>
      <c r="I2143" s="47">
        <f t="shared" si="652"/>
        <v>382688</v>
      </c>
      <c r="J2143" s="47">
        <f t="shared" si="652"/>
        <v>2000000</v>
      </c>
    </row>
    <row r="2144" spans="1:10" x14ac:dyDescent="0.25">
      <c r="A2144" s="23" t="s">
        <v>191</v>
      </c>
      <c r="B2144" s="24" t="s">
        <v>207</v>
      </c>
      <c r="C2144" s="24" t="s">
        <v>208</v>
      </c>
      <c r="D2144" s="24">
        <v>1</v>
      </c>
      <c r="E2144" s="25">
        <v>11648</v>
      </c>
      <c r="F2144" s="25">
        <v>4659</v>
      </c>
      <c r="G2144" s="27">
        <f>+D2144*4.77777777777778</f>
        <v>4.7777777777777803</v>
      </c>
      <c r="H2144" s="13">
        <f>+E2144*2607855/137466</f>
        <v>220973.15001527651</v>
      </c>
      <c r="I2144" s="13">
        <f>+F2144*892145/47027</f>
        <v>88385.471218661623</v>
      </c>
      <c r="J2144" s="51">
        <f t="shared" si="640"/>
        <v>309358.62123393815</v>
      </c>
    </row>
    <row r="2145" spans="1:10" x14ac:dyDescent="0.25">
      <c r="A2145" s="4" t="s">
        <v>191</v>
      </c>
      <c r="B2145" s="5" t="s">
        <v>209</v>
      </c>
      <c r="C2145" s="5" t="s">
        <v>210</v>
      </c>
      <c r="D2145" s="5">
        <v>1</v>
      </c>
      <c r="E2145" s="6">
        <v>970</v>
      </c>
      <c r="F2145" s="11">
        <v>0</v>
      </c>
      <c r="G2145" s="27">
        <f t="shared" ref="G2145:G2151" si="653">+D2145*4.77777777777778</f>
        <v>4.7777777777777803</v>
      </c>
      <c r="H2145" s="13">
        <f t="shared" ref="H2145:H2151" si="654">+E2145*2607855/137466</f>
        <v>18401.781895159529</v>
      </c>
      <c r="I2145" s="13">
        <f t="shared" ref="I2145:I2151" si="655">+F2145*892145/47027</f>
        <v>0</v>
      </c>
      <c r="J2145" s="51">
        <f t="shared" si="640"/>
        <v>18401.781895159529</v>
      </c>
    </row>
    <row r="2146" spans="1:10" x14ac:dyDescent="0.25">
      <c r="A2146" s="4" t="s">
        <v>191</v>
      </c>
      <c r="B2146" s="5" t="s">
        <v>214</v>
      </c>
      <c r="C2146" s="5" t="s">
        <v>210</v>
      </c>
      <c r="D2146" s="5">
        <v>3</v>
      </c>
      <c r="E2146" s="6">
        <v>2910</v>
      </c>
      <c r="F2146" s="11">
        <v>0</v>
      </c>
      <c r="G2146" s="27">
        <f t="shared" si="653"/>
        <v>14.333333333333341</v>
      </c>
      <c r="H2146" s="13">
        <f t="shared" si="654"/>
        <v>55205.345685478591</v>
      </c>
      <c r="I2146" s="13">
        <f t="shared" si="655"/>
        <v>0</v>
      </c>
      <c r="J2146" s="51">
        <f t="shared" si="640"/>
        <v>55205.345685478591</v>
      </c>
    </row>
    <row r="2147" spans="1:10" x14ac:dyDescent="0.25">
      <c r="A2147" s="4" t="s">
        <v>191</v>
      </c>
      <c r="B2147" s="5" t="s">
        <v>217</v>
      </c>
      <c r="C2147" s="5" t="s">
        <v>218</v>
      </c>
      <c r="D2147" s="5">
        <v>10</v>
      </c>
      <c r="E2147" s="6">
        <v>33130</v>
      </c>
      <c r="F2147" s="6">
        <v>13250</v>
      </c>
      <c r="G2147" s="27">
        <f t="shared" si="653"/>
        <v>47.7777777777778</v>
      </c>
      <c r="H2147" s="13">
        <f t="shared" si="654"/>
        <v>628506.22081096412</v>
      </c>
      <c r="I2147" s="13">
        <f t="shared" si="655"/>
        <v>251364.56184744934</v>
      </c>
      <c r="J2147" s="51">
        <f t="shared" si="640"/>
        <v>879870.78265841352</v>
      </c>
    </row>
    <row r="2148" spans="1:10" x14ac:dyDescent="0.25">
      <c r="A2148" s="4" t="s">
        <v>191</v>
      </c>
      <c r="B2148" s="5" t="s">
        <v>241</v>
      </c>
      <c r="C2148" s="5" t="s">
        <v>236</v>
      </c>
      <c r="D2148" s="5">
        <v>4</v>
      </c>
      <c r="E2148" s="6">
        <v>27300</v>
      </c>
      <c r="F2148" s="6">
        <v>10920</v>
      </c>
      <c r="G2148" s="27">
        <f t="shared" si="653"/>
        <v>19.111111111111121</v>
      </c>
      <c r="H2148" s="13">
        <f t="shared" si="654"/>
        <v>517905.82034830429</v>
      </c>
      <c r="I2148" s="13">
        <f t="shared" si="655"/>
        <v>207162.34078295447</v>
      </c>
      <c r="J2148" s="51">
        <f t="shared" si="640"/>
        <v>725068.16113125882</v>
      </c>
    </row>
    <row r="2149" spans="1:10" x14ac:dyDescent="0.25">
      <c r="A2149" s="4" t="s">
        <v>191</v>
      </c>
      <c r="B2149" s="5" t="s">
        <v>249</v>
      </c>
      <c r="C2149" s="5" t="s">
        <v>250</v>
      </c>
      <c r="D2149" s="5">
        <v>3</v>
      </c>
      <c r="E2149" s="6">
        <v>45498</v>
      </c>
      <c r="F2149" s="6">
        <v>18198</v>
      </c>
      <c r="G2149" s="27">
        <f t="shared" si="653"/>
        <v>14.333333333333341</v>
      </c>
      <c r="H2149" s="13">
        <f t="shared" si="654"/>
        <v>863138.42542883335</v>
      </c>
      <c r="I2149" s="13">
        <f t="shared" si="655"/>
        <v>345232.62615093455</v>
      </c>
      <c r="J2149" s="51">
        <f t="shared" si="640"/>
        <v>1208371.0515797678</v>
      </c>
    </row>
    <row r="2150" spans="1:10" x14ac:dyDescent="0.25">
      <c r="A2150" s="4" t="s">
        <v>191</v>
      </c>
      <c r="B2150" s="5" t="s">
        <v>252</v>
      </c>
      <c r="C2150" s="5" t="s">
        <v>212</v>
      </c>
      <c r="D2150" s="5">
        <v>5</v>
      </c>
      <c r="E2150" s="6">
        <v>7280</v>
      </c>
      <c r="F2150" s="11">
        <v>0</v>
      </c>
      <c r="G2150" s="27">
        <f t="shared" si="653"/>
        <v>23.8888888888889</v>
      </c>
      <c r="H2150" s="13">
        <f t="shared" si="654"/>
        <v>138108.2187595478</v>
      </c>
      <c r="I2150" s="13">
        <f t="shared" si="655"/>
        <v>0</v>
      </c>
      <c r="J2150" s="51">
        <f t="shared" si="640"/>
        <v>138108.2187595478</v>
      </c>
    </row>
    <row r="2151" spans="1:10" x14ac:dyDescent="0.25">
      <c r="A2151" s="15" t="s">
        <v>191</v>
      </c>
      <c r="B2151" s="16" t="s">
        <v>253</v>
      </c>
      <c r="C2151" s="16" t="s">
        <v>210</v>
      </c>
      <c r="D2151" s="16">
        <v>9</v>
      </c>
      <c r="E2151" s="17">
        <v>8730</v>
      </c>
      <c r="F2151" s="18">
        <v>0</v>
      </c>
      <c r="G2151" s="27">
        <f t="shared" si="653"/>
        <v>43.000000000000021</v>
      </c>
      <c r="H2151" s="13">
        <f t="shared" si="654"/>
        <v>165616.03705643577</v>
      </c>
      <c r="I2151" s="13">
        <f t="shared" si="655"/>
        <v>0</v>
      </c>
      <c r="J2151" s="51">
        <f t="shared" si="640"/>
        <v>165616.03705643577</v>
      </c>
    </row>
    <row r="2152" spans="1:10" s="3" customFormat="1" x14ac:dyDescent="0.25">
      <c r="A2152" s="4"/>
      <c r="B2152" s="20" t="s">
        <v>415</v>
      </c>
      <c r="C2152" s="21"/>
      <c r="D2152" s="21"/>
      <c r="E2152" s="22"/>
      <c r="F2152" s="29"/>
      <c r="G2152" s="47">
        <f>SUM(G2144:G2151)</f>
        <v>172.00000000000009</v>
      </c>
      <c r="H2152" s="47">
        <f t="shared" ref="H2152:J2152" si="656">SUM(H2144:H2151)</f>
        <v>2607855</v>
      </c>
      <c r="I2152" s="47">
        <f t="shared" si="656"/>
        <v>892145</v>
      </c>
      <c r="J2152" s="47">
        <f t="shared" si="656"/>
        <v>3500000</v>
      </c>
    </row>
    <row r="2153" spans="1:10" x14ac:dyDescent="0.25">
      <c r="A2153" s="23" t="s">
        <v>192</v>
      </c>
      <c r="B2153" s="24" t="s">
        <v>219</v>
      </c>
      <c r="C2153" s="24" t="s">
        <v>220</v>
      </c>
      <c r="D2153" s="24">
        <v>1</v>
      </c>
      <c r="E2153" s="25">
        <v>1698</v>
      </c>
      <c r="F2153" s="25">
        <v>1358</v>
      </c>
      <c r="G2153" s="27">
        <f>+D2153*4.85714285714286</f>
        <v>4.8571428571428603</v>
      </c>
      <c r="H2153" s="13">
        <f>+E2153*1389712/169985</f>
        <v>13881.995328999617</v>
      </c>
      <c r="I2153" s="13">
        <f>+F2153*110288/13490</f>
        <v>11102.379836916234</v>
      </c>
      <c r="J2153" s="51">
        <f t="shared" si="640"/>
        <v>24984.375165915852</v>
      </c>
    </row>
    <row r="2154" spans="1:10" x14ac:dyDescent="0.25">
      <c r="A2154" s="4" t="s">
        <v>192</v>
      </c>
      <c r="B2154" s="5" t="s">
        <v>226</v>
      </c>
      <c r="C2154" s="5" t="s">
        <v>210</v>
      </c>
      <c r="D2154" s="5">
        <v>1</v>
      </c>
      <c r="E2154" s="6">
        <v>485</v>
      </c>
      <c r="F2154" s="11">
        <v>0</v>
      </c>
      <c r="G2154" s="27">
        <f t="shared" ref="G2154:G2157" si="657">+D2154*4.85714285714286</f>
        <v>4.8571428571428603</v>
      </c>
      <c r="H2154" s="13">
        <f t="shared" ref="H2154:H2157" si="658">+E2154*1389712/169985</f>
        <v>3965.1164514515986</v>
      </c>
      <c r="I2154" s="13">
        <f t="shared" ref="I2154:I2157" si="659">+F2154*110288/13490</f>
        <v>0</v>
      </c>
      <c r="J2154" s="51">
        <f t="shared" si="640"/>
        <v>3965.1164514515986</v>
      </c>
    </row>
    <row r="2155" spans="1:10" x14ac:dyDescent="0.25">
      <c r="A2155" s="4" t="s">
        <v>192</v>
      </c>
      <c r="B2155" s="5" t="s">
        <v>228</v>
      </c>
      <c r="C2155" s="5" t="s">
        <v>229</v>
      </c>
      <c r="D2155" s="5">
        <v>1</v>
      </c>
      <c r="E2155" s="6">
        <v>970</v>
      </c>
      <c r="F2155" s="11">
        <v>0</v>
      </c>
      <c r="G2155" s="27">
        <f t="shared" si="657"/>
        <v>4.8571428571428603</v>
      </c>
      <c r="H2155" s="13">
        <f t="shared" si="658"/>
        <v>7930.2329029031971</v>
      </c>
      <c r="I2155" s="13">
        <f t="shared" si="659"/>
        <v>0</v>
      </c>
      <c r="J2155" s="51">
        <f t="shared" si="640"/>
        <v>7930.2329029031971</v>
      </c>
    </row>
    <row r="2156" spans="1:10" x14ac:dyDescent="0.25">
      <c r="A2156" s="4" t="s">
        <v>192</v>
      </c>
      <c r="B2156" s="5" t="s">
        <v>262</v>
      </c>
      <c r="C2156" s="5" t="s">
        <v>263</v>
      </c>
      <c r="D2156" s="5">
        <v>2</v>
      </c>
      <c r="E2156" s="6">
        <v>151666</v>
      </c>
      <c r="F2156" s="11">
        <v>0</v>
      </c>
      <c r="G2156" s="27">
        <f t="shared" si="657"/>
        <v>9.7142857142857206</v>
      </c>
      <c r="H2156" s="13">
        <f t="shared" si="658"/>
        <v>1239945.0551048622</v>
      </c>
      <c r="I2156" s="13">
        <f t="shared" si="659"/>
        <v>0</v>
      </c>
      <c r="J2156" s="51">
        <f t="shared" si="640"/>
        <v>1239945.0551048622</v>
      </c>
    </row>
    <row r="2157" spans="1:10" x14ac:dyDescent="0.25">
      <c r="A2157" s="15" t="s">
        <v>192</v>
      </c>
      <c r="B2157" s="16" t="s">
        <v>249</v>
      </c>
      <c r="C2157" s="16" t="s">
        <v>250</v>
      </c>
      <c r="D2157" s="16">
        <v>2</v>
      </c>
      <c r="E2157" s="17">
        <v>15166</v>
      </c>
      <c r="F2157" s="17">
        <v>12132</v>
      </c>
      <c r="G2157" s="27">
        <f t="shared" si="657"/>
        <v>9.7142857142857206</v>
      </c>
      <c r="H2157" s="13">
        <f t="shared" si="658"/>
        <v>123989.6002117834</v>
      </c>
      <c r="I2157" s="13">
        <f t="shared" si="659"/>
        <v>99185.62016308376</v>
      </c>
      <c r="J2157" s="51">
        <f t="shared" si="640"/>
        <v>223175.22037486715</v>
      </c>
    </row>
    <row r="2158" spans="1:10" s="3" customFormat="1" x14ac:dyDescent="0.25">
      <c r="A2158" s="4"/>
      <c r="B2158" s="20" t="s">
        <v>416</v>
      </c>
      <c r="C2158" s="21"/>
      <c r="D2158" s="21"/>
      <c r="E2158" s="22"/>
      <c r="F2158" s="22"/>
      <c r="G2158" s="47">
        <f>SUM(G2153:G2157)</f>
        <v>34.000000000000021</v>
      </c>
      <c r="H2158" s="47">
        <f t="shared" ref="H2158:J2158" si="660">SUM(H2153:H2157)</f>
        <v>1389712</v>
      </c>
      <c r="I2158" s="47">
        <f t="shared" si="660"/>
        <v>110288</v>
      </c>
      <c r="J2158" s="47">
        <f t="shared" si="660"/>
        <v>1500000</v>
      </c>
    </row>
    <row r="2159" spans="1:10" x14ac:dyDescent="0.25">
      <c r="A2159" s="23" t="s">
        <v>193</v>
      </c>
      <c r="B2159" s="24" t="s">
        <v>207</v>
      </c>
      <c r="C2159" s="24" t="s">
        <v>208</v>
      </c>
      <c r="D2159" s="24">
        <v>1</v>
      </c>
      <c r="E2159" s="25">
        <v>11648</v>
      </c>
      <c r="F2159" s="25">
        <v>4659</v>
      </c>
      <c r="G2159" s="27">
        <f>+D2159*4.78776645041705</f>
        <v>4.7877664504170498</v>
      </c>
      <c r="H2159" s="13">
        <f>+E2159*16088649/3773492</f>
        <v>49662.37732900984</v>
      </c>
      <c r="I2159" s="13">
        <f>+F2159*3911351/917383</f>
        <v>19864.096357791674</v>
      </c>
      <c r="J2159" s="51">
        <f t="shared" si="640"/>
        <v>69526.473686801517</v>
      </c>
    </row>
    <row r="2160" spans="1:10" x14ac:dyDescent="0.25">
      <c r="A2160" s="4" t="s">
        <v>193</v>
      </c>
      <c r="B2160" s="5" t="s">
        <v>209</v>
      </c>
      <c r="C2160" s="5" t="s">
        <v>210</v>
      </c>
      <c r="D2160" s="5">
        <v>5</v>
      </c>
      <c r="E2160" s="6">
        <v>4850</v>
      </c>
      <c r="F2160" s="11">
        <v>0</v>
      </c>
      <c r="G2160" s="27">
        <f t="shared" ref="G2160:G2193" si="661">+D2160*4.78776645041705</f>
        <v>23.938832252085248</v>
      </c>
      <c r="H2160" s="13">
        <f t="shared" ref="H2160:H2193" si="662">+E2160*16088649/3773492</f>
        <v>20678.445230571575</v>
      </c>
      <c r="I2160" s="13">
        <f t="shared" ref="I2160:I2193" si="663">+F2160*3911351/917383</f>
        <v>0</v>
      </c>
      <c r="J2160" s="51">
        <f t="shared" si="640"/>
        <v>20678.445230571575</v>
      </c>
    </row>
    <row r="2161" spans="1:10" x14ac:dyDescent="0.25">
      <c r="A2161" s="4" t="s">
        <v>193</v>
      </c>
      <c r="B2161" s="5" t="s">
        <v>211</v>
      </c>
      <c r="C2161" s="5" t="s">
        <v>212</v>
      </c>
      <c r="D2161" s="5">
        <v>2</v>
      </c>
      <c r="E2161" s="6">
        <v>2912</v>
      </c>
      <c r="F2161" s="11">
        <v>0</v>
      </c>
      <c r="G2161" s="27">
        <f t="shared" si="661"/>
        <v>9.5755329008340997</v>
      </c>
      <c r="H2161" s="13">
        <f t="shared" si="662"/>
        <v>12415.59433225246</v>
      </c>
      <c r="I2161" s="13">
        <f t="shared" si="663"/>
        <v>0</v>
      </c>
      <c r="J2161" s="51">
        <f t="shared" si="640"/>
        <v>12415.59433225246</v>
      </c>
    </row>
    <row r="2162" spans="1:10" x14ac:dyDescent="0.25">
      <c r="A2162" s="4" t="s">
        <v>193</v>
      </c>
      <c r="B2162" s="5" t="s">
        <v>213</v>
      </c>
      <c r="C2162" s="5" t="s">
        <v>212</v>
      </c>
      <c r="D2162" s="5">
        <v>5</v>
      </c>
      <c r="E2162" s="6">
        <v>7280</v>
      </c>
      <c r="F2162" s="11">
        <v>0</v>
      </c>
      <c r="G2162" s="27">
        <f t="shared" si="661"/>
        <v>23.938832252085248</v>
      </c>
      <c r="H2162" s="13">
        <f t="shared" si="662"/>
        <v>31038.985830631151</v>
      </c>
      <c r="I2162" s="13">
        <f t="shared" si="663"/>
        <v>0</v>
      </c>
      <c r="J2162" s="51">
        <f t="shared" si="640"/>
        <v>31038.985830631151</v>
      </c>
    </row>
    <row r="2163" spans="1:10" x14ac:dyDescent="0.25">
      <c r="A2163" s="4" t="s">
        <v>193</v>
      </c>
      <c r="B2163" s="5" t="s">
        <v>214</v>
      </c>
      <c r="C2163" s="5" t="s">
        <v>210</v>
      </c>
      <c r="D2163" s="5">
        <v>122</v>
      </c>
      <c r="E2163" s="6">
        <v>118340</v>
      </c>
      <c r="F2163" s="11">
        <v>0</v>
      </c>
      <c r="G2163" s="27">
        <f t="shared" si="661"/>
        <v>584.10750695088007</v>
      </c>
      <c r="H2163" s="13">
        <f t="shared" si="662"/>
        <v>504554.06362594647</v>
      </c>
      <c r="I2163" s="13">
        <f t="shared" si="663"/>
        <v>0</v>
      </c>
      <c r="J2163" s="51">
        <f t="shared" si="640"/>
        <v>504554.06362594647</v>
      </c>
    </row>
    <row r="2164" spans="1:10" x14ac:dyDescent="0.25">
      <c r="A2164" s="4" t="s">
        <v>193</v>
      </c>
      <c r="B2164" s="5" t="s">
        <v>215</v>
      </c>
      <c r="C2164" s="5" t="s">
        <v>212</v>
      </c>
      <c r="D2164" s="5">
        <v>8</v>
      </c>
      <c r="E2164" s="6">
        <v>11648</v>
      </c>
      <c r="F2164" s="11">
        <v>0</v>
      </c>
      <c r="G2164" s="27">
        <f t="shared" si="661"/>
        <v>38.302131603336399</v>
      </c>
      <c r="H2164" s="13">
        <f t="shared" si="662"/>
        <v>49662.37732900984</v>
      </c>
      <c r="I2164" s="13">
        <f t="shared" si="663"/>
        <v>0</v>
      </c>
      <c r="J2164" s="51">
        <f t="shared" si="640"/>
        <v>49662.37732900984</v>
      </c>
    </row>
    <row r="2165" spans="1:10" x14ac:dyDescent="0.25">
      <c r="A2165" s="4" t="s">
        <v>193</v>
      </c>
      <c r="B2165" s="5" t="s">
        <v>216</v>
      </c>
      <c r="C2165" s="5" t="s">
        <v>210</v>
      </c>
      <c r="D2165" s="5">
        <v>25</v>
      </c>
      <c r="E2165" s="6">
        <v>24250</v>
      </c>
      <c r="F2165" s="11">
        <v>0</v>
      </c>
      <c r="G2165" s="27">
        <f t="shared" si="661"/>
        <v>119.69416126042624</v>
      </c>
      <c r="H2165" s="13">
        <f t="shared" si="662"/>
        <v>103392.22615285788</v>
      </c>
      <c r="I2165" s="13">
        <f t="shared" si="663"/>
        <v>0</v>
      </c>
      <c r="J2165" s="51">
        <f t="shared" si="640"/>
        <v>103392.22615285788</v>
      </c>
    </row>
    <row r="2166" spans="1:10" x14ac:dyDescent="0.25">
      <c r="A2166" s="4" t="s">
        <v>193</v>
      </c>
      <c r="B2166" s="5" t="s">
        <v>217</v>
      </c>
      <c r="C2166" s="5" t="s">
        <v>218</v>
      </c>
      <c r="D2166" s="5">
        <v>51</v>
      </c>
      <c r="E2166" s="6">
        <v>168963</v>
      </c>
      <c r="F2166" s="6">
        <v>67575</v>
      </c>
      <c r="G2166" s="27">
        <f t="shared" si="661"/>
        <v>244.17608897126954</v>
      </c>
      <c r="H2166" s="13">
        <f t="shared" si="662"/>
        <v>720390.13226661144</v>
      </c>
      <c r="I2166" s="13">
        <f t="shared" si="663"/>
        <v>288112.53732083546</v>
      </c>
      <c r="J2166" s="51">
        <f t="shared" si="640"/>
        <v>1008502.6695874468</v>
      </c>
    </row>
    <row r="2167" spans="1:10" x14ac:dyDescent="0.25">
      <c r="A2167" s="4" t="s">
        <v>193</v>
      </c>
      <c r="B2167" s="5" t="s">
        <v>219</v>
      </c>
      <c r="C2167" s="5" t="s">
        <v>220</v>
      </c>
      <c r="D2167" s="5">
        <v>25</v>
      </c>
      <c r="E2167" s="6">
        <v>84925</v>
      </c>
      <c r="F2167" s="6">
        <v>33950</v>
      </c>
      <c r="G2167" s="27">
        <f t="shared" si="661"/>
        <v>119.69416126042624</v>
      </c>
      <c r="H2167" s="13">
        <f t="shared" si="662"/>
        <v>362085.97138274042</v>
      </c>
      <c r="I2167" s="13">
        <f t="shared" si="663"/>
        <v>144749.1031008859</v>
      </c>
      <c r="J2167" s="51">
        <f t="shared" si="640"/>
        <v>506835.07448362629</v>
      </c>
    </row>
    <row r="2168" spans="1:10" x14ac:dyDescent="0.25">
      <c r="A2168" s="4" t="s">
        <v>193</v>
      </c>
      <c r="B2168" s="5" t="s">
        <v>260</v>
      </c>
      <c r="C2168" s="5" t="s">
        <v>208</v>
      </c>
      <c r="D2168" s="5">
        <v>1</v>
      </c>
      <c r="E2168" s="6">
        <v>46592</v>
      </c>
      <c r="F2168" s="11">
        <v>0</v>
      </c>
      <c r="G2168" s="27">
        <f t="shared" si="661"/>
        <v>4.7877664504170498</v>
      </c>
      <c r="H2168" s="13">
        <f t="shared" si="662"/>
        <v>198649.50931603936</v>
      </c>
      <c r="I2168" s="13">
        <f t="shared" si="663"/>
        <v>0</v>
      </c>
      <c r="J2168" s="51">
        <f t="shared" si="640"/>
        <v>198649.50931603936</v>
      </c>
    </row>
    <row r="2169" spans="1:10" x14ac:dyDescent="0.25">
      <c r="A2169" s="4" t="s">
        <v>193</v>
      </c>
      <c r="B2169" s="5" t="s">
        <v>223</v>
      </c>
      <c r="C2169" s="5" t="s">
        <v>224</v>
      </c>
      <c r="D2169" s="5">
        <v>112</v>
      </c>
      <c r="E2169" s="6">
        <v>71780</v>
      </c>
      <c r="F2169" s="11">
        <v>0</v>
      </c>
      <c r="G2169" s="27">
        <f t="shared" si="661"/>
        <v>536.22984244670954</v>
      </c>
      <c r="H2169" s="13">
        <f t="shared" si="662"/>
        <v>306040.98941245931</v>
      </c>
      <c r="I2169" s="13">
        <f t="shared" si="663"/>
        <v>0</v>
      </c>
      <c r="J2169" s="51">
        <f t="shared" si="640"/>
        <v>306040.98941245931</v>
      </c>
    </row>
    <row r="2170" spans="1:10" x14ac:dyDescent="0.25">
      <c r="A2170" s="4" t="s">
        <v>193</v>
      </c>
      <c r="B2170" s="5" t="s">
        <v>266</v>
      </c>
      <c r="C2170" s="5" t="s">
        <v>210</v>
      </c>
      <c r="D2170" s="5">
        <v>14</v>
      </c>
      <c r="E2170" s="6">
        <v>13580</v>
      </c>
      <c r="F2170" s="11">
        <v>0</v>
      </c>
      <c r="G2170" s="27">
        <f t="shared" si="661"/>
        <v>67.028730305838693</v>
      </c>
      <c r="H2170" s="13">
        <f t="shared" si="662"/>
        <v>57899.646645600413</v>
      </c>
      <c r="I2170" s="13">
        <f t="shared" si="663"/>
        <v>0</v>
      </c>
      <c r="J2170" s="51">
        <f t="shared" si="640"/>
        <v>57899.646645600413</v>
      </c>
    </row>
    <row r="2171" spans="1:10" x14ac:dyDescent="0.25">
      <c r="A2171" s="4" t="s">
        <v>193</v>
      </c>
      <c r="B2171" s="5" t="s">
        <v>225</v>
      </c>
      <c r="C2171" s="5" t="s">
        <v>210</v>
      </c>
      <c r="D2171" s="5">
        <v>4</v>
      </c>
      <c r="E2171" s="6">
        <v>3880</v>
      </c>
      <c r="F2171" s="11">
        <v>0</v>
      </c>
      <c r="G2171" s="27">
        <f t="shared" si="661"/>
        <v>19.151065801668199</v>
      </c>
      <c r="H2171" s="13">
        <f t="shared" si="662"/>
        <v>16542.756184457263</v>
      </c>
      <c r="I2171" s="13">
        <f t="shared" si="663"/>
        <v>0</v>
      </c>
      <c r="J2171" s="51">
        <f t="shared" si="640"/>
        <v>16542.756184457263</v>
      </c>
    </row>
    <row r="2172" spans="1:10" x14ac:dyDescent="0.25">
      <c r="A2172" s="4" t="s">
        <v>193</v>
      </c>
      <c r="B2172" s="5" t="s">
        <v>226</v>
      </c>
      <c r="C2172" s="5" t="s">
        <v>210</v>
      </c>
      <c r="D2172" s="5">
        <v>13</v>
      </c>
      <c r="E2172" s="6">
        <v>12610</v>
      </c>
      <c r="F2172" s="11">
        <v>0</v>
      </c>
      <c r="G2172" s="27">
        <f t="shared" si="661"/>
        <v>62.240963855421647</v>
      </c>
      <c r="H2172" s="13">
        <f t="shared" si="662"/>
        <v>53763.957599486101</v>
      </c>
      <c r="I2172" s="13">
        <f t="shared" si="663"/>
        <v>0</v>
      </c>
      <c r="J2172" s="51">
        <f t="shared" si="640"/>
        <v>53763.957599486101</v>
      </c>
    </row>
    <row r="2173" spans="1:10" x14ac:dyDescent="0.25">
      <c r="A2173" s="4" t="s">
        <v>193</v>
      </c>
      <c r="B2173" s="5" t="s">
        <v>227</v>
      </c>
      <c r="C2173" s="5" t="s">
        <v>210</v>
      </c>
      <c r="D2173" s="5">
        <v>1</v>
      </c>
      <c r="E2173" s="6">
        <v>970</v>
      </c>
      <c r="F2173" s="11">
        <v>0</v>
      </c>
      <c r="G2173" s="27">
        <f t="shared" si="661"/>
        <v>4.7877664504170498</v>
      </c>
      <c r="H2173" s="13">
        <f t="shared" si="662"/>
        <v>4135.6890461143157</v>
      </c>
      <c r="I2173" s="13">
        <f t="shared" si="663"/>
        <v>0</v>
      </c>
      <c r="J2173" s="51">
        <f t="shared" si="640"/>
        <v>4135.6890461143157</v>
      </c>
    </row>
    <row r="2174" spans="1:10" x14ac:dyDescent="0.25">
      <c r="A2174" s="4" t="s">
        <v>193</v>
      </c>
      <c r="B2174" s="5" t="s">
        <v>228</v>
      </c>
      <c r="C2174" s="5" t="s">
        <v>229</v>
      </c>
      <c r="D2174" s="5">
        <v>191</v>
      </c>
      <c r="E2174" s="6">
        <v>370731</v>
      </c>
      <c r="F2174" s="11">
        <v>0</v>
      </c>
      <c r="G2174" s="27">
        <f t="shared" si="661"/>
        <v>914.46339202965657</v>
      </c>
      <c r="H2174" s="13">
        <f t="shared" si="662"/>
        <v>1580647.5626340271</v>
      </c>
      <c r="I2174" s="13">
        <f t="shared" si="663"/>
        <v>0</v>
      </c>
      <c r="J2174" s="51">
        <f t="shared" si="640"/>
        <v>1580647.5626340271</v>
      </c>
    </row>
    <row r="2175" spans="1:10" x14ac:dyDescent="0.25">
      <c r="A2175" s="4" t="s">
        <v>193</v>
      </c>
      <c r="B2175" s="5" t="s">
        <v>230</v>
      </c>
      <c r="C2175" s="5" t="s">
        <v>229</v>
      </c>
      <c r="D2175" s="5">
        <v>21</v>
      </c>
      <c r="E2175" s="6">
        <v>40761</v>
      </c>
      <c r="F2175" s="11">
        <v>0</v>
      </c>
      <c r="G2175" s="27">
        <f t="shared" si="661"/>
        <v>100.54309545875805</v>
      </c>
      <c r="H2175" s="13">
        <f t="shared" si="662"/>
        <v>173788.47547285113</v>
      </c>
      <c r="I2175" s="13">
        <f t="shared" si="663"/>
        <v>0</v>
      </c>
      <c r="J2175" s="51">
        <f t="shared" ref="J2175:J2238" si="664">SUM(H2175:I2175)</f>
        <v>173788.47547285113</v>
      </c>
    </row>
    <row r="2176" spans="1:10" x14ac:dyDescent="0.25">
      <c r="A2176" s="4" t="s">
        <v>193</v>
      </c>
      <c r="B2176" s="5" t="s">
        <v>231</v>
      </c>
      <c r="C2176" s="5" t="s">
        <v>232</v>
      </c>
      <c r="D2176" s="5">
        <v>1</v>
      </c>
      <c r="E2176" s="6">
        <v>212333</v>
      </c>
      <c r="F2176" s="11">
        <v>0</v>
      </c>
      <c r="G2176" s="27">
        <f t="shared" si="661"/>
        <v>4.7877664504170498</v>
      </c>
      <c r="H2176" s="13">
        <f t="shared" si="662"/>
        <v>905302.33219442365</v>
      </c>
      <c r="I2176" s="13">
        <f t="shared" si="663"/>
        <v>0</v>
      </c>
      <c r="J2176" s="51">
        <f t="shared" si="664"/>
        <v>905302.33219442365</v>
      </c>
    </row>
    <row r="2177" spans="1:10" x14ac:dyDescent="0.25">
      <c r="A2177" s="4" t="s">
        <v>193</v>
      </c>
      <c r="B2177" s="5" t="s">
        <v>262</v>
      </c>
      <c r="C2177" s="5" t="s">
        <v>263</v>
      </c>
      <c r="D2177" s="5">
        <v>1</v>
      </c>
      <c r="E2177" s="6">
        <v>151666</v>
      </c>
      <c r="F2177" s="11">
        <v>0</v>
      </c>
      <c r="G2177" s="27">
        <f t="shared" si="661"/>
        <v>4.7877664504170498</v>
      </c>
      <c r="H2177" s="13">
        <f t="shared" si="662"/>
        <v>646642.69574017916</v>
      </c>
      <c r="I2177" s="13">
        <f t="shared" si="663"/>
        <v>0</v>
      </c>
      <c r="J2177" s="51">
        <f t="shared" si="664"/>
        <v>646642.69574017916</v>
      </c>
    </row>
    <row r="2178" spans="1:10" x14ac:dyDescent="0.25">
      <c r="A2178" s="4" t="s">
        <v>193</v>
      </c>
      <c r="B2178" s="5" t="s">
        <v>233</v>
      </c>
      <c r="C2178" s="5" t="s">
        <v>234</v>
      </c>
      <c r="D2178" s="5">
        <v>1</v>
      </c>
      <c r="E2178" s="6">
        <v>97066</v>
      </c>
      <c r="F2178" s="11">
        <v>0</v>
      </c>
      <c r="G2178" s="27">
        <f t="shared" si="661"/>
        <v>4.7877664504170498</v>
      </c>
      <c r="H2178" s="13">
        <f t="shared" si="662"/>
        <v>413850.30201044551</v>
      </c>
      <c r="I2178" s="13">
        <f t="shared" si="663"/>
        <v>0</v>
      </c>
      <c r="J2178" s="51">
        <f t="shared" si="664"/>
        <v>413850.30201044551</v>
      </c>
    </row>
    <row r="2179" spans="1:10" x14ac:dyDescent="0.25">
      <c r="A2179" s="4" t="s">
        <v>193</v>
      </c>
      <c r="B2179" s="5" t="s">
        <v>235</v>
      </c>
      <c r="C2179" s="5" t="s">
        <v>236</v>
      </c>
      <c r="D2179" s="5">
        <v>14</v>
      </c>
      <c r="E2179" s="6">
        <v>95550</v>
      </c>
      <c r="F2179" s="6">
        <v>38220</v>
      </c>
      <c r="G2179" s="27">
        <f t="shared" si="661"/>
        <v>67.028730305838693</v>
      </c>
      <c r="H2179" s="13">
        <f t="shared" si="662"/>
        <v>407386.68902703386</v>
      </c>
      <c r="I2179" s="13">
        <f t="shared" si="663"/>
        <v>162954.66039811072</v>
      </c>
      <c r="J2179" s="51">
        <f t="shared" si="664"/>
        <v>570341.34942514461</v>
      </c>
    </row>
    <row r="2180" spans="1:10" x14ac:dyDescent="0.25">
      <c r="A2180" s="4" t="s">
        <v>193</v>
      </c>
      <c r="B2180" s="5" t="s">
        <v>237</v>
      </c>
      <c r="C2180" s="5" t="s">
        <v>238</v>
      </c>
      <c r="D2180" s="5">
        <v>3</v>
      </c>
      <c r="E2180" s="6">
        <v>15378</v>
      </c>
      <c r="F2180" s="6">
        <v>6150</v>
      </c>
      <c r="G2180" s="27">
        <f t="shared" si="661"/>
        <v>14.36329935125115</v>
      </c>
      <c r="H2180" s="13">
        <f t="shared" si="662"/>
        <v>65565.593970253554</v>
      </c>
      <c r="I2180" s="13">
        <f t="shared" si="663"/>
        <v>26221.118823871817</v>
      </c>
      <c r="J2180" s="51">
        <f t="shared" si="664"/>
        <v>91786.712794125371</v>
      </c>
    </row>
    <row r="2181" spans="1:10" x14ac:dyDescent="0.25">
      <c r="A2181" s="4" t="s">
        <v>193</v>
      </c>
      <c r="B2181" s="5" t="s">
        <v>241</v>
      </c>
      <c r="C2181" s="5" t="s">
        <v>236</v>
      </c>
      <c r="D2181" s="5">
        <v>74</v>
      </c>
      <c r="E2181" s="6">
        <v>505050</v>
      </c>
      <c r="F2181" s="6">
        <v>202020</v>
      </c>
      <c r="G2181" s="27">
        <f t="shared" si="661"/>
        <v>354.29471733086172</v>
      </c>
      <c r="H2181" s="13">
        <f t="shared" si="662"/>
        <v>2153329.6420000358</v>
      </c>
      <c r="I2181" s="13">
        <f t="shared" si="663"/>
        <v>861331.77639001375</v>
      </c>
      <c r="J2181" s="51">
        <f t="shared" si="664"/>
        <v>3014661.4183900496</v>
      </c>
    </row>
    <row r="2182" spans="1:10" x14ac:dyDescent="0.25">
      <c r="A2182" s="4" t="s">
        <v>193</v>
      </c>
      <c r="B2182" s="5" t="s">
        <v>242</v>
      </c>
      <c r="C2182" s="5" t="s">
        <v>238</v>
      </c>
      <c r="D2182" s="5">
        <v>8</v>
      </c>
      <c r="E2182" s="6">
        <v>41008</v>
      </c>
      <c r="F2182" s="6">
        <v>16400</v>
      </c>
      <c r="G2182" s="27">
        <f t="shared" si="661"/>
        <v>38.302131603336399</v>
      </c>
      <c r="H2182" s="13">
        <f t="shared" si="662"/>
        <v>174841.58392067612</v>
      </c>
      <c r="I2182" s="13">
        <f t="shared" si="663"/>
        <v>69922.983530324855</v>
      </c>
      <c r="J2182" s="51">
        <f t="shared" si="664"/>
        <v>244764.56745100097</v>
      </c>
    </row>
    <row r="2183" spans="1:10" x14ac:dyDescent="0.25">
      <c r="A2183" s="4" t="s">
        <v>193</v>
      </c>
      <c r="B2183" s="5" t="s">
        <v>243</v>
      </c>
      <c r="C2183" s="5" t="s">
        <v>244</v>
      </c>
      <c r="D2183" s="5">
        <v>3</v>
      </c>
      <c r="E2183" s="6">
        <v>10236</v>
      </c>
      <c r="F2183" s="6">
        <v>4095</v>
      </c>
      <c r="G2183" s="27">
        <f t="shared" si="661"/>
        <v>14.36329935125115</v>
      </c>
      <c r="H2183" s="13">
        <f t="shared" si="662"/>
        <v>43642.178428892919</v>
      </c>
      <c r="I2183" s="13">
        <f t="shared" si="663"/>
        <v>17459.427899797578</v>
      </c>
      <c r="J2183" s="51">
        <f t="shared" si="664"/>
        <v>61101.606328690497</v>
      </c>
    </row>
    <row r="2184" spans="1:10" x14ac:dyDescent="0.25">
      <c r="A2184" s="4" t="s">
        <v>193</v>
      </c>
      <c r="B2184" s="5" t="s">
        <v>245</v>
      </c>
      <c r="C2184" s="5" t="s">
        <v>246</v>
      </c>
      <c r="D2184" s="5">
        <v>2</v>
      </c>
      <c r="E2184" s="6">
        <v>5126</v>
      </c>
      <c r="F2184" s="6">
        <v>2050</v>
      </c>
      <c r="G2184" s="27">
        <f t="shared" si="661"/>
        <v>9.5755329008340997</v>
      </c>
      <c r="H2184" s="13">
        <f t="shared" si="662"/>
        <v>21855.197990084514</v>
      </c>
      <c r="I2184" s="13">
        <f t="shared" si="663"/>
        <v>8740.3729412906068</v>
      </c>
      <c r="J2184" s="51">
        <f t="shared" si="664"/>
        <v>30595.570931375121</v>
      </c>
    </row>
    <row r="2185" spans="1:10" x14ac:dyDescent="0.25">
      <c r="A2185" s="4" t="s">
        <v>193</v>
      </c>
      <c r="B2185" s="5" t="s">
        <v>247</v>
      </c>
      <c r="C2185" s="5" t="s">
        <v>244</v>
      </c>
      <c r="D2185" s="5">
        <v>1</v>
      </c>
      <c r="E2185" s="6">
        <v>3412</v>
      </c>
      <c r="F2185" s="6">
        <v>1365</v>
      </c>
      <c r="G2185" s="27">
        <f t="shared" si="661"/>
        <v>4.7877664504170498</v>
      </c>
      <c r="H2185" s="13">
        <f t="shared" si="662"/>
        <v>14547.392809630974</v>
      </c>
      <c r="I2185" s="13">
        <f t="shared" si="663"/>
        <v>5819.8092999325254</v>
      </c>
      <c r="J2185" s="51">
        <f t="shared" si="664"/>
        <v>20367.202109563499</v>
      </c>
    </row>
    <row r="2186" spans="1:10" x14ac:dyDescent="0.25">
      <c r="A2186" s="4" t="s">
        <v>193</v>
      </c>
      <c r="B2186" s="5" t="s">
        <v>248</v>
      </c>
      <c r="C2186" s="5" t="s">
        <v>246</v>
      </c>
      <c r="D2186" s="5">
        <v>1</v>
      </c>
      <c r="E2186" s="6">
        <v>2563</v>
      </c>
      <c r="F2186" s="6">
        <v>1025</v>
      </c>
      <c r="G2186" s="27">
        <f t="shared" si="661"/>
        <v>4.7877664504170498</v>
      </c>
      <c r="H2186" s="13">
        <f t="shared" si="662"/>
        <v>10927.598995042257</v>
      </c>
      <c r="I2186" s="13">
        <f t="shared" si="663"/>
        <v>4370.1864706453034</v>
      </c>
      <c r="J2186" s="51">
        <f t="shared" si="664"/>
        <v>15297.785465687561</v>
      </c>
    </row>
    <row r="2187" spans="1:10" x14ac:dyDescent="0.25">
      <c r="A2187" s="4" t="s">
        <v>193</v>
      </c>
      <c r="B2187" s="5" t="s">
        <v>249</v>
      </c>
      <c r="C2187" s="5" t="s">
        <v>250</v>
      </c>
      <c r="D2187" s="5">
        <v>89</v>
      </c>
      <c r="E2187" s="6">
        <v>1349774</v>
      </c>
      <c r="F2187" s="6">
        <v>539874</v>
      </c>
      <c r="G2187" s="27">
        <f t="shared" si="661"/>
        <v>426.11121408711745</v>
      </c>
      <c r="H2187" s="13">
        <f t="shared" si="662"/>
        <v>5754892.3160102097</v>
      </c>
      <c r="I2187" s="13">
        <f t="shared" si="663"/>
        <v>2301804.9274664996</v>
      </c>
      <c r="J2187" s="51">
        <f t="shared" si="664"/>
        <v>8056697.2434767094</v>
      </c>
    </row>
    <row r="2188" spans="1:10" x14ac:dyDescent="0.25">
      <c r="A2188" s="4" t="s">
        <v>193</v>
      </c>
      <c r="B2188" s="5" t="s">
        <v>252</v>
      </c>
      <c r="C2188" s="5" t="s">
        <v>212</v>
      </c>
      <c r="D2188" s="5">
        <v>11</v>
      </c>
      <c r="E2188" s="6">
        <v>16016</v>
      </c>
      <c r="F2188" s="11">
        <v>0</v>
      </c>
      <c r="G2188" s="27">
        <f t="shared" si="661"/>
        <v>52.665430954587549</v>
      </c>
      <c r="H2188" s="13">
        <f t="shared" si="662"/>
        <v>68285.768827388529</v>
      </c>
      <c r="I2188" s="13">
        <f t="shared" si="663"/>
        <v>0</v>
      </c>
      <c r="J2188" s="51">
        <f t="shared" si="664"/>
        <v>68285.768827388529</v>
      </c>
    </row>
    <row r="2189" spans="1:10" x14ac:dyDescent="0.25">
      <c r="A2189" s="4" t="s">
        <v>193</v>
      </c>
      <c r="B2189" s="5" t="s">
        <v>253</v>
      </c>
      <c r="C2189" s="5" t="s">
        <v>210</v>
      </c>
      <c r="D2189" s="5">
        <v>132</v>
      </c>
      <c r="E2189" s="6">
        <v>128040</v>
      </c>
      <c r="F2189" s="11">
        <v>0</v>
      </c>
      <c r="G2189" s="27">
        <f t="shared" si="661"/>
        <v>631.98517145505059</v>
      </c>
      <c r="H2189" s="13">
        <f t="shared" si="662"/>
        <v>545910.95408708963</v>
      </c>
      <c r="I2189" s="13">
        <f t="shared" si="663"/>
        <v>0</v>
      </c>
      <c r="J2189" s="51">
        <f t="shared" si="664"/>
        <v>545910.95408708963</v>
      </c>
    </row>
    <row r="2190" spans="1:10" x14ac:dyDescent="0.25">
      <c r="A2190" s="4" t="s">
        <v>193</v>
      </c>
      <c r="B2190" s="5" t="s">
        <v>254</v>
      </c>
      <c r="C2190" s="5" t="s">
        <v>212</v>
      </c>
      <c r="D2190" s="5">
        <v>13</v>
      </c>
      <c r="E2190" s="6">
        <v>18928</v>
      </c>
      <c r="F2190" s="11">
        <v>0</v>
      </c>
      <c r="G2190" s="27">
        <f t="shared" si="661"/>
        <v>62.240963855421647</v>
      </c>
      <c r="H2190" s="13">
        <f t="shared" si="662"/>
        <v>80701.363159640983</v>
      </c>
      <c r="I2190" s="13">
        <f t="shared" si="663"/>
        <v>0</v>
      </c>
      <c r="J2190" s="51">
        <f t="shared" si="664"/>
        <v>80701.363159640983</v>
      </c>
    </row>
    <row r="2191" spans="1:10" x14ac:dyDescent="0.25">
      <c r="A2191" s="4" t="s">
        <v>193</v>
      </c>
      <c r="B2191" s="5" t="s">
        <v>255</v>
      </c>
      <c r="C2191" s="5" t="s">
        <v>210</v>
      </c>
      <c r="D2191" s="5">
        <v>98</v>
      </c>
      <c r="E2191" s="6">
        <v>95060</v>
      </c>
      <c r="F2191" s="11">
        <v>0</v>
      </c>
      <c r="G2191" s="27">
        <f t="shared" si="661"/>
        <v>469.20111214087086</v>
      </c>
      <c r="H2191" s="13">
        <f t="shared" si="662"/>
        <v>405297.52651920292</v>
      </c>
      <c r="I2191" s="13">
        <f t="shared" si="663"/>
        <v>0</v>
      </c>
      <c r="J2191" s="51">
        <f t="shared" si="664"/>
        <v>405297.52651920292</v>
      </c>
    </row>
    <row r="2192" spans="1:10" x14ac:dyDescent="0.25">
      <c r="A2192" s="4" t="s">
        <v>193</v>
      </c>
      <c r="B2192" s="5" t="s">
        <v>256</v>
      </c>
      <c r="C2192" s="5" t="s">
        <v>212</v>
      </c>
      <c r="D2192" s="5">
        <v>11</v>
      </c>
      <c r="E2192" s="6">
        <v>16016</v>
      </c>
      <c r="F2192" s="11">
        <v>0</v>
      </c>
      <c r="G2192" s="27">
        <f t="shared" si="661"/>
        <v>52.665430954587549</v>
      </c>
      <c r="H2192" s="13">
        <f t="shared" si="662"/>
        <v>68285.768827388529</v>
      </c>
      <c r="I2192" s="13">
        <f t="shared" si="663"/>
        <v>0</v>
      </c>
      <c r="J2192" s="51">
        <f t="shared" si="664"/>
        <v>68285.768827388529</v>
      </c>
    </row>
    <row r="2193" spans="1:10" x14ac:dyDescent="0.25">
      <c r="A2193" s="15" t="s">
        <v>193</v>
      </c>
      <c r="B2193" s="16" t="s">
        <v>257</v>
      </c>
      <c r="C2193" s="16" t="s">
        <v>210</v>
      </c>
      <c r="D2193" s="16">
        <v>15</v>
      </c>
      <c r="E2193" s="17">
        <v>14550</v>
      </c>
      <c r="F2193" s="18">
        <v>0</v>
      </c>
      <c r="G2193" s="27">
        <f t="shared" si="661"/>
        <v>71.816496756255745</v>
      </c>
      <c r="H2193" s="13">
        <f t="shared" si="662"/>
        <v>62035.335691714732</v>
      </c>
      <c r="I2193" s="13">
        <f t="shared" si="663"/>
        <v>0</v>
      </c>
      <c r="J2193" s="51">
        <f t="shared" si="664"/>
        <v>62035.335691714732</v>
      </c>
    </row>
    <row r="2194" spans="1:10" s="3" customFormat="1" x14ac:dyDescent="0.25">
      <c r="A2194" s="4"/>
      <c r="B2194" s="20" t="s">
        <v>417</v>
      </c>
      <c r="C2194" s="21"/>
      <c r="D2194" s="21"/>
      <c r="E2194" s="22"/>
      <c r="F2194" s="29"/>
      <c r="G2194" s="47">
        <f>SUM(G2159:G2193)</f>
        <v>5165.9999999999964</v>
      </c>
      <c r="H2194" s="47">
        <f t="shared" ref="H2194:J2194" si="665">SUM(H2159:H2193)</f>
        <v>16088649</v>
      </c>
      <c r="I2194" s="47">
        <f t="shared" si="665"/>
        <v>3911351</v>
      </c>
      <c r="J2194" s="47">
        <f t="shared" si="665"/>
        <v>20000000.000000004</v>
      </c>
    </row>
    <row r="2195" spans="1:10" x14ac:dyDescent="0.25">
      <c r="A2195" s="23" t="s">
        <v>194</v>
      </c>
      <c r="B2195" s="24" t="s">
        <v>213</v>
      </c>
      <c r="C2195" s="24" t="s">
        <v>212</v>
      </c>
      <c r="D2195" s="24">
        <v>6</v>
      </c>
      <c r="E2195" s="25">
        <v>8736</v>
      </c>
      <c r="F2195" s="30">
        <v>0</v>
      </c>
      <c r="G2195" s="27">
        <f>+D2195*4.78723404255319</f>
        <v>28.723404255319139</v>
      </c>
      <c r="H2195" s="13">
        <f>+E2195*2646099/210978</f>
        <v>109567.44714614794</v>
      </c>
      <c r="I2195" s="13">
        <f>+F2195*853901/68083</f>
        <v>0</v>
      </c>
      <c r="J2195" s="51">
        <f t="shared" si="664"/>
        <v>109567.44714614794</v>
      </c>
    </row>
    <row r="2196" spans="1:10" x14ac:dyDescent="0.25">
      <c r="A2196" s="4" t="s">
        <v>194</v>
      </c>
      <c r="B2196" s="5" t="s">
        <v>214</v>
      </c>
      <c r="C2196" s="5" t="s">
        <v>210</v>
      </c>
      <c r="D2196" s="5">
        <v>2</v>
      </c>
      <c r="E2196" s="6">
        <v>1940</v>
      </c>
      <c r="F2196" s="11">
        <v>0</v>
      </c>
      <c r="G2196" s="27">
        <f t="shared" ref="G2196:G2205" si="666">+D2196*4.78723404255319</f>
        <v>9.5744680851063801</v>
      </c>
      <c r="H2196" s="13">
        <f t="shared" ref="H2196:H2205" si="667">+E2196*2646099/210978</f>
        <v>24331.598839689446</v>
      </c>
      <c r="I2196" s="13">
        <f t="shared" ref="I2196:I2205" si="668">+F2196*853901/68083</f>
        <v>0</v>
      </c>
      <c r="J2196" s="51">
        <f t="shared" si="664"/>
        <v>24331.598839689446</v>
      </c>
    </row>
    <row r="2197" spans="1:10" x14ac:dyDescent="0.25">
      <c r="A2197" s="4" t="s">
        <v>194</v>
      </c>
      <c r="B2197" s="5" t="s">
        <v>217</v>
      </c>
      <c r="C2197" s="5" t="s">
        <v>218</v>
      </c>
      <c r="D2197" s="5">
        <v>6</v>
      </c>
      <c r="E2197" s="6">
        <v>19878</v>
      </c>
      <c r="F2197" s="6">
        <v>7950</v>
      </c>
      <c r="G2197" s="27">
        <f t="shared" si="666"/>
        <v>28.723404255319139</v>
      </c>
      <c r="H2197" s="13">
        <f t="shared" si="667"/>
        <v>249311.09367801383</v>
      </c>
      <c r="I2197" s="13">
        <f t="shared" si="668"/>
        <v>99709.368711719522</v>
      </c>
      <c r="J2197" s="51">
        <f t="shared" si="664"/>
        <v>349020.46238973335</v>
      </c>
    </row>
    <row r="2198" spans="1:10" x14ac:dyDescent="0.25">
      <c r="A2198" s="4" t="s">
        <v>194</v>
      </c>
      <c r="B2198" s="5" t="s">
        <v>226</v>
      </c>
      <c r="C2198" s="5" t="s">
        <v>210</v>
      </c>
      <c r="D2198" s="5">
        <v>4</v>
      </c>
      <c r="E2198" s="6">
        <v>3880</v>
      </c>
      <c r="F2198" s="11">
        <v>0</v>
      </c>
      <c r="G2198" s="27">
        <f t="shared" si="666"/>
        <v>19.14893617021276</v>
      </c>
      <c r="H2198" s="13">
        <f t="shared" si="667"/>
        <v>48663.197679378893</v>
      </c>
      <c r="I2198" s="13">
        <f t="shared" si="668"/>
        <v>0</v>
      </c>
      <c r="J2198" s="51">
        <f t="shared" si="664"/>
        <v>48663.197679378893</v>
      </c>
    </row>
    <row r="2199" spans="1:10" x14ac:dyDescent="0.25">
      <c r="A2199" s="4" t="s">
        <v>194</v>
      </c>
      <c r="B2199" s="5" t="s">
        <v>227</v>
      </c>
      <c r="C2199" s="5" t="s">
        <v>210</v>
      </c>
      <c r="D2199" s="5">
        <v>3</v>
      </c>
      <c r="E2199" s="6">
        <v>2910</v>
      </c>
      <c r="F2199" s="11">
        <v>0</v>
      </c>
      <c r="G2199" s="27">
        <f t="shared" si="666"/>
        <v>14.361702127659569</v>
      </c>
      <c r="H2199" s="13">
        <f t="shared" si="667"/>
        <v>36497.398259534166</v>
      </c>
      <c r="I2199" s="13">
        <f t="shared" si="668"/>
        <v>0</v>
      </c>
      <c r="J2199" s="51">
        <f t="shared" si="664"/>
        <v>36497.398259534166</v>
      </c>
    </row>
    <row r="2200" spans="1:10" x14ac:dyDescent="0.25">
      <c r="A2200" s="4" t="s">
        <v>194</v>
      </c>
      <c r="B2200" s="5" t="s">
        <v>228</v>
      </c>
      <c r="C2200" s="5" t="s">
        <v>229</v>
      </c>
      <c r="D2200" s="5">
        <v>9</v>
      </c>
      <c r="E2200" s="6">
        <v>17469</v>
      </c>
      <c r="F2200" s="11">
        <v>0</v>
      </c>
      <c r="G2200" s="27">
        <f t="shared" si="666"/>
        <v>43.085106382978708</v>
      </c>
      <c r="H2200" s="13">
        <f t="shared" si="667"/>
        <v>219097.26810852316</v>
      </c>
      <c r="I2200" s="13">
        <f t="shared" si="668"/>
        <v>0</v>
      </c>
      <c r="J2200" s="51">
        <f t="shared" si="664"/>
        <v>219097.26810852316</v>
      </c>
    </row>
    <row r="2201" spans="1:10" x14ac:dyDescent="0.25">
      <c r="A2201" s="4" t="s">
        <v>194</v>
      </c>
      <c r="B2201" s="5" t="s">
        <v>241</v>
      </c>
      <c r="C2201" s="5" t="s">
        <v>236</v>
      </c>
      <c r="D2201" s="5">
        <v>3</v>
      </c>
      <c r="E2201" s="6">
        <v>20475</v>
      </c>
      <c r="F2201" s="6">
        <v>8190</v>
      </c>
      <c r="G2201" s="27">
        <f t="shared" si="666"/>
        <v>14.361702127659569</v>
      </c>
      <c r="H2201" s="13">
        <f t="shared" si="667"/>
        <v>256798.70424878423</v>
      </c>
      <c r="I2201" s="13">
        <f t="shared" si="668"/>
        <v>102719.46286150727</v>
      </c>
      <c r="J2201" s="51">
        <f t="shared" si="664"/>
        <v>359518.16711029148</v>
      </c>
    </row>
    <row r="2202" spans="1:10" x14ac:dyDescent="0.25">
      <c r="A2202" s="4" t="s">
        <v>194</v>
      </c>
      <c r="B2202" s="5" t="s">
        <v>243</v>
      </c>
      <c r="C2202" s="5" t="s">
        <v>244</v>
      </c>
      <c r="D2202" s="5">
        <v>1</v>
      </c>
      <c r="E2202" s="6">
        <v>3412</v>
      </c>
      <c r="F2202" s="6">
        <v>1365</v>
      </c>
      <c r="G2202" s="27">
        <f t="shared" si="666"/>
        <v>4.7872340425531901</v>
      </c>
      <c r="H2202" s="13">
        <f t="shared" si="667"/>
        <v>42793.513010835253</v>
      </c>
      <c r="I2202" s="13">
        <f t="shared" si="668"/>
        <v>17119.910476917881</v>
      </c>
      <c r="J2202" s="51">
        <f t="shared" si="664"/>
        <v>59913.423487753134</v>
      </c>
    </row>
    <row r="2203" spans="1:10" x14ac:dyDescent="0.25">
      <c r="A2203" s="4" t="s">
        <v>194</v>
      </c>
      <c r="B2203" s="5" t="s">
        <v>269</v>
      </c>
      <c r="C2203" s="5" t="s">
        <v>238</v>
      </c>
      <c r="D2203" s="5">
        <v>1</v>
      </c>
      <c r="E2203" s="6">
        <v>5126</v>
      </c>
      <c r="F2203" s="6">
        <v>2050</v>
      </c>
      <c r="G2203" s="27">
        <f t="shared" si="666"/>
        <v>4.7872340425531901</v>
      </c>
      <c r="H2203" s="13">
        <f t="shared" si="667"/>
        <v>64290.606006313457</v>
      </c>
      <c r="I2203" s="13">
        <f t="shared" si="668"/>
        <v>25711.220862770442</v>
      </c>
      <c r="J2203" s="51">
        <f t="shared" si="664"/>
        <v>90001.826869083903</v>
      </c>
    </row>
    <row r="2204" spans="1:10" x14ac:dyDescent="0.25">
      <c r="A2204" s="4" t="s">
        <v>194</v>
      </c>
      <c r="B2204" s="5" t="s">
        <v>249</v>
      </c>
      <c r="C2204" s="5" t="s">
        <v>250</v>
      </c>
      <c r="D2204" s="5">
        <v>8</v>
      </c>
      <c r="E2204" s="6">
        <v>121328</v>
      </c>
      <c r="F2204" s="6">
        <v>48528</v>
      </c>
      <c r="G2204" s="27">
        <f t="shared" si="666"/>
        <v>38.297872340425521</v>
      </c>
      <c r="H2204" s="13">
        <f t="shared" si="667"/>
        <v>1521703.208258681</v>
      </c>
      <c r="I2204" s="13">
        <f t="shared" si="668"/>
        <v>608641.03708708484</v>
      </c>
      <c r="J2204" s="51">
        <f t="shared" si="664"/>
        <v>2130344.2453457657</v>
      </c>
    </row>
    <row r="2205" spans="1:10" x14ac:dyDescent="0.25">
      <c r="A2205" s="15" t="s">
        <v>194</v>
      </c>
      <c r="B2205" s="16" t="s">
        <v>252</v>
      </c>
      <c r="C2205" s="16" t="s">
        <v>212</v>
      </c>
      <c r="D2205" s="16">
        <v>4</v>
      </c>
      <c r="E2205" s="17">
        <v>5824</v>
      </c>
      <c r="F2205" s="18">
        <v>0</v>
      </c>
      <c r="G2205" s="27">
        <f t="shared" si="666"/>
        <v>19.14893617021276</v>
      </c>
      <c r="H2205" s="13">
        <f t="shared" si="667"/>
        <v>73044.964764098622</v>
      </c>
      <c r="I2205" s="13">
        <f t="shared" si="668"/>
        <v>0</v>
      </c>
      <c r="J2205" s="51">
        <f t="shared" si="664"/>
        <v>73044.964764098622</v>
      </c>
    </row>
    <row r="2206" spans="1:10" s="3" customFormat="1" x14ac:dyDescent="0.25">
      <c r="A2206" s="4"/>
      <c r="B2206" s="20" t="s">
        <v>418</v>
      </c>
      <c r="C2206" s="21"/>
      <c r="D2206" s="21"/>
      <c r="E2206" s="22"/>
      <c r="F2206" s="29"/>
      <c r="G2206" s="47">
        <f>SUM(G2195:G2205)</f>
        <v>224.99999999999994</v>
      </c>
      <c r="H2206" s="47">
        <f t="shared" ref="H2206:J2206" si="669">SUM(H2195:H2205)</f>
        <v>2646099</v>
      </c>
      <c r="I2206" s="47">
        <f t="shared" si="669"/>
        <v>853901</v>
      </c>
      <c r="J2206" s="47">
        <f t="shared" si="669"/>
        <v>3500000</v>
      </c>
    </row>
    <row r="2207" spans="1:10" x14ac:dyDescent="0.25">
      <c r="A2207" s="23" t="s">
        <v>195</v>
      </c>
      <c r="B2207" s="24" t="s">
        <v>227</v>
      </c>
      <c r="C2207" s="24" t="s">
        <v>210</v>
      </c>
      <c r="D2207" s="24">
        <v>1</v>
      </c>
      <c r="E2207" s="25">
        <v>970</v>
      </c>
      <c r="F2207" s="30">
        <v>0</v>
      </c>
      <c r="G2207" s="27">
        <f>+D2207*5</f>
        <v>5</v>
      </c>
      <c r="H2207" s="13">
        <f>+E2207*775121/3533</f>
        <v>212812.72855929803</v>
      </c>
      <c r="I2207" s="13">
        <f>+F2207*224879/1025</f>
        <v>0</v>
      </c>
      <c r="J2207" s="51">
        <f t="shared" si="664"/>
        <v>212812.72855929803</v>
      </c>
    </row>
    <row r="2208" spans="1:10" x14ac:dyDescent="0.25">
      <c r="A2208" s="15" t="s">
        <v>195</v>
      </c>
      <c r="B2208" s="16" t="s">
        <v>248</v>
      </c>
      <c r="C2208" s="16" t="s">
        <v>246</v>
      </c>
      <c r="D2208" s="16">
        <v>1</v>
      </c>
      <c r="E2208" s="17">
        <v>2563</v>
      </c>
      <c r="F2208" s="17">
        <v>1025</v>
      </c>
      <c r="G2208" s="27">
        <f>+D2208*5</f>
        <v>5</v>
      </c>
      <c r="H2208" s="13">
        <f>+E2208*775121/3533</f>
        <v>562308.27144070191</v>
      </c>
      <c r="I2208" s="13">
        <f>+F2208*224879/1025</f>
        <v>224879</v>
      </c>
      <c r="J2208" s="51">
        <f t="shared" si="664"/>
        <v>787187.27144070191</v>
      </c>
    </row>
    <row r="2209" spans="1:10" s="3" customFormat="1" x14ac:dyDescent="0.25">
      <c r="A2209" s="4"/>
      <c r="B2209" s="20" t="s">
        <v>419</v>
      </c>
      <c r="C2209" s="21"/>
      <c r="D2209" s="21"/>
      <c r="E2209" s="22"/>
      <c r="F2209" s="22"/>
      <c r="G2209" s="47">
        <f>SUM(G2207:G2208)</f>
        <v>10</v>
      </c>
      <c r="H2209" s="47">
        <f t="shared" ref="H2209:J2209" si="670">SUM(H2207:H2208)</f>
        <v>775121</v>
      </c>
      <c r="I2209" s="47">
        <f t="shared" si="670"/>
        <v>224879</v>
      </c>
      <c r="J2209" s="47">
        <f t="shared" si="670"/>
        <v>1000000</v>
      </c>
    </row>
    <row r="2210" spans="1:10" x14ac:dyDescent="0.25">
      <c r="A2210" s="23" t="s">
        <v>196</v>
      </c>
      <c r="B2210" s="24" t="s">
        <v>219</v>
      </c>
      <c r="C2210" s="24" t="s">
        <v>220</v>
      </c>
      <c r="D2210" s="24">
        <v>1</v>
      </c>
      <c r="E2210" s="25">
        <v>3397</v>
      </c>
      <c r="F2210" s="25">
        <v>1358</v>
      </c>
      <c r="G2210" s="27">
        <v>5</v>
      </c>
      <c r="H2210" s="13">
        <f>+E2210*1144192/4367</f>
        <v>890043.55942294479</v>
      </c>
      <c r="I2210" s="13">
        <f>+F2210*355808/1358</f>
        <v>355808</v>
      </c>
      <c r="J2210" s="51">
        <f t="shared" si="664"/>
        <v>1245851.5594229447</v>
      </c>
    </row>
    <row r="2211" spans="1:10" x14ac:dyDescent="0.25">
      <c r="A2211" s="15" t="s">
        <v>196</v>
      </c>
      <c r="B2211" s="16" t="s">
        <v>255</v>
      </c>
      <c r="C2211" s="16" t="s">
        <v>210</v>
      </c>
      <c r="D2211" s="16">
        <v>1</v>
      </c>
      <c r="E2211" s="17">
        <v>970</v>
      </c>
      <c r="F2211" s="18">
        <v>0</v>
      </c>
      <c r="G2211" s="27">
        <v>5</v>
      </c>
      <c r="H2211" s="13">
        <f>+E2211*1144192/4367</f>
        <v>254148.44057705518</v>
      </c>
      <c r="I2211" s="13">
        <f>+F2211*355808/1358</f>
        <v>0</v>
      </c>
      <c r="J2211" s="51">
        <f t="shared" si="664"/>
        <v>254148.44057705518</v>
      </c>
    </row>
    <row r="2212" spans="1:10" s="3" customFormat="1" x14ac:dyDescent="0.25">
      <c r="A2212" s="4"/>
      <c r="B2212" s="20" t="s">
        <v>420</v>
      </c>
      <c r="C2212" s="21"/>
      <c r="D2212" s="21"/>
      <c r="E2212" s="22"/>
      <c r="F2212" s="29"/>
      <c r="G2212" s="47">
        <f>SUM(G2210:G2211)</f>
        <v>10</v>
      </c>
      <c r="H2212" s="47">
        <f t="shared" ref="H2212:J2212" si="671">SUM(H2210:H2211)</f>
        <v>1144192</v>
      </c>
      <c r="I2212" s="47">
        <f t="shared" si="671"/>
        <v>355808</v>
      </c>
      <c r="J2212" s="47">
        <f t="shared" si="671"/>
        <v>1499999.9999999998</v>
      </c>
    </row>
    <row r="2213" spans="1:10" x14ac:dyDescent="0.25">
      <c r="A2213" s="23" t="s">
        <v>197</v>
      </c>
      <c r="B2213" s="24" t="s">
        <v>207</v>
      </c>
      <c r="C2213" s="24" t="s">
        <v>208</v>
      </c>
      <c r="D2213" s="24">
        <v>3</v>
      </c>
      <c r="E2213" s="25">
        <v>69888</v>
      </c>
      <c r="F2213" s="25">
        <v>13977</v>
      </c>
      <c r="G2213" s="27">
        <f>+D2213*4.78688524590164</f>
        <v>14.360655737704921</v>
      </c>
      <c r="H2213" s="13">
        <f>+E2213*17734204/3422868</f>
        <v>362096.36163357744</v>
      </c>
      <c r="I2213" s="13">
        <f>+F2213*2265796/437320</f>
        <v>72416.149940546966</v>
      </c>
      <c r="J2213" s="51">
        <f t="shared" si="664"/>
        <v>434512.51157412439</v>
      </c>
    </row>
    <row r="2214" spans="1:10" x14ac:dyDescent="0.25">
      <c r="A2214" s="4" t="s">
        <v>197</v>
      </c>
      <c r="B2214" s="5" t="s">
        <v>209</v>
      </c>
      <c r="C2214" s="5" t="s">
        <v>210</v>
      </c>
      <c r="D2214" s="5">
        <v>1</v>
      </c>
      <c r="E2214" s="6">
        <v>1941</v>
      </c>
      <c r="F2214" s="11">
        <v>0</v>
      </c>
      <c r="G2214" s="27">
        <f t="shared" ref="G2214:G2242" si="672">+D2214*4.78688524590164</f>
        <v>4.7868852459016402</v>
      </c>
      <c r="H2214" s="13">
        <f t="shared" ref="H2214:H2242" si="673">+E2214*17734204/3422868</f>
        <v>10056.505235960019</v>
      </c>
      <c r="I2214" s="13">
        <f t="shared" ref="I2214:I2242" si="674">+F2214*2265796/437320</f>
        <v>0</v>
      </c>
      <c r="J2214" s="51">
        <f t="shared" si="664"/>
        <v>10056.505235960019</v>
      </c>
    </row>
    <row r="2215" spans="1:10" x14ac:dyDescent="0.25">
      <c r="A2215" s="4" t="s">
        <v>197</v>
      </c>
      <c r="B2215" s="5" t="s">
        <v>211</v>
      </c>
      <c r="C2215" s="5" t="s">
        <v>212</v>
      </c>
      <c r="D2215" s="5">
        <v>3</v>
      </c>
      <c r="E2215" s="6">
        <v>8736</v>
      </c>
      <c r="F2215" s="11">
        <v>0</v>
      </c>
      <c r="G2215" s="27">
        <f t="shared" si="672"/>
        <v>14.360655737704921</v>
      </c>
      <c r="H2215" s="13">
        <f t="shared" si="673"/>
        <v>45262.04520419718</v>
      </c>
      <c r="I2215" s="13">
        <f t="shared" si="674"/>
        <v>0</v>
      </c>
      <c r="J2215" s="51">
        <f t="shared" si="664"/>
        <v>45262.04520419718</v>
      </c>
    </row>
    <row r="2216" spans="1:10" x14ac:dyDescent="0.25">
      <c r="A2216" s="4" t="s">
        <v>197</v>
      </c>
      <c r="B2216" s="5" t="s">
        <v>213</v>
      </c>
      <c r="C2216" s="5" t="s">
        <v>212</v>
      </c>
      <c r="D2216" s="5">
        <v>3</v>
      </c>
      <c r="E2216" s="6">
        <v>8736</v>
      </c>
      <c r="F2216" s="11">
        <v>0</v>
      </c>
      <c r="G2216" s="27">
        <f t="shared" si="672"/>
        <v>14.360655737704921</v>
      </c>
      <c r="H2216" s="13">
        <f t="shared" si="673"/>
        <v>45262.04520419718</v>
      </c>
      <c r="I2216" s="13">
        <f t="shared" si="674"/>
        <v>0</v>
      </c>
      <c r="J2216" s="51">
        <f t="shared" si="664"/>
        <v>45262.04520419718</v>
      </c>
    </row>
    <row r="2217" spans="1:10" x14ac:dyDescent="0.25">
      <c r="A2217" s="4" t="s">
        <v>197</v>
      </c>
      <c r="B2217" s="5" t="s">
        <v>214</v>
      </c>
      <c r="C2217" s="5" t="s">
        <v>210</v>
      </c>
      <c r="D2217" s="5">
        <v>29</v>
      </c>
      <c r="E2217" s="6">
        <v>56289</v>
      </c>
      <c r="F2217" s="11">
        <v>0</v>
      </c>
      <c r="G2217" s="27">
        <f t="shared" si="672"/>
        <v>138.81967213114757</v>
      </c>
      <c r="H2217" s="13">
        <f t="shared" si="673"/>
        <v>291638.65184284054</v>
      </c>
      <c r="I2217" s="13">
        <f t="shared" si="674"/>
        <v>0</v>
      </c>
      <c r="J2217" s="51">
        <f t="shared" si="664"/>
        <v>291638.65184284054</v>
      </c>
    </row>
    <row r="2218" spans="1:10" x14ac:dyDescent="0.25">
      <c r="A2218" s="4" t="s">
        <v>197</v>
      </c>
      <c r="B2218" s="5" t="s">
        <v>215</v>
      </c>
      <c r="C2218" s="5" t="s">
        <v>212</v>
      </c>
      <c r="D2218" s="5">
        <v>2</v>
      </c>
      <c r="E2218" s="6">
        <v>5824</v>
      </c>
      <c r="F2218" s="11">
        <v>0</v>
      </c>
      <c r="G2218" s="27">
        <f t="shared" si="672"/>
        <v>9.5737704918032804</v>
      </c>
      <c r="H2218" s="13">
        <f t="shared" si="673"/>
        <v>30174.69680279812</v>
      </c>
      <c r="I2218" s="13">
        <f t="shared" si="674"/>
        <v>0</v>
      </c>
      <c r="J2218" s="51">
        <f t="shared" si="664"/>
        <v>30174.69680279812</v>
      </c>
    </row>
    <row r="2219" spans="1:10" x14ac:dyDescent="0.25">
      <c r="A2219" s="4" t="s">
        <v>197</v>
      </c>
      <c r="B2219" s="5" t="s">
        <v>216</v>
      </c>
      <c r="C2219" s="5" t="s">
        <v>210</v>
      </c>
      <c r="D2219" s="5">
        <v>3</v>
      </c>
      <c r="E2219" s="6">
        <v>5823</v>
      </c>
      <c r="F2219" s="11">
        <v>0</v>
      </c>
      <c r="G2219" s="27">
        <f t="shared" si="672"/>
        <v>14.360655737704921</v>
      </c>
      <c r="H2219" s="13">
        <f t="shared" si="673"/>
        <v>30169.515707880058</v>
      </c>
      <c r="I2219" s="13">
        <f t="shared" si="674"/>
        <v>0</v>
      </c>
      <c r="J2219" s="51">
        <f t="shared" si="664"/>
        <v>30169.515707880058</v>
      </c>
    </row>
    <row r="2220" spans="1:10" x14ac:dyDescent="0.25">
      <c r="A2220" s="4" t="s">
        <v>197</v>
      </c>
      <c r="B2220" s="5" t="s">
        <v>217</v>
      </c>
      <c r="C2220" s="5" t="s">
        <v>218</v>
      </c>
      <c r="D2220" s="5">
        <v>52</v>
      </c>
      <c r="E2220" s="6">
        <v>344552</v>
      </c>
      <c r="F2220" s="6">
        <v>68900</v>
      </c>
      <c r="G2220" s="27">
        <f t="shared" si="672"/>
        <v>248.91803278688531</v>
      </c>
      <c r="H2220" s="13">
        <f t="shared" si="673"/>
        <v>1785156.6162083959</v>
      </c>
      <c r="I2220" s="13">
        <f t="shared" si="674"/>
        <v>356977.372175981</v>
      </c>
      <c r="J2220" s="51">
        <f t="shared" si="664"/>
        <v>2142133.9883843767</v>
      </c>
    </row>
    <row r="2221" spans="1:10" x14ac:dyDescent="0.25">
      <c r="A2221" s="4" t="s">
        <v>197</v>
      </c>
      <c r="B2221" s="5" t="s">
        <v>219</v>
      </c>
      <c r="C2221" s="5" t="s">
        <v>220</v>
      </c>
      <c r="D2221" s="5">
        <v>4</v>
      </c>
      <c r="E2221" s="6">
        <v>27176</v>
      </c>
      <c r="F2221" s="6">
        <v>5432</v>
      </c>
      <c r="G2221" s="27">
        <f t="shared" si="672"/>
        <v>19.147540983606561</v>
      </c>
      <c r="H2221" s="13">
        <f t="shared" si="673"/>
        <v>140801.4354932764</v>
      </c>
      <c r="I2221" s="13">
        <f t="shared" si="674"/>
        <v>28143.702259215221</v>
      </c>
      <c r="J2221" s="51">
        <f t="shared" si="664"/>
        <v>168945.13775249163</v>
      </c>
    </row>
    <row r="2222" spans="1:10" x14ac:dyDescent="0.25">
      <c r="A2222" s="4" t="s">
        <v>197</v>
      </c>
      <c r="B2222" s="5" t="s">
        <v>221</v>
      </c>
      <c r="C2222" s="5" t="s">
        <v>222</v>
      </c>
      <c r="D2222" s="5">
        <v>2</v>
      </c>
      <c r="E2222" s="6">
        <v>291200</v>
      </c>
      <c r="F2222" s="6">
        <v>58240</v>
      </c>
      <c r="G2222" s="27">
        <f t="shared" si="672"/>
        <v>9.5737704918032804</v>
      </c>
      <c r="H2222" s="13">
        <f t="shared" si="673"/>
        <v>1508734.8401399062</v>
      </c>
      <c r="I2222" s="13">
        <f t="shared" si="674"/>
        <v>301746.91082045186</v>
      </c>
      <c r="J2222" s="51">
        <f t="shared" si="664"/>
        <v>1810481.750960358</v>
      </c>
    </row>
    <row r="2223" spans="1:10" x14ac:dyDescent="0.25">
      <c r="A2223" s="4" t="s">
        <v>197</v>
      </c>
      <c r="B2223" s="5" t="s">
        <v>260</v>
      </c>
      <c r="C2223" s="5" t="s">
        <v>208</v>
      </c>
      <c r="D2223" s="5">
        <v>2</v>
      </c>
      <c r="E2223" s="6">
        <v>139776</v>
      </c>
      <c r="F2223" s="11">
        <v>0</v>
      </c>
      <c r="G2223" s="27">
        <f t="shared" si="672"/>
        <v>9.5737704918032804</v>
      </c>
      <c r="H2223" s="13">
        <f t="shared" si="673"/>
        <v>724192.72326715488</v>
      </c>
      <c r="I2223" s="13">
        <f t="shared" si="674"/>
        <v>0</v>
      </c>
      <c r="J2223" s="51">
        <f t="shared" si="664"/>
        <v>724192.72326715488</v>
      </c>
    </row>
    <row r="2224" spans="1:10" x14ac:dyDescent="0.25">
      <c r="A2224" s="4" t="s">
        <v>197</v>
      </c>
      <c r="B2224" s="5" t="s">
        <v>223</v>
      </c>
      <c r="C2224" s="5" t="s">
        <v>224</v>
      </c>
      <c r="D2224" s="5">
        <v>5</v>
      </c>
      <c r="E2224" s="11">
        <v>0</v>
      </c>
      <c r="F2224" s="11">
        <v>0</v>
      </c>
      <c r="G2224" s="27">
        <f t="shared" si="672"/>
        <v>23.934426229508201</v>
      </c>
      <c r="H2224" s="13">
        <f t="shared" si="673"/>
        <v>0</v>
      </c>
      <c r="I2224" s="13">
        <f t="shared" si="674"/>
        <v>0</v>
      </c>
      <c r="J2224" s="51">
        <f t="shared" si="664"/>
        <v>0</v>
      </c>
    </row>
    <row r="2225" spans="1:10" x14ac:dyDescent="0.25">
      <c r="A2225" s="4" t="s">
        <v>197</v>
      </c>
      <c r="B2225" s="5" t="s">
        <v>261</v>
      </c>
      <c r="C2225" s="5" t="s">
        <v>210</v>
      </c>
      <c r="D2225" s="5">
        <v>1</v>
      </c>
      <c r="E2225" s="6">
        <v>9706</v>
      </c>
      <c r="F2225" s="11">
        <v>0</v>
      </c>
      <c r="G2225" s="27">
        <f t="shared" si="672"/>
        <v>4.7868852459016402</v>
      </c>
      <c r="H2225" s="13">
        <f t="shared" si="673"/>
        <v>50287.707274718159</v>
      </c>
      <c r="I2225" s="13">
        <f t="shared" si="674"/>
        <v>0</v>
      </c>
      <c r="J2225" s="51">
        <f t="shared" si="664"/>
        <v>50287.707274718159</v>
      </c>
    </row>
    <row r="2226" spans="1:10" x14ac:dyDescent="0.25">
      <c r="A2226" s="4" t="s">
        <v>197</v>
      </c>
      <c r="B2226" s="5" t="s">
        <v>226</v>
      </c>
      <c r="C2226" s="5" t="s">
        <v>210</v>
      </c>
      <c r="D2226" s="5">
        <v>5</v>
      </c>
      <c r="E2226" s="6">
        <v>9705</v>
      </c>
      <c r="F2226" s="11">
        <v>0</v>
      </c>
      <c r="G2226" s="27">
        <f t="shared" si="672"/>
        <v>23.934426229508201</v>
      </c>
      <c r="H2226" s="13">
        <f t="shared" si="673"/>
        <v>50282.526179800101</v>
      </c>
      <c r="I2226" s="13">
        <f t="shared" si="674"/>
        <v>0</v>
      </c>
      <c r="J2226" s="51">
        <f t="shared" si="664"/>
        <v>50282.526179800101</v>
      </c>
    </row>
    <row r="2227" spans="1:10" x14ac:dyDescent="0.25">
      <c r="A2227" s="4" t="s">
        <v>197</v>
      </c>
      <c r="B2227" s="5" t="s">
        <v>227</v>
      </c>
      <c r="C2227" s="5" t="s">
        <v>210</v>
      </c>
      <c r="D2227" s="5">
        <v>1</v>
      </c>
      <c r="E2227" s="6">
        <v>1941</v>
      </c>
      <c r="F2227" s="11">
        <v>0</v>
      </c>
      <c r="G2227" s="27">
        <f t="shared" si="672"/>
        <v>4.7868852459016402</v>
      </c>
      <c r="H2227" s="13">
        <f t="shared" si="673"/>
        <v>10056.505235960019</v>
      </c>
      <c r="I2227" s="13">
        <f t="shared" si="674"/>
        <v>0</v>
      </c>
      <c r="J2227" s="51">
        <f t="shared" si="664"/>
        <v>10056.505235960019</v>
      </c>
    </row>
    <row r="2228" spans="1:10" x14ac:dyDescent="0.25">
      <c r="A2228" s="4" t="s">
        <v>197</v>
      </c>
      <c r="B2228" s="5" t="s">
        <v>228</v>
      </c>
      <c r="C2228" s="5" t="s">
        <v>229</v>
      </c>
      <c r="D2228" s="5">
        <v>20</v>
      </c>
      <c r="E2228" s="6">
        <v>77640</v>
      </c>
      <c r="F2228" s="11">
        <v>0</v>
      </c>
      <c r="G2228" s="27">
        <f t="shared" si="672"/>
        <v>95.737704918032804</v>
      </c>
      <c r="H2228" s="13">
        <f t="shared" si="673"/>
        <v>402260.20943840081</v>
      </c>
      <c r="I2228" s="13">
        <f t="shared" si="674"/>
        <v>0</v>
      </c>
      <c r="J2228" s="51">
        <f t="shared" si="664"/>
        <v>402260.20943840081</v>
      </c>
    </row>
    <row r="2229" spans="1:10" x14ac:dyDescent="0.25">
      <c r="A2229" s="4" t="s">
        <v>197</v>
      </c>
      <c r="B2229" s="5" t="s">
        <v>262</v>
      </c>
      <c r="C2229" s="5" t="s">
        <v>263</v>
      </c>
      <c r="D2229" s="5">
        <v>1</v>
      </c>
      <c r="E2229" s="6">
        <v>303333</v>
      </c>
      <c r="F2229" s="11">
        <v>0</v>
      </c>
      <c r="G2229" s="27">
        <f t="shared" si="672"/>
        <v>4.7868852459016402</v>
      </c>
      <c r="H2229" s="13">
        <f t="shared" si="673"/>
        <v>1571597.0647807629</v>
      </c>
      <c r="I2229" s="13">
        <f t="shared" si="674"/>
        <v>0</v>
      </c>
      <c r="J2229" s="51">
        <f t="shared" si="664"/>
        <v>1571597.0647807629</v>
      </c>
    </row>
    <row r="2230" spans="1:10" x14ac:dyDescent="0.25">
      <c r="A2230" s="4" t="s">
        <v>197</v>
      </c>
      <c r="B2230" s="5" t="s">
        <v>233</v>
      </c>
      <c r="C2230" s="5" t="s">
        <v>234</v>
      </c>
      <c r="D2230" s="5">
        <v>2</v>
      </c>
      <c r="E2230" s="6">
        <v>388266</v>
      </c>
      <c r="F2230" s="11">
        <v>0</v>
      </c>
      <c r="G2230" s="27">
        <f t="shared" si="672"/>
        <v>9.5737704918032804</v>
      </c>
      <c r="H2230" s="13">
        <f t="shared" si="673"/>
        <v>2011642.9994565961</v>
      </c>
      <c r="I2230" s="13">
        <f t="shared" si="674"/>
        <v>0</v>
      </c>
      <c r="J2230" s="51">
        <f t="shared" si="664"/>
        <v>2011642.9994565961</v>
      </c>
    </row>
    <row r="2231" spans="1:10" x14ac:dyDescent="0.25">
      <c r="A2231" s="4" t="s">
        <v>197</v>
      </c>
      <c r="B2231" s="5" t="s">
        <v>239</v>
      </c>
      <c r="C2231" s="5" t="s">
        <v>236</v>
      </c>
      <c r="D2231" s="5">
        <v>5</v>
      </c>
      <c r="E2231" s="6">
        <v>68250</v>
      </c>
      <c r="F2231" s="6">
        <v>13650</v>
      </c>
      <c r="G2231" s="27">
        <f t="shared" si="672"/>
        <v>23.934426229508201</v>
      </c>
      <c r="H2231" s="13">
        <f t="shared" si="673"/>
        <v>353609.72815779049</v>
      </c>
      <c r="I2231" s="13">
        <f t="shared" si="674"/>
        <v>70721.932223543394</v>
      </c>
      <c r="J2231" s="51">
        <f t="shared" si="664"/>
        <v>424331.6603813339</v>
      </c>
    </row>
    <row r="2232" spans="1:10" x14ac:dyDescent="0.25">
      <c r="A2232" s="4" t="s">
        <v>197</v>
      </c>
      <c r="B2232" s="5" t="s">
        <v>240</v>
      </c>
      <c r="C2232" s="5" t="s">
        <v>238</v>
      </c>
      <c r="D2232" s="5">
        <v>3</v>
      </c>
      <c r="E2232" s="6">
        <v>30756</v>
      </c>
      <c r="F2232" s="6">
        <v>6150</v>
      </c>
      <c r="G2232" s="27">
        <f t="shared" si="672"/>
        <v>14.360655737704921</v>
      </c>
      <c r="H2232" s="13">
        <f t="shared" si="673"/>
        <v>159349.75529994146</v>
      </c>
      <c r="I2232" s="13">
        <f t="shared" si="674"/>
        <v>31863.72770511296</v>
      </c>
      <c r="J2232" s="51">
        <f t="shared" si="664"/>
        <v>191213.48300505441</v>
      </c>
    </row>
    <row r="2233" spans="1:10" x14ac:dyDescent="0.25">
      <c r="A2233" s="4" t="s">
        <v>197</v>
      </c>
      <c r="B2233" s="5" t="s">
        <v>241</v>
      </c>
      <c r="C2233" s="5" t="s">
        <v>236</v>
      </c>
      <c r="D2233" s="5">
        <v>28</v>
      </c>
      <c r="E2233" s="6">
        <v>382200</v>
      </c>
      <c r="F2233" s="6">
        <v>76440</v>
      </c>
      <c r="G2233" s="27">
        <f t="shared" si="672"/>
        <v>134.03278688524591</v>
      </c>
      <c r="H2233" s="13">
        <f t="shared" si="673"/>
        <v>1980214.4776836268</v>
      </c>
      <c r="I2233" s="13">
        <f t="shared" si="674"/>
        <v>396042.82045184303</v>
      </c>
      <c r="J2233" s="51">
        <f t="shared" si="664"/>
        <v>2376257.2981354697</v>
      </c>
    </row>
    <row r="2234" spans="1:10" x14ac:dyDescent="0.25">
      <c r="A2234" s="4" t="s">
        <v>197</v>
      </c>
      <c r="B2234" s="5" t="s">
        <v>243</v>
      </c>
      <c r="C2234" s="5" t="s">
        <v>244</v>
      </c>
      <c r="D2234" s="5">
        <v>4</v>
      </c>
      <c r="E2234" s="6">
        <v>27300</v>
      </c>
      <c r="F2234" s="6">
        <v>5460</v>
      </c>
      <c r="G2234" s="27">
        <f t="shared" si="672"/>
        <v>19.147540983606561</v>
      </c>
      <c r="H2234" s="13">
        <f t="shared" si="673"/>
        <v>141443.89126311618</v>
      </c>
      <c r="I2234" s="13">
        <f t="shared" si="674"/>
        <v>28288.77288941736</v>
      </c>
      <c r="J2234" s="51">
        <f t="shared" si="664"/>
        <v>169732.66415253354</v>
      </c>
    </row>
    <row r="2235" spans="1:10" x14ac:dyDescent="0.25">
      <c r="A2235" s="4" t="s">
        <v>197</v>
      </c>
      <c r="B2235" s="5" t="s">
        <v>245</v>
      </c>
      <c r="C2235" s="5" t="s">
        <v>246</v>
      </c>
      <c r="D2235" s="5">
        <v>1</v>
      </c>
      <c r="E2235" s="6">
        <v>5126</v>
      </c>
      <c r="F2235" s="6">
        <v>1025</v>
      </c>
      <c r="G2235" s="27">
        <f t="shared" si="672"/>
        <v>4.7868852459016402</v>
      </c>
      <c r="H2235" s="13">
        <f t="shared" si="673"/>
        <v>26558.292549990241</v>
      </c>
      <c r="I2235" s="13">
        <f t="shared" si="674"/>
        <v>5310.6212841854931</v>
      </c>
      <c r="J2235" s="51">
        <f t="shared" si="664"/>
        <v>31868.913834175735</v>
      </c>
    </row>
    <row r="2236" spans="1:10" x14ac:dyDescent="0.25">
      <c r="A2236" s="4" t="s">
        <v>197</v>
      </c>
      <c r="B2236" s="5" t="s">
        <v>249</v>
      </c>
      <c r="C2236" s="5" t="s">
        <v>250</v>
      </c>
      <c r="D2236" s="5">
        <v>31</v>
      </c>
      <c r="E2236" s="6">
        <v>940323</v>
      </c>
      <c r="F2236" s="6">
        <v>188046</v>
      </c>
      <c r="G2236" s="27">
        <f t="shared" si="672"/>
        <v>148.39344262295086</v>
      </c>
      <c r="H2236" s="13">
        <f t="shared" si="673"/>
        <v>4871902.7166376263</v>
      </c>
      <c r="I2236" s="13">
        <f t="shared" si="674"/>
        <v>974283.99024970271</v>
      </c>
      <c r="J2236" s="51">
        <f t="shared" si="664"/>
        <v>5846186.706887329</v>
      </c>
    </row>
    <row r="2237" spans="1:10" x14ac:dyDescent="0.25">
      <c r="A2237" s="4" t="s">
        <v>197</v>
      </c>
      <c r="B2237" s="5" t="s">
        <v>252</v>
      </c>
      <c r="C2237" s="5" t="s">
        <v>212</v>
      </c>
      <c r="D2237" s="5">
        <v>13</v>
      </c>
      <c r="E2237" s="6">
        <v>37856</v>
      </c>
      <c r="F2237" s="11">
        <v>0</v>
      </c>
      <c r="G2237" s="27">
        <f t="shared" si="672"/>
        <v>62.229508196721326</v>
      </c>
      <c r="H2237" s="13">
        <f t="shared" si="673"/>
        <v>196135.52921818779</v>
      </c>
      <c r="I2237" s="13">
        <f t="shared" si="674"/>
        <v>0</v>
      </c>
      <c r="J2237" s="51">
        <f t="shared" si="664"/>
        <v>196135.52921818779</v>
      </c>
    </row>
    <row r="2238" spans="1:10" x14ac:dyDescent="0.25">
      <c r="A2238" s="4" t="s">
        <v>197</v>
      </c>
      <c r="B2238" s="5" t="s">
        <v>253</v>
      </c>
      <c r="C2238" s="5" t="s">
        <v>210</v>
      </c>
      <c r="D2238" s="5">
        <v>47</v>
      </c>
      <c r="E2238" s="6">
        <v>91227</v>
      </c>
      <c r="F2238" s="11">
        <v>0</v>
      </c>
      <c r="G2238" s="27">
        <f t="shared" si="672"/>
        <v>224.9836065573771</v>
      </c>
      <c r="H2238" s="13">
        <f t="shared" si="673"/>
        <v>472655.74609012093</v>
      </c>
      <c r="I2238" s="13">
        <f t="shared" si="674"/>
        <v>0</v>
      </c>
      <c r="J2238" s="51">
        <f t="shared" si="664"/>
        <v>472655.74609012093</v>
      </c>
    </row>
    <row r="2239" spans="1:10" x14ac:dyDescent="0.25">
      <c r="A2239" s="4" t="s">
        <v>197</v>
      </c>
      <c r="B2239" s="5" t="s">
        <v>254</v>
      </c>
      <c r="C2239" s="5" t="s">
        <v>212</v>
      </c>
      <c r="D2239" s="5">
        <v>17</v>
      </c>
      <c r="E2239" s="6">
        <v>49504</v>
      </c>
      <c r="F2239" s="11">
        <v>0</v>
      </c>
      <c r="G2239" s="27">
        <f t="shared" si="672"/>
        <v>81.377049180327887</v>
      </c>
      <c r="H2239" s="13">
        <f t="shared" si="673"/>
        <v>256484.92282378403</v>
      </c>
      <c r="I2239" s="13">
        <f t="shared" si="674"/>
        <v>0</v>
      </c>
      <c r="J2239" s="51">
        <f t="shared" ref="J2239:J2302" si="675">SUM(H2239:I2239)</f>
        <v>256484.92282378403</v>
      </c>
    </row>
    <row r="2240" spans="1:10" x14ac:dyDescent="0.25">
      <c r="A2240" s="4" t="s">
        <v>197</v>
      </c>
      <c r="B2240" s="5" t="s">
        <v>255</v>
      </c>
      <c r="C2240" s="5" t="s">
        <v>210</v>
      </c>
      <c r="D2240" s="5">
        <v>1</v>
      </c>
      <c r="E2240" s="6">
        <v>1941</v>
      </c>
      <c r="F2240" s="11">
        <v>0</v>
      </c>
      <c r="G2240" s="27">
        <f t="shared" si="672"/>
        <v>4.7868852459016402</v>
      </c>
      <c r="H2240" s="13">
        <f t="shared" si="673"/>
        <v>10056.505235960019</v>
      </c>
      <c r="I2240" s="13">
        <f t="shared" si="674"/>
        <v>0</v>
      </c>
      <c r="J2240" s="51">
        <f t="shared" si="675"/>
        <v>10056.505235960019</v>
      </c>
    </row>
    <row r="2241" spans="1:10" x14ac:dyDescent="0.25">
      <c r="A2241" s="4" t="s">
        <v>197</v>
      </c>
      <c r="B2241" s="5" t="s">
        <v>256</v>
      </c>
      <c r="C2241" s="5" t="s">
        <v>212</v>
      </c>
      <c r="D2241" s="5">
        <v>7</v>
      </c>
      <c r="E2241" s="6">
        <v>20384</v>
      </c>
      <c r="F2241" s="11">
        <v>0</v>
      </c>
      <c r="G2241" s="27">
        <f t="shared" si="672"/>
        <v>33.508196721311478</v>
      </c>
      <c r="H2241" s="13">
        <f t="shared" si="673"/>
        <v>105611.43880979343</v>
      </c>
      <c r="I2241" s="13">
        <f t="shared" si="674"/>
        <v>0</v>
      </c>
      <c r="J2241" s="51">
        <f t="shared" si="675"/>
        <v>105611.43880979343</v>
      </c>
    </row>
    <row r="2242" spans="1:10" x14ac:dyDescent="0.25">
      <c r="A2242" s="15" t="s">
        <v>197</v>
      </c>
      <c r="B2242" s="16" t="s">
        <v>257</v>
      </c>
      <c r="C2242" s="16" t="s">
        <v>210</v>
      </c>
      <c r="D2242" s="16">
        <v>9</v>
      </c>
      <c r="E2242" s="17">
        <v>17469</v>
      </c>
      <c r="F2242" s="18">
        <v>0</v>
      </c>
      <c r="G2242" s="27">
        <f t="shared" si="672"/>
        <v>43.081967213114766</v>
      </c>
      <c r="H2242" s="13">
        <f t="shared" si="673"/>
        <v>90508.547123640179</v>
      </c>
      <c r="I2242" s="13">
        <f t="shared" si="674"/>
        <v>0</v>
      </c>
      <c r="J2242" s="51">
        <f t="shared" si="675"/>
        <v>90508.547123640179</v>
      </c>
    </row>
    <row r="2243" spans="1:10" s="3" customFormat="1" x14ac:dyDescent="0.25">
      <c r="A2243" s="4"/>
      <c r="B2243" s="20" t="s">
        <v>421</v>
      </c>
      <c r="C2243" s="21"/>
      <c r="D2243" s="21"/>
      <c r="E2243" s="22"/>
      <c r="F2243" s="29"/>
      <c r="G2243" s="47">
        <f>SUM(G2213:G2242)</f>
        <v>1460.0000000000002</v>
      </c>
      <c r="H2243" s="47">
        <f t="shared" ref="H2243:J2243" si="676">SUM(H2213:H2242)</f>
        <v>17734203.999999996</v>
      </c>
      <c r="I2243" s="47">
        <f t="shared" si="676"/>
        <v>2265796</v>
      </c>
      <c r="J2243" s="47">
        <f t="shared" si="676"/>
        <v>19999999.999999996</v>
      </c>
    </row>
    <row r="2244" spans="1:10" x14ac:dyDescent="0.25">
      <c r="A2244" s="23" t="s">
        <v>198</v>
      </c>
      <c r="B2244" s="24" t="s">
        <v>207</v>
      </c>
      <c r="C2244" s="24" t="s">
        <v>208</v>
      </c>
      <c r="D2244" s="24">
        <v>7</v>
      </c>
      <c r="E2244" s="25">
        <v>163072</v>
      </c>
      <c r="F2244" s="25">
        <v>489216</v>
      </c>
      <c r="G2244" s="27">
        <f>+D2244*4.78826895565093</f>
        <v>33.517882689556515</v>
      </c>
      <c r="H2244" s="13">
        <f>+E2244*46625031/39255980</f>
        <v>193683.53701097259</v>
      </c>
      <c r="I2244" s="13">
        <f>+F2244*53374969/44939095</f>
        <v>581050.61604609527</v>
      </c>
      <c r="J2244" s="51">
        <f t="shared" si="675"/>
        <v>774734.15305706789</v>
      </c>
    </row>
    <row r="2245" spans="1:10" x14ac:dyDescent="0.25">
      <c r="A2245" s="4" t="s">
        <v>198</v>
      </c>
      <c r="B2245" s="5" t="s">
        <v>209</v>
      </c>
      <c r="C2245" s="5" t="s">
        <v>210</v>
      </c>
      <c r="D2245" s="5">
        <v>37</v>
      </c>
      <c r="E2245" s="6">
        <v>71817</v>
      </c>
      <c r="F2245" s="11">
        <v>0</v>
      </c>
      <c r="G2245" s="27">
        <f t="shared" ref="G2245:G2283" si="677">+D2245*4.78826895565093</f>
        <v>177.16595135908443</v>
      </c>
      <c r="H2245" s="13">
        <f t="shared" ref="H2245:H2283" si="678">+E2245*46625031/39255980</f>
        <v>85298.338019506831</v>
      </c>
      <c r="I2245" s="13">
        <f t="shared" ref="I2245:I2283" si="679">+F2245*53374969/44939095</f>
        <v>0</v>
      </c>
      <c r="J2245" s="51">
        <f t="shared" si="675"/>
        <v>85298.338019506831</v>
      </c>
    </row>
    <row r="2246" spans="1:10" x14ac:dyDescent="0.25">
      <c r="A2246" s="4" t="s">
        <v>198</v>
      </c>
      <c r="B2246" s="5" t="s">
        <v>211</v>
      </c>
      <c r="C2246" s="5" t="s">
        <v>212</v>
      </c>
      <c r="D2246" s="5">
        <v>4</v>
      </c>
      <c r="E2246" s="6">
        <v>11648</v>
      </c>
      <c r="F2246" s="11">
        <v>0</v>
      </c>
      <c r="G2246" s="27">
        <f t="shared" si="677"/>
        <v>19.153075822603721</v>
      </c>
      <c r="H2246" s="13">
        <f t="shared" si="678"/>
        <v>13834.538357926614</v>
      </c>
      <c r="I2246" s="13">
        <f t="shared" si="679"/>
        <v>0</v>
      </c>
      <c r="J2246" s="51">
        <f t="shared" si="675"/>
        <v>13834.538357926614</v>
      </c>
    </row>
    <row r="2247" spans="1:10" x14ac:dyDescent="0.25">
      <c r="A2247" s="4" t="s">
        <v>198</v>
      </c>
      <c r="B2247" s="5" t="s">
        <v>213</v>
      </c>
      <c r="C2247" s="5" t="s">
        <v>212</v>
      </c>
      <c r="D2247" s="5">
        <v>28</v>
      </c>
      <c r="E2247" s="6">
        <v>81536</v>
      </c>
      <c r="F2247" s="11">
        <v>0</v>
      </c>
      <c r="G2247" s="27">
        <f t="shared" si="677"/>
        <v>134.07153075822606</v>
      </c>
      <c r="H2247" s="13">
        <f t="shared" si="678"/>
        <v>96841.768505486296</v>
      </c>
      <c r="I2247" s="13">
        <f t="shared" si="679"/>
        <v>0</v>
      </c>
      <c r="J2247" s="51">
        <f t="shared" si="675"/>
        <v>96841.768505486296</v>
      </c>
    </row>
    <row r="2248" spans="1:10" x14ac:dyDescent="0.25">
      <c r="A2248" s="4" t="s">
        <v>198</v>
      </c>
      <c r="B2248" s="5" t="s">
        <v>214</v>
      </c>
      <c r="C2248" s="5" t="s">
        <v>210</v>
      </c>
      <c r="D2248" s="5">
        <v>348</v>
      </c>
      <c r="E2248" s="6">
        <v>675468</v>
      </c>
      <c r="F2248" s="11">
        <v>0</v>
      </c>
      <c r="G2248" s="27">
        <f t="shared" si="677"/>
        <v>1666.3175965665237</v>
      </c>
      <c r="H2248" s="13">
        <f t="shared" si="678"/>
        <v>802265.44948076701</v>
      </c>
      <c r="I2248" s="13">
        <f t="shared" si="679"/>
        <v>0</v>
      </c>
      <c r="J2248" s="51">
        <f t="shared" si="675"/>
        <v>802265.44948076701</v>
      </c>
    </row>
    <row r="2249" spans="1:10" x14ac:dyDescent="0.25">
      <c r="A2249" s="4" t="s">
        <v>198</v>
      </c>
      <c r="B2249" s="5" t="s">
        <v>215</v>
      </c>
      <c r="C2249" s="5" t="s">
        <v>212</v>
      </c>
      <c r="D2249" s="5">
        <v>12</v>
      </c>
      <c r="E2249" s="6">
        <v>34944</v>
      </c>
      <c r="F2249" s="11">
        <v>0</v>
      </c>
      <c r="G2249" s="27">
        <f t="shared" si="677"/>
        <v>57.459227467811161</v>
      </c>
      <c r="H2249" s="13">
        <f t="shared" si="678"/>
        <v>41503.615073779845</v>
      </c>
      <c r="I2249" s="13">
        <f t="shared" si="679"/>
        <v>0</v>
      </c>
      <c r="J2249" s="51">
        <f t="shared" si="675"/>
        <v>41503.615073779845</v>
      </c>
    </row>
    <row r="2250" spans="1:10" x14ac:dyDescent="0.25">
      <c r="A2250" s="4" t="s">
        <v>198</v>
      </c>
      <c r="B2250" s="5" t="s">
        <v>216</v>
      </c>
      <c r="C2250" s="5" t="s">
        <v>210</v>
      </c>
      <c r="D2250" s="5">
        <v>110</v>
      </c>
      <c r="E2250" s="6">
        <v>213510</v>
      </c>
      <c r="F2250" s="11">
        <v>0</v>
      </c>
      <c r="G2250" s="27">
        <f t="shared" si="677"/>
        <v>526.70958512160234</v>
      </c>
      <c r="H2250" s="13">
        <f t="shared" si="678"/>
        <v>253589.65357150682</v>
      </c>
      <c r="I2250" s="13">
        <f t="shared" si="679"/>
        <v>0</v>
      </c>
      <c r="J2250" s="51">
        <f t="shared" si="675"/>
        <v>253589.65357150682</v>
      </c>
    </row>
    <row r="2251" spans="1:10" x14ac:dyDescent="0.25">
      <c r="A2251" s="4" t="s">
        <v>198</v>
      </c>
      <c r="B2251" s="5" t="s">
        <v>217</v>
      </c>
      <c r="C2251" s="5" t="s">
        <v>218</v>
      </c>
      <c r="D2251" s="5">
        <v>253</v>
      </c>
      <c r="E2251" s="6">
        <v>1676378</v>
      </c>
      <c r="F2251" s="6">
        <v>5029134</v>
      </c>
      <c r="G2251" s="27">
        <f t="shared" si="677"/>
        <v>1211.4320457796853</v>
      </c>
      <c r="H2251" s="13">
        <f t="shared" si="678"/>
        <v>1991064.1950020862</v>
      </c>
      <c r="I2251" s="13">
        <f t="shared" si="679"/>
        <v>5973192.6365416571</v>
      </c>
      <c r="J2251" s="51">
        <f t="shared" si="675"/>
        <v>7964256.8315437436</v>
      </c>
    </row>
    <row r="2252" spans="1:10" x14ac:dyDescent="0.25">
      <c r="A2252" s="4" t="s">
        <v>198</v>
      </c>
      <c r="B2252" s="5" t="s">
        <v>219</v>
      </c>
      <c r="C2252" s="5" t="s">
        <v>220</v>
      </c>
      <c r="D2252" s="5">
        <v>44</v>
      </c>
      <c r="E2252" s="6">
        <v>298936</v>
      </c>
      <c r="F2252" s="6">
        <v>896896</v>
      </c>
      <c r="G2252" s="27">
        <f t="shared" si="677"/>
        <v>210.68383404864093</v>
      </c>
      <c r="H2252" s="13">
        <f t="shared" si="678"/>
        <v>355051.64479439822</v>
      </c>
      <c r="I2252" s="13">
        <f t="shared" si="679"/>
        <v>1065259.4627511746</v>
      </c>
      <c r="J2252" s="51">
        <f t="shared" si="675"/>
        <v>1420311.1075455728</v>
      </c>
    </row>
    <row r="2253" spans="1:10" x14ac:dyDescent="0.25">
      <c r="A2253" s="4" t="s">
        <v>198</v>
      </c>
      <c r="B2253" s="5" t="s">
        <v>221</v>
      </c>
      <c r="C2253" s="5" t="s">
        <v>222</v>
      </c>
      <c r="D2253" s="5">
        <v>2</v>
      </c>
      <c r="E2253" s="6">
        <v>291200</v>
      </c>
      <c r="F2253" s="6">
        <v>873600</v>
      </c>
      <c r="G2253" s="27">
        <f t="shared" si="677"/>
        <v>9.5765379113018607</v>
      </c>
      <c r="H2253" s="13">
        <f t="shared" si="678"/>
        <v>345863.45894816535</v>
      </c>
      <c r="I2253" s="13">
        <f t="shared" si="679"/>
        <v>1037590.3857965987</v>
      </c>
      <c r="J2253" s="51">
        <f t="shared" si="675"/>
        <v>1383453.844744764</v>
      </c>
    </row>
    <row r="2254" spans="1:10" x14ac:dyDescent="0.25">
      <c r="A2254" s="4" t="s">
        <v>198</v>
      </c>
      <c r="B2254" s="5" t="s">
        <v>260</v>
      </c>
      <c r="C2254" s="5" t="s">
        <v>208</v>
      </c>
      <c r="D2254" s="5">
        <v>3</v>
      </c>
      <c r="E2254" s="6">
        <v>209664</v>
      </c>
      <c r="F2254" s="11">
        <v>0</v>
      </c>
      <c r="G2254" s="27">
        <f t="shared" si="677"/>
        <v>14.36480686695279</v>
      </c>
      <c r="H2254" s="13">
        <f t="shared" si="678"/>
        <v>249021.69044267904</v>
      </c>
      <c r="I2254" s="13">
        <f t="shared" si="679"/>
        <v>0</v>
      </c>
      <c r="J2254" s="51">
        <f t="shared" si="675"/>
        <v>249021.69044267904</v>
      </c>
    </row>
    <row r="2255" spans="1:10" x14ac:dyDescent="0.25">
      <c r="A2255" s="4" t="s">
        <v>198</v>
      </c>
      <c r="B2255" s="5" t="s">
        <v>223</v>
      </c>
      <c r="C2255" s="5" t="s">
        <v>224</v>
      </c>
      <c r="D2255" s="5">
        <v>303</v>
      </c>
      <c r="E2255" s="6">
        <v>343557</v>
      </c>
      <c r="F2255" s="11">
        <v>0</v>
      </c>
      <c r="G2255" s="27">
        <f t="shared" si="677"/>
        <v>1450.8454935622319</v>
      </c>
      <c r="H2255" s="13">
        <f t="shared" si="678"/>
        <v>408048.80620142462</v>
      </c>
      <c r="I2255" s="13">
        <f t="shared" si="679"/>
        <v>0</v>
      </c>
      <c r="J2255" s="51">
        <f t="shared" si="675"/>
        <v>408048.80620142462</v>
      </c>
    </row>
    <row r="2256" spans="1:10" x14ac:dyDescent="0.25">
      <c r="A2256" s="4" t="s">
        <v>198</v>
      </c>
      <c r="B2256" s="5" t="s">
        <v>261</v>
      </c>
      <c r="C2256" s="5" t="s">
        <v>210</v>
      </c>
      <c r="D2256" s="5">
        <v>15</v>
      </c>
      <c r="E2256" s="6">
        <v>145590</v>
      </c>
      <c r="F2256" s="11">
        <v>0</v>
      </c>
      <c r="G2256" s="27">
        <f t="shared" si="677"/>
        <v>71.824034334763951</v>
      </c>
      <c r="H2256" s="13">
        <f t="shared" si="678"/>
        <v>172919.85229486055</v>
      </c>
      <c r="I2256" s="13">
        <f t="shared" si="679"/>
        <v>0</v>
      </c>
      <c r="J2256" s="51">
        <f t="shared" si="675"/>
        <v>172919.85229486055</v>
      </c>
    </row>
    <row r="2257" spans="1:10" x14ac:dyDescent="0.25">
      <c r="A2257" s="4" t="s">
        <v>198</v>
      </c>
      <c r="B2257" s="5" t="s">
        <v>266</v>
      </c>
      <c r="C2257" s="5" t="s">
        <v>210</v>
      </c>
      <c r="D2257" s="5">
        <v>43</v>
      </c>
      <c r="E2257" s="6">
        <v>83463</v>
      </c>
      <c r="F2257" s="11">
        <v>0</v>
      </c>
      <c r="G2257" s="27">
        <f t="shared" si="677"/>
        <v>205.89556509299001</v>
      </c>
      <c r="H2257" s="13">
        <f t="shared" si="678"/>
        <v>99130.500941589024</v>
      </c>
      <c r="I2257" s="13">
        <f t="shared" si="679"/>
        <v>0</v>
      </c>
      <c r="J2257" s="51">
        <f t="shared" si="675"/>
        <v>99130.500941589024</v>
      </c>
    </row>
    <row r="2258" spans="1:10" x14ac:dyDescent="0.25">
      <c r="A2258" s="4" t="s">
        <v>198</v>
      </c>
      <c r="B2258" s="5" t="s">
        <v>225</v>
      </c>
      <c r="C2258" s="5" t="s">
        <v>210</v>
      </c>
      <c r="D2258" s="5">
        <v>8</v>
      </c>
      <c r="E2258" s="6">
        <v>15528</v>
      </c>
      <c r="F2258" s="11">
        <v>0</v>
      </c>
      <c r="G2258" s="27">
        <f t="shared" si="677"/>
        <v>38.306151645207443</v>
      </c>
      <c r="H2258" s="13">
        <f t="shared" si="678"/>
        <v>18442.883896109586</v>
      </c>
      <c r="I2258" s="13">
        <f t="shared" si="679"/>
        <v>0</v>
      </c>
      <c r="J2258" s="51">
        <f t="shared" si="675"/>
        <v>18442.883896109586</v>
      </c>
    </row>
    <row r="2259" spans="1:10" x14ac:dyDescent="0.25">
      <c r="A2259" s="4" t="s">
        <v>198</v>
      </c>
      <c r="B2259" s="5" t="s">
        <v>226</v>
      </c>
      <c r="C2259" s="5" t="s">
        <v>210</v>
      </c>
      <c r="D2259" s="5">
        <v>299</v>
      </c>
      <c r="E2259" s="6">
        <v>580359</v>
      </c>
      <c r="F2259" s="11">
        <v>0</v>
      </c>
      <c r="G2259" s="27">
        <f t="shared" si="677"/>
        <v>1431.6924177396281</v>
      </c>
      <c r="H2259" s="13">
        <f t="shared" si="678"/>
        <v>689302.78561709577</v>
      </c>
      <c r="I2259" s="13">
        <f t="shared" si="679"/>
        <v>0</v>
      </c>
      <c r="J2259" s="51">
        <f t="shared" si="675"/>
        <v>689302.78561709577</v>
      </c>
    </row>
    <row r="2260" spans="1:10" x14ac:dyDescent="0.25">
      <c r="A2260" s="4" t="s">
        <v>198</v>
      </c>
      <c r="B2260" s="5" t="s">
        <v>227</v>
      </c>
      <c r="C2260" s="5" t="s">
        <v>210</v>
      </c>
      <c r="D2260" s="5">
        <v>10</v>
      </c>
      <c r="E2260" s="6">
        <v>19410</v>
      </c>
      <c r="F2260" s="11">
        <v>0</v>
      </c>
      <c r="G2260" s="27">
        <f t="shared" si="677"/>
        <v>47.882689556509305</v>
      </c>
      <c r="H2260" s="13">
        <f t="shared" si="678"/>
        <v>23053.604870136984</v>
      </c>
      <c r="I2260" s="13">
        <f t="shared" si="679"/>
        <v>0</v>
      </c>
      <c r="J2260" s="51">
        <f t="shared" si="675"/>
        <v>23053.604870136984</v>
      </c>
    </row>
    <row r="2261" spans="1:10" x14ac:dyDescent="0.25">
      <c r="A2261" s="4" t="s">
        <v>198</v>
      </c>
      <c r="B2261" s="5" t="s">
        <v>228</v>
      </c>
      <c r="C2261" s="5" t="s">
        <v>229</v>
      </c>
      <c r="D2261" s="5">
        <v>1577</v>
      </c>
      <c r="E2261" s="6">
        <v>6053979</v>
      </c>
      <c r="F2261" s="11">
        <v>0</v>
      </c>
      <c r="G2261" s="27">
        <f t="shared" si="677"/>
        <v>7551.100143061517</v>
      </c>
      <c r="H2261" s="13">
        <f t="shared" si="678"/>
        <v>7190419.3589957254</v>
      </c>
      <c r="I2261" s="13">
        <f t="shared" si="679"/>
        <v>0</v>
      </c>
      <c r="J2261" s="51">
        <f t="shared" si="675"/>
        <v>7190419.3589957254</v>
      </c>
    </row>
    <row r="2262" spans="1:10" x14ac:dyDescent="0.25">
      <c r="A2262" s="4" t="s">
        <v>198</v>
      </c>
      <c r="B2262" s="5" t="s">
        <v>230</v>
      </c>
      <c r="C2262" s="5" t="s">
        <v>229</v>
      </c>
      <c r="D2262" s="5">
        <v>91</v>
      </c>
      <c r="E2262" s="6">
        <v>353262</v>
      </c>
      <c r="F2262" s="11">
        <v>0</v>
      </c>
      <c r="G2262" s="27">
        <f t="shared" si="677"/>
        <v>435.73247496423465</v>
      </c>
      <c r="H2262" s="13">
        <f t="shared" si="678"/>
        <v>419575.6086364931</v>
      </c>
      <c r="I2262" s="13">
        <f t="shared" si="679"/>
        <v>0</v>
      </c>
      <c r="J2262" s="51">
        <f t="shared" si="675"/>
        <v>419575.6086364931</v>
      </c>
    </row>
    <row r="2263" spans="1:10" x14ac:dyDescent="0.25">
      <c r="A2263" s="4" t="s">
        <v>198</v>
      </c>
      <c r="B2263" s="5" t="s">
        <v>231</v>
      </c>
      <c r="C2263" s="5" t="s">
        <v>232</v>
      </c>
      <c r="D2263" s="5">
        <v>1</v>
      </c>
      <c r="E2263" s="6">
        <v>424666</v>
      </c>
      <c r="F2263" s="11">
        <v>0</v>
      </c>
      <c r="G2263" s="27">
        <f t="shared" si="677"/>
        <v>4.7882689556509304</v>
      </c>
      <c r="H2263" s="13">
        <f t="shared" si="678"/>
        <v>504383.41915412631</v>
      </c>
      <c r="I2263" s="13">
        <f t="shared" si="679"/>
        <v>0</v>
      </c>
      <c r="J2263" s="51">
        <f t="shared" si="675"/>
        <v>504383.41915412631</v>
      </c>
    </row>
    <row r="2264" spans="1:10" x14ac:dyDescent="0.25">
      <c r="A2264" s="4" t="s">
        <v>198</v>
      </c>
      <c r="B2264" s="5" t="s">
        <v>262</v>
      </c>
      <c r="C2264" s="5" t="s">
        <v>263</v>
      </c>
      <c r="D2264" s="5">
        <v>27</v>
      </c>
      <c r="E2264" s="6">
        <v>8189991</v>
      </c>
      <c r="F2264" s="11">
        <v>0</v>
      </c>
      <c r="G2264" s="27">
        <f t="shared" si="677"/>
        <v>129.28326180257511</v>
      </c>
      <c r="H2264" s="13">
        <f t="shared" si="678"/>
        <v>9727399.0934558511</v>
      </c>
      <c r="I2264" s="13">
        <f t="shared" si="679"/>
        <v>0</v>
      </c>
      <c r="J2264" s="51">
        <f t="shared" si="675"/>
        <v>9727399.0934558511</v>
      </c>
    </row>
    <row r="2265" spans="1:10" x14ac:dyDescent="0.25">
      <c r="A2265" s="4" t="s">
        <v>198</v>
      </c>
      <c r="B2265" s="5" t="s">
        <v>233</v>
      </c>
      <c r="C2265" s="5" t="s">
        <v>234</v>
      </c>
      <c r="D2265" s="5">
        <v>16</v>
      </c>
      <c r="E2265" s="6">
        <v>3106128</v>
      </c>
      <c r="F2265" s="11">
        <v>0</v>
      </c>
      <c r="G2265" s="27">
        <f t="shared" si="677"/>
        <v>76.612303290414886</v>
      </c>
      <c r="H2265" s="13">
        <f t="shared" si="678"/>
        <v>3689203.8942848453</v>
      </c>
      <c r="I2265" s="13">
        <f t="shared" si="679"/>
        <v>0</v>
      </c>
      <c r="J2265" s="51">
        <f t="shared" si="675"/>
        <v>3689203.8942848453</v>
      </c>
    </row>
    <row r="2266" spans="1:10" x14ac:dyDescent="0.25">
      <c r="A2266" s="4" t="s">
        <v>198</v>
      </c>
      <c r="B2266" s="5" t="s">
        <v>235</v>
      </c>
      <c r="C2266" s="5" t="s">
        <v>236</v>
      </c>
      <c r="D2266" s="5">
        <v>100</v>
      </c>
      <c r="E2266" s="6">
        <v>1365000</v>
      </c>
      <c r="F2266" s="6">
        <v>4095000</v>
      </c>
      <c r="G2266" s="27">
        <f t="shared" si="677"/>
        <v>478.82689556509303</v>
      </c>
      <c r="H2266" s="13">
        <f t="shared" si="678"/>
        <v>1621234.963819525</v>
      </c>
      <c r="I2266" s="13">
        <f t="shared" si="679"/>
        <v>4863704.9334215568</v>
      </c>
      <c r="J2266" s="51">
        <f t="shared" si="675"/>
        <v>6484939.897241082</v>
      </c>
    </row>
    <row r="2267" spans="1:10" x14ac:dyDescent="0.25">
      <c r="A2267" s="4" t="s">
        <v>198</v>
      </c>
      <c r="B2267" s="5" t="s">
        <v>237</v>
      </c>
      <c r="C2267" s="5" t="s">
        <v>238</v>
      </c>
      <c r="D2267" s="5">
        <v>35</v>
      </c>
      <c r="E2267" s="6">
        <v>358820</v>
      </c>
      <c r="F2267" s="6">
        <v>1076530</v>
      </c>
      <c r="G2267" s="27">
        <f t="shared" si="677"/>
        <v>167.58941344778256</v>
      </c>
      <c r="H2267" s="13">
        <f t="shared" si="678"/>
        <v>426176.94484814798</v>
      </c>
      <c r="I2267" s="13">
        <f t="shared" si="679"/>
        <v>1278613.9858306004</v>
      </c>
      <c r="J2267" s="51">
        <f t="shared" si="675"/>
        <v>1704790.9306787483</v>
      </c>
    </row>
    <row r="2268" spans="1:10" x14ac:dyDescent="0.25">
      <c r="A2268" s="4" t="s">
        <v>198</v>
      </c>
      <c r="B2268" s="5" t="s">
        <v>239</v>
      </c>
      <c r="C2268" s="5" t="s">
        <v>236</v>
      </c>
      <c r="D2268" s="5">
        <v>1</v>
      </c>
      <c r="E2268" s="6">
        <v>13650</v>
      </c>
      <c r="F2268" s="6">
        <v>40950</v>
      </c>
      <c r="G2268" s="27">
        <f t="shared" si="677"/>
        <v>4.7882689556509304</v>
      </c>
      <c r="H2268" s="13">
        <f t="shared" si="678"/>
        <v>16212.34963819525</v>
      </c>
      <c r="I2268" s="13">
        <f t="shared" si="679"/>
        <v>48637.049334215568</v>
      </c>
      <c r="J2268" s="51">
        <f t="shared" si="675"/>
        <v>64849.398972410818</v>
      </c>
    </row>
    <row r="2269" spans="1:10" x14ac:dyDescent="0.25">
      <c r="A2269" s="4" t="s">
        <v>198</v>
      </c>
      <c r="B2269" s="5" t="s">
        <v>240</v>
      </c>
      <c r="C2269" s="5" t="s">
        <v>238</v>
      </c>
      <c r="D2269" s="5">
        <v>1</v>
      </c>
      <c r="E2269" s="6">
        <v>10252</v>
      </c>
      <c r="F2269" s="6">
        <v>30758</v>
      </c>
      <c r="G2269" s="27">
        <f t="shared" si="677"/>
        <v>4.7882689556509304</v>
      </c>
      <c r="H2269" s="13">
        <f t="shared" si="678"/>
        <v>12176.484138518514</v>
      </c>
      <c r="I2269" s="13">
        <f t="shared" si="679"/>
        <v>36531.828166588581</v>
      </c>
      <c r="J2269" s="51">
        <f t="shared" si="675"/>
        <v>48708.312305107094</v>
      </c>
    </row>
    <row r="2270" spans="1:10" x14ac:dyDescent="0.25">
      <c r="A2270" s="4" t="s">
        <v>198</v>
      </c>
      <c r="B2270" s="5" t="s">
        <v>241</v>
      </c>
      <c r="C2270" s="5" t="s">
        <v>236</v>
      </c>
      <c r="D2270" s="5">
        <v>280</v>
      </c>
      <c r="E2270" s="6">
        <v>3762332</v>
      </c>
      <c r="F2270" s="6">
        <v>11287003</v>
      </c>
      <c r="G2270" s="27">
        <f t="shared" si="677"/>
        <v>1340.7153075822605</v>
      </c>
      <c r="H2270" s="13">
        <f t="shared" si="678"/>
        <v>4468589.1457121186</v>
      </c>
      <c r="I2270" s="13">
        <f t="shared" si="679"/>
        <v>13405775.86682391</v>
      </c>
      <c r="J2270" s="51">
        <f t="shared" si="675"/>
        <v>17874365.012536027</v>
      </c>
    </row>
    <row r="2271" spans="1:10" x14ac:dyDescent="0.25">
      <c r="A2271" s="4" t="s">
        <v>198</v>
      </c>
      <c r="B2271" s="5" t="s">
        <v>242</v>
      </c>
      <c r="C2271" s="5" t="s">
        <v>238</v>
      </c>
      <c r="D2271" s="5">
        <v>14</v>
      </c>
      <c r="E2271" s="6">
        <v>143528</v>
      </c>
      <c r="F2271" s="6">
        <v>430612</v>
      </c>
      <c r="G2271" s="27">
        <f t="shared" si="677"/>
        <v>67.03576537911303</v>
      </c>
      <c r="H2271" s="13">
        <f t="shared" si="678"/>
        <v>170470.77793925919</v>
      </c>
      <c r="I2271" s="13">
        <f t="shared" si="679"/>
        <v>511445.59433224011</v>
      </c>
      <c r="J2271" s="51">
        <f t="shared" si="675"/>
        <v>681916.37227149936</v>
      </c>
    </row>
    <row r="2272" spans="1:10" x14ac:dyDescent="0.25">
      <c r="A2272" s="4" t="s">
        <v>198</v>
      </c>
      <c r="B2272" s="5" t="s">
        <v>265</v>
      </c>
      <c r="C2272" s="5" t="s">
        <v>208</v>
      </c>
      <c r="D2272" s="5">
        <v>3</v>
      </c>
      <c r="E2272" s="6">
        <v>209664</v>
      </c>
      <c r="F2272" s="6">
        <v>209664</v>
      </c>
      <c r="G2272" s="27">
        <f t="shared" si="677"/>
        <v>14.36480686695279</v>
      </c>
      <c r="H2272" s="13">
        <f t="shared" si="678"/>
        <v>249021.69044267904</v>
      </c>
      <c r="I2272" s="13">
        <f t="shared" si="679"/>
        <v>249021.6925911837</v>
      </c>
      <c r="J2272" s="51">
        <f t="shared" si="675"/>
        <v>498043.38303386274</v>
      </c>
    </row>
    <row r="2273" spans="1:10" x14ac:dyDescent="0.25">
      <c r="A2273" s="4" t="s">
        <v>198</v>
      </c>
      <c r="B2273" s="5" t="s">
        <v>243</v>
      </c>
      <c r="C2273" s="5" t="s">
        <v>244</v>
      </c>
      <c r="D2273" s="5">
        <v>49</v>
      </c>
      <c r="E2273" s="6">
        <v>332726</v>
      </c>
      <c r="F2273" s="6">
        <v>998179</v>
      </c>
      <c r="G2273" s="27">
        <f t="shared" si="677"/>
        <v>234.62517882689559</v>
      </c>
      <c r="H2273" s="13">
        <f t="shared" si="678"/>
        <v>395184.63338594529</v>
      </c>
      <c r="I2273" s="13">
        <f t="shared" si="679"/>
        <v>1185555.0981044678</v>
      </c>
      <c r="J2273" s="51">
        <f t="shared" si="675"/>
        <v>1580739.7314904132</v>
      </c>
    </row>
    <row r="2274" spans="1:10" x14ac:dyDescent="0.25">
      <c r="A2274" s="4" t="s">
        <v>198</v>
      </c>
      <c r="B2274" s="5" t="s">
        <v>245</v>
      </c>
      <c r="C2274" s="5" t="s">
        <v>246</v>
      </c>
      <c r="D2274" s="5">
        <v>29</v>
      </c>
      <c r="E2274" s="6">
        <v>148654</v>
      </c>
      <c r="F2274" s="6">
        <v>445991</v>
      </c>
      <c r="G2274" s="27">
        <f t="shared" si="677"/>
        <v>138.85979971387698</v>
      </c>
      <c r="H2274" s="13">
        <f t="shared" si="678"/>
        <v>176559.02000851845</v>
      </c>
      <c r="I2274" s="13">
        <f t="shared" si="679"/>
        <v>529711.50841553439</v>
      </c>
      <c r="J2274" s="51">
        <f t="shared" si="675"/>
        <v>706270.52842405287</v>
      </c>
    </row>
    <row r="2275" spans="1:10" x14ac:dyDescent="0.25">
      <c r="A2275" s="4" t="s">
        <v>198</v>
      </c>
      <c r="B2275" s="5" t="s">
        <v>247</v>
      </c>
      <c r="C2275" s="5" t="s">
        <v>244</v>
      </c>
      <c r="D2275" s="5">
        <v>3</v>
      </c>
      <c r="E2275" s="6">
        <v>20475</v>
      </c>
      <c r="F2275" s="6">
        <v>61425</v>
      </c>
      <c r="G2275" s="27">
        <f t="shared" si="677"/>
        <v>14.36480686695279</v>
      </c>
      <c r="H2275" s="13">
        <f t="shared" si="678"/>
        <v>24318.524457292875</v>
      </c>
      <c r="I2275" s="13">
        <f t="shared" si="679"/>
        <v>72955.574001323344</v>
      </c>
      <c r="J2275" s="51">
        <f t="shared" si="675"/>
        <v>97274.098458616223</v>
      </c>
    </row>
    <row r="2276" spans="1:10" x14ac:dyDescent="0.25">
      <c r="A2276" s="4" t="s">
        <v>198</v>
      </c>
      <c r="B2276" s="5" t="s">
        <v>248</v>
      </c>
      <c r="C2276" s="5" t="s">
        <v>246</v>
      </c>
      <c r="D2276" s="5">
        <v>3</v>
      </c>
      <c r="E2276" s="6">
        <v>15378</v>
      </c>
      <c r="F2276" s="6">
        <v>46137</v>
      </c>
      <c r="G2276" s="27">
        <f t="shared" si="677"/>
        <v>14.36480686695279</v>
      </c>
      <c r="H2276" s="13">
        <f t="shared" si="678"/>
        <v>18264.72620777777</v>
      </c>
      <c r="I2276" s="13">
        <f t="shared" si="679"/>
        <v>54797.742249882867</v>
      </c>
      <c r="J2276" s="51">
        <f t="shared" si="675"/>
        <v>73062.468457660638</v>
      </c>
    </row>
    <row r="2277" spans="1:10" x14ac:dyDescent="0.25">
      <c r="A2277" s="4" t="s">
        <v>198</v>
      </c>
      <c r="B2277" s="5" t="s">
        <v>249</v>
      </c>
      <c r="C2277" s="5" t="s">
        <v>250</v>
      </c>
      <c r="D2277" s="5">
        <v>208</v>
      </c>
      <c r="E2277" s="6">
        <v>6309264</v>
      </c>
      <c r="F2277" s="6">
        <v>18928000</v>
      </c>
      <c r="G2277" s="27">
        <f t="shared" si="677"/>
        <v>995.95994277539353</v>
      </c>
      <c r="H2277" s="13">
        <f t="shared" si="678"/>
        <v>7493625.9287676429</v>
      </c>
      <c r="I2277" s="13">
        <f t="shared" si="679"/>
        <v>22481125.025592972</v>
      </c>
      <c r="J2277" s="51">
        <f t="shared" si="675"/>
        <v>29974750.954360615</v>
      </c>
    </row>
    <row r="2278" spans="1:10" x14ac:dyDescent="0.25">
      <c r="A2278" s="4" t="s">
        <v>198</v>
      </c>
      <c r="B2278" s="5" t="s">
        <v>252</v>
      </c>
      <c r="C2278" s="5" t="s">
        <v>212</v>
      </c>
      <c r="D2278" s="5">
        <v>125</v>
      </c>
      <c r="E2278" s="6">
        <v>364000</v>
      </c>
      <c r="F2278" s="11">
        <v>0</v>
      </c>
      <c r="G2278" s="27">
        <f t="shared" si="677"/>
        <v>598.5336194563663</v>
      </c>
      <c r="H2278" s="13">
        <f t="shared" si="678"/>
        <v>432329.32368520671</v>
      </c>
      <c r="I2278" s="13">
        <f t="shared" si="679"/>
        <v>0</v>
      </c>
      <c r="J2278" s="51">
        <f t="shared" si="675"/>
        <v>432329.32368520671</v>
      </c>
    </row>
    <row r="2279" spans="1:10" x14ac:dyDescent="0.25">
      <c r="A2279" s="4" t="s">
        <v>198</v>
      </c>
      <c r="B2279" s="5" t="s">
        <v>253</v>
      </c>
      <c r="C2279" s="5" t="s">
        <v>210</v>
      </c>
      <c r="D2279" s="5">
        <v>552</v>
      </c>
      <c r="E2279" s="6">
        <v>1071432</v>
      </c>
      <c r="F2279" s="11">
        <v>0</v>
      </c>
      <c r="G2279" s="27">
        <f t="shared" si="677"/>
        <v>2643.1244635193134</v>
      </c>
      <c r="H2279" s="13">
        <f t="shared" si="678"/>
        <v>1272558.9888315615</v>
      </c>
      <c r="I2279" s="13">
        <f t="shared" si="679"/>
        <v>0</v>
      </c>
      <c r="J2279" s="51">
        <f t="shared" si="675"/>
        <v>1272558.9888315615</v>
      </c>
    </row>
    <row r="2280" spans="1:10" x14ac:dyDescent="0.25">
      <c r="A2280" s="4" t="s">
        <v>198</v>
      </c>
      <c r="B2280" s="5" t="s">
        <v>254</v>
      </c>
      <c r="C2280" s="5" t="s">
        <v>212</v>
      </c>
      <c r="D2280" s="5">
        <v>140</v>
      </c>
      <c r="E2280" s="6">
        <v>407680</v>
      </c>
      <c r="F2280" s="11">
        <v>0</v>
      </c>
      <c r="G2280" s="27">
        <f t="shared" si="677"/>
        <v>670.35765379113025</v>
      </c>
      <c r="H2280" s="13">
        <f t="shared" si="678"/>
        <v>484208.84252743149</v>
      </c>
      <c r="I2280" s="13">
        <f t="shared" si="679"/>
        <v>0</v>
      </c>
      <c r="J2280" s="51">
        <f t="shared" si="675"/>
        <v>484208.84252743149</v>
      </c>
    </row>
    <row r="2281" spans="1:10" x14ac:dyDescent="0.25">
      <c r="A2281" s="4" t="s">
        <v>198</v>
      </c>
      <c r="B2281" s="5" t="s">
        <v>255</v>
      </c>
      <c r="C2281" s="5" t="s">
        <v>210</v>
      </c>
      <c r="D2281" s="5">
        <v>358</v>
      </c>
      <c r="E2281" s="6">
        <v>694878</v>
      </c>
      <c r="F2281" s="11">
        <v>0</v>
      </c>
      <c r="G2281" s="27">
        <f t="shared" si="677"/>
        <v>1714.200286123033</v>
      </c>
      <c r="H2281" s="13">
        <f t="shared" si="678"/>
        <v>825319.05435090396</v>
      </c>
      <c r="I2281" s="13">
        <f t="shared" si="679"/>
        <v>0</v>
      </c>
      <c r="J2281" s="51">
        <f t="shared" si="675"/>
        <v>825319.05435090396</v>
      </c>
    </row>
    <row r="2282" spans="1:10" x14ac:dyDescent="0.25">
      <c r="A2282" s="4" t="s">
        <v>198</v>
      </c>
      <c r="B2282" s="5" t="s">
        <v>256</v>
      </c>
      <c r="C2282" s="5" t="s">
        <v>212</v>
      </c>
      <c r="D2282" s="5">
        <v>108</v>
      </c>
      <c r="E2282" s="6">
        <v>314496</v>
      </c>
      <c r="F2282" s="11">
        <v>0</v>
      </c>
      <c r="G2282" s="27">
        <f t="shared" si="677"/>
        <v>517.13304721030045</v>
      </c>
      <c r="H2282" s="13">
        <f t="shared" si="678"/>
        <v>373532.53566401859</v>
      </c>
      <c r="I2282" s="13">
        <f t="shared" si="679"/>
        <v>0</v>
      </c>
      <c r="J2282" s="51">
        <f t="shared" si="675"/>
        <v>373532.53566401859</v>
      </c>
    </row>
    <row r="2283" spans="1:10" x14ac:dyDescent="0.25">
      <c r="A2283" s="15" t="s">
        <v>198</v>
      </c>
      <c r="B2283" s="16" t="s">
        <v>257</v>
      </c>
      <c r="C2283" s="16" t="s">
        <v>210</v>
      </c>
      <c r="D2283" s="16">
        <v>345</v>
      </c>
      <c r="E2283" s="17">
        <v>669645</v>
      </c>
      <c r="F2283" s="18">
        <v>0</v>
      </c>
      <c r="G2283" s="27">
        <f t="shared" si="677"/>
        <v>1651.952789699571</v>
      </c>
      <c r="H2283" s="13">
        <f t="shared" si="678"/>
        <v>795349.36801972589</v>
      </c>
      <c r="I2283" s="13">
        <f t="shared" si="679"/>
        <v>0</v>
      </c>
      <c r="J2283" s="51">
        <f t="shared" si="675"/>
        <v>795349.36801972589</v>
      </c>
    </row>
    <row r="2284" spans="1:10" s="3" customFormat="1" x14ac:dyDescent="0.25">
      <c r="A2284" s="4"/>
      <c r="B2284" s="20" t="s">
        <v>422</v>
      </c>
      <c r="C2284" s="21"/>
      <c r="D2284" s="21"/>
      <c r="E2284" s="22"/>
      <c r="F2284" s="29"/>
      <c r="G2284" s="47">
        <f>SUM(G2244:G2283)</f>
        <v>26776.000000000007</v>
      </c>
      <c r="H2284" s="47">
        <f t="shared" ref="H2284:J2284" si="680">SUM(H2244:H2283)</f>
        <v>46625031.000000007</v>
      </c>
      <c r="I2284" s="47">
        <f t="shared" si="680"/>
        <v>53374969</v>
      </c>
      <c r="J2284" s="47">
        <f t="shared" si="680"/>
        <v>100000000.00000003</v>
      </c>
    </row>
    <row r="2285" spans="1:10" x14ac:dyDescent="0.25">
      <c r="A2285" s="23" t="s">
        <v>199</v>
      </c>
      <c r="B2285" s="24" t="s">
        <v>217</v>
      </c>
      <c r="C2285" s="24" t="s">
        <v>218</v>
      </c>
      <c r="D2285" s="24">
        <v>1</v>
      </c>
      <c r="E2285" s="25">
        <v>3313</v>
      </c>
      <c r="F2285" s="25">
        <v>1325</v>
      </c>
      <c r="G2285" s="27">
        <f>+D2285*4.77777777777778</f>
        <v>4.7777777777777803</v>
      </c>
      <c r="H2285" s="13">
        <f>+E2285*1330798/175023</f>
        <v>25190.596515886482</v>
      </c>
      <c r="I2285" s="13">
        <f>+F2285*169202/22253</f>
        <v>10074.715768660406</v>
      </c>
      <c r="J2285" s="51">
        <f t="shared" si="675"/>
        <v>35265.31228454689</v>
      </c>
    </row>
    <row r="2286" spans="1:10" x14ac:dyDescent="0.25">
      <c r="A2286" s="4" t="s">
        <v>199</v>
      </c>
      <c r="B2286" s="5" t="s">
        <v>226</v>
      </c>
      <c r="C2286" s="5" t="s">
        <v>210</v>
      </c>
      <c r="D2286" s="5">
        <v>1</v>
      </c>
      <c r="E2286" s="6">
        <v>970</v>
      </c>
      <c r="F2286" s="11">
        <v>0</v>
      </c>
      <c r="G2286" s="27">
        <f t="shared" ref="G2286:G2291" si="681">+D2286*4.77777777777778</f>
        <v>4.7777777777777803</v>
      </c>
      <c r="H2286" s="13">
        <f t="shared" ref="H2286:H2291" si="682">+E2286*1330798/175023</f>
        <v>7375.4538546362483</v>
      </c>
      <c r="I2286" s="13">
        <f t="shared" ref="I2286:I2291" si="683">+F2286*169202/22253</f>
        <v>0</v>
      </c>
      <c r="J2286" s="51">
        <f t="shared" si="675"/>
        <v>7375.4538546362483</v>
      </c>
    </row>
    <row r="2287" spans="1:10" x14ac:dyDescent="0.25">
      <c r="A2287" s="4" t="s">
        <v>199</v>
      </c>
      <c r="B2287" s="5" t="s">
        <v>228</v>
      </c>
      <c r="C2287" s="5" t="s">
        <v>229</v>
      </c>
      <c r="D2287" s="5">
        <v>3</v>
      </c>
      <c r="E2287" s="6">
        <v>5823</v>
      </c>
      <c r="F2287" s="11">
        <v>0</v>
      </c>
      <c r="G2287" s="27">
        <f t="shared" si="681"/>
        <v>14.333333333333341</v>
      </c>
      <c r="H2287" s="13">
        <f t="shared" si="682"/>
        <v>44275.533809842134</v>
      </c>
      <c r="I2287" s="13">
        <f t="shared" si="683"/>
        <v>0</v>
      </c>
      <c r="J2287" s="51">
        <f t="shared" si="675"/>
        <v>44275.533809842134</v>
      </c>
    </row>
    <row r="2288" spans="1:10" x14ac:dyDescent="0.25">
      <c r="A2288" s="4" t="s">
        <v>199</v>
      </c>
      <c r="B2288" s="5" t="s">
        <v>230</v>
      </c>
      <c r="C2288" s="5" t="s">
        <v>229</v>
      </c>
      <c r="D2288" s="5">
        <v>8</v>
      </c>
      <c r="E2288" s="6">
        <v>15528</v>
      </c>
      <c r="F2288" s="11">
        <v>0</v>
      </c>
      <c r="G2288" s="27">
        <f t="shared" si="681"/>
        <v>38.222222222222243</v>
      </c>
      <c r="H2288" s="13">
        <f t="shared" si="682"/>
        <v>118068.09015957902</v>
      </c>
      <c r="I2288" s="13">
        <f t="shared" si="683"/>
        <v>0</v>
      </c>
      <c r="J2288" s="51">
        <f t="shared" si="675"/>
        <v>118068.09015957902</v>
      </c>
    </row>
    <row r="2289" spans="1:10" x14ac:dyDescent="0.25">
      <c r="A2289" s="4" t="s">
        <v>199</v>
      </c>
      <c r="B2289" s="5" t="s">
        <v>233</v>
      </c>
      <c r="C2289" s="5" t="s">
        <v>234</v>
      </c>
      <c r="D2289" s="5">
        <v>1</v>
      </c>
      <c r="E2289" s="6">
        <v>97066</v>
      </c>
      <c r="F2289" s="11">
        <v>0</v>
      </c>
      <c r="G2289" s="27">
        <f t="shared" si="681"/>
        <v>4.7777777777777803</v>
      </c>
      <c r="H2289" s="13">
        <f t="shared" si="682"/>
        <v>738047.22046816698</v>
      </c>
      <c r="I2289" s="13">
        <f t="shared" si="683"/>
        <v>0</v>
      </c>
      <c r="J2289" s="51">
        <f t="shared" si="675"/>
        <v>738047.22046816698</v>
      </c>
    </row>
    <row r="2290" spans="1:10" x14ac:dyDescent="0.25">
      <c r="A2290" s="4" t="s">
        <v>199</v>
      </c>
      <c r="B2290" s="5" t="s">
        <v>241</v>
      </c>
      <c r="C2290" s="5" t="s">
        <v>236</v>
      </c>
      <c r="D2290" s="5">
        <v>1</v>
      </c>
      <c r="E2290" s="6">
        <v>6825</v>
      </c>
      <c r="F2290" s="6">
        <v>2730</v>
      </c>
      <c r="G2290" s="27">
        <f t="shared" si="681"/>
        <v>4.7777777777777803</v>
      </c>
      <c r="H2290" s="13">
        <f t="shared" si="682"/>
        <v>51894.30160607463</v>
      </c>
      <c r="I2290" s="13">
        <f t="shared" si="683"/>
        <v>20757.716262975777</v>
      </c>
      <c r="J2290" s="51">
        <f t="shared" si="675"/>
        <v>72652.017869050411</v>
      </c>
    </row>
    <row r="2291" spans="1:10" x14ac:dyDescent="0.25">
      <c r="A2291" s="15" t="s">
        <v>199</v>
      </c>
      <c r="B2291" s="16" t="s">
        <v>249</v>
      </c>
      <c r="C2291" s="16" t="s">
        <v>250</v>
      </c>
      <c r="D2291" s="16">
        <v>3</v>
      </c>
      <c r="E2291" s="17">
        <v>45498</v>
      </c>
      <c r="F2291" s="17">
        <v>18198</v>
      </c>
      <c r="G2291" s="27">
        <f t="shared" si="681"/>
        <v>14.333333333333341</v>
      </c>
      <c r="H2291" s="13">
        <f t="shared" si="682"/>
        <v>345946.80358581443</v>
      </c>
      <c r="I2291" s="13">
        <f t="shared" si="683"/>
        <v>138369.56796836382</v>
      </c>
      <c r="J2291" s="51">
        <f t="shared" si="675"/>
        <v>484316.37155417824</v>
      </c>
    </row>
    <row r="2292" spans="1:10" s="3" customFormat="1" x14ac:dyDescent="0.25">
      <c r="A2292" s="4"/>
      <c r="B2292" s="20" t="s">
        <v>423</v>
      </c>
      <c r="C2292" s="21"/>
      <c r="D2292" s="21"/>
      <c r="E2292" s="22"/>
      <c r="F2292" s="22"/>
      <c r="G2292" s="47">
        <f>SUM(G2285:G2291)</f>
        <v>86.000000000000057</v>
      </c>
      <c r="H2292" s="47">
        <f t="shared" ref="H2292:J2292" si="684">SUM(H2285:H2291)</f>
        <v>1330798</v>
      </c>
      <c r="I2292" s="47">
        <f t="shared" si="684"/>
        <v>169202</v>
      </c>
      <c r="J2292" s="47">
        <f t="shared" si="684"/>
        <v>1499999.9999999998</v>
      </c>
    </row>
    <row r="2293" spans="1:10" x14ac:dyDescent="0.25">
      <c r="A2293" s="23" t="s">
        <v>200</v>
      </c>
      <c r="B2293" s="24" t="s">
        <v>214</v>
      </c>
      <c r="C2293" s="24" t="s">
        <v>210</v>
      </c>
      <c r="D2293" s="24">
        <v>1</v>
      </c>
      <c r="E2293" s="25">
        <v>970</v>
      </c>
      <c r="F2293" s="30">
        <v>0</v>
      </c>
      <c r="G2293" s="27">
        <f>+D2293*4.8</f>
        <v>4.8</v>
      </c>
      <c r="H2293" s="13">
        <f>+E2293*1886512/192794</f>
        <v>9491.5642602985572</v>
      </c>
      <c r="I2293" s="13">
        <f>+F2293*113488/11598</f>
        <v>0</v>
      </c>
      <c r="J2293" s="51">
        <f t="shared" si="675"/>
        <v>9491.5642602985572</v>
      </c>
    </row>
    <row r="2294" spans="1:10" x14ac:dyDescent="0.25">
      <c r="A2294" s="4" t="s">
        <v>200</v>
      </c>
      <c r="B2294" s="5" t="s">
        <v>215</v>
      </c>
      <c r="C2294" s="5" t="s">
        <v>212</v>
      </c>
      <c r="D2294" s="5">
        <v>2</v>
      </c>
      <c r="E2294" s="6">
        <v>2912</v>
      </c>
      <c r="F2294" s="11">
        <v>0</v>
      </c>
      <c r="G2294" s="27">
        <f t="shared" ref="G2294:G2304" si="685">+D2294*4.8</f>
        <v>9.6</v>
      </c>
      <c r="H2294" s="13">
        <f t="shared" ref="H2294:H2304" si="686">+E2294*1886512/192794</f>
        <v>28494.263016483914</v>
      </c>
      <c r="I2294" s="13">
        <f t="shared" ref="I2294:I2304" si="687">+F2294*113488/11598</f>
        <v>0</v>
      </c>
      <c r="J2294" s="51">
        <f t="shared" si="675"/>
        <v>28494.263016483914</v>
      </c>
    </row>
    <row r="2295" spans="1:10" x14ac:dyDescent="0.25">
      <c r="A2295" s="4" t="s">
        <v>200</v>
      </c>
      <c r="B2295" s="5" t="s">
        <v>216</v>
      </c>
      <c r="C2295" s="5" t="s">
        <v>210</v>
      </c>
      <c r="D2295" s="5">
        <v>2</v>
      </c>
      <c r="E2295" s="6">
        <v>1940</v>
      </c>
      <c r="F2295" s="11">
        <v>0</v>
      </c>
      <c r="G2295" s="27">
        <f t="shared" si="685"/>
        <v>9.6</v>
      </c>
      <c r="H2295" s="13">
        <f t="shared" si="686"/>
        <v>18983.128520597114</v>
      </c>
      <c r="I2295" s="13">
        <f t="shared" si="687"/>
        <v>0</v>
      </c>
      <c r="J2295" s="51">
        <f t="shared" si="675"/>
        <v>18983.128520597114</v>
      </c>
    </row>
    <row r="2296" spans="1:10" x14ac:dyDescent="0.25">
      <c r="A2296" s="4" t="s">
        <v>200</v>
      </c>
      <c r="B2296" s="5" t="s">
        <v>219</v>
      </c>
      <c r="C2296" s="5" t="s">
        <v>220</v>
      </c>
      <c r="D2296" s="5">
        <v>1</v>
      </c>
      <c r="E2296" s="6">
        <v>3397</v>
      </c>
      <c r="F2296" s="6">
        <v>1358</v>
      </c>
      <c r="G2296" s="27">
        <f t="shared" si="685"/>
        <v>4.8</v>
      </c>
      <c r="H2296" s="13">
        <f t="shared" si="686"/>
        <v>33240.045146633194</v>
      </c>
      <c r="I2296" s="13">
        <f t="shared" si="687"/>
        <v>13288.213829970684</v>
      </c>
      <c r="J2296" s="51">
        <f t="shared" si="675"/>
        <v>46528.25897660388</v>
      </c>
    </row>
    <row r="2297" spans="1:10" x14ac:dyDescent="0.25">
      <c r="A2297" s="4" t="s">
        <v>200</v>
      </c>
      <c r="B2297" s="5" t="s">
        <v>228</v>
      </c>
      <c r="C2297" s="5" t="s">
        <v>229</v>
      </c>
      <c r="D2297" s="5">
        <v>1</v>
      </c>
      <c r="E2297" s="6">
        <v>1941</v>
      </c>
      <c r="F2297" s="11">
        <v>0</v>
      </c>
      <c r="G2297" s="27">
        <f t="shared" si="685"/>
        <v>4.8</v>
      </c>
      <c r="H2297" s="13">
        <f t="shared" si="686"/>
        <v>18992.913638391237</v>
      </c>
      <c r="I2297" s="13">
        <f t="shared" si="687"/>
        <v>0</v>
      </c>
      <c r="J2297" s="51">
        <f t="shared" si="675"/>
        <v>18992.913638391237</v>
      </c>
    </row>
    <row r="2298" spans="1:10" x14ac:dyDescent="0.25">
      <c r="A2298" s="4" t="s">
        <v>200</v>
      </c>
      <c r="B2298" s="5" t="s">
        <v>230</v>
      </c>
      <c r="C2298" s="5" t="s">
        <v>229</v>
      </c>
      <c r="D2298" s="5">
        <v>1</v>
      </c>
      <c r="E2298" s="6">
        <v>1941</v>
      </c>
      <c r="F2298" s="11">
        <v>0</v>
      </c>
      <c r="G2298" s="27">
        <f t="shared" si="685"/>
        <v>4.8</v>
      </c>
      <c r="H2298" s="13">
        <f t="shared" si="686"/>
        <v>18992.913638391237</v>
      </c>
      <c r="I2298" s="13">
        <f t="shared" si="687"/>
        <v>0</v>
      </c>
      <c r="J2298" s="51">
        <f t="shared" si="675"/>
        <v>18992.913638391237</v>
      </c>
    </row>
    <row r="2299" spans="1:10" x14ac:dyDescent="0.25">
      <c r="A2299" s="4" t="s">
        <v>200</v>
      </c>
      <c r="B2299" s="5" t="s">
        <v>262</v>
      </c>
      <c r="C2299" s="5" t="s">
        <v>263</v>
      </c>
      <c r="D2299" s="5">
        <v>1</v>
      </c>
      <c r="E2299" s="6">
        <v>151666</v>
      </c>
      <c r="F2299" s="11">
        <v>0</v>
      </c>
      <c r="G2299" s="27">
        <f t="shared" si="685"/>
        <v>4.8</v>
      </c>
      <c r="H2299" s="13">
        <f t="shared" si="686"/>
        <v>1484069.6753633411</v>
      </c>
      <c r="I2299" s="13">
        <f t="shared" si="687"/>
        <v>0</v>
      </c>
      <c r="J2299" s="51">
        <f t="shared" si="675"/>
        <v>1484069.6753633411</v>
      </c>
    </row>
    <row r="2300" spans="1:10" x14ac:dyDescent="0.25">
      <c r="A2300" s="4" t="s">
        <v>200</v>
      </c>
      <c r="B2300" s="5" t="s">
        <v>235</v>
      </c>
      <c r="C2300" s="5" t="s">
        <v>236</v>
      </c>
      <c r="D2300" s="5">
        <v>1</v>
      </c>
      <c r="E2300" s="6">
        <v>6825</v>
      </c>
      <c r="F2300" s="6">
        <v>2730</v>
      </c>
      <c r="G2300" s="27">
        <f t="shared" si="685"/>
        <v>4.8</v>
      </c>
      <c r="H2300" s="13">
        <f t="shared" si="686"/>
        <v>66783.428944884174</v>
      </c>
      <c r="I2300" s="13">
        <f t="shared" si="687"/>
        <v>26713.419555095705</v>
      </c>
      <c r="J2300" s="51">
        <f t="shared" si="675"/>
        <v>93496.848499979882</v>
      </c>
    </row>
    <row r="2301" spans="1:10" x14ac:dyDescent="0.25">
      <c r="A2301" s="4" t="s">
        <v>200</v>
      </c>
      <c r="B2301" s="5" t="s">
        <v>237</v>
      </c>
      <c r="C2301" s="5" t="s">
        <v>238</v>
      </c>
      <c r="D2301" s="5">
        <v>1</v>
      </c>
      <c r="E2301" s="6">
        <v>5126</v>
      </c>
      <c r="F2301" s="6">
        <v>2050</v>
      </c>
      <c r="G2301" s="27">
        <f t="shared" si="685"/>
        <v>4.8</v>
      </c>
      <c r="H2301" s="13">
        <f t="shared" si="686"/>
        <v>50158.513812670521</v>
      </c>
      <c r="I2301" s="13">
        <f t="shared" si="687"/>
        <v>20059.527504742196</v>
      </c>
      <c r="J2301" s="51">
        <f t="shared" si="675"/>
        <v>70218.041317412717</v>
      </c>
    </row>
    <row r="2302" spans="1:10" x14ac:dyDescent="0.25">
      <c r="A2302" s="4" t="s">
        <v>200</v>
      </c>
      <c r="B2302" s="5" t="s">
        <v>241</v>
      </c>
      <c r="C2302" s="5" t="s">
        <v>236</v>
      </c>
      <c r="D2302" s="5">
        <v>2</v>
      </c>
      <c r="E2302" s="6">
        <v>13650</v>
      </c>
      <c r="F2302" s="6">
        <v>5460</v>
      </c>
      <c r="G2302" s="27">
        <f t="shared" si="685"/>
        <v>9.6</v>
      </c>
      <c r="H2302" s="13">
        <f t="shared" si="686"/>
        <v>133566.85788976835</v>
      </c>
      <c r="I2302" s="13">
        <f t="shared" si="687"/>
        <v>53426.839110191409</v>
      </c>
      <c r="J2302" s="51">
        <f t="shared" si="675"/>
        <v>186993.69699995976</v>
      </c>
    </row>
    <row r="2303" spans="1:10" x14ac:dyDescent="0.25">
      <c r="A2303" s="4" t="s">
        <v>200</v>
      </c>
      <c r="B2303" s="5" t="s">
        <v>252</v>
      </c>
      <c r="C2303" s="5" t="s">
        <v>212</v>
      </c>
      <c r="D2303" s="5">
        <v>1</v>
      </c>
      <c r="E2303" s="6">
        <v>1456</v>
      </c>
      <c r="F2303" s="11">
        <v>0</v>
      </c>
      <c r="G2303" s="27">
        <f t="shared" si="685"/>
        <v>4.8</v>
      </c>
      <c r="H2303" s="13">
        <f t="shared" si="686"/>
        <v>14247.131508241957</v>
      </c>
      <c r="I2303" s="13">
        <f t="shared" si="687"/>
        <v>0</v>
      </c>
      <c r="J2303" s="51">
        <f t="shared" ref="J2303:J2326" si="688">SUM(H2303:I2303)</f>
        <v>14247.131508241957</v>
      </c>
    </row>
    <row r="2304" spans="1:10" x14ac:dyDescent="0.25">
      <c r="A2304" s="15" t="s">
        <v>200</v>
      </c>
      <c r="B2304" s="16" t="s">
        <v>253</v>
      </c>
      <c r="C2304" s="16" t="s">
        <v>210</v>
      </c>
      <c r="D2304" s="16">
        <v>1</v>
      </c>
      <c r="E2304" s="17">
        <v>970</v>
      </c>
      <c r="F2304" s="18">
        <v>0</v>
      </c>
      <c r="G2304" s="27">
        <f t="shared" si="685"/>
        <v>4.8</v>
      </c>
      <c r="H2304" s="13">
        <f t="shared" si="686"/>
        <v>9491.5642602985572</v>
      </c>
      <c r="I2304" s="13">
        <f t="shared" si="687"/>
        <v>0</v>
      </c>
      <c r="J2304" s="51">
        <f t="shared" si="688"/>
        <v>9491.5642602985572</v>
      </c>
    </row>
    <row r="2305" spans="1:10" s="3" customFormat="1" x14ac:dyDescent="0.25">
      <c r="A2305" s="4"/>
      <c r="B2305" s="20" t="s">
        <v>424</v>
      </c>
      <c r="C2305" s="21"/>
      <c r="D2305" s="21"/>
      <c r="E2305" s="22"/>
      <c r="F2305" s="29"/>
      <c r="G2305" s="47">
        <f>SUM(G2293:G2304)</f>
        <v>71.999999999999986</v>
      </c>
      <c r="H2305" s="47">
        <f t="shared" ref="H2305:J2305" si="689">SUM(H2293:H2304)</f>
        <v>1886511.9999999998</v>
      </c>
      <c r="I2305" s="47">
        <f t="shared" si="689"/>
        <v>113488</v>
      </c>
      <c r="J2305" s="47">
        <f t="shared" si="689"/>
        <v>1999999.9999999998</v>
      </c>
    </row>
    <row r="2306" spans="1:10" x14ac:dyDescent="0.25">
      <c r="A2306" s="23" t="s">
        <v>201</v>
      </c>
      <c r="B2306" s="24" t="s">
        <v>216</v>
      </c>
      <c r="C2306" s="24" t="s">
        <v>210</v>
      </c>
      <c r="D2306" s="24">
        <v>1</v>
      </c>
      <c r="E2306" s="25">
        <v>970</v>
      </c>
      <c r="F2306" s="30">
        <v>0</v>
      </c>
      <c r="G2306" s="27">
        <f>+D2306*4.78688524590164</f>
        <v>4.7868852459016402</v>
      </c>
      <c r="H2306" s="13">
        <f>+E2306*1307932/353126</f>
        <v>3592.7517090217088</v>
      </c>
      <c r="I2306" s="13">
        <f>+F2306*192068/51856</f>
        <v>0</v>
      </c>
      <c r="J2306" s="51">
        <f t="shared" si="688"/>
        <v>3592.7517090217088</v>
      </c>
    </row>
    <row r="2307" spans="1:10" x14ac:dyDescent="0.25">
      <c r="A2307" s="4" t="s">
        <v>201</v>
      </c>
      <c r="B2307" s="5" t="s">
        <v>219</v>
      </c>
      <c r="C2307" s="5" t="s">
        <v>220</v>
      </c>
      <c r="D2307" s="5">
        <v>2</v>
      </c>
      <c r="E2307" s="6">
        <v>6794</v>
      </c>
      <c r="F2307" s="6">
        <v>2716</v>
      </c>
      <c r="G2307" s="27">
        <f t="shared" ref="G2307:G2313" si="690">+D2307*4.78688524590164</f>
        <v>9.5737704918032804</v>
      </c>
      <c r="H2307" s="13">
        <f t="shared" ref="H2307:H2313" si="691">+E2307*1307932/353126</f>
        <v>25164.077434117</v>
      </c>
      <c r="I2307" s="13">
        <f t="shared" ref="I2307:I2313" si="692">+F2307*192068/51856</f>
        <v>10059.717062634989</v>
      </c>
      <c r="J2307" s="51">
        <f t="shared" si="688"/>
        <v>35223.794496751987</v>
      </c>
    </row>
    <row r="2308" spans="1:10" x14ac:dyDescent="0.25">
      <c r="A2308" s="4" t="s">
        <v>201</v>
      </c>
      <c r="B2308" s="5" t="s">
        <v>223</v>
      </c>
      <c r="C2308" s="5" t="s">
        <v>224</v>
      </c>
      <c r="D2308" s="5">
        <v>2</v>
      </c>
      <c r="E2308" s="11">
        <v>0</v>
      </c>
      <c r="F2308" s="11">
        <v>0</v>
      </c>
      <c r="G2308" s="27">
        <f t="shared" si="690"/>
        <v>9.5737704918032804</v>
      </c>
      <c r="H2308" s="13">
        <f t="shared" si="691"/>
        <v>0</v>
      </c>
      <c r="I2308" s="13">
        <f t="shared" si="692"/>
        <v>0</v>
      </c>
      <c r="J2308" s="51">
        <f t="shared" si="688"/>
        <v>0</v>
      </c>
    </row>
    <row r="2309" spans="1:10" x14ac:dyDescent="0.25">
      <c r="A2309" s="4" t="s">
        <v>201</v>
      </c>
      <c r="B2309" s="5" t="s">
        <v>226</v>
      </c>
      <c r="C2309" s="5" t="s">
        <v>210</v>
      </c>
      <c r="D2309" s="5">
        <v>1</v>
      </c>
      <c r="E2309" s="6">
        <v>970</v>
      </c>
      <c r="F2309" s="11">
        <v>0</v>
      </c>
      <c r="G2309" s="27">
        <f t="shared" si="690"/>
        <v>4.7868852459016402</v>
      </c>
      <c r="H2309" s="13">
        <f t="shared" si="691"/>
        <v>3592.7517090217088</v>
      </c>
      <c r="I2309" s="13">
        <f t="shared" si="692"/>
        <v>0</v>
      </c>
      <c r="J2309" s="51">
        <f t="shared" si="688"/>
        <v>3592.7517090217088</v>
      </c>
    </row>
    <row r="2310" spans="1:10" x14ac:dyDescent="0.25">
      <c r="A2310" s="4" t="s">
        <v>201</v>
      </c>
      <c r="B2310" s="5" t="s">
        <v>228</v>
      </c>
      <c r="C2310" s="5" t="s">
        <v>229</v>
      </c>
      <c r="D2310" s="5">
        <v>8</v>
      </c>
      <c r="E2310" s="6">
        <v>15528</v>
      </c>
      <c r="F2310" s="11">
        <v>0</v>
      </c>
      <c r="G2310" s="27">
        <f t="shared" si="690"/>
        <v>38.295081967213122</v>
      </c>
      <c r="H2310" s="13">
        <f t="shared" si="691"/>
        <v>57513.658286277416</v>
      </c>
      <c r="I2310" s="13">
        <f t="shared" si="692"/>
        <v>0</v>
      </c>
      <c r="J2310" s="51">
        <f t="shared" si="688"/>
        <v>57513.658286277416</v>
      </c>
    </row>
    <row r="2311" spans="1:10" x14ac:dyDescent="0.25">
      <c r="A2311" s="4" t="s">
        <v>201</v>
      </c>
      <c r="B2311" s="5" t="s">
        <v>230</v>
      </c>
      <c r="C2311" s="5" t="s">
        <v>229</v>
      </c>
      <c r="D2311" s="5">
        <v>28</v>
      </c>
      <c r="E2311" s="6">
        <v>54348</v>
      </c>
      <c r="F2311" s="11">
        <v>0</v>
      </c>
      <c r="G2311" s="27">
        <f t="shared" si="690"/>
        <v>134.03278688524591</v>
      </c>
      <c r="H2311" s="13">
        <f t="shared" si="691"/>
        <v>201297.80400197097</v>
      </c>
      <c r="I2311" s="13">
        <f t="shared" si="692"/>
        <v>0</v>
      </c>
      <c r="J2311" s="51">
        <f t="shared" si="688"/>
        <v>201297.80400197097</v>
      </c>
    </row>
    <row r="2312" spans="1:10" x14ac:dyDescent="0.25">
      <c r="A2312" s="4" t="s">
        <v>201</v>
      </c>
      <c r="B2312" s="5" t="s">
        <v>262</v>
      </c>
      <c r="C2312" s="5" t="s">
        <v>263</v>
      </c>
      <c r="D2312" s="5">
        <v>1</v>
      </c>
      <c r="E2312" s="6">
        <v>151666</v>
      </c>
      <c r="F2312" s="11">
        <v>0</v>
      </c>
      <c r="G2312" s="27">
        <f t="shared" si="690"/>
        <v>4.7868852459016402</v>
      </c>
      <c r="H2312" s="13">
        <f t="shared" si="691"/>
        <v>561750.80484586244</v>
      </c>
      <c r="I2312" s="13">
        <f t="shared" si="692"/>
        <v>0</v>
      </c>
      <c r="J2312" s="51">
        <f t="shared" si="688"/>
        <v>561750.80484586244</v>
      </c>
    </row>
    <row r="2313" spans="1:10" x14ac:dyDescent="0.25">
      <c r="A2313" s="15" t="s">
        <v>201</v>
      </c>
      <c r="B2313" s="16" t="s">
        <v>241</v>
      </c>
      <c r="C2313" s="16" t="s">
        <v>236</v>
      </c>
      <c r="D2313" s="16">
        <v>18</v>
      </c>
      <c r="E2313" s="17">
        <v>122850</v>
      </c>
      <c r="F2313" s="17">
        <v>49140</v>
      </c>
      <c r="G2313" s="27">
        <f t="shared" si="690"/>
        <v>86.163934426229531</v>
      </c>
      <c r="H2313" s="13">
        <f t="shared" si="691"/>
        <v>455020.1520137288</v>
      </c>
      <c r="I2313" s="13">
        <f t="shared" si="692"/>
        <v>182008.282937365</v>
      </c>
      <c r="J2313" s="51">
        <f t="shared" si="688"/>
        <v>637028.43495109375</v>
      </c>
    </row>
    <row r="2314" spans="1:10" s="3" customFormat="1" x14ac:dyDescent="0.25">
      <c r="A2314" s="4"/>
      <c r="B2314" s="20" t="s">
        <v>425</v>
      </c>
      <c r="C2314" s="21"/>
      <c r="D2314" s="21"/>
      <c r="E2314" s="22"/>
      <c r="F2314" s="22"/>
      <c r="G2314" s="47">
        <f>SUM(G2306:G2313)</f>
        <v>292</v>
      </c>
      <c r="H2314" s="47">
        <f t="shared" ref="H2314:J2314" si="693">SUM(H2306:H2313)</f>
        <v>1307932</v>
      </c>
      <c r="I2314" s="47">
        <f t="shared" si="693"/>
        <v>192068</v>
      </c>
      <c r="J2314" s="47">
        <f t="shared" si="693"/>
        <v>1500000</v>
      </c>
    </row>
    <row r="2315" spans="1:10" x14ac:dyDescent="0.25">
      <c r="A2315" s="23" t="s">
        <v>202</v>
      </c>
      <c r="B2315" s="24" t="s">
        <v>217</v>
      </c>
      <c r="C2315" s="24" t="s">
        <v>218</v>
      </c>
      <c r="D2315" s="24">
        <v>3</v>
      </c>
      <c r="E2315" s="25">
        <v>9939</v>
      </c>
      <c r="F2315" s="25">
        <v>3975</v>
      </c>
      <c r="G2315" s="27">
        <f>+D2315*4.8</f>
        <v>14.399999999999999</v>
      </c>
      <c r="H2315" s="13">
        <f>+E2315*1117532/47063</f>
        <v>236006.00361217943</v>
      </c>
      <c r="I2315" s="13">
        <f>+F2315*382468/16107</f>
        <v>94388.172844105051</v>
      </c>
      <c r="J2315" s="51">
        <f t="shared" si="688"/>
        <v>330394.17645628448</v>
      </c>
    </row>
    <row r="2316" spans="1:10" x14ac:dyDescent="0.25">
      <c r="A2316" s="4" t="s">
        <v>202</v>
      </c>
      <c r="B2316" s="5" t="s">
        <v>228</v>
      </c>
      <c r="C2316" s="5" t="s">
        <v>229</v>
      </c>
      <c r="D2316" s="5">
        <v>2</v>
      </c>
      <c r="E2316" s="6">
        <v>3882</v>
      </c>
      <c r="F2316" s="11">
        <v>0</v>
      </c>
      <c r="G2316" s="27">
        <f t="shared" ref="G2316:G2318" si="694">+D2316*4.8</f>
        <v>9.6</v>
      </c>
      <c r="H2316" s="13">
        <f t="shared" ref="H2316:H2318" si="695">+E2316*1117532/47063</f>
        <v>92179.827550304908</v>
      </c>
      <c r="I2316" s="13">
        <f t="shared" ref="I2316:I2318" si="696">+F2316*382468/16107</f>
        <v>0</v>
      </c>
      <c r="J2316" s="51">
        <f t="shared" si="688"/>
        <v>92179.827550304908</v>
      </c>
    </row>
    <row r="2317" spans="1:10" x14ac:dyDescent="0.25">
      <c r="A2317" s="4" t="s">
        <v>202</v>
      </c>
      <c r="B2317" s="5" t="s">
        <v>249</v>
      </c>
      <c r="C2317" s="5" t="s">
        <v>250</v>
      </c>
      <c r="D2317" s="5">
        <v>2</v>
      </c>
      <c r="E2317" s="6">
        <v>30332</v>
      </c>
      <c r="F2317" s="6">
        <v>12132</v>
      </c>
      <c r="G2317" s="27">
        <f t="shared" si="694"/>
        <v>9.6</v>
      </c>
      <c r="H2317" s="13">
        <f t="shared" si="695"/>
        <v>720246.91634617432</v>
      </c>
      <c r="I2317" s="13">
        <f t="shared" si="696"/>
        <v>288079.82715589495</v>
      </c>
      <c r="J2317" s="51">
        <f t="shared" si="688"/>
        <v>1008326.7435020693</v>
      </c>
    </row>
    <row r="2318" spans="1:10" x14ac:dyDescent="0.25">
      <c r="A2318" s="4" t="s">
        <v>202</v>
      </c>
      <c r="B2318" s="5" t="s">
        <v>253</v>
      </c>
      <c r="C2318" s="5" t="s">
        <v>210</v>
      </c>
      <c r="D2318" s="5">
        <v>3</v>
      </c>
      <c r="E2318" s="6">
        <v>2910</v>
      </c>
      <c r="F2318" s="11">
        <v>0</v>
      </c>
      <c r="G2318" s="27">
        <f t="shared" si="694"/>
        <v>14.399999999999999</v>
      </c>
      <c r="H2318" s="13">
        <f t="shared" si="695"/>
        <v>69099.252491341394</v>
      </c>
      <c r="I2318" s="13">
        <f t="shared" si="696"/>
        <v>0</v>
      </c>
      <c r="J2318" s="51">
        <f t="shared" si="688"/>
        <v>69099.252491341394</v>
      </c>
    </row>
    <row r="2319" spans="1:10" s="3" customFormat="1" x14ac:dyDescent="0.25">
      <c r="A2319" s="36"/>
      <c r="B2319" s="1" t="s">
        <v>426</v>
      </c>
      <c r="C2319" s="1"/>
      <c r="D2319" s="1"/>
      <c r="E2319" s="41"/>
      <c r="F2319" s="2"/>
      <c r="G2319" s="47">
        <f>SUM(G2315:G2318)</f>
        <v>48</v>
      </c>
      <c r="H2319" s="47">
        <f t="shared" ref="H2319:J2319" si="697">SUM(H2315:H2318)</f>
        <v>1117532</v>
      </c>
      <c r="I2319" s="47">
        <f t="shared" si="697"/>
        <v>382468</v>
      </c>
      <c r="J2319" s="47">
        <f t="shared" si="697"/>
        <v>1500000</v>
      </c>
    </row>
    <row r="2320" spans="1:10" x14ac:dyDescent="0.25">
      <c r="A2320" s="4" t="s">
        <v>203</v>
      </c>
      <c r="B2320" s="5" t="s">
        <v>207</v>
      </c>
      <c r="C2320" s="5" t="s">
        <v>208</v>
      </c>
      <c r="D2320" s="5">
        <v>1</v>
      </c>
      <c r="E2320" s="6">
        <v>11648</v>
      </c>
      <c r="F2320" s="6">
        <v>4659</v>
      </c>
      <c r="G2320" s="27">
        <f>+D2320*4.8</f>
        <v>4.8</v>
      </c>
      <c r="H2320" s="13">
        <f>+E2320*1585507/70035</f>
        <v>263696.51654172916</v>
      </c>
      <c r="I2320" s="13">
        <f>+F2320*414493/18309</f>
        <v>105473.96837620842</v>
      </c>
      <c r="J2320" s="51">
        <f t="shared" si="688"/>
        <v>369170.48491793755</v>
      </c>
    </row>
    <row r="2321" spans="1:10" x14ac:dyDescent="0.25">
      <c r="A2321" s="4" t="s">
        <v>203</v>
      </c>
      <c r="B2321" s="5" t="s">
        <v>226</v>
      </c>
      <c r="C2321" s="5" t="s">
        <v>210</v>
      </c>
      <c r="D2321" s="5">
        <v>1</v>
      </c>
      <c r="E2321" s="6">
        <v>970</v>
      </c>
      <c r="F2321" s="11">
        <v>0</v>
      </c>
      <c r="G2321" s="27">
        <f t="shared" ref="G2321:G2326" si="698">+D2321*4.8</f>
        <v>4.8</v>
      </c>
      <c r="H2321" s="13">
        <f t="shared" ref="H2321:H2326" si="699">+E2321*1585507/70035</f>
        <v>21959.617191404297</v>
      </c>
      <c r="I2321" s="13">
        <f t="shared" ref="I2321:I2326" si="700">+F2321*414493/18309</f>
        <v>0</v>
      </c>
      <c r="J2321" s="51">
        <f t="shared" si="688"/>
        <v>21959.617191404297</v>
      </c>
    </row>
    <row r="2322" spans="1:10" x14ac:dyDescent="0.25">
      <c r="A2322" s="4" t="s">
        <v>203</v>
      </c>
      <c r="B2322" s="5" t="s">
        <v>228</v>
      </c>
      <c r="C2322" s="5" t="s">
        <v>229</v>
      </c>
      <c r="D2322" s="5">
        <v>8</v>
      </c>
      <c r="E2322" s="6">
        <v>15528</v>
      </c>
      <c r="F2322" s="11">
        <v>0</v>
      </c>
      <c r="G2322" s="27">
        <f t="shared" si="698"/>
        <v>38.4</v>
      </c>
      <c r="H2322" s="13">
        <f t="shared" si="699"/>
        <v>351534.98530734633</v>
      </c>
      <c r="I2322" s="13">
        <f t="shared" si="700"/>
        <v>0</v>
      </c>
      <c r="J2322" s="51">
        <f t="shared" si="688"/>
        <v>351534.98530734633</v>
      </c>
    </row>
    <row r="2323" spans="1:10" x14ac:dyDescent="0.25">
      <c r="A2323" s="4" t="s">
        <v>203</v>
      </c>
      <c r="B2323" s="5" t="s">
        <v>230</v>
      </c>
      <c r="C2323" s="5" t="s">
        <v>229</v>
      </c>
      <c r="D2323" s="5">
        <v>2</v>
      </c>
      <c r="E2323" s="6">
        <v>3882</v>
      </c>
      <c r="F2323" s="11">
        <v>0</v>
      </c>
      <c r="G2323" s="27">
        <f t="shared" si="698"/>
        <v>9.6</v>
      </c>
      <c r="H2323" s="13">
        <f t="shared" si="699"/>
        <v>87883.746326836583</v>
      </c>
      <c r="I2323" s="13">
        <f t="shared" si="700"/>
        <v>0</v>
      </c>
      <c r="J2323" s="51">
        <f t="shared" si="688"/>
        <v>87883.746326836583</v>
      </c>
    </row>
    <row r="2324" spans="1:10" x14ac:dyDescent="0.25">
      <c r="A2324" s="4" t="s">
        <v>203</v>
      </c>
      <c r="B2324" s="5" t="s">
        <v>241</v>
      </c>
      <c r="C2324" s="5" t="s">
        <v>236</v>
      </c>
      <c r="D2324" s="5">
        <v>5</v>
      </c>
      <c r="E2324" s="6">
        <v>34125</v>
      </c>
      <c r="F2324" s="6">
        <v>13650</v>
      </c>
      <c r="G2324" s="27">
        <f t="shared" si="698"/>
        <v>24</v>
      </c>
      <c r="H2324" s="13">
        <f t="shared" si="699"/>
        <v>772548.38830584707</v>
      </c>
      <c r="I2324" s="13">
        <f t="shared" si="700"/>
        <v>309019.03162379155</v>
      </c>
      <c r="J2324" s="51">
        <f t="shared" si="688"/>
        <v>1081567.4199296385</v>
      </c>
    </row>
    <row r="2325" spans="1:10" x14ac:dyDescent="0.25">
      <c r="A2325" s="4" t="s">
        <v>203</v>
      </c>
      <c r="B2325" s="5" t="s">
        <v>253</v>
      </c>
      <c r="C2325" s="5" t="s">
        <v>210</v>
      </c>
      <c r="D2325" s="5">
        <v>1</v>
      </c>
      <c r="E2325" s="6">
        <v>970</v>
      </c>
      <c r="F2325" s="11">
        <v>0</v>
      </c>
      <c r="G2325" s="27">
        <f t="shared" si="698"/>
        <v>4.8</v>
      </c>
      <c r="H2325" s="13">
        <f t="shared" si="699"/>
        <v>21959.617191404297</v>
      </c>
      <c r="I2325" s="13">
        <f t="shared" si="700"/>
        <v>0</v>
      </c>
      <c r="J2325" s="51">
        <f t="shared" si="688"/>
        <v>21959.617191404297</v>
      </c>
    </row>
    <row r="2326" spans="1:10" x14ac:dyDescent="0.25">
      <c r="A2326" s="4" t="s">
        <v>203</v>
      </c>
      <c r="B2326" s="5" t="s">
        <v>256</v>
      </c>
      <c r="C2326" s="5" t="s">
        <v>212</v>
      </c>
      <c r="D2326" s="5">
        <v>2</v>
      </c>
      <c r="E2326" s="6">
        <v>2912</v>
      </c>
      <c r="F2326" s="11">
        <v>0</v>
      </c>
      <c r="G2326" s="27">
        <f t="shared" si="698"/>
        <v>9.6</v>
      </c>
      <c r="H2326" s="13">
        <f t="shared" si="699"/>
        <v>65924.129135432289</v>
      </c>
      <c r="I2326" s="13">
        <f t="shared" si="700"/>
        <v>0</v>
      </c>
      <c r="J2326" s="51">
        <f t="shared" si="688"/>
        <v>65924.129135432289</v>
      </c>
    </row>
    <row r="2327" spans="1:10" s="3" customFormat="1" x14ac:dyDescent="0.25">
      <c r="A2327" s="36"/>
      <c r="B2327" s="1" t="s">
        <v>276</v>
      </c>
      <c r="C2327" s="1"/>
      <c r="D2327" s="1"/>
      <c r="E2327" s="41"/>
      <c r="F2327" s="2"/>
      <c r="G2327" s="47">
        <f>SUM(G2320:G2326)</f>
        <v>95.999999999999986</v>
      </c>
      <c r="H2327" s="47">
        <f t="shared" ref="H2327:I2327" si="701">SUM(H2320:H2326)</f>
        <v>1585507</v>
      </c>
      <c r="I2327" s="47">
        <f t="shared" si="701"/>
        <v>414493</v>
      </c>
      <c r="J2327" s="47">
        <f>SUM(J2320:J2326)</f>
        <v>1999999.9999999998</v>
      </c>
    </row>
    <row r="2328" spans="1:10" x14ac:dyDescent="0.25">
      <c r="B2328" s="1" t="s">
        <v>479</v>
      </c>
      <c r="C2328" s="69"/>
      <c r="E2328" s="45">
        <f>SUM(E4:E2326)</f>
        <v>208385373</v>
      </c>
      <c r="F2328" s="45">
        <f>SUM(F4:F2326)</f>
        <v>104883617</v>
      </c>
      <c r="G2328" s="47">
        <f>+G40+G81+G102+G109+G147+G164+G176+G181+G208+G230+G239+G254+G266+G271+G295+G307+G312+G318+G335+G338+G344+G358+G369+G376+G388+G394+G406+G431+G439+G449+G456+G486+G504+G507+G519+G535+G537+G542+G549+G570+G595+G615+G634+G645+G654+G693+G698+G721+G744+G759+G784+G788+G797+G805+G827+G841+G862+G884+G894+G898+G915+G936+G943+G950+G969+G972+G983+G986+G1022+G1028+G1030+G1037+G1045+G1052+G1060+G1075+G1094+G1107+G1113+G1122+G1134+G1159+G1172+G1186+G1200+G1213+G1222+G1237+G1243+G1246+G1252+G1256+G1264+G1267+G1269+G1303+G1307+G1311+G1315+G1323+G1358+G1374+G1383+G1399+G1406+G1418+G1432+G1440+G1453+G1461+G1480+G1520+G1526+G1529+G1546+G1549+G1554+G1574+G1581+G1587+G1606+G1616+G1623+G1627+G1646+G1655+G1658+G1672+G1686+G1697+G1720+G1753+G1763+G1779+G1790+G1797+G1821+G1828+G1839+G1853+G1860+G1870+G1877+G1883+G1889+G1891+G1907+G1917+G1931+G1941+G1950+G1970+G1989+G1999+G2008+G2010+G2014+G2026+G2029+G2038+G2053+G2058+G2075+G2087+G2092+G2107+G2116+G2131+G2143+G2152+G2158+G2194+G2206+G2209+G2212+G2243+G2284+G2292+G2305+G2314+G2319+G2327+(G360+G371+G408+G791+G865+G887+G918+G1055+G1137+G1140+G1240+G1272+G1275+G1361+G1364+G1377+G1483+G1782+G1842+G1856+G2078+G2081+G2110)</f>
        <v>132469</v>
      </c>
      <c r="H2328" s="47">
        <f>+H40+H81+H102+H109+H147+H164+H176+H181+H208+H230+H239+H254+H266+H271+H295+H307+H312+H318+H335+H338+H344+H358+H369+H376+H388+H394+H406+H431+H439+H449+H456+H486+H504+H507+H519+H535+H537+H542+H549+H570+H595+H615+H634+H645+H654+H693+H698+H721+H744+H759+H784+H788+H797+H805+H827+H841+H862+H884+H894+H898+H915+H936+H943+H950+H969+H972+H983+H986+H1022+H1028+H1030+H1037+H1045+H1052+H1060+H1075+H1094+H1107+H1113+H1122+H1134+H1159+H1172+H1186+H1200+H1213+H1222+H1237+H1243+H1246+H1252+H1256+H1264+H1267+H1269+H1303+H1307+H1311+H1315+H1323+H1358+H1374+H1383+H1399+H1406+H1418+H1432+H1440+H1453+H1461+H1480+H1520+H1526+H1529+H1546+H1549+H1554+H1574+H1581+H1587+H1606+H1616+H1623+H1627+H1646+H1655+H1658+H1672+H1686+H1697+H1720+H1753+H1763+H1779+H1790+H1797+H1821+H1828+H1839+H1853+H1860+H1870+H1877+H1883+H1889+H1891+H1907+H1917+H1931+H1941+H1950+H1970+H1989+H1999+H2008+H2010+H2014+H2026+H2029+H2038+H2053+H2058+H2075+H2087+H2092+H2107+H2116+H2131+H2143+H2152+H2158+H2194+H2206+H2209+H2212+H2243+H2284+H2292+H2305+H2314+H2319+H2327+(H360+H371+H408+H791+H865+H887+H918+H1055+H1137+H1140+H1240+H1272+H1275+H1361+H1364+H1377+H1483+H1782+H1842+H1856+H2078+H2081+H2110)</f>
        <v>1200719899</v>
      </c>
      <c r="I2328" s="47">
        <f>+I40+I81+I102+I109+I147+I164+I176+I181+I208+I230+I239+I254+I266+I271+I295+I307+I312+I318+I335+I338+I344+I358+I369+I376+I388+I394+I406+I431+I439+I449+I456+I486+I504+I507+I519+I535+I537+I542+I549+I570+I595+I615+I634+I645+I654+I693+I698+I721+I744+I759+I784+I788+I797+I805+I827+I841+I862+I884+I894+I898+I915+I936+I943+I950+I969+I972+I983+I986+I1022+I1028+I1030+I1037+I1045+I1052+I1060+I1075+I1094+I1107+I1113+I1122+I1134+I1159+I1172+I1186+I1200+I1213+I1222+I1237+I1243+I1246+I1252+I1256+I1264+I1267+I1269+I1303+I1307+I1311+I1315+I1323+I1358+I1374+I1383+I1399+I1406+I1418+I1432+I1440+I1453+I1461+I1480+I1520+I1526+I1529+I1546+I1549+I1554+I1574+I1581+I1587+I1606+I1616+I1623+I1627+I1646+I1655+I1658+I1672+I1686+I1697+I1720+I1753+I1763+I1779+I1790+I1797+I1821+I1828+I1839+I1853+I1860+I1870+I1877+I1883+I1889+I1891+I1907+I1917+I1931+I1941+I1950+I1970+I1989+I1999+I2008+I2010+I2014+I2026+I2029+I2038+I2053+I2058+I2075+I2087+I2092+I2107+I2116+I2131+I2143+I2152+I2158+I2194+I2206+I2209+I2212+I2243+I2284+I2292+I2305+I2314+I2319+I2327+(I360+I371+I408+I791+I865+I887+I918+I1055+I1137+I1140+I1240+I1272+I1275+I1361+I1364+I1377+I1483+I1782+I1842+I1856+I2078+I2081+I2110)</f>
        <v>299280101</v>
      </c>
      <c r="J2328" s="47">
        <f>+J40+J81+J102+J109+J147+J164+J176+J181+J208+J230+J239+J254+J266+J271+J295+J307+J312+J318+J335+J338+J344+J358+J369+J376+J388+J394+J406+J431+J439+J449+J456+J486+J504+J507+J519+J535+J537+J542+J549+J570+J595+J615+J634+J645+J654+J693+J698+J721+J744+J759+J784+J788+J797+J805+J827+J841+J862+J884+J894+J898+J915+J936+J943+J950+J969+J972+J983+J986+J1022+J1028+J1030+J1037+J1045+J1052+J1060+J1075+J1094+J1107+J1113+J1122+J1134+J1159+J1172+J1186+J1200+J1213+J1222+J1237+J1243+J1246+J1252+J1256+J1264+J1267+J1269+J1303+J1307+J1311+J1315+J1323+J1358+J1374+J1383+J1399+J1406+J1418+J1432+J1440+J1453+J1461+J1480+J1520+J1526+J1529+J1546+J1549+J1554+J1574+J1581+J1587+J1606+J1616+J1623+J1627+J1646+J1655+J1658+J1672+J1686+J1697+J1720+J1753+J1763+J1779+J1790+J1797+J1821+J1828+J1839+J1853+J1860+J1870+J1877+J1883+J1889+J1891+J1907+J1917+J1931+J1941+J1950+J1970+J1989+J1999+J2008+J2010+J2014+J2026+J2029+J2038+J2053+J2058+J2075+J2087+J2092+J2107+J2116+J2131+J2143+J2152+J2158+J2194+J2206+J2209+J2212+J2243+J2284+J2292+J2305+J2314+J2319+J2327+(J360+J371+J408+J791+J865+J887+J918+J1055+J1137+J1140+J1240+J1272+J1275+J1361+J1364+J1377+J1483+J1782+J1842+J1856+J2078+J2081+J2110)</f>
        <v>1500000000</v>
      </c>
    </row>
  </sheetData>
  <sheetProtection algorithmName="SHA-512" hashValue="9o4cOfPivq7P82hCL0Lbggi8MERfYZPDys8FGYGxpJx71OSnmswCSpvuL/Ym/ZiQtctSMyXk4p70m31yEPK1DA==" saltValue="ZjHD40+qyDBH93ymX8euOA==" spinCount="100000" sheet="1" objects="1" scenarios="1"/>
  <mergeCells count="1">
    <mergeCell ref="A1:J1"/>
  </mergeCells>
  <pageMargins left="0.15748031496062992" right="0.19685039370078741" top="0.55118110236220474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97D4-E7E5-461B-B88B-1BB210FDFC80}">
  <dimension ref="A1:D209"/>
  <sheetViews>
    <sheetView workbookViewId="0">
      <selection activeCell="C15" sqref="C15"/>
    </sheetView>
  </sheetViews>
  <sheetFormatPr baseColWidth="10" defaultColWidth="9.140625" defaultRowHeight="15" x14ac:dyDescent="0.25"/>
  <cols>
    <col min="1" max="1" width="20.7109375" style="10" bestFit="1" customWidth="1"/>
    <col min="2" max="2" width="18.7109375" style="46" customWidth="1"/>
    <col min="3" max="3" width="18.28515625" style="46" customWidth="1"/>
    <col min="4" max="4" width="16.140625" style="46" customWidth="1"/>
    <col min="5" max="16384" width="9.140625" style="10"/>
  </cols>
  <sheetData>
    <row r="1" spans="1:4" x14ac:dyDescent="0.25">
      <c r="A1" s="71" t="s">
        <v>494</v>
      </c>
      <c r="B1" s="71"/>
      <c r="C1" s="71"/>
      <c r="D1" s="71"/>
    </row>
    <row r="3" spans="1:4" s="3" customFormat="1" x14ac:dyDescent="0.25">
      <c r="A3" s="1" t="s">
        <v>484</v>
      </c>
      <c r="B3" s="2" t="s">
        <v>487</v>
      </c>
      <c r="C3" s="2" t="s">
        <v>488</v>
      </c>
      <c r="D3" s="2" t="s">
        <v>489</v>
      </c>
    </row>
    <row r="4" spans="1:4" x14ac:dyDescent="0.25">
      <c r="A4" s="34" t="s">
        <v>0</v>
      </c>
      <c r="B4" s="35">
        <f>+'coût par ville'!H40</f>
        <v>2573518</v>
      </c>
      <c r="C4" s="35">
        <f>+'coût par ville'!I40</f>
        <v>5426482</v>
      </c>
      <c r="D4" s="35">
        <f>+B4+C4</f>
        <v>8000000</v>
      </c>
    </row>
    <row r="5" spans="1:4" x14ac:dyDescent="0.25">
      <c r="A5" s="34" t="s">
        <v>1</v>
      </c>
      <c r="B5" s="35">
        <f>+'coût par ville'!H81</f>
        <v>93579154.999999955</v>
      </c>
      <c r="C5" s="35">
        <f>+'coût par ville'!I81</f>
        <v>6420845</v>
      </c>
      <c r="D5" s="35">
        <f t="shared" ref="D5:D75" si="0">+B5+C5</f>
        <v>99999999.999999955</v>
      </c>
    </row>
    <row r="6" spans="1:4" x14ac:dyDescent="0.25">
      <c r="A6" s="34" t="s">
        <v>2</v>
      </c>
      <c r="B6" s="35">
        <f>+'coût par ville'!H102</f>
        <v>5907144</v>
      </c>
      <c r="C6" s="35">
        <f>+'coût par ville'!I102</f>
        <v>1092856</v>
      </c>
      <c r="D6" s="35">
        <f t="shared" si="0"/>
        <v>7000000</v>
      </c>
    </row>
    <row r="7" spans="1:4" x14ac:dyDescent="0.25">
      <c r="A7" s="34" t="s">
        <v>3</v>
      </c>
      <c r="B7" s="35">
        <f>+'coût par ville'!H109</f>
        <v>2859520</v>
      </c>
      <c r="C7" s="35">
        <f>+'coût par ville'!I109</f>
        <v>640480</v>
      </c>
      <c r="D7" s="35">
        <f t="shared" si="0"/>
        <v>3500000</v>
      </c>
    </row>
    <row r="8" spans="1:4" x14ac:dyDescent="0.25">
      <c r="A8" s="34" t="s">
        <v>4</v>
      </c>
      <c r="B8" s="35">
        <f>+'coût par ville'!H147</f>
        <v>44850023.000000007</v>
      </c>
      <c r="C8" s="35">
        <f>+'coût par ville'!I147</f>
        <v>5149977</v>
      </c>
      <c r="D8" s="35">
        <f t="shared" si="0"/>
        <v>50000000.000000007</v>
      </c>
    </row>
    <row r="9" spans="1:4" x14ac:dyDescent="0.25">
      <c r="A9" s="34" t="s">
        <v>5</v>
      </c>
      <c r="B9" s="35">
        <f>+'coût par ville'!H164</f>
        <v>7866235.9999999991</v>
      </c>
      <c r="C9" s="35">
        <f>+'coût par ville'!I164</f>
        <v>2133764</v>
      </c>
      <c r="D9" s="35">
        <f t="shared" si="0"/>
        <v>10000000</v>
      </c>
    </row>
    <row r="10" spans="1:4" x14ac:dyDescent="0.25">
      <c r="A10" s="34" t="s">
        <v>6</v>
      </c>
      <c r="B10" s="35">
        <f>+'coût par ville'!H176</f>
        <v>2570703.0000000005</v>
      </c>
      <c r="C10" s="35">
        <f>+'coût par ville'!I176</f>
        <v>929297</v>
      </c>
      <c r="D10" s="35">
        <f t="shared" si="0"/>
        <v>3500000.0000000005</v>
      </c>
    </row>
    <row r="11" spans="1:4" x14ac:dyDescent="0.25">
      <c r="A11" s="34" t="s">
        <v>7</v>
      </c>
      <c r="B11" s="35">
        <f>+'coût par ville'!H181</f>
        <v>1000000</v>
      </c>
      <c r="C11" s="35">
        <f>+'coût par ville'!I181</f>
        <v>0</v>
      </c>
      <c r="D11" s="35">
        <f t="shared" si="0"/>
        <v>1000000</v>
      </c>
    </row>
    <row r="12" spans="1:4" x14ac:dyDescent="0.25">
      <c r="A12" s="34" t="s">
        <v>8</v>
      </c>
      <c r="B12" s="35">
        <f>+'coût par ville'!H208</f>
        <v>5716022.0000000019</v>
      </c>
      <c r="C12" s="35">
        <f>+'coût par ville'!I208</f>
        <v>283978</v>
      </c>
      <c r="D12" s="35">
        <f t="shared" si="0"/>
        <v>6000000.0000000019</v>
      </c>
    </row>
    <row r="13" spans="1:4" x14ac:dyDescent="0.25">
      <c r="A13" s="34" t="s">
        <v>9</v>
      </c>
      <c r="B13" s="35">
        <f>+'coût par ville'!H230</f>
        <v>4785786</v>
      </c>
      <c r="C13" s="35">
        <f>+'coût par ville'!I230</f>
        <v>214214</v>
      </c>
      <c r="D13" s="35">
        <f t="shared" si="0"/>
        <v>5000000</v>
      </c>
    </row>
    <row r="14" spans="1:4" x14ac:dyDescent="0.25">
      <c r="A14" s="34" t="s">
        <v>10</v>
      </c>
      <c r="B14" s="35">
        <f>+'coût par ville'!H239</f>
        <v>1566504.9999999998</v>
      </c>
      <c r="C14" s="35">
        <f>+'coût par ville'!I239</f>
        <v>433495</v>
      </c>
      <c r="D14" s="35">
        <f t="shared" si="0"/>
        <v>1999999.9999999998</v>
      </c>
    </row>
    <row r="15" spans="1:4" x14ac:dyDescent="0.25">
      <c r="A15" s="34" t="s">
        <v>11</v>
      </c>
      <c r="B15" s="35">
        <f>+'coût par ville'!H254</f>
        <v>4886592</v>
      </c>
      <c r="C15" s="35">
        <f>+'coût par ville'!I254</f>
        <v>113407.99999999999</v>
      </c>
      <c r="D15" s="35">
        <f t="shared" si="0"/>
        <v>5000000</v>
      </c>
    </row>
    <row r="16" spans="1:4" x14ac:dyDescent="0.25">
      <c r="A16" s="34" t="s">
        <v>12</v>
      </c>
      <c r="B16" s="35">
        <f>+'coût par ville'!H266</f>
        <v>3363483.9999999995</v>
      </c>
      <c r="C16" s="35">
        <f>+'coût par ville'!I266</f>
        <v>136516</v>
      </c>
      <c r="D16" s="35">
        <f t="shared" si="0"/>
        <v>3499999.9999999995</v>
      </c>
    </row>
    <row r="17" spans="1:4" x14ac:dyDescent="0.25">
      <c r="A17" s="34" t="s">
        <v>13</v>
      </c>
      <c r="B17" s="35">
        <f>+'coût par ville'!H271</f>
        <v>1000000</v>
      </c>
      <c r="C17" s="35">
        <f>+'coût par ville'!I271</f>
        <v>0</v>
      </c>
      <c r="D17" s="35">
        <f t="shared" si="0"/>
        <v>1000000</v>
      </c>
    </row>
    <row r="18" spans="1:4" x14ac:dyDescent="0.25">
      <c r="A18" s="34" t="s">
        <v>14</v>
      </c>
      <c r="B18" s="35">
        <f>+'coût par ville'!H295</f>
        <v>16091525</v>
      </c>
      <c r="C18" s="35">
        <f>+'coût par ville'!I295</f>
        <v>1908475</v>
      </c>
      <c r="D18" s="35">
        <f t="shared" si="0"/>
        <v>18000000</v>
      </c>
    </row>
    <row r="19" spans="1:4" x14ac:dyDescent="0.25">
      <c r="A19" s="34" t="s">
        <v>15</v>
      </c>
      <c r="B19" s="35">
        <f>+'coût par ville'!H307</f>
        <v>2998876.0000000005</v>
      </c>
      <c r="C19" s="35">
        <f>+'coût par ville'!I307</f>
        <v>501124</v>
      </c>
      <c r="D19" s="35">
        <f t="shared" si="0"/>
        <v>3500000.0000000005</v>
      </c>
    </row>
    <row r="20" spans="1:4" x14ac:dyDescent="0.25">
      <c r="A20" s="34" t="s">
        <v>16</v>
      </c>
      <c r="B20" s="35">
        <f>+'coût par ville'!H312</f>
        <v>1515637</v>
      </c>
      <c r="C20" s="35">
        <f>+'coût par ville'!I312</f>
        <v>984363</v>
      </c>
      <c r="D20" s="35">
        <f t="shared" si="0"/>
        <v>2500000</v>
      </c>
    </row>
    <row r="21" spans="1:4" x14ac:dyDescent="0.25">
      <c r="A21" s="34" t="s">
        <v>17</v>
      </c>
      <c r="B21" s="35">
        <f>+'coût par ville'!H318</f>
        <v>2223643</v>
      </c>
      <c r="C21" s="35">
        <f>+'coût par ville'!I318</f>
        <v>276357</v>
      </c>
      <c r="D21" s="35">
        <f t="shared" si="0"/>
        <v>2500000</v>
      </c>
    </row>
    <row r="22" spans="1:4" x14ac:dyDescent="0.25">
      <c r="A22" s="34" t="s">
        <v>18</v>
      </c>
      <c r="B22" s="35">
        <f>+'coût par ville'!H335</f>
        <v>13930197.999999998</v>
      </c>
      <c r="C22" s="35">
        <f>+'coût par ville'!I335</f>
        <v>1069802</v>
      </c>
      <c r="D22" s="35">
        <f t="shared" si="0"/>
        <v>14999999.999999998</v>
      </c>
    </row>
    <row r="23" spans="1:4" x14ac:dyDescent="0.25">
      <c r="A23" s="34" t="s">
        <v>19</v>
      </c>
      <c r="B23" s="35">
        <f>+'coût par ville'!H338</f>
        <v>833394</v>
      </c>
      <c r="C23" s="35">
        <f>+'coût par ville'!I338</f>
        <v>666606</v>
      </c>
      <c r="D23" s="35">
        <f t="shared" si="0"/>
        <v>1500000</v>
      </c>
    </row>
    <row r="24" spans="1:4" x14ac:dyDescent="0.25">
      <c r="A24" s="34" t="s">
        <v>20</v>
      </c>
      <c r="B24" s="35">
        <f>+'coût par ville'!H344</f>
        <v>1753144</v>
      </c>
      <c r="C24" s="35">
        <f>+'coût par ville'!I344</f>
        <v>1246856</v>
      </c>
      <c r="D24" s="35">
        <f t="shared" si="0"/>
        <v>3000000</v>
      </c>
    </row>
    <row r="25" spans="1:4" x14ac:dyDescent="0.25">
      <c r="A25" s="34" t="s">
        <v>21</v>
      </c>
      <c r="B25" s="35">
        <f>+'coût par ville'!H358</f>
        <v>2328139</v>
      </c>
      <c r="C25" s="35">
        <f>+'coût par ville'!I358</f>
        <v>671861</v>
      </c>
      <c r="D25" s="35">
        <f t="shared" si="0"/>
        <v>3000000</v>
      </c>
    </row>
    <row r="26" spans="1:4" x14ac:dyDescent="0.25">
      <c r="A26" s="34" t="s">
        <v>22</v>
      </c>
      <c r="B26" s="35">
        <f>+'coût par ville'!H360</f>
        <v>2030150</v>
      </c>
      <c r="C26" s="35">
        <f>+'coût par ville'!I360</f>
        <v>469850</v>
      </c>
      <c r="D26" s="35">
        <f t="shared" si="0"/>
        <v>2500000</v>
      </c>
    </row>
    <row r="27" spans="1:4" x14ac:dyDescent="0.25">
      <c r="A27" s="34" t="s">
        <v>23</v>
      </c>
      <c r="B27" s="35">
        <f>+'coût par ville'!H369</f>
        <v>2322621</v>
      </c>
      <c r="C27" s="35">
        <f>+'coût par ville'!I369</f>
        <v>177379</v>
      </c>
      <c r="D27" s="35">
        <f t="shared" si="0"/>
        <v>2500000</v>
      </c>
    </row>
    <row r="28" spans="1:4" x14ac:dyDescent="0.25">
      <c r="A28" s="34" t="s">
        <v>24</v>
      </c>
      <c r="B28" s="35">
        <f>+'coût par ville'!H371</f>
        <v>1459723</v>
      </c>
      <c r="C28" s="35">
        <f>+'coût par ville'!I371</f>
        <v>1040277</v>
      </c>
      <c r="D28" s="35">
        <f t="shared" si="0"/>
        <v>2500000</v>
      </c>
    </row>
    <row r="29" spans="1:4" x14ac:dyDescent="0.25">
      <c r="A29" s="34" t="s">
        <v>25</v>
      </c>
      <c r="B29" s="35">
        <f>+'coût par ville'!H376</f>
        <v>2000000</v>
      </c>
      <c r="C29" s="35">
        <f>+'coût par ville'!I376</f>
        <v>0</v>
      </c>
      <c r="D29" s="35">
        <f t="shared" si="0"/>
        <v>2000000</v>
      </c>
    </row>
    <row r="30" spans="1:4" x14ac:dyDescent="0.25">
      <c r="A30" s="34" t="s">
        <v>26</v>
      </c>
      <c r="B30" s="35">
        <f>+'coût par ville'!H388</f>
        <v>4811342</v>
      </c>
      <c r="C30" s="35">
        <f>+'coût par ville'!I388</f>
        <v>188658</v>
      </c>
      <c r="D30" s="35">
        <f t="shared" si="0"/>
        <v>5000000</v>
      </c>
    </row>
    <row r="31" spans="1:4" x14ac:dyDescent="0.25">
      <c r="A31" s="34" t="s">
        <v>27</v>
      </c>
      <c r="B31" s="35">
        <f>+'coût par ville'!H394</f>
        <v>1242781</v>
      </c>
      <c r="C31" s="35">
        <f>+'coût par ville'!I394</f>
        <v>757219</v>
      </c>
      <c r="D31" s="35">
        <f t="shared" si="0"/>
        <v>2000000</v>
      </c>
    </row>
    <row r="32" spans="1:4" x14ac:dyDescent="0.25">
      <c r="A32" s="34" t="s">
        <v>472</v>
      </c>
      <c r="B32" s="35">
        <f>+'coût par ville'!H406</f>
        <v>3095689.0000000005</v>
      </c>
      <c r="C32" s="35">
        <f>+'coût par ville'!I406</f>
        <v>904311</v>
      </c>
      <c r="D32" s="35">
        <f t="shared" si="0"/>
        <v>4000000.0000000005</v>
      </c>
    </row>
    <row r="33" spans="1:4" x14ac:dyDescent="0.25">
      <c r="A33" s="34" t="s">
        <v>28</v>
      </c>
      <c r="B33" s="35">
        <f>+'coût par ville'!H408</f>
        <v>2850000</v>
      </c>
      <c r="C33" s="35">
        <f>+'coût par ville'!I408</f>
        <v>1150000</v>
      </c>
      <c r="D33" s="35">
        <f t="shared" si="0"/>
        <v>4000000</v>
      </c>
    </row>
    <row r="34" spans="1:4" x14ac:dyDescent="0.25">
      <c r="A34" s="34" t="s">
        <v>29</v>
      </c>
      <c r="B34" s="35">
        <f>+'coût par ville'!H431</f>
        <v>8434585</v>
      </c>
      <c r="C34" s="35">
        <f>+'coût par ville'!I431</f>
        <v>1565415</v>
      </c>
      <c r="D34" s="35">
        <f>+B34+C34</f>
        <v>10000000</v>
      </c>
    </row>
    <row r="35" spans="1:4" x14ac:dyDescent="0.25">
      <c r="A35" s="34" t="s">
        <v>30</v>
      </c>
      <c r="B35" s="35">
        <f>+'coût par ville'!H439</f>
        <v>3903526.9999999995</v>
      </c>
      <c r="C35" s="35">
        <f>+'coût par ville'!I439</f>
        <v>1096473</v>
      </c>
      <c r="D35" s="35">
        <f t="shared" si="0"/>
        <v>5000000</v>
      </c>
    </row>
    <row r="36" spans="1:4" x14ac:dyDescent="0.25">
      <c r="A36" s="34" t="s">
        <v>31</v>
      </c>
      <c r="B36" s="35">
        <f>+'coût par ville'!H449</f>
        <v>4680485</v>
      </c>
      <c r="C36" s="35">
        <f>+'coût par ville'!I449</f>
        <v>319515</v>
      </c>
      <c r="D36" s="35">
        <f t="shared" si="0"/>
        <v>5000000</v>
      </c>
    </row>
    <row r="37" spans="1:4" x14ac:dyDescent="0.25">
      <c r="A37" s="34" t="s">
        <v>32</v>
      </c>
      <c r="B37" s="35">
        <f>+'coût par ville'!H456</f>
        <v>1568052</v>
      </c>
      <c r="C37" s="35">
        <f>+'coût par ville'!I456</f>
        <v>431948</v>
      </c>
      <c r="D37" s="35">
        <f t="shared" si="0"/>
        <v>2000000</v>
      </c>
    </row>
    <row r="38" spans="1:4" x14ac:dyDescent="0.25">
      <c r="A38" s="34" t="s">
        <v>33</v>
      </c>
      <c r="B38" s="35">
        <f>+'coût par ville'!H486</f>
        <v>16825365</v>
      </c>
      <c r="C38" s="35">
        <f>+'coût par ville'!I486</f>
        <v>1174635.0000000002</v>
      </c>
      <c r="D38" s="35">
        <f t="shared" si="0"/>
        <v>18000000</v>
      </c>
    </row>
    <row r="39" spans="1:4" x14ac:dyDescent="0.25">
      <c r="A39" s="34" t="s">
        <v>34</v>
      </c>
      <c r="B39" s="35">
        <f>+'coût par ville'!H504</f>
        <v>3064005.9999999995</v>
      </c>
      <c r="C39" s="35">
        <f>+'coût par ville'!I504</f>
        <v>935994</v>
      </c>
      <c r="D39" s="35">
        <f t="shared" si="0"/>
        <v>3999999.9999999995</v>
      </c>
    </row>
    <row r="40" spans="1:4" x14ac:dyDescent="0.25">
      <c r="A40" s="34" t="s">
        <v>35</v>
      </c>
      <c r="B40" s="35">
        <f>+'coût par ville'!H507</f>
        <v>1500000</v>
      </c>
      <c r="C40" s="35">
        <f>+'coût par ville'!I507</f>
        <v>0</v>
      </c>
      <c r="D40" s="35">
        <f t="shared" si="0"/>
        <v>1500000</v>
      </c>
    </row>
    <row r="41" spans="1:4" x14ac:dyDescent="0.25">
      <c r="A41" s="34" t="s">
        <v>36</v>
      </c>
      <c r="B41" s="35">
        <f>+'coût par ville'!H519</f>
        <v>5410663.0000000009</v>
      </c>
      <c r="C41" s="35">
        <f>+'coût par ville'!I519</f>
        <v>589337</v>
      </c>
      <c r="D41" s="35">
        <f t="shared" si="0"/>
        <v>6000000.0000000009</v>
      </c>
    </row>
    <row r="42" spans="1:4" x14ac:dyDescent="0.25">
      <c r="A42" s="34" t="s">
        <v>37</v>
      </c>
      <c r="B42" s="35">
        <f>+'coût par ville'!H535</f>
        <v>5903876</v>
      </c>
      <c r="C42" s="35">
        <f>+'coût par ville'!I535</f>
        <v>1096124</v>
      </c>
      <c r="D42" s="35">
        <f t="shared" si="0"/>
        <v>7000000</v>
      </c>
    </row>
    <row r="43" spans="1:4" x14ac:dyDescent="0.25">
      <c r="A43" s="34" t="s">
        <v>38</v>
      </c>
      <c r="B43" s="35">
        <f>+'coût par ville'!H537</f>
        <v>714286</v>
      </c>
      <c r="C43" s="35">
        <f>+'coût par ville'!I537</f>
        <v>285714</v>
      </c>
      <c r="D43" s="35">
        <f t="shared" si="0"/>
        <v>1000000</v>
      </c>
    </row>
    <row r="44" spans="1:4" x14ac:dyDescent="0.25">
      <c r="A44" s="34" t="s">
        <v>39</v>
      </c>
      <c r="B44" s="35">
        <f>+'coût par ville'!H542</f>
        <v>1500000</v>
      </c>
      <c r="C44" s="35">
        <f>+'coût par ville'!I542</f>
        <v>0</v>
      </c>
      <c r="D44" s="35">
        <f t="shared" si="0"/>
        <v>1500000</v>
      </c>
    </row>
    <row r="45" spans="1:4" x14ac:dyDescent="0.25">
      <c r="A45" s="34" t="s">
        <v>40</v>
      </c>
      <c r="B45" s="35">
        <f>+'coût par ville'!H549</f>
        <v>1172621.9999999998</v>
      </c>
      <c r="C45" s="35">
        <f>+'coût par ville'!I549</f>
        <v>827378</v>
      </c>
      <c r="D45" s="35">
        <f t="shared" si="0"/>
        <v>1999999.9999999998</v>
      </c>
    </row>
    <row r="46" spans="1:4" x14ac:dyDescent="0.25">
      <c r="A46" s="34" t="s">
        <v>41</v>
      </c>
      <c r="B46" s="35">
        <f>+'coût par ville'!H570</f>
        <v>21564208.999999996</v>
      </c>
      <c r="C46" s="35">
        <f>+'coût par ville'!I570</f>
        <v>3435791</v>
      </c>
      <c r="D46" s="35">
        <f t="shared" si="0"/>
        <v>24999999.999999996</v>
      </c>
    </row>
    <row r="47" spans="1:4" x14ac:dyDescent="0.25">
      <c r="A47" s="34" t="s">
        <v>42</v>
      </c>
      <c r="B47" s="35">
        <f>+'coût par ville'!H595</f>
        <v>83397226.999999985</v>
      </c>
      <c r="C47" s="35">
        <f>+'coût par ville'!I595</f>
        <v>6602773</v>
      </c>
      <c r="D47" s="35">
        <f t="shared" si="0"/>
        <v>89999999.999999985</v>
      </c>
    </row>
    <row r="48" spans="1:4" x14ac:dyDescent="0.25">
      <c r="A48" s="34" t="s">
        <v>43</v>
      </c>
      <c r="B48" s="35">
        <f>+'coût par ville'!H615</f>
        <v>6262671.9999999991</v>
      </c>
      <c r="C48" s="35">
        <f>+'coût par ville'!I615</f>
        <v>737328.00000000012</v>
      </c>
      <c r="D48" s="35">
        <f t="shared" si="0"/>
        <v>6999999.9999999991</v>
      </c>
    </row>
    <row r="49" spans="1:4" x14ac:dyDescent="0.25">
      <c r="A49" s="34" t="s">
        <v>44</v>
      </c>
      <c r="B49" s="35">
        <f>+'coût par ville'!H634</f>
        <v>3803271.0000000009</v>
      </c>
      <c r="C49" s="35">
        <f>+'coût par ville'!I634</f>
        <v>196729</v>
      </c>
      <c r="D49" s="35">
        <f t="shared" si="0"/>
        <v>4000000.0000000009</v>
      </c>
    </row>
    <row r="50" spans="1:4" x14ac:dyDescent="0.25">
      <c r="A50" s="34" t="s">
        <v>45</v>
      </c>
      <c r="B50" s="35">
        <f>+'coût par ville'!H645</f>
        <v>2420600.9999999995</v>
      </c>
      <c r="C50" s="35">
        <f>+'coût par ville'!I645</f>
        <v>579399</v>
      </c>
      <c r="D50" s="35">
        <f t="shared" si="0"/>
        <v>2999999.9999999995</v>
      </c>
    </row>
    <row r="51" spans="1:4" x14ac:dyDescent="0.25">
      <c r="A51" s="34" t="s">
        <v>46</v>
      </c>
      <c r="B51" s="35">
        <f>+'coût par ville'!H654</f>
        <v>4677018</v>
      </c>
      <c r="C51" s="35">
        <f>+'coût par ville'!I654</f>
        <v>322982</v>
      </c>
      <c r="D51" s="35">
        <f t="shared" si="0"/>
        <v>5000000</v>
      </c>
    </row>
    <row r="52" spans="1:4" x14ac:dyDescent="0.25">
      <c r="A52" s="34" t="s">
        <v>47</v>
      </c>
      <c r="B52" s="35">
        <f>+'coût par ville'!H693</f>
        <v>33403788</v>
      </c>
      <c r="C52" s="35">
        <f>+'coût par ville'!I693</f>
        <v>61596211.999999993</v>
      </c>
      <c r="D52" s="35">
        <f t="shared" si="0"/>
        <v>95000000</v>
      </c>
    </row>
    <row r="53" spans="1:4" x14ac:dyDescent="0.25">
      <c r="A53" s="34" t="s">
        <v>48</v>
      </c>
      <c r="B53" s="35">
        <f>+'coût par ville'!H698</f>
        <v>3615127</v>
      </c>
      <c r="C53" s="35">
        <f>+'coût par ville'!I698</f>
        <v>1384873</v>
      </c>
      <c r="D53" s="35">
        <f t="shared" si="0"/>
        <v>5000000</v>
      </c>
    </row>
    <row r="54" spans="1:4" x14ac:dyDescent="0.25">
      <c r="A54" s="34" t="s">
        <v>49</v>
      </c>
      <c r="B54" s="35">
        <f>+'coût par ville'!H721</f>
        <v>9779438</v>
      </c>
      <c r="C54" s="35">
        <f>+'coût par ville'!I721</f>
        <v>2220562</v>
      </c>
      <c r="D54" s="35">
        <f t="shared" si="0"/>
        <v>12000000</v>
      </c>
    </row>
    <row r="55" spans="1:4" x14ac:dyDescent="0.25">
      <c r="A55" s="34" t="s">
        <v>50</v>
      </c>
      <c r="B55" s="35">
        <f>+'coût par ville'!H744</f>
        <v>72934050</v>
      </c>
      <c r="C55" s="35">
        <f>+'coût par ville'!I744</f>
        <v>14065950</v>
      </c>
      <c r="D55" s="35">
        <f t="shared" si="0"/>
        <v>87000000</v>
      </c>
    </row>
    <row r="56" spans="1:4" x14ac:dyDescent="0.25">
      <c r="A56" s="34" t="s">
        <v>51</v>
      </c>
      <c r="B56" s="35">
        <f>+'coût par ville'!H759</f>
        <v>4804479</v>
      </c>
      <c r="C56" s="35">
        <f>+'coût par ville'!I759</f>
        <v>1195521</v>
      </c>
      <c r="D56" s="35">
        <f t="shared" si="0"/>
        <v>6000000</v>
      </c>
    </row>
    <row r="57" spans="1:4" x14ac:dyDescent="0.25">
      <c r="A57" s="34" t="s">
        <v>52</v>
      </c>
      <c r="B57" s="35">
        <f>+'coût par ville'!H784</f>
        <v>5157191.9999999981</v>
      </c>
      <c r="C57" s="35">
        <f>+'coût par ville'!I784</f>
        <v>842808</v>
      </c>
      <c r="D57" s="35">
        <f t="shared" si="0"/>
        <v>5999999.9999999981</v>
      </c>
    </row>
    <row r="58" spans="1:4" x14ac:dyDescent="0.25">
      <c r="A58" s="34" t="s">
        <v>53</v>
      </c>
      <c r="B58" s="35">
        <f>+'coût par ville'!H788</f>
        <v>3500000</v>
      </c>
      <c r="C58" s="35">
        <f>+'coût par ville'!I788</f>
        <v>0</v>
      </c>
      <c r="D58" s="35">
        <f t="shared" si="0"/>
        <v>3500000</v>
      </c>
    </row>
    <row r="59" spans="1:4" x14ac:dyDescent="0.25">
      <c r="A59" s="34" t="s">
        <v>54</v>
      </c>
      <c r="B59" s="35">
        <f>+'coût par ville'!H791</f>
        <v>200000</v>
      </c>
      <c r="C59" s="35">
        <f>+'coût par ville'!I791</f>
        <v>2300000</v>
      </c>
      <c r="D59" s="35">
        <f t="shared" si="0"/>
        <v>2500000</v>
      </c>
    </row>
    <row r="60" spans="1:4" x14ac:dyDescent="0.25">
      <c r="A60" s="34" t="s">
        <v>55</v>
      </c>
      <c r="B60" s="35">
        <f>+'coût par ville'!H797</f>
        <v>1490622</v>
      </c>
      <c r="C60" s="35">
        <f>+'coût par ville'!I797</f>
        <v>509378</v>
      </c>
      <c r="D60" s="35">
        <f t="shared" si="0"/>
        <v>2000000</v>
      </c>
    </row>
    <row r="61" spans="1:4" x14ac:dyDescent="0.25">
      <c r="A61" s="34" t="s">
        <v>56</v>
      </c>
      <c r="B61" s="35">
        <f>+'coût par ville'!H805</f>
        <v>2391833.0000000005</v>
      </c>
      <c r="C61" s="35">
        <f>+'coût par ville'!I805</f>
        <v>1608167</v>
      </c>
      <c r="D61" s="35">
        <f t="shared" si="0"/>
        <v>4000000.0000000005</v>
      </c>
    </row>
    <row r="62" spans="1:4" x14ac:dyDescent="0.25">
      <c r="A62" s="34" t="s">
        <v>57</v>
      </c>
      <c r="B62" s="35">
        <f>+'coût par ville'!H827</f>
        <v>3169590</v>
      </c>
      <c r="C62" s="35">
        <f>+'coût par ville'!I827</f>
        <v>330410</v>
      </c>
      <c r="D62" s="35">
        <f t="shared" si="0"/>
        <v>3500000</v>
      </c>
    </row>
    <row r="63" spans="1:4" x14ac:dyDescent="0.25">
      <c r="A63" s="34" t="s">
        <v>58</v>
      </c>
      <c r="B63" s="35">
        <f>+'coût par ville'!H841</f>
        <v>1240130</v>
      </c>
      <c r="C63" s="35">
        <f>+'coût par ville'!I841</f>
        <v>759870</v>
      </c>
      <c r="D63" s="35">
        <f t="shared" si="0"/>
        <v>2000000</v>
      </c>
    </row>
    <row r="64" spans="1:4" x14ac:dyDescent="0.25">
      <c r="A64" s="34" t="s">
        <v>59</v>
      </c>
      <c r="B64" s="35">
        <f>+'coût par ville'!H862</f>
        <v>10717914.000000002</v>
      </c>
      <c r="C64" s="35">
        <f>+'coût par ville'!I862</f>
        <v>1282086</v>
      </c>
      <c r="D64" s="35">
        <f t="shared" si="0"/>
        <v>12000000.000000002</v>
      </c>
    </row>
    <row r="65" spans="1:4" x14ac:dyDescent="0.25">
      <c r="A65" s="34" t="s">
        <v>60</v>
      </c>
      <c r="B65" s="35">
        <f>+'coût par ville'!H865</f>
        <v>412000</v>
      </c>
      <c r="C65" s="35">
        <f>+'coût par ville'!I865</f>
        <v>1588000</v>
      </c>
      <c r="D65" s="35">
        <f t="shared" si="0"/>
        <v>2000000</v>
      </c>
    </row>
    <row r="66" spans="1:4" x14ac:dyDescent="0.25">
      <c r="A66" s="34" t="s">
        <v>61</v>
      </c>
      <c r="B66" s="35">
        <f>+'coût par ville'!H884</f>
        <v>15984046.000000002</v>
      </c>
      <c r="C66" s="35">
        <f>+'coût par ville'!I884</f>
        <v>4015954</v>
      </c>
      <c r="D66" s="35">
        <f t="shared" si="0"/>
        <v>20000000</v>
      </c>
    </row>
    <row r="67" spans="1:4" x14ac:dyDescent="0.25">
      <c r="A67" s="34" t="s">
        <v>62</v>
      </c>
      <c r="B67" s="35">
        <f>+'coût par ville'!H887</f>
        <v>2400000</v>
      </c>
      <c r="C67" s="35">
        <f>+'coût par ville'!I887</f>
        <v>1600000</v>
      </c>
      <c r="D67" s="35">
        <f t="shared" si="0"/>
        <v>4000000</v>
      </c>
    </row>
    <row r="68" spans="1:4" x14ac:dyDescent="0.25">
      <c r="A68" s="34" t="s">
        <v>63</v>
      </c>
      <c r="B68" s="35">
        <f>+'coût par ville'!H894</f>
        <v>2030691</v>
      </c>
      <c r="C68" s="35">
        <f>+'coût par ville'!I894</f>
        <v>1469309</v>
      </c>
      <c r="D68" s="35">
        <f t="shared" si="0"/>
        <v>3500000</v>
      </c>
    </row>
    <row r="69" spans="1:4" x14ac:dyDescent="0.25">
      <c r="A69" s="34" t="s">
        <v>64</v>
      </c>
      <c r="B69" s="35">
        <f>+'coût par ville'!H898</f>
        <v>1143758</v>
      </c>
      <c r="C69" s="35">
        <f>+'coût par ville'!I898</f>
        <v>356242</v>
      </c>
      <c r="D69" s="35">
        <f t="shared" si="0"/>
        <v>1500000</v>
      </c>
    </row>
    <row r="70" spans="1:4" x14ac:dyDescent="0.25">
      <c r="A70" s="34" t="s">
        <v>65</v>
      </c>
      <c r="B70" s="35">
        <f>+'coût par ville'!H915</f>
        <v>1302259.9999999998</v>
      </c>
      <c r="C70" s="35">
        <f>+'coût par ville'!I915</f>
        <v>197740</v>
      </c>
      <c r="D70" s="35">
        <f t="shared" si="0"/>
        <v>1499999.9999999998</v>
      </c>
    </row>
    <row r="71" spans="1:4" x14ac:dyDescent="0.25">
      <c r="A71" s="34" t="s">
        <v>66</v>
      </c>
      <c r="B71" s="35">
        <f>+'coût par ville'!H918</f>
        <v>650000</v>
      </c>
      <c r="C71" s="35">
        <f>+'coût par ville'!I918</f>
        <v>1850000</v>
      </c>
      <c r="D71" s="35">
        <f t="shared" si="0"/>
        <v>2500000</v>
      </c>
    </row>
    <row r="72" spans="1:4" x14ac:dyDescent="0.25">
      <c r="A72" s="34" t="s">
        <v>67</v>
      </c>
      <c r="B72" s="35">
        <f>+'coût par ville'!H936</f>
        <v>10324028.000000002</v>
      </c>
      <c r="C72" s="35">
        <f>+'coût par ville'!I936</f>
        <v>1675972</v>
      </c>
      <c r="D72" s="35">
        <f t="shared" si="0"/>
        <v>12000000.000000002</v>
      </c>
    </row>
    <row r="73" spans="1:4" x14ac:dyDescent="0.25">
      <c r="A73" s="34" t="s">
        <v>68</v>
      </c>
      <c r="B73" s="35">
        <f>+'coût par ville'!H943</f>
        <v>1999999.9999999998</v>
      </c>
      <c r="C73" s="35">
        <f>+'coût par ville'!I943</f>
        <v>0</v>
      </c>
      <c r="D73" s="35">
        <f t="shared" si="0"/>
        <v>1999999.9999999998</v>
      </c>
    </row>
    <row r="74" spans="1:4" x14ac:dyDescent="0.25">
      <c r="A74" s="34" t="s">
        <v>69</v>
      </c>
      <c r="B74" s="35">
        <f>+'coût par ville'!H950</f>
        <v>3332868</v>
      </c>
      <c r="C74" s="35">
        <f>+'coût par ville'!I950</f>
        <v>167132</v>
      </c>
      <c r="D74" s="35">
        <f t="shared" si="0"/>
        <v>3500000</v>
      </c>
    </row>
    <row r="75" spans="1:4" x14ac:dyDescent="0.25">
      <c r="A75" s="34" t="s">
        <v>70</v>
      </c>
      <c r="B75" s="35">
        <f>+'coût par ville'!H969</f>
        <v>10351587</v>
      </c>
      <c r="C75" s="35">
        <f>+'coût par ville'!I969</f>
        <v>1648413</v>
      </c>
      <c r="D75" s="35">
        <f t="shared" si="0"/>
        <v>12000000</v>
      </c>
    </row>
    <row r="76" spans="1:4" x14ac:dyDescent="0.25">
      <c r="A76" s="34" t="s">
        <v>71</v>
      </c>
      <c r="B76" s="35">
        <f>+'coût par ville'!H972</f>
        <v>1525590</v>
      </c>
      <c r="C76" s="35">
        <f>+'coût par ville'!I972</f>
        <v>474410</v>
      </c>
      <c r="D76" s="35">
        <f t="shared" ref="D76:D149" si="1">+B76+C76</f>
        <v>2000000</v>
      </c>
    </row>
    <row r="77" spans="1:4" x14ac:dyDescent="0.25">
      <c r="A77" s="34" t="s">
        <v>72</v>
      </c>
      <c r="B77" s="35">
        <f>+'coût par ville'!H983</f>
        <v>4900615.0000000009</v>
      </c>
      <c r="C77" s="35">
        <f>+'coût par ville'!I983</f>
        <v>99385</v>
      </c>
      <c r="D77" s="35">
        <f t="shared" si="1"/>
        <v>5000000.0000000009</v>
      </c>
    </row>
    <row r="78" spans="1:4" x14ac:dyDescent="0.25">
      <c r="A78" s="34" t="s">
        <v>73</v>
      </c>
      <c r="B78" s="35">
        <f>+'coût par ville'!H986</f>
        <v>602620</v>
      </c>
      <c r="C78" s="35">
        <f>+'coût par ville'!I986</f>
        <v>397380</v>
      </c>
      <c r="D78" s="35">
        <f t="shared" si="1"/>
        <v>1000000</v>
      </c>
    </row>
    <row r="79" spans="1:4" x14ac:dyDescent="0.25">
      <c r="A79" s="34" t="s">
        <v>74</v>
      </c>
      <c r="B79" s="35">
        <f>+'coût par ville'!H1022</f>
        <v>54192025</v>
      </c>
      <c r="C79" s="35">
        <f>+'coût par ville'!I1022</f>
        <v>5807975</v>
      </c>
      <c r="D79" s="35">
        <f t="shared" si="1"/>
        <v>60000000</v>
      </c>
    </row>
    <row r="80" spans="1:4" x14ac:dyDescent="0.25">
      <c r="A80" s="34" t="s">
        <v>75</v>
      </c>
      <c r="B80" s="35">
        <f>+'coût par ville'!H1028</f>
        <v>880903.00000000012</v>
      </c>
      <c r="C80" s="35">
        <f>+'coût par ville'!I1028</f>
        <v>619097</v>
      </c>
      <c r="D80" s="35">
        <f t="shared" si="1"/>
        <v>1500000</v>
      </c>
    </row>
    <row r="81" spans="1:4" x14ac:dyDescent="0.25">
      <c r="A81" s="34" t="s">
        <v>76</v>
      </c>
      <c r="B81" s="35">
        <f>+'coût par ville'!H1030</f>
        <v>2500108</v>
      </c>
      <c r="C81" s="35">
        <f>+'coût par ville'!I1030</f>
        <v>999892</v>
      </c>
      <c r="D81" s="35">
        <f t="shared" si="1"/>
        <v>3500000</v>
      </c>
    </row>
    <row r="82" spans="1:4" x14ac:dyDescent="0.25">
      <c r="A82" s="34" t="s">
        <v>77</v>
      </c>
      <c r="B82" s="35">
        <f>+'coût par ville'!H1037</f>
        <v>994515.00000000012</v>
      </c>
      <c r="C82" s="35">
        <f>+'coût par ville'!I1037</f>
        <v>505485</v>
      </c>
      <c r="D82" s="35">
        <f t="shared" si="1"/>
        <v>1500000</v>
      </c>
    </row>
    <row r="83" spans="1:4" x14ac:dyDescent="0.25">
      <c r="A83" s="34" t="s">
        <v>78</v>
      </c>
      <c r="B83" s="35">
        <f>+'coût par ville'!H1045</f>
        <v>1416717</v>
      </c>
      <c r="C83" s="35">
        <f>+'coût par ville'!I1045</f>
        <v>83283</v>
      </c>
      <c r="D83" s="35">
        <f t="shared" si="1"/>
        <v>1500000</v>
      </c>
    </row>
    <row r="84" spans="1:4" x14ac:dyDescent="0.25">
      <c r="A84" s="34" t="s">
        <v>79</v>
      </c>
      <c r="B84" s="35">
        <f>+'coût par ville'!H1052</f>
        <v>2653331.9999999995</v>
      </c>
      <c r="C84" s="35">
        <f>+'coût par ville'!I1052</f>
        <v>846668</v>
      </c>
      <c r="D84" s="35">
        <f t="shared" si="1"/>
        <v>3499999.9999999995</v>
      </c>
    </row>
    <row r="85" spans="1:4" x14ac:dyDescent="0.25">
      <c r="A85" s="34" t="s">
        <v>80</v>
      </c>
      <c r="B85" s="35">
        <f>+'coût par ville'!H1055</f>
        <v>1500000</v>
      </c>
      <c r="C85" s="35">
        <f>+'coût par ville'!I1055</f>
        <v>500000</v>
      </c>
      <c r="D85" s="35">
        <f t="shared" si="1"/>
        <v>2000000</v>
      </c>
    </row>
    <row r="86" spans="1:4" x14ac:dyDescent="0.25">
      <c r="A86" s="34" t="s">
        <v>81</v>
      </c>
      <c r="B86" s="35">
        <f>+'coût par ville'!H1060</f>
        <v>3500000</v>
      </c>
      <c r="C86" s="35">
        <f>+'coût par ville'!I1060</f>
        <v>0</v>
      </c>
      <c r="D86" s="35">
        <f t="shared" si="1"/>
        <v>3500000</v>
      </c>
    </row>
    <row r="87" spans="1:4" x14ac:dyDescent="0.25">
      <c r="A87" s="34" t="s">
        <v>82</v>
      </c>
      <c r="B87" s="35">
        <f>+'coût par ville'!H1075</f>
        <v>3978131</v>
      </c>
      <c r="C87" s="35">
        <f>+'coût par ville'!I1075</f>
        <v>1021869</v>
      </c>
      <c r="D87" s="35">
        <f t="shared" si="1"/>
        <v>5000000</v>
      </c>
    </row>
    <row r="88" spans="1:4" x14ac:dyDescent="0.25">
      <c r="A88" s="34" t="s">
        <v>83</v>
      </c>
      <c r="B88" s="35">
        <f>+'coût par ville'!H1094</f>
        <v>8598568</v>
      </c>
      <c r="C88" s="35">
        <f>+'coût par ville'!I1094</f>
        <v>1401432</v>
      </c>
      <c r="D88" s="35">
        <f t="shared" si="1"/>
        <v>10000000</v>
      </c>
    </row>
    <row r="89" spans="1:4" x14ac:dyDescent="0.25">
      <c r="A89" s="34" t="s">
        <v>84</v>
      </c>
      <c r="B89" s="35">
        <f>+'coût par ville'!H1107</f>
        <v>3388991.9999999995</v>
      </c>
      <c r="C89" s="35">
        <f>+'coût par ville'!I1107</f>
        <v>111008</v>
      </c>
      <c r="D89" s="35">
        <f t="shared" si="1"/>
        <v>3499999.9999999995</v>
      </c>
    </row>
    <row r="90" spans="1:4" x14ac:dyDescent="0.25">
      <c r="A90" s="34" t="s">
        <v>85</v>
      </c>
      <c r="B90" s="35">
        <f>+'coût par ville'!H1113</f>
        <v>1525541</v>
      </c>
      <c r="C90" s="35">
        <f>+'coût par ville'!I1113</f>
        <v>474459</v>
      </c>
      <c r="D90" s="35">
        <f t="shared" si="1"/>
        <v>2000000</v>
      </c>
    </row>
    <row r="91" spans="1:4" x14ac:dyDescent="0.25">
      <c r="A91" s="34" t="s">
        <v>86</v>
      </c>
      <c r="B91" s="35">
        <f>+'coût par ville'!H1122</f>
        <v>4751667</v>
      </c>
      <c r="C91" s="35">
        <f>+'coût par ville'!I1122</f>
        <v>248333</v>
      </c>
      <c r="D91" s="35">
        <f t="shared" si="1"/>
        <v>5000000</v>
      </c>
    </row>
    <row r="92" spans="1:4" x14ac:dyDescent="0.25">
      <c r="A92" s="34" t="s">
        <v>87</v>
      </c>
      <c r="B92" s="35">
        <f>+'coût par ville'!H1134</f>
        <v>1689750</v>
      </c>
      <c r="C92" s="35">
        <f>+'coût par ville'!I1134</f>
        <v>310250</v>
      </c>
      <c r="D92" s="35">
        <f t="shared" si="1"/>
        <v>2000000</v>
      </c>
    </row>
    <row r="93" spans="1:4" x14ac:dyDescent="0.25">
      <c r="A93" s="34" t="s">
        <v>88</v>
      </c>
      <c r="B93" s="35">
        <f>+'coût par ville'!H1137</f>
        <v>1540000</v>
      </c>
      <c r="C93" s="35">
        <f>+'coût par ville'!I1137</f>
        <v>460000</v>
      </c>
      <c r="D93" s="35">
        <f>SUM(B93:C93)</f>
        <v>2000000</v>
      </c>
    </row>
    <row r="94" spans="1:4" x14ac:dyDescent="0.25">
      <c r="A94" s="34" t="s">
        <v>89</v>
      </c>
      <c r="B94" s="35">
        <f>+'coût par ville'!H1140</f>
        <v>1200000</v>
      </c>
      <c r="C94" s="35">
        <f>+'coût par ville'!I1140</f>
        <v>800000</v>
      </c>
      <c r="D94" s="35">
        <f>SUM(B94:C94)</f>
        <v>2000000</v>
      </c>
    </row>
    <row r="95" spans="1:4" x14ac:dyDescent="0.25">
      <c r="A95" s="34" t="s">
        <v>90</v>
      </c>
      <c r="B95" s="35">
        <f>+'coût par ville'!H1159</f>
        <v>5233057</v>
      </c>
      <c r="C95" s="35">
        <f>+'coût par ville'!I1159</f>
        <v>766943</v>
      </c>
      <c r="D95" s="35">
        <f t="shared" si="1"/>
        <v>6000000</v>
      </c>
    </row>
    <row r="96" spans="1:4" x14ac:dyDescent="0.25">
      <c r="A96" s="34" t="s">
        <v>91</v>
      </c>
      <c r="B96" s="35">
        <f>+'coût par ville'!H1172</f>
        <v>2217576.9999999995</v>
      </c>
      <c r="C96" s="35">
        <f>+'coût par ville'!I1172</f>
        <v>782423</v>
      </c>
      <c r="D96" s="35">
        <f t="shared" si="1"/>
        <v>2999999.9999999995</v>
      </c>
    </row>
    <row r="97" spans="1:4" x14ac:dyDescent="0.25">
      <c r="A97" s="34" t="s">
        <v>92</v>
      </c>
      <c r="B97" s="35">
        <f>+'coût par ville'!H1186</f>
        <v>4620114.0000000009</v>
      </c>
      <c r="C97" s="35">
        <f>+'coût par ville'!I1186</f>
        <v>379886</v>
      </c>
      <c r="D97" s="35">
        <f t="shared" si="1"/>
        <v>5000000.0000000009</v>
      </c>
    </row>
    <row r="98" spans="1:4" x14ac:dyDescent="0.25">
      <c r="A98" s="34" t="s">
        <v>93</v>
      </c>
      <c r="B98" s="35">
        <f>+'coût par ville'!H1200</f>
        <v>3831150</v>
      </c>
      <c r="C98" s="35">
        <f>+'coût par ville'!I1200</f>
        <v>1168850</v>
      </c>
      <c r="D98" s="35">
        <f t="shared" si="1"/>
        <v>5000000</v>
      </c>
    </row>
    <row r="99" spans="1:4" x14ac:dyDescent="0.25">
      <c r="A99" s="34" t="s">
        <v>94</v>
      </c>
      <c r="B99" s="35">
        <f>+'coût par ville'!H1213</f>
        <v>4149526.0000000005</v>
      </c>
      <c r="C99" s="35">
        <f>+'coût par ville'!I1213</f>
        <v>850474</v>
      </c>
      <c r="D99" s="35">
        <f t="shared" si="1"/>
        <v>5000000</v>
      </c>
    </row>
    <row r="100" spans="1:4" x14ac:dyDescent="0.25">
      <c r="A100" s="34" t="s">
        <v>95</v>
      </c>
      <c r="B100" s="35">
        <f>+'coût par ville'!H1222</f>
        <v>1287020</v>
      </c>
      <c r="C100" s="35">
        <f>+'coût par ville'!I1222</f>
        <v>712980</v>
      </c>
      <c r="D100" s="35">
        <f t="shared" si="1"/>
        <v>2000000</v>
      </c>
    </row>
    <row r="101" spans="1:4" x14ac:dyDescent="0.25">
      <c r="A101" s="34" t="s">
        <v>96</v>
      </c>
      <c r="B101" s="35">
        <f>+'coût par ville'!H1237</f>
        <v>1544670.9999999998</v>
      </c>
      <c r="C101" s="35">
        <f>+'coût par ville'!I1237</f>
        <v>455329</v>
      </c>
      <c r="D101" s="35">
        <f t="shared" si="1"/>
        <v>1999999.9999999998</v>
      </c>
    </row>
    <row r="102" spans="1:4" x14ac:dyDescent="0.25">
      <c r="A102" s="34" t="s">
        <v>97</v>
      </c>
      <c r="B102" s="35">
        <f>+'coût par ville'!H1240</f>
        <v>2000000</v>
      </c>
      <c r="C102" s="35">
        <f>+'coût par ville'!I1240</f>
        <v>0</v>
      </c>
      <c r="D102" s="35">
        <f t="shared" si="1"/>
        <v>2000000</v>
      </c>
    </row>
    <row r="103" spans="1:4" x14ac:dyDescent="0.25">
      <c r="A103" s="34" t="s">
        <v>98</v>
      </c>
      <c r="B103" s="35">
        <f>+'coût par ville'!H1243</f>
        <v>2000000</v>
      </c>
      <c r="C103" s="35">
        <f>+'coût par ville'!I1243</f>
        <v>0</v>
      </c>
      <c r="D103" s="35">
        <f t="shared" si="1"/>
        <v>2000000</v>
      </c>
    </row>
    <row r="104" spans="1:4" x14ac:dyDescent="0.25">
      <c r="A104" s="34" t="s">
        <v>99</v>
      </c>
      <c r="B104" s="35">
        <f>+'coût par ville'!H1246</f>
        <v>1500000</v>
      </c>
      <c r="C104" s="35">
        <f>+'coût par ville'!I1246</f>
        <v>0</v>
      </c>
      <c r="D104" s="35">
        <f t="shared" si="1"/>
        <v>1500000</v>
      </c>
    </row>
    <row r="105" spans="1:4" x14ac:dyDescent="0.25">
      <c r="A105" s="34" t="s">
        <v>100</v>
      </c>
      <c r="B105" s="35">
        <f>+'coût par ville'!H1252</f>
        <v>5845811.0000000009</v>
      </c>
      <c r="C105" s="35">
        <f>+'coût par ville'!I1252</f>
        <v>1154189</v>
      </c>
      <c r="D105" s="35">
        <f t="shared" si="1"/>
        <v>7000000.0000000009</v>
      </c>
    </row>
    <row r="106" spans="1:4" x14ac:dyDescent="0.25">
      <c r="A106" s="34" t="s">
        <v>101</v>
      </c>
      <c r="B106" s="35">
        <f>+'coût par ville'!H1256</f>
        <v>1071557</v>
      </c>
      <c r="C106" s="35">
        <f>+'coût par ville'!I1256</f>
        <v>428443</v>
      </c>
      <c r="D106" s="35">
        <f t="shared" si="1"/>
        <v>1500000</v>
      </c>
    </row>
    <row r="107" spans="1:4" x14ac:dyDescent="0.25">
      <c r="A107" s="34" t="s">
        <v>102</v>
      </c>
      <c r="B107" s="35">
        <f>+'coût par ville'!H1264</f>
        <v>993678</v>
      </c>
      <c r="C107" s="35">
        <f>+'coût par ville'!I1264</f>
        <v>506322</v>
      </c>
      <c r="D107" s="35">
        <f t="shared" si="1"/>
        <v>1500000</v>
      </c>
    </row>
    <row r="108" spans="1:4" x14ac:dyDescent="0.25">
      <c r="A108" s="34" t="s">
        <v>103</v>
      </c>
      <c r="B108" s="35">
        <f>+'coût par ville'!H1267</f>
        <v>1051961</v>
      </c>
      <c r="C108" s="35">
        <f>+'coût par ville'!I1267</f>
        <v>448039</v>
      </c>
      <c r="D108" s="35">
        <f t="shared" si="1"/>
        <v>1500000</v>
      </c>
    </row>
    <row r="109" spans="1:4" x14ac:dyDescent="0.25">
      <c r="A109" s="34" t="s">
        <v>104</v>
      </c>
      <c r="B109" s="35">
        <f>+'coût par ville'!H1269</f>
        <v>2000000</v>
      </c>
      <c r="C109" s="35">
        <f>+'coût par ville'!I1269</f>
        <v>0</v>
      </c>
      <c r="D109" s="35">
        <f t="shared" si="1"/>
        <v>2000000</v>
      </c>
    </row>
    <row r="110" spans="1:4" x14ac:dyDescent="0.25">
      <c r="A110" s="34" t="s">
        <v>105</v>
      </c>
      <c r="B110" s="35">
        <f>+'coût par ville'!H1272</f>
        <v>1285000</v>
      </c>
      <c r="C110" s="35">
        <f>+'coût par ville'!I1272</f>
        <v>715000</v>
      </c>
      <c r="D110" s="35">
        <f>+B110+C110</f>
        <v>2000000</v>
      </c>
    </row>
    <row r="111" spans="1:4" x14ac:dyDescent="0.25">
      <c r="A111" s="34" t="s">
        <v>106</v>
      </c>
      <c r="B111" s="35">
        <f>+'coût par ville'!H1275</f>
        <v>2000000</v>
      </c>
      <c r="C111" s="35">
        <f>+'coût par ville'!I1275</f>
        <v>500000</v>
      </c>
      <c r="D111" s="35">
        <f>+B111+C111</f>
        <v>2500000</v>
      </c>
    </row>
    <row r="112" spans="1:4" x14ac:dyDescent="0.25">
      <c r="A112" s="34" t="s">
        <v>107</v>
      </c>
      <c r="B112" s="35">
        <f>+'coût par ville'!H1303</f>
        <v>19271461</v>
      </c>
      <c r="C112" s="35">
        <f>+'coût par ville'!I1303</f>
        <v>728539</v>
      </c>
      <c r="D112" s="35">
        <f t="shared" si="1"/>
        <v>20000000</v>
      </c>
    </row>
    <row r="113" spans="1:4" x14ac:dyDescent="0.25">
      <c r="A113" s="34" t="s">
        <v>108</v>
      </c>
      <c r="B113" s="35">
        <f>+'coût par ville'!H1307</f>
        <v>1480875</v>
      </c>
      <c r="C113" s="35">
        <f>+'coût par ville'!I1307</f>
        <v>19125.000000000004</v>
      </c>
      <c r="D113" s="35">
        <f t="shared" si="1"/>
        <v>1500000</v>
      </c>
    </row>
    <row r="114" spans="1:4" x14ac:dyDescent="0.25">
      <c r="A114" s="34" t="s">
        <v>109</v>
      </c>
      <c r="B114" s="35">
        <f>+'coût par ville'!H1311</f>
        <v>1952209</v>
      </c>
      <c r="C114" s="35">
        <f>+'coût par ville'!I1311</f>
        <v>47791</v>
      </c>
      <c r="D114" s="35">
        <f t="shared" si="1"/>
        <v>2000000</v>
      </c>
    </row>
    <row r="115" spans="1:4" x14ac:dyDescent="0.25">
      <c r="A115" s="34" t="s">
        <v>110</v>
      </c>
      <c r="B115" s="35">
        <f>+'coût par ville'!H1315</f>
        <v>1746137</v>
      </c>
      <c r="C115" s="35">
        <f>+'coût par ville'!I1315</f>
        <v>1253863</v>
      </c>
      <c r="D115" s="35">
        <f t="shared" si="1"/>
        <v>3000000</v>
      </c>
    </row>
    <row r="116" spans="1:4" x14ac:dyDescent="0.25">
      <c r="A116" s="34" t="s">
        <v>111</v>
      </c>
      <c r="B116" s="35">
        <f>+'coût par ville'!H1323</f>
        <v>2952354</v>
      </c>
      <c r="C116" s="35">
        <f>+'coût par ville'!I1323</f>
        <v>47646</v>
      </c>
      <c r="D116" s="35">
        <f t="shared" si="1"/>
        <v>3000000</v>
      </c>
    </row>
    <row r="117" spans="1:4" x14ac:dyDescent="0.25">
      <c r="A117" s="34" t="s">
        <v>112</v>
      </c>
      <c r="B117" s="35">
        <f>+'coût par ville'!H1358</f>
        <v>27288011.000000004</v>
      </c>
      <c r="C117" s="35">
        <f>+'coût par ville'!I1358</f>
        <v>2711989</v>
      </c>
      <c r="D117" s="35">
        <f t="shared" si="1"/>
        <v>30000000.000000004</v>
      </c>
    </row>
    <row r="118" spans="1:4" x14ac:dyDescent="0.25">
      <c r="A118" s="34" t="s">
        <v>113</v>
      </c>
      <c r="B118" s="35">
        <f>+'coût par ville'!H1361</f>
        <v>2200000</v>
      </c>
      <c r="C118" s="35">
        <f>+'coût par ville'!I1361</f>
        <v>300000</v>
      </c>
      <c r="D118" s="35">
        <f t="shared" si="1"/>
        <v>2500000</v>
      </c>
    </row>
    <row r="119" spans="1:4" x14ac:dyDescent="0.25">
      <c r="A119" s="34" t="s">
        <v>114</v>
      </c>
      <c r="B119" s="35">
        <f>+'coût par ville'!H1364</f>
        <v>1550000</v>
      </c>
      <c r="C119" s="35">
        <f>+'coût par ville'!I1364</f>
        <v>950000</v>
      </c>
      <c r="D119" s="35">
        <f t="shared" si="1"/>
        <v>2500000</v>
      </c>
    </row>
    <row r="120" spans="1:4" x14ac:dyDescent="0.25">
      <c r="A120" s="34" t="s">
        <v>115</v>
      </c>
      <c r="B120" s="35">
        <f>+'coût par ville'!H1374</f>
        <v>1678606.0000000002</v>
      </c>
      <c r="C120" s="35">
        <f>+'coût par ville'!I1374</f>
        <v>321394</v>
      </c>
      <c r="D120" s="35">
        <f t="shared" si="1"/>
        <v>2000000.0000000002</v>
      </c>
    </row>
    <row r="121" spans="1:4" x14ac:dyDescent="0.25">
      <c r="A121" s="34" t="s">
        <v>116</v>
      </c>
      <c r="B121" s="35">
        <f>+'coût par ville'!H1377</f>
        <v>2000000</v>
      </c>
      <c r="C121" s="35">
        <f>+'coût par ville'!I1377</f>
        <v>500000</v>
      </c>
      <c r="D121" s="35">
        <f>+B121+C121</f>
        <v>2500000</v>
      </c>
    </row>
    <row r="122" spans="1:4" x14ac:dyDescent="0.25">
      <c r="A122" s="34" t="s">
        <v>117</v>
      </c>
      <c r="B122" s="35">
        <f>+'coût par ville'!H1383</f>
        <v>1478993</v>
      </c>
      <c r="C122" s="35">
        <f>+'coût par ville'!I1383</f>
        <v>21007.000000000015</v>
      </c>
      <c r="D122" s="35">
        <f t="shared" si="1"/>
        <v>1500000</v>
      </c>
    </row>
    <row r="123" spans="1:4" x14ac:dyDescent="0.25">
      <c r="A123" s="34" t="s">
        <v>118</v>
      </c>
      <c r="B123" s="35">
        <f>+'coût par ville'!H1399</f>
        <v>4555597.0000000009</v>
      </c>
      <c r="C123" s="35">
        <f>+'coût par ville'!I1399</f>
        <v>444403</v>
      </c>
      <c r="D123" s="35">
        <f t="shared" si="1"/>
        <v>5000000.0000000009</v>
      </c>
    </row>
    <row r="124" spans="1:4" x14ac:dyDescent="0.25">
      <c r="A124" s="34" t="s">
        <v>119</v>
      </c>
      <c r="B124" s="35">
        <f>+'coût par ville'!H1406</f>
        <v>2905236</v>
      </c>
      <c r="C124" s="35">
        <f>+'coût par ville'!I1406</f>
        <v>594764</v>
      </c>
      <c r="D124" s="35">
        <f t="shared" si="1"/>
        <v>3500000</v>
      </c>
    </row>
    <row r="125" spans="1:4" x14ac:dyDescent="0.25">
      <c r="A125" s="34" t="s">
        <v>120</v>
      </c>
      <c r="B125" s="35">
        <f>+'coût par ville'!H1418</f>
        <v>3223023.9999999995</v>
      </c>
      <c r="C125" s="35">
        <f>+'coût par ville'!I1418</f>
        <v>276976</v>
      </c>
      <c r="D125" s="35">
        <f t="shared" si="1"/>
        <v>3499999.9999999995</v>
      </c>
    </row>
    <row r="126" spans="1:4" x14ac:dyDescent="0.25">
      <c r="A126" s="34" t="s">
        <v>121</v>
      </c>
      <c r="B126" s="35">
        <f>+'coût par ville'!H1432</f>
        <v>2365741</v>
      </c>
      <c r="C126" s="35">
        <f>+'coût par ville'!I1432</f>
        <v>634259</v>
      </c>
      <c r="D126" s="35">
        <f t="shared" si="1"/>
        <v>3000000</v>
      </c>
    </row>
    <row r="127" spans="1:4" x14ac:dyDescent="0.25">
      <c r="A127" s="34" t="s">
        <v>122</v>
      </c>
      <c r="B127" s="35">
        <f>+'coût par ville'!H1440</f>
        <v>1903759</v>
      </c>
      <c r="C127" s="35">
        <f>+'coût par ville'!I1440</f>
        <v>96241</v>
      </c>
      <c r="D127" s="35">
        <f t="shared" si="1"/>
        <v>2000000</v>
      </c>
    </row>
    <row r="128" spans="1:4" x14ac:dyDescent="0.25">
      <c r="A128" s="34" t="s">
        <v>123</v>
      </c>
      <c r="B128" s="35">
        <f>+'coût par ville'!H1453</f>
        <v>1381754.0000000002</v>
      </c>
      <c r="C128" s="35">
        <f>+'coût par ville'!I1453</f>
        <v>118246</v>
      </c>
      <c r="D128" s="35">
        <f t="shared" si="1"/>
        <v>1500000.0000000002</v>
      </c>
    </row>
    <row r="129" spans="1:4" x14ac:dyDescent="0.25">
      <c r="A129" s="34" t="s">
        <v>124</v>
      </c>
      <c r="B129" s="35">
        <f>+'coût par ville'!H1461</f>
        <v>842280</v>
      </c>
      <c r="C129" s="35">
        <f>+'coût par ville'!I1461</f>
        <v>657720</v>
      </c>
      <c r="D129" s="35">
        <f t="shared" si="1"/>
        <v>1500000</v>
      </c>
    </row>
    <row r="130" spans="1:4" x14ac:dyDescent="0.25">
      <c r="A130" s="34" t="s">
        <v>125</v>
      </c>
      <c r="B130" s="35">
        <f>+'coût par ville'!H1480</f>
        <v>10774931</v>
      </c>
      <c r="C130" s="35">
        <f>+'coût par ville'!I1480</f>
        <v>1225069</v>
      </c>
      <c r="D130" s="35">
        <f t="shared" si="1"/>
        <v>12000000</v>
      </c>
    </row>
    <row r="131" spans="1:4" x14ac:dyDescent="0.25">
      <c r="A131" s="34" t="s">
        <v>126</v>
      </c>
      <c r="B131" s="35">
        <f>+'coût par ville'!H1483</f>
        <v>3000000</v>
      </c>
      <c r="C131" s="35">
        <f>+'coût par ville'!I1483</f>
        <v>2000000</v>
      </c>
      <c r="D131" s="35">
        <f t="shared" si="1"/>
        <v>5000000</v>
      </c>
    </row>
    <row r="132" spans="1:4" x14ac:dyDescent="0.25">
      <c r="A132" s="34" t="s">
        <v>127</v>
      </c>
      <c r="B132" s="35">
        <f>+'coût par ville'!H1520</f>
        <v>22660270</v>
      </c>
      <c r="C132" s="35">
        <f>+'coût par ville'!I1520</f>
        <v>2339730</v>
      </c>
      <c r="D132" s="35">
        <f t="shared" si="1"/>
        <v>25000000</v>
      </c>
    </row>
    <row r="133" spans="1:4" x14ac:dyDescent="0.25">
      <c r="A133" s="34" t="s">
        <v>128</v>
      </c>
      <c r="B133" s="35">
        <f>+'coût par ville'!H1526</f>
        <v>1177445</v>
      </c>
      <c r="C133" s="35">
        <f>+'coût par ville'!I1526</f>
        <v>322555</v>
      </c>
      <c r="D133" s="35">
        <f t="shared" si="1"/>
        <v>1500000</v>
      </c>
    </row>
    <row r="134" spans="1:4" x14ac:dyDescent="0.25">
      <c r="A134" s="34" t="s">
        <v>129</v>
      </c>
      <c r="B134" s="35">
        <f>+'coût par ville'!H1529</f>
        <v>1500000</v>
      </c>
      <c r="C134" s="35">
        <f>+'coût par ville'!I1529</f>
        <v>0</v>
      </c>
      <c r="D134" s="35">
        <f t="shared" si="1"/>
        <v>1500000</v>
      </c>
    </row>
    <row r="135" spans="1:4" x14ac:dyDescent="0.25">
      <c r="A135" s="34" t="s">
        <v>130</v>
      </c>
      <c r="B135" s="35">
        <f>+'coût par ville'!H1546</f>
        <v>4676340</v>
      </c>
      <c r="C135" s="35">
        <f>+'coût par ville'!I1546</f>
        <v>323660</v>
      </c>
      <c r="D135" s="35">
        <f t="shared" si="1"/>
        <v>5000000</v>
      </c>
    </row>
    <row r="136" spans="1:4" x14ac:dyDescent="0.25">
      <c r="A136" s="34" t="s">
        <v>131</v>
      </c>
      <c r="B136" s="35">
        <f>+'coût par ville'!H1549</f>
        <v>1132353</v>
      </c>
      <c r="C136" s="35">
        <f>+'coût par ville'!I1549</f>
        <v>367647</v>
      </c>
      <c r="D136" s="35">
        <f t="shared" si="1"/>
        <v>1500000</v>
      </c>
    </row>
    <row r="137" spans="1:4" x14ac:dyDescent="0.25">
      <c r="A137" s="34" t="s">
        <v>132</v>
      </c>
      <c r="B137" s="35">
        <f>+'coût par ville'!H1554</f>
        <v>1688931</v>
      </c>
      <c r="C137" s="35">
        <f>+'coût par ville'!I1554</f>
        <v>311069</v>
      </c>
      <c r="D137" s="35">
        <f t="shared" si="1"/>
        <v>2000000</v>
      </c>
    </row>
    <row r="138" spans="1:4" x14ac:dyDescent="0.25">
      <c r="A138" s="34" t="s">
        <v>133</v>
      </c>
      <c r="B138" s="35">
        <f>+'coût par ville'!H1574</f>
        <v>3281627.0000000005</v>
      </c>
      <c r="C138" s="35">
        <f>+'coût par ville'!I1574</f>
        <v>218373</v>
      </c>
      <c r="D138" s="35">
        <f t="shared" si="1"/>
        <v>3500000.0000000005</v>
      </c>
    </row>
    <row r="139" spans="1:4" x14ac:dyDescent="0.25">
      <c r="A139" s="34" t="s">
        <v>134</v>
      </c>
      <c r="B139" s="35">
        <f>+'coût par ville'!H1581</f>
        <v>1146583</v>
      </c>
      <c r="C139" s="35">
        <f>+'coût par ville'!I1581</f>
        <v>353417</v>
      </c>
      <c r="D139" s="35">
        <f t="shared" si="1"/>
        <v>1500000</v>
      </c>
    </row>
    <row r="140" spans="1:4" x14ac:dyDescent="0.25">
      <c r="A140" s="34" t="s">
        <v>135</v>
      </c>
      <c r="B140" s="35">
        <f>+'coût par ville'!H1587</f>
        <v>951360</v>
      </c>
      <c r="C140" s="35">
        <f>+'coût par ville'!I1587</f>
        <v>548640</v>
      </c>
      <c r="D140" s="35">
        <f t="shared" si="1"/>
        <v>1500000</v>
      </c>
    </row>
    <row r="141" spans="1:4" x14ac:dyDescent="0.25">
      <c r="A141" s="34" t="s">
        <v>136</v>
      </c>
      <c r="B141" s="35">
        <f>+'coût par ville'!H1606</f>
        <v>2038429.9999999998</v>
      </c>
      <c r="C141" s="35">
        <f>+'coût par ville'!I1606</f>
        <v>961570</v>
      </c>
      <c r="D141" s="35">
        <f t="shared" si="1"/>
        <v>3000000</v>
      </c>
    </row>
    <row r="142" spans="1:4" x14ac:dyDescent="0.25">
      <c r="A142" s="34" t="s">
        <v>137</v>
      </c>
      <c r="B142" s="35">
        <f>+'coût par ville'!H1616</f>
        <v>1116577.9999999998</v>
      </c>
      <c r="C142" s="35">
        <f>+'coût par ville'!I1616</f>
        <v>383422</v>
      </c>
      <c r="D142" s="35">
        <f t="shared" si="1"/>
        <v>1499999.9999999998</v>
      </c>
    </row>
    <row r="143" spans="1:4" x14ac:dyDescent="0.25">
      <c r="A143" s="34" t="s">
        <v>138</v>
      </c>
      <c r="B143" s="35">
        <f>+'coût par ville'!H1623</f>
        <v>1488369.0000000002</v>
      </c>
      <c r="C143" s="35">
        <f>+'coût par ville'!I1623</f>
        <v>11631.000000000007</v>
      </c>
      <c r="D143" s="35">
        <f t="shared" si="1"/>
        <v>1500000.0000000002</v>
      </c>
    </row>
    <row r="144" spans="1:4" x14ac:dyDescent="0.25">
      <c r="A144" s="34" t="s">
        <v>139</v>
      </c>
      <c r="B144" s="35">
        <f>+'coût par ville'!H1627</f>
        <v>1500000</v>
      </c>
      <c r="C144" s="35">
        <f>+'coût par ville'!I1627</f>
        <v>0</v>
      </c>
      <c r="D144" s="35">
        <f t="shared" si="1"/>
        <v>1500000</v>
      </c>
    </row>
    <row r="145" spans="1:4" x14ac:dyDescent="0.25">
      <c r="A145" s="34" t="s">
        <v>140</v>
      </c>
      <c r="B145" s="35">
        <f>+'coût par ville'!H1646</f>
        <v>4120174.9999999995</v>
      </c>
      <c r="C145" s="35">
        <f>+'coût par ville'!I1646</f>
        <v>879825</v>
      </c>
      <c r="D145" s="35">
        <f t="shared" si="1"/>
        <v>5000000</v>
      </c>
    </row>
    <row r="146" spans="1:4" x14ac:dyDescent="0.25">
      <c r="A146" s="34" t="s">
        <v>141</v>
      </c>
      <c r="B146" s="35">
        <f>+'coût par ville'!H1655</f>
        <v>4472929</v>
      </c>
      <c r="C146" s="35">
        <f>+'coût par ville'!I1655</f>
        <v>527071</v>
      </c>
      <c r="D146" s="35">
        <f t="shared" si="1"/>
        <v>5000000</v>
      </c>
    </row>
    <row r="147" spans="1:4" x14ac:dyDescent="0.25">
      <c r="A147" s="34" t="s">
        <v>142</v>
      </c>
      <c r="B147" s="35">
        <f>+'coût par ville'!H1658</f>
        <v>1162718</v>
      </c>
      <c r="C147" s="35">
        <f>+'coût par ville'!I1658</f>
        <v>337282</v>
      </c>
      <c r="D147" s="35">
        <f t="shared" si="1"/>
        <v>1500000</v>
      </c>
    </row>
    <row r="148" spans="1:4" x14ac:dyDescent="0.25">
      <c r="A148" s="34" t="s">
        <v>143</v>
      </c>
      <c r="B148" s="35">
        <f>+'coût par ville'!H1672</f>
        <v>1215476</v>
      </c>
      <c r="C148" s="35">
        <f>+'coût par ville'!I1672</f>
        <v>784523.99999999988</v>
      </c>
      <c r="D148" s="35">
        <f t="shared" si="1"/>
        <v>2000000</v>
      </c>
    </row>
    <row r="149" spans="1:4" x14ac:dyDescent="0.25">
      <c r="A149" s="34" t="s">
        <v>144</v>
      </c>
      <c r="B149" s="35">
        <f>+'coût par ville'!H1686</f>
        <v>4507558.0000000009</v>
      </c>
      <c r="C149" s="35">
        <f>+'coût par ville'!I1686</f>
        <v>492442</v>
      </c>
      <c r="D149" s="35">
        <f t="shared" si="1"/>
        <v>5000000.0000000009</v>
      </c>
    </row>
    <row r="150" spans="1:4" x14ac:dyDescent="0.25">
      <c r="A150" s="34" t="s">
        <v>145</v>
      </c>
      <c r="B150" s="35">
        <f>+'coût par ville'!H1697</f>
        <v>3405453</v>
      </c>
      <c r="C150" s="35">
        <f>+'coût par ville'!I1697</f>
        <v>94547</v>
      </c>
      <c r="D150" s="35">
        <f t="shared" ref="D150:D179" si="2">+B150+C150</f>
        <v>3500000</v>
      </c>
    </row>
    <row r="151" spans="1:4" x14ac:dyDescent="0.25">
      <c r="A151" s="34" t="s">
        <v>146</v>
      </c>
      <c r="B151" s="35">
        <f>+'coût par ville'!H1720</f>
        <v>12040882</v>
      </c>
      <c r="C151" s="35">
        <f>+'coût par ville'!I1720</f>
        <v>2959118</v>
      </c>
      <c r="D151" s="35">
        <f t="shared" si="2"/>
        <v>15000000</v>
      </c>
    </row>
    <row r="152" spans="1:4" x14ac:dyDescent="0.25">
      <c r="A152" s="34" t="s">
        <v>147</v>
      </c>
      <c r="B152" s="35">
        <f>+'coût par ville'!H1753</f>
        <v>64345294.999999993</v>
      </c>
      <c r="C152" s="35">
        <f>+'coût par ville'!I1753</f>
        <v>5654705</v>
      </c>
      <c r="D152" s="35">
        <f t="shared" si="2"/>
        <v>70000000</v>
      </c>
    </row>
    <row r="153" spans="1:4" x14ac:dyDescent="0.25">
      <c r="A153" s="34" t="s">
        <v>148</v>
      </c>
      <c r="B153" s="35">
        <f>+'coût par ville'!H1763</f>
        <v>1121181</v>
      </c>
      <c r="C153" s="35">
        <f>+'coût par ville'!I1763</f>
        <v>378819</v>
      </c>
      <c r="D153" s="35">
        <f t="shared" si="2"/>
        <v>1500000</v>
      </c>
    </row>
    <row r="154" spans="1:4" x14ac:dyDescent="0.25">
      <c r="A154" s="34" t="s">
        <v>149</v>
      </c>
      <c r="B154" s="35">
        <f>+'coût par ville'!H1779</f>
        <v>1892281</v>
      </c>
      <c r="C154" s="35">
        <f>+'coût par ville'!I1779</f>
        <v>607719</v>
      </c>
      <c r="D154" s="35">
        <f t="shared" si="2"/>
        <v>2500000</v>
      </c>
    </row>
    <row r="155" spans="1:4" x14ac:dyDescent="0.25">
      <c r="A155" s="34" t="s">
        <v>150</v>
      </c>
      <c r="B155" s="35">
        <f>+'coût par ville'!H1782</f>
        <v>2480000</v>
      </c>
      <c r="C155" s="35">
        <f>+'coût par ville'!I1782</f>
        <v>1520000</v>
      </c>
      <c r="D155" s="35">
        <f t="shared" si="2"/>
        <v>4000000</v>
      </c>
    </row>
    <row r="156" spans="1:4" x14ac:dyDescent="0.25">
      <c r="A156" s="34" t="s">
        <v>151</v>
      </c>
      <c r="B156" s="35">
        <f>+'coût par ville'!H1790</f>
        <v>3461098.9999999995</v>
      </c>
      <c r="C156" s="35">
        <f>+'coût par ville'!I1790</f>
        <v>38901</v>
      </c>
      <c r="D156" s="35">
        <f t="shared" si="2"/>
        <v>3499999.9999999995</v>
      </c>
    </row>
    <row r="157" spans="1:4" x14ac:dyDescent="0.25">
      <c r="A157" s="34" t="s">
        <v>152</v>
      </c>
      <c r="B157" s="35">
        <f>+'coût par ville'!H1797</f>
        <v>1305830</v>
      </c>
      <c r="C157" s="35">
        <f>+'coût par ville'!I1797</f>
        <v>694170</v>
      </c>
      <c r="D157" s="35">
        <f t="shared" si="2"/>
        <v>2000000</v>
      </c>
    </row>
    <row r="158" spans="1:4" x14ac:dyDescent="0.25">
      <c r="A158" s="34" t="s">
        <v>153</v>
      </c>
      <c r="B158" s="35">
        <f>+'coût par ville'!H1821</f>
        <v>17754616</v>
      </c>
      <c r="C158" s="35">
        <f>+'coût par ville'!I1821</f>
        <v>2245384</v>
      </c>
      <c r="D158" s="35">
        <f t="shared" si="2"/>
        <v>20000000</v>
      </c>
    </row>
    <row r="159" spans="1:4" x14ac:dyDescent="0.25">
      <c r="A159" s="34" t="s">
        <v>154</v>
      </c>
      <c r="B159" s="35">
        <f>+'coût par ville'!H1828</f>
        <v>1487456.9999999998</v>
      </c>
      <c r="C159" s="35">
        <f>+'coût par ville'!I1828</f>
        <v>12543.000000000002</v>
      </c>
      <c r="D159" s="35">
        <f t="shared" si="2"/>
        <v>1499999.9999999998</v>
      </c>
    </row>
    <row r="160" spans="1:4" x14ac:dyDescent="0.25">
      <c r="A160" s="34" t="s">
        <v>155</v>
      </c>
      <c r="B160" s="35">
        <f>+'coût par ville'!H1839</f>
        <v>1409031</v>
      </c>
      <c r="C160" s="35">
        <f>+'coût par ville'!I1839</f>
        <v>90969</v>
      </c>
      <c r="D160" s="35">
        <f t="shared" si="2"/>
        <v>1500000</v>
      </c>
    </row>
    <row r="161" spans="1:4" x14ac:dyDescent="0.25">
      <c r="A161" s="34" t="s">
        <v>156</v>
      </c>
      <c r="B161" s="35">
        <f>+'coût par ville'!H1842</f>
        <v>1250000</v>
      </c>
      <c r="C161" s="35">
        <f>+'coût par ville'!I1842</f>
        <v>750000</v>
      </c>
      <c r="D161" s="35">
        <f t="shared" si="2"/>
        <v>2000000</v>
      </c>
    </row>
    <row r="162" spans="1:4" x14ac:dyDescent="0.25">
      <c r="A162" s="34" t="s">
        <v>157</v>
      </c>
      <c r="B162" s="35">
        <f>+'coût par ville'!H1853</f>
        <v>4382363</v>
      </c>
      <c r="C162" s="35">
        <f>+'coût par ville'!I1853</f>
        <v>617637</v>
      </c>
      <c r="D162" s="35">
        <f t="shared" si="2"/>
        <v>5000000</v>
      </c>
    </row>
    <row r="163" spans="1:4" x14ac:dyDescent="0.25">
      <c r="A163" s="34" t="s">
        <v>158</v>
      </c>
      <c r="B163" s="35">
        <f>+'coût par ville'!H1856</f>
        <v>1475000</v>
      </c>
      <c r="C163" s="35">
        <f>+'coût par ville'!I1856</f>
        <v>1025000</v>
      </c>
      <c r="D163" s="35">
        <f t="shared" si="2"/>
        <v>2500000</v>
      </c>
    </row>
    <row r="164" spans="1:4" x14ac:dyDescent="0.25">
      <c r="A164" s="34" t="s">
        <v>159</v>
      </c>
      <c r="B164" s="35">
        <f>+'coût par ville'!H1860</f>
        <v>1474999.9999999998</v>
      </c>
      <c r="C164" s="35">
        <f>+'coût par ville'!I1860</f>
        <v>1025000</v>
      </c>
      <c r="D164" s="35">
        <f t="shared" si="2"/>
        <v>2500000</v>
      </c>
    </row>
    <row r="165" spans="1:4" x14ac:dyDescent="0.25">
      <c r="A165" s="34" t="s">
        <v>160</v>
      </c>
      <c r="B165" s="35">
        <f>+'coût par ville'!H1870</f>
        <v>2570558</v>
      </c>
      <c r="C165" s="35">
        <f>+'coût par ville'!I1870</f>
        <v>929442</v>
      </c>
      <c r="D165" s="35">
        <f t="shared" si="2"/>
        <v>3500000</v>
      </c>
    </row>
    <row r="166" spans="1:4" x14ac:dyDescent="0.25">
      <c r="A166" s="34" t="s">
        <v>161</v>
      </c>
      <c r="B166" s="35">
        <f>+'coût par ville'!H1877</f>
        <v>1475681</v>
      </c>
      <c r="C166" s="35">
        <f>+'coût par ville'!I1877</f>
        <v>24318.999999999945</v>
      </c>
      <c r="D166" s="35">
        <f t="shared" si="2"/>
        <v>1500000</v>
      </c>
    </row>
    <row r="167" spans="1:4" x14ac:dyDescent="0.25">
      <c r="A167" s="34" t="s">
        <v>162</v>
      </c>
      <c r="B167" s="35">
        <f>+'coût par ville'!H1883</f>
        <v>872000</v>
      </c>
      <c r="C167" s="35">
        <f>+'coût par ville'!I1883</f>
        <v>628000</v>
      </c>
      <c r="D167" s="35">
        <f t="shared" si="2"/>
        <v>1500000</v>
      </c>
    </row>
    <row r="168" spans="1:4" x14ac:dyDescent="0.25">
      <c r="A168" s="34" t="s">
        <v>163</v>
      </c>
      <c r="B168" s="35">
        <f>+'coût par ville'!H1889</f>
        <v>1077864</v>
      </c>
      <c r="C168" s="35">
        <f>+'coût par ville'!I1889</f>
        <v>422136</v>
      </c>
      <c r="D168" s="35">
        <f t="shared" si="2"/>
        <v>1500000</v>
      </c>
    </row>
    <row r="169" spans="1:4" x14ac:dyDescent="0.25">
      <c r="A169" s="34" t="s">
        <v>164</v>
      </c>
      <c r="B169" s="35">
        <f>+'coût par ville'!H1891</f>
        <v>1071429</v>
      </c>
      <c r="C169" s="35">
        <f>+'coût par ville'!I1891</f>
        <v>428571</v>
      </c>
      <c r="D169" s="35">
        <f t="shared" si="2"/>
        <v>1500000</v>
      </c>
    </row>
    <row r="170" spans="1:4" x14ac:dyDescent="0.25">
      <c r="A170" s="34" t="s">
        <v>165</v>
      </c>
      <c r="B170" s="35">
        <f>+'coût par ville'!H1907</f>
        <v>2381956</v>
      </c>
      <c r="C170" s="35">
        <f>+'coût par ville'!I1907</f>
        <v>118044</v>
      </c>
      <c r="D170" s="35">
        <f t="shared" si="2"/>
        <v>2500000</v>
      </c>
    </row>
    <row r="171" spans="1:4" x14ac:dyDescent="0.25">
      <c r="A171" s="34" t="s">
        <v>166</v>
      </c>
      <c r="B171" s="35">
        <f>+'coût par ville'!H1917</f>
        <v>1285010.0000000002</v>
      </c>
      <c r="C171" s="35">
        <f>+'coût par ville'!I1917</f>
        <v>714990</v>
      </c>
      <c r="D171" s="35">
        <f t="shared" si="2"/>
        <v>2000000.0000000002</v>
      </c>
    </row>
    <row r="172" spans="1:4" x14ac:dyDescent="0.25">
      <c r="A172" s="34" t="s">
        <v>167</v>
      </c>
      <c r="B172" s="35">
        <f>+'coût par ville'!H1931</f>
        <v>4755932</v>
      </c>
      <c r="C172" s="35">
        <f>+'coût par ville'!I1931</f>
        <v>1244068</v>
      </c>
      <c r="D172" s="35">
        <f t="shared" si="2"/>
        <v>6000000</v>
      </c>
    </row>
    <row r="173" spans="1:4" x14ac:dyDescent="0.25">
      <c r="A173" s="34" t="s">
        <v>168</v>
      </c>
      <c r="B173" s="35">
        <f>+'coût par ville'!H1941</f>
        <v>1929476</v>
      </c>
      <c r="C173" s="35">
        <f>+'coût par ville'!I1941</f>
        <v>70524</v>
      </c>
      <c r="D173" s="35">
        <f t="shared" si="2"/>
        <v>2000000</v>
      </c>
    </row>
    <row r="174" spans="1:4" x14ac:dyDescent="0.25">
      <c r="A174" s="34" t="s">
        <v>169</v>
      </c>
      <c r="B174" s="35">
        <f>+'coût par ville'!H1950</f>
        <v>1956768</v>
      </c>
      <c r="C174" s="35">
        <f>+'coût par ville'!I1950</f>
        <v>43232</v>
      </c>
      <c r="D174" s="35">
        <f t="shared" si="2"/>
        <v>2000000</v>
      </c>
    </row>
    <row r="175" spans="1:4" x14ac:dyDescent="0.25">
      <c r="A175" s="34" t="s">
        <v>170</v>
      </c>
      <c r="B175" s="35">
        <f>+'coût par ville'!H1970</f>
        <v>2107636</v>
      </c>
      <c r="C175" s="35">
        <f>+'coût par ville'!I1970</f>
        <v>392364</v>
      </c>
      <c r="D175" s="35">
        <f t="shared" si="2"/>
        <v>2500000</v>
      </c>
    </row>
    <row r="176" spans="1:4" x14ac:dyDescent="0.25">
      <c r="A176" s="34" t="s">
        <v>171</v>
      </c>
      <c r="B176" s="35">
        <f>+'coût par ville'!H1989</f>
        <v>13144022</v>
      </c>
      <c r="C176" s="35">
        <f>+'coût par ville'!I1989</f>
        <v>1855978</v>
      </c>
      <c r="D176" s="35">
        <f t="shared" si="2"/>
        <v>15000000</v>
      </c>
    </row>
    <row r="177" spans="1:4" x14ac:dyDescent="0.25">
      <c r="A177" s="34" t="s">
        <v>172</v>
      </c>
      <c r="B177" s="35">
        <f>+'coût par ville'!H1999</f>
        <v>1922846</v>
      </c>
      <c r="C177" s="35">
        <f>+'coût par ville'!I1999</f>
        <v>77154</v>
      </c>
      <c r="D177" s="35">
        <f t="shared" si="2"/>
        <v>2000000</v>
      </c>
    </row>
    <row r="178" spans="1:4" x14ac:dyDescent="0.25">
      <c r="A178" s="34" t="s">
        <v>173</v>
      </c>
      <c r="B178" s="35">
        <f>+'coût par ville'!H2008</f>
        <v>2100310</v>
      </c>
      <c r="C178" s="35">
        <f>+'coût par ville'!I2008</f>
        <v>399690.00000000006</v>
      </c>
      <c r="D178" s="35">
        <f t="shared" si="2"/>
        <v>2500000</v>
      </c>
    </row>
    <row r="179" spans="1:4" x14ac:dyDescent="0.25">
      <c r="A179" s="34" t="s">
        <v>174</v>
      </c>
      <c r="B179" s="64">
        <f>+'coût par ville'!H2010</f>
        <v>1050000</v>
      </c>
      <c r="C179" s="64">
        <f>+'coût par ville'!I2010</f>
        <v>450000</v>
      </c>
      <c r="D179" s="35">
        <f t="shared" si="2"/>
        <v>1500000</v>
      </c>
    </row>
    <row r="180" spans="1:4" x14ac:dyDescent="0.25">
      <c r="A180" s="34" t="s">
        <v>175</v>
      </c>
      <c r="B180" s="35">
        <f>+'coût par ville'!H2014</f>
        <v>2000000</v>
      </c>
      <c r="C180" s="35">
        <f>+'coût par ville'!I2014</f>
        <v>0</v>
      </c>
      <c r="D180" s="35">
        <f>+B180+C180</f>
        <v>2000000</v>
      </c>
    </row>
    <row r="181" spans="1:4" x14ac:dyDescent="0.25">
      <c r="A181" s="34" t="s">
        <v>176</v>
      </c>
      <c r="B181" s="35">
        <f>+'coût par ville'!H2026</f>
        <v>1558469.9999999998</v>
      </c>
      <c r="C181" s="35">
        <f>+'coût par ville'!I2026</f>
        <v>441530</v>
      </c>
      <c r="D181" s="35">
        <f t="shared" ref="D181:D208" si="3">+B181+C181</f>
        <v>1999999.9999999998</v>
      </c>
    </row>
    <row r="182" spans="1:4" x14ac:dyDescent="0.25">
      <c r="A182" s="34" t="s">
        <v>177</v>
      </c>
      <c r="B182" s="35">
        <f>+'coût par ville'!H2029</f>
        <v>1143758</v>
      </c>
      <c r="C182" s="35">
        <f>+'coût par ville'!I2029</f>
        <v>356242</v>
      </c>
      <c r="D182" s="35">
        <f t="shared" si="3"/>
        <v>1500000</v>
      </c>
    </row>
    <row r="183" spans="1:4" x14ac:dyDescent="0.25">
      <c r="A183" s="34" t="s">
        <v>178</v>
      </c>
      <c r="B183" s="35">
        <f>+'coût par ville'!H2038</f>
        <v>862086</v>
      </c>
      <c r="C183" s="35">
        <f>+'coût par ville'!I2038</f>
        <v>637914</v>
      </c>
      <c r="D183" s="35">
        <f t="shared" si="3"/>
        <v>1500000</v>
      </c>
    </row>
    <row r="184" spans="1:4" x14ac:dyDescent="0.25">
      <c r="A184" s="34" t="s">
        <v>179</v>
      </c>
      <c r="B184" s="35">
        <f>+'coût par ville'!H2053</f>
        <v>2861670.9999999995</v>
      </c>
      <c r="C184" s="35">
        <f>+'coût par ville'!I2053</f>
        <v>138329</v>
      </c>
      <c r="D184" s="35">
        <f t="shared" si="3"/>
        <v>2999999.9999999995</v>
      </c>
    </row>
    <row r="185" spans="1:4" x14ac:dyDescent="0.25">
      <c r="A185" s="34" t="s">
        <v>180</v>
      </c>
      <c r="B185" s="35">
        <f>+'coût par ville'!H2058</f>
        <v>662162</v>
      </c>
      <c r="C185" s="35">
        <f>+'coût par ville'!I2058</f>
        <v>337838</v>
      </c>
      <c r="D185" s="35">
        <f t="shared" si="3"/>
        <v>1000000</v>
      </c>
    </row>
    <row r="186" spans="1:4" x14ac:dyDescent="0.25">
      <c r="A186" s="34" t="s">
        <v>181</v>
      </c>
      <c r="B186" s="35">
        <f>+'coût par ville'!H2075</f>
        <v>1105612.9999999998</v>
      </c>
      <c r="C186" s="35">
        <f>+'coût par ville'!I2075</f>
        <v>394387</v>
      </c>
      <c r="D186" s="35">
        <f t="shared" si="3"/>
        <v>1499999.9999999998</v>
      </c>
    </row>
    <row r="187" spans="1:4" x14ac:dyDescent="0.25">
      <c r="A187" s="34" t="s">
        <v>182</v>
      </c>
      <c r="B187" s="35">
        <f>+'coût par ville'!H2078</f>
        <v>2000000</v>
      </c>
      <c r="C187" s="35">
        <f>+'coût par ville'!I2078</f>
        <v>500000</v>
      </c>
      <c r="D187" s="35">
        <f t="shared" si="3"/>
        <v>2500000</v>
      </c>
    </row>
    <row r="188" spans="1:4" x14ac:dyDescent="0.25">
      <c r="A188" s="34" t="s">
        <v>183</v>
      </c>
      <c r="B188" s="35">
        <f>+'coût par ville'!H2081</f>
        <v>500000</v>
      </c>
      <c r="C188" s="35">
        <f>+'coût par ville'!I2081</f>
        <v>1000000</v>
      </c>
      <c r="D188" s="35">
        <f t="shared" si="3"/>
        <v>1500000</v>
      </c>
    </row>
    <row r="189" spans="1:4" x14ac:dyDescent="0.25">
      <c r="A189" s="34" t="s">
        <v>184</v>
      </c>
      <c r="B189" s="35">
        <f>+'coût par ville'!H2087</f>
        <v>1324799</v>
      </c>
      <c r="C189" s="35">
        <f>+'coût par ville'!I2087</f>
        <v>175201</v>
      </c>
      <c r="D189" s="35">
        <f t="shared" si="3"/>
        <v>1500000</v>
      </c>
    </row>
    <row r="190" spans="1:4" x14ac:dyDescent="0.25">
      <c r="A190" s="34" t="s">
        <v>185</v>
      </c>
      <c r="B190" s="35">
        <f>+'coût par ville'!H2092</f>
        <v>1869415</v>
      </c>
      <c r="C190" s="35">
        <f>+'coût par ville'!I2092</f>
        <v>130585</v>
      </c>
      <c r="D190" s="35">
        <f t="shared" si="3"/>
        <v>2000000</v>
      </c>
    </row>
    <row r="191" spans="1:4" x14ac:dyDescent="0.25">
      <c r="A191" s="34" t="s">
        <v>186</v>
      </c>
      <c r="B191" s="35">
        <f>+'coût par ville'!H2107</f>
        <v>2014292</v>
      </c>
      <c r="C191" s="35">
        <f>+'coût par ville'!I2107</f>
        <v>485708</v>
      </c>
      <c r="D191" s="35">
        <f t="shared" si="3"/>
        <v>2500000</v>
      </c>
    </row>
    <row r="192" spans="1:4" x14ac:dyDescent="0.25">
      <c r="A192" s="34" t="s">
        <v>187</v>
      </c>
      <c r="B192" s="35">
        <f>+'coût par ville'!H2110</f>
        <v>1090000</v>
      </c>
      <c r="C192" s="35">
        <f>+'coût par ville'!I2110</f>
        <v>910000</v>
      </c>
      <c r="D192" s="35">
        <f>+B192+C192</f>
        <v>2000000</v>
      </c>
    </row>
    <row r="193" spans="1:4" x14ac:dyDescent="0.25">
      <c r="A193" s="34" t="s">
        <v>188</v>
      </c>
      <c r="B193" s="35">
        <f>+'coût par ville'!H2116</f>
        <v>1210907</v>
      </c>
      <c r="C193" s="35">
        <f>+'coût par ville'!I2116</f>
        <v>289093</v>
      </c>
      <c r="D193" s="35">
        <f t="shared" si="3"/>
        <v>1500000</v>
      </c>
    </row>
    <row r="194" spans="1:4" x14ac:dyDescent="0.25">
      <c r="A194" s="34" t="s">
        <v>189</v>
      </c>
      <c r="B194" s="35">
        <f>+'coût par ville'!H2131</f>
        <v>2165572</v>
      </c>
      <c r="C194" s="35">
        <f>+'coût par ville'!I2131</f>
        <v>334428</v>
      </c>
      <c r="D194" s="35">
        <f t="shared" si="3"/>
        <v>2500000</v>
      </c>
    </row>
    <row r="195" spans="1:4" x14ac:dyDescent="0.25">
      <c r="A195" s="34" t="s">
        <v>190</v>
      </c>
      <c r="B195" s="35">
        <f>+'coût par ville'!H2143</f>
        <v>1617312</v>
      </c>
      <c r="C195" s="35">
        <f>+'coût par ville'!I2143</f>
        <v>382688</v>
      </c>
      <c r="D195" s="35">
        <f t="shared" si="3"/>
        <v>2000000</v>
      </c>
    </row>
    <row r="196" spans="1:4" x14ac:dyDescent="0.25">
      <c r="A196" s="34" t="s">
        <v>191</v>
      </c>
      <c r="B196" s="35">
        <f>+'coût par ville'!H2152</f>
        <v>2607855</v>
      </c>
      <c r="C196" s="35">
        <f>+'coût par ville'!I2152</f>
        <v>892145</v>
      </c>
      <c r="D196" s="35">
        <f t="shared" si="3"/>
        <v>3500000</v>
      </c>
    </row>
    <row r="197" spans="1:4" x14ac:dyDescent="0.25">
      <c r="A197" s="34" t="s">
        <v>192</v>
      </c>
      <c r="B197" s="35">
        <f>+'coût par ville'!H2158</f>
        <v>1389712</v>
      </c>
      <c r="C197" s="35">
        <f>+'coût par ville'!I2158</f>
        <v>110288</v>
      </c>
      <c r="D197" s="35">
        <f t="shared" si="3"/>
        <v>1500000</v>
      </c>
    </row>
    <row r="198" spans="1:4" x14ac:dyDescent="0.25">
      <c r="A198" s="34" t="s">
        <v>193</v>
      </c>
      <c r="B198" s="35">
        <f>+'coût par ville'!H2194</f>
        <v>16088649</v>
      </c>
      <c r="C198" s="35">
        <f>+'coût par ville'!I2194</f>
        <v>3911351</v>
      </c>
      <c r="D198" s="35">
        <f t="shared" si="3"/>
        <v>20000000</v>
      </c>
    </row>
    <row r="199" spans="1:4" x14ac:dyDescent="0.25">
      <c r="A199" s="34" t="s">
        <v>194</v>
      </c>
      <c r="B199" s="35">
        <f>+'coût par ville'!H2206</f>
        <v>2646099</v>
      </c>
      <c r="C199" s="35">
        <f>+'coût par ville'!I2206</f>
        <v>853901</v>
      </c>
      <c r="D199" s="35">
        <f t="shared" si="3"/>
        <v>3500000</v>
      </c>
    </row>
    <row r="200" spans="1:4" x14ac:dyDescent="0.25">
      <c r="A200" s="34" t="s">
        <v>195</v>
      </c>
      <c r="B200" s="35">
        <f>+'coût par ville'!H2209</f>
        <v>775121</v>
      </c>
      <c r="C200" s="35">
        <f>+'coût par ville'!I2209</f>
        <v>224879</v>
      </c>
      <c r="D200" s="35">
        <f t="shared" si="3"/>
        <v>1000000</v>
      </c>
    </row>
    <row r="201" spans="1:4" x14ac:dyDescent="0.25">
      <c r="A201" s="34" t="s">
        <v>196</v>
      </c>
      <c r="B201" s="35">
        <f>+'coût par ville'!H2212</f>
        <v>1144192</v>
      </c>
      <c r="C201" s="35">
        <f>+'coût par ville'!I2212</f>
        <v>355808</v>
      </c>
      <c r="D201" s="35">
        <f t="shared" si="3"/>
        <v>1500000</v>
      </c>
    </row>
    <row r="202" spans="1:4" x14ac:dyDescent="0.25">
      <c r="A202" s="34" t="s">
        <v>197</v>
      </c>
      <c r="B202" s="35">
        <f>+'coût par ville'!H2243</f>
        <v>17734203.999999996</v>
      </c>
      <c r="C202" s="35">
        <f>+'coût par ville'!I2243</f>
        <v>2265796</v>
      </c>
      <c r="D202" s="35">
        <f t="shared" si="3"/>
        <v>19999999.999999996</v>
      </c>
    </row>
    <row r="203" spans="1:4" x14ac:dyDescent="0.25">
      <c r="A203" s="34" t="s">
        <v>198</v>
      </c>
      <c r="B203" s="35">
        <f>+'coût par ville'!H2284</f>
        <v>46625031.000000007</v>
      </c>
      <c r="C203" s="35">
        <f>+'coût par ville'!I2284</f>
        <v>53374969</v>
      </c>
      <c r="D203" s="35">
        <f t="shared" si="3"/>
        <v>100000000</v>
      </c>
    </row>
    <row r="204" spans="1:4" x14ac:dyDescent="0.25">
      <c r="A204" s="34" t="s">
        <v>199</v>
      </c>
      <c r="B204" s="35">
        <f>+'coût par ville'!H2292</f>
        <v>1330798</v>
      </c>
      <c r="C204" s="35">
        <f>+'coût par ville'!I2292</f>
        <v>169202</v>
      </c>
      <c r="D204" s="35">
        <f t="shared" si="3"/>
        <v>1500000</v>
      </c>
    </row>
    <row r="205" spans="1:4" x14ac:dyDescent="0.25">
      <c r="A205" s="34" t="s">
        <v>200</v>
      </c>
      <c r="B205" s="35">
        <f>+'coût par ville'!H2305</f>
        <v>1886511.9999999998</v>
      </c>
      <c r="C205" s="35">
        <f>+'coût par ville'!I2305</f>
        <v>113488</v>
      </c>
      <c r="D205" s="35">
        <f t="shared" si="3"/>
        <v>1999999.9999999998</v>
      </c>
    </row>
    <row r="206" spans="1:4" x14ac:dyDescent="0.25">
      <c r="A206" s="34" t="s">
        <v>201</v>
      </c>
      <c r="B206" s="35">
        <f>+'coût par ville'!H2314</f>
        <v>1307932</v>
      </c>
      <c r="C206" s="35">
        <f>+'coût par ville'!I2314</f>
        <v>192068</v>
      </c>
      <c r="D206" s="35">
        <f t="shared" si="3"/>
        <v>1500000</v>
      </c>
    </row>
    <row r="207" spans="1:4" x14ac:dyDescent="0.25">
      <c r="A207" s="34" t="s">
        <v>202</v>
      </c>
      <c r="B207" s="35">
        <f>+'coût par ville'!H2319</f>
        <v>1117532</v>
      </c>
      <c r="C207" s="35">
        <f>+'coût par ville'!I2319</f>
        <v>382468</v>
      </c>
      <c r="D207" s="35">
        <f t="shared" si="3"/>
        <v>1500000</v>
      </c>
    </row>
    <row r="208" spans="1:4" x14ac:dyDescent="0.25">
      <c r="A208" s="34" t="s">
        <v>203</v>
      </c>
      <c r="B208" s="35">
        <f>+'coût par ville'!H2327</f>
        <v>1585507</v>
      </c>
      <c r="C208" s="35">
        <f>+'coût par ville'!I2327</f>
        <v>414493</v>
      </c>
      <c r="D208" s="35">
        <f t="shared" si="3"/>
        <v>2000000</v>
      </c>
    </row>
    <row r="209" spans="1:4" x14ac:dyDescent="0.25">
      <c r="A209" s="1" t="s">
        <v>479</v>
      </c>
      <c r="B209" s="65">
        <f>SUM(B4:B208)</f>
        <v>1200719899</v>
      </c>
      <c r="C209" s="65">
        <f>SUM(C4:C208)</f>
        <v>299280101</v>
      </c>
      <c r="D209" s="65">
        <f>SUM(D4:D208)</f>
        <v>1500000000</v>
      </c>
    </row>
  </sheetData>
  <sheetProtection algorithmName="SHA-512" hashValue="m0mXCrJB1v/V/t6IImuOIcEv/zWa6nxCPfmuQqsHWCz/Xjr1gq4WIlqhv/6TyWjDdAYEEtzOy1iMOw6hKG5Wvg==" saltValue="f2jE9odI5mw6S89j6SXi+Q==" spinCount="100000" sheet="1" objects="1" scenarios="1"/>
  <mergeCells count="1">
    <mergeCell ref="A1:D1"/>
  </mergeCells>
  <pageMargins left="0.70866141732283472" right="0.70866141732283472" top="0.74803149606299213" bottom="0.74803149606299213" header="0.31496062992125984" footer="0.31496062992125984"/>
  <pageSetup paperSize="9" scale="10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1D42-EAE0-4296-9607-05E7645B412E}">
  <dimension ref="A1:E53"/>
  <sheetViews>
    <sheetView zoomScale="112" zoomScaleNormal="112" workbookViewId="0">
      <selection activeCell="C12" sqref="C12"/>
    </sheetView>
  </sheetViews>
  <sheetFormatPr baseColWidth="10" defaultColWidth="9.140625" defaultRowHeight="15" x14ac:dyDescent="0.25"/>
  <cols>
    <col min="1" max="1" width="35.7109375" style="10" customWidth="1"/>
    <col min="2" max="2" width="11.85546875" style="31" customWidth="1"/>
    <col min="3" max="3" width="14.42578125" style="32" customWidth="1"/>
    <col min="4" max="4" width="16" style="32" customWidth="1"/>
    <col min="5" max="5" width="21.5703125" style="32" customWidth="1"/>
    <col min="6" max="16384" width="9.140625" style="10"/>
  </cols>
  <sheetData>
    <row r="1" spans="1:5" x14ac:dyDescent="0.25">
      <c r="A1" s="71" t="s">
        <v>492</v>
      </c>
      <c r="B1" s="71"/>
      <c r="C1" s="71"/>
      <c r="D1" s="71"/>
      <c r="E1" s="71"/>
    </row>
    <row r="3" spans="1:5" s="62" customFormat="1" ht="39" customHeight="1" x14ac:dyDescent="0.25">
      <c r="A3" s="59" t="s">
        <v>485</v>
      </c>
      <c r="B3" s="66" t="s">
        <v>490</v>
      </c>
      <c r="C3" s="60" t="s">
        <v>487</v>
      </c>
      <c r="D3" s="70" t="s">
        <v>488</v>
      </c>
      <c r="E3" s="61" t="s">
        <v>489</v>
      </c>
    </row>
    <row r="4" spans="1:5" x14ac:dyDescent="0.25">
      <c r="A4" s="24" t="s">
        <v>207</v>
      </c>
      <c r="B4" s="55">
        <v>321</v>
      </c>
      <c r="C4" s="7">
        <v>7577569</v>
      </c>
      <c r="D4" s="8">
        <v>3995547</v>
      </c>
      <c r="E4" s="7">
        <f>SUM(C4:D4)</f>
        <v>11573116</v>
      </c>
    </row>
    <row r="5" spans="1:5" x14ac:dyDescent="0.25">
      <c r="A5" s="5" t="s">
        <v>209</v>
      </c>
      <c r="B5" s="56">
        <v>2701</v>
      </c>
      <c r="C5" s="13">
        <v>4827527</v>
      </c>
      <c r="D5" s="14">
        <v>0</v>
      </c>
      <c r="E5" s="13">
        <f t="shared" ref="E5:E52" si="0">SUM(C5:D5)</f>
        <v>4827527</v>
      </c>
    </row>
    <row r="6" spans="1:5" x14ac:dyDescent="0.25">
      <c r="A6" s="5" t="s">
        <v>211</v>
      </c>
      <c r="B6" s="56">
        <v>489</v>
      </c>
      <c r="C6" s="13">
        <v>1324835</v>
      </c>
      <c r="D6" s="14">
        <v>0</v>
      </c>
      <c r="E6" s="13">
        <f t="shared" si="0"/>
        <v>1324835</v>
      </c>
    </row>
    <row r="7" spans="1:5" x14ac:dyDescent="0.25">
      <c r="A7" s="5" t="s">
        <v>213</v>
      </c>
      <c r="B7" s="56">
        <v>1322</v>
      </c>
      <c r="C7" s="13">
        <v>4971824</v>
      </c>
      <c r="D7" s="14">
        <v>0</v>
      </c>
      <c r="E7" s="13">
        <f t="shared" si="0"/>
        <v>4971824</v>
      </c>
    </row>
    <row r="8" spans="1:5" x14ac:dyDescent="0.25">
      <c r="A8" s="5" t="s">
        <v>214</v>
      </c>
      <c r="B8" s="56">
        <v>10775</v>
      </c>
      <c r="C8" s="13">
        <v>24015207</v>
      </c>
      <c r="D8" s="14">
        <v>0</v>
      </c>
      <c r="E8" s="13">
        <f t="shared" si="0"/>
        <v>24015207</v>
      </c>
    </row>
    <row r="9" spans="1:5" x14ac:dyDescent="0.25">
      <c r="A9" s="5" t="s">
        <v>215</v>
      </c>
      <c r="B9" s="56">
        <v>436</v>
      </c>
      <c r="C9" s="13">
        <v>1821591</v>
      </c>
      <c r="D9" s="14">
        <v>0</v>
      </c>
      <c r="E9" s="13">
        <f t="shared" si="0"/>
        <v>1821591</v>
      </c>
    </row>
    <row r="10" spans="1:5" x14ac:dyDescent="0.25">
      <c r="A10" s="5" t="s">
        <v>216</v>
      </c>
      <c r="B10" s="56">
        <v>2768</v>
      </c>
      <c r="C10" s="13">
        <v>6548427</v>
      </c>
      <c r="D10" s="14">
        <v>0</v>
      </c>
      <c r="E10" s="13">
        <f t="shared" si="0"/>
        <v>6548427</v>
      </c>
    </row>
    <row r="11" spans="1:5" x14ac:dyDescent="0.25">
      <c r="A11" s="5" t="s">
        <v>258</v>
      </c>
      <c r="B11" s="56">
        <v>14</v>
      </c>
      <c r="C11" s="13">
        <v>821543</v>
      </c>
      <c r="D11" s="14">
        <v>0</v>
      </c>
      <c r="E11" s="13">
        <f t="shared" si="0"/>
        <v>821543</v>
      </c>
    </row>
    <row r="12" spans="1:5" x14ac:dyDescent="0.25">
      <c r="A12" s="5" t="s">
        <v>217</v>
      </c>
      <c r="B12" s="56">
        <v>6771</v>
      </c>
      <c r="C12" s="13">
        <v>51937526</v>
      </c>
      <c r="D12" s="14">
        <v>28812959</v>
      </c>
      <c r="E12" s="13">
        <f t="shared" si="0"/>
        <v>80750485</v>
      </c>
    </row>
    <row r="13" spans="1:5" x14ac:dyDescent="0.25">
      <c r="A13" s="5" t="s">
        <v>219</v>
      </c>
      <c r="B13" s="56">
        <v>1883</v>
      </c>
      <c r="C13" s="13">
        <v>17910505</v>
      </c>
      <c r="D13" s="14">
        <v>10076951</v>
      </c>
      <c r="E13" s="13">
        <f t="shared" si="0"/>
        <v>27987456</v>
      </c>
    </row>
    <row r="14" spans="1:5" x14ac:dyDescent="0.25">
      <c r="A14" s="5" t="s">
        <v>221</v>
      </c>
      <c r="B14" s="56">
        <v>168</v>
      </c>
      <c r="C14" s="13">
        <v>22568870</v>
      </c>
      <c r="D14" s="14">
        <v>11189075</v>
      </c>
      <c r="E14" s="13">
        <f t="shared" si="0"/>
        <v>33757945</v>
      </c>
    </row>
    <row r="15" spans="1:5" x14ac:dyDescent="0.25">
      <c r="A15" s="5" t="s">
        <v>260</v>
      </c>
      <c r="B15" s="56">
        <v>335</v>
      </c>
      <c r="C15" s="13">
        <v>28304247</v>
      </c>
      <c r="D15" s="14">
        <v>0</v>
      </c>
      <c r="E15" s="13">
        <f t="shared" si="0"/>
        <v>28304247</v>
      </c>
    </row>
    <row r="16" spans="1:5" x14ac:dyDescent="0.25">
      <c r="A16" s="5" t="s">
        <v>223</v>
      </c>
      <c r="B16" s="56">
        <v>5397</v>
      </c>
      <c r="C16" s="13">
        <v>2272896</v>
      </c>
      <c r="D16" s="14">
        <v>450000</v>
      </c>
      <c r="E16" s="13">
        <f t="shared" si="0"/>
        <v>2722896</v>
      </c>
    </row>
    <row r="17" spans="1:5" x14ac:dyDescent="0.25">
      <c r="A17" s="5" t="s">
        <v>261</v>
      </c>
      <c r="B17" s="56">
        <v>129</v>
      </c>
      <c r="C17" s="13">
        <v>504176</v>
      </c>
      <c r="D17" s="14">
        <v>0</v>
      </c>
      <c r="E17" s="13">
        <f t="shared" si="0"/>
        <v>504176</v>
      </c>
    </row>
    <row r="18" spans="1:5" x14ac:dyDescent="0.25">
      <c r="A18" s="5" t="s">
        <v>268</v>
      </c>
      <c r="B18" s="56">
        <v>24</v>
      </c>
      <c r="C18" s="13">
        <v>138970</v>
      </c>
      <c r="D18" s="14">
        <v>0</v>
      </c>
      <c r="E18" s="13">
        <f t="shared" si="0"/>
        <v>138970</v>
      </c>
    </row>
    <row r="19" spans="1:5" x14ac:dyDescent="0.25">
      <c r="A19" s="5" t="s">
        <v>266</v>
      </c>
      <c r="B19" s="56">
        <v>761</v>
      </c>
      <c r="C19" s="13">
        <v>761615</v>
      </c>
      <c r="D19" s="14">
        <v>0</v>
      </c>
      <c r="E19" s="13">
        <f t="shared" si="0"/>
        <v>761615</v>
      </c>
    </row>
    <row r="20" spans="1:5" x14ac:dyDescent="0.25">
      <c r="A20" s="5" t="s">
        <v>225</v>
      </c>
      <c r="B20" s="56">
        <v>297</v>
      </c>
      <c r="C20" s="13">
        <v>568357</v>
      </c>
      <c r="D20" s="14">
        <v>0</v>
      </c>
      <c r="E20" s="13">
        <f t="shared" si="0"/>
        <v>568357</v>
      </c>
    </row>
    <row r="21" spans="1:5" x14ac:dyDescent="0.25">
      <c r="A21" s="5" t="s">
        <v>226</v>
      </c>
      <c r="B21" s="56">
        <v>5794</v>
      </c>
      <c r="C21" s="13">
        <v>11296723</v>
      </c>
      <c r="D21" s="14">
        <v>0</v>
      </c>
      <c r="E21" s="13">
        <f t="shared" si="0"/>
        <v>11296723</v>
      </c>
    </row>
    <row r="22" spans="1:5" x14ac:dyDescent="0.25">
      <c r="A22" s="5" t="s">
        <v>227</v>
      </c>
      <c r="B22" s="56">
        <v>651</v>
      </c>
      <c r="C22" s="13">
        <v>1583951</v>
      </c>
      <c r="D22" s="14">
        <v>0</v>
      </c>
      <c r="E22" s="13">
        <f t="shared" si="0"/>
        <v>1583951</v>
      </c>
    </row>
    <row r="23" spans="1:5" x14ac:dyDescent="0.25">
      <c r="A23" s="5" t="s">
        <v>228</v>
      </c>
      <c r="B23" s="56">
        <v>33987</v>
      </c>
      <c r="C23" s="13">
        <v>108638851</v>
      </c>
      <c r="D23" s="14">
        <v>0</v>
      </c>
      <c r="E23" s="13">
        <f t="shared" si="0"/>
        <v>108638851</v>
      </c>
    </row>
    <row r="24" spans="1:5" x14ac:dyDescent="0.25">
      <c r="A24" s="5" t="s">
        <v>230</v>
      </c>
      <c r="B24" s="56">
        <v>3242</v>
      </c>
      <c r="C24" s="13">
        <v>17085724</v>
      </c>
      <c r="D24" s="14">
        <v>0</v>
      </c>
      <c r="E24" s="13">
        <f t="shared" si="0"/>
        <v>17085724</v>
      </c>
    </row>
    <row r="25" spans="1:5" x14ac:dyDescent="0.25">
      <c r="A25" s="5" t="s">
        <v>231</v>
      </c>
      <c r="B25" s="56">
        <v>172</v>
      </c>
      <c r="C25" s="13">
        <v>45363487</v>
      </c>
      <c r="D25" s="14">
        <v>0</v>
      </c>
      <c r="E25" s="13">
        <f t="shared" si="0"/>
        <v>45363487</v>
      </c>
    </row>
    <row r="26" spans="1:5" x14ac:dyDescent="0.25">
      <c r="A26" s="5" t="s">
        <v>262</v>
      </c>
      <c r="B26" s="56">
        <v>962</v>
      </c>
      <c r="C26" s="13">
        <v>211810158</v>
      </c>
      <c r="D26" s="14">
        <v>0</v>
      </c>
      <c r="E26" s="13">
        <f t="shared" si="0"/>
        <v>211810158</v>
      </c>
    </row>
    <row r="27" spans="1:5" x14ac:dyDescent="0.25">
      <c r="A27" s="5" t="s">
        <v>233</v>
      </c>
      <c r="B27" s="56">
        <v>843</v>
      </c>
      <c r="C27" s="13">
        <v>137666337</v>
      </c>
      <c r="D27" s="14">
        <v>0</v>
      </c>
      <c r="E27" s="13">
        <f t="shared" si="0"/>
        <v>137666337</v>
      </c>
    </row>
    <row r="28" spans="1:5" x14ac:dyDescent="0.25">
      <c r="A28" s="5" t="s">
        <v>235</v>
      </c>
      <c r="B28" s="56">
        <v>2207</v>
      </c>
      <c r="C28" s="13">
        <v>23842010</v>
      </c>
      <c r="D28" s="14">
        <v>14707842</v>
      </c>
      <c r="E28" s="13">
        <f t="shared" si="0"/>
        <v>38549852</v>
      </c>
    </row>
    <row r="29" spans="1:5" x14ac:dyDescent="0.25">
      <c r="A29" s="5" t="s">
        <v>237</v>
      </c>
      <c r="B29" s="56">
        <v>833</v>
      </c>
      <c r="C29" s="13">
        <v>6794114</v>
      </c>
      <c r="D29" s="14">
        <v>5261767</v>
      </c>
      <c r="E29" s="13">
        <f t="shared" si="0"/>
        <v>12055881</v>
      </c>
    </row>
    <row r="30" spans="1:5" x14ac:dyDescent="0.25">
      <c r="A30" s="5" t="s">
        <v>239</v>
      </c>
      <c r="B30" s="56">
        <v>373</v>
      </c>
      <c r="C30" s="13">
        <v>7402965</v>
      </c>
      <c r="D30" s="14">
        <v>3334093</v>
      </c>
      <c r="E30" s="13">
        <f t="shared" si="0"/>
        <v>10737058</v>
      </c>
    </row>
    <row r="31" spans="1:5" x14ac:dyDescent="0.25">
      <c r="A31" s="5" t="s">
        <v>240</v>
      </c>
      <c r="B31" s="56">
        <v>345</v>
      </c>
      <c r="C31" s="13">
        <v>9729512</v>
      </c>
      <c r="D31" s="14">
        <v>4795353</v>
      </c>
      <c r="E31" s="13">
        <f t="shared" si="0"/>
        <v>14524865</v>
      </c>
    </row>
    <row r="32" spans="1:5" x14ac:dyDescent="0.25">
      <c r="A32" s="5" t="s">
        <v>241</v>
      </c>
      <c r="B32" s="56">
        <v>9376</v>
      </c>
      <c r="C32" s="13">
        <v>127846829</v>
      </c>
      <c r="D32" s="14">
        <v>64930476</v>
      </c>
      <c r="E32" s="13">
        <f t="shared" si="0"/>
        <v>192777305</v>
      </c>
    </row>
    <row r="33" spans="1:5" x14ac:dyDescent="0.25">
      <c r="A33" s="5" t="s">
        <v>242</v>
      </c>
      <c r="B33" s="56">
        <v>350</v>
      </c>
      <c r="C33" s="13">
        <v>5580206</v>
      </c>
      <c r="D33" s="14">
        <v>3120605</v>
      </c>
      <c r="E33" s="13">
        <f t="shared" si="0"/>
        <v>8700811</v>
      </c>
    </row>
    <row r="34" spans="1:5" x14ac:dyDescent="0.25">
      <c r="A34" s="5" t="s">
        <v>264</v>
      </c>
      <c r="B34" s="56">
        <v>24</v>
      </c>
      <c r="C34" s="13">
        <v>143286</v>
      </c>
      <c r="D34" s="14">
        <v>0</v>
      </c>
      <c r="E34" s="13">
        <f t="shared" si="0"/>
        <v>143286</v>
      </c>
    </row>
    <row r="35" spans="1:5" x14ac:dyDescent="0.25">
      <c r="A35" s="5" t="s">
        <v>265</v>
      </c>
      <c r="B35" s="56">
        <v>101</v>
      </c>
      <c r="C35" s="13">
        <v>9939846</v>
      </c>
      <c r="D35" s="14">
        <v>1507872</v>
      </c>
      <c r="E35" s="13">
        <f t="shared" si="0"/>
        <v>11447718</v>
      </c>
    </row>
    <row r="36" spans="1:5" x14ac:dyDescent="0.25">
      <c r="A36" s="5" t="s">
        <v>243</v>
      </c>
      <c r="B36" s="56">
        <v>1374</v>
      </c>
      <c r="C36" s="13">
        <v>7269756</v>
      </c>
      <c r="D36" s="14">
        <v>4525500</v>
      </c>
      <c r="E36" s="13">
        <f t="shared" si="0"/>
        <v>11795256</v>
      </c>
    </row>
    <row r="37" spans="1:5" x14ac:dyDescent="0.25">
      <c r="A37" s="5" t="s">
        <v>245</v>
      </c>
      <c r="B37" s="56">
        <v>469</v>
      </c>
      <c r="C37" s="13">
        <v>1660151</v>
      </c>
      <c r="D37" s="14">
        <v>1579133</v>
      </c>
      <c r="E37" s="13">
        <f t="shared" si="0"/>
        <v>3239284</v>
      </c>
    </row>
    <row r="38" spans="1:5" x14ac:dyDescent="0.25">
      <c r="A38" s="5" t="s">
        <v>247</v>
      </c>
      <c r="B38" s="56">
        <v>258</v>
      </c>
      <c r="C38" s="13">
        <v>2732305</v>
      </c>
      <c r="D38" s="14">
        <v>1630732</v>
      </c>
      <c r="E38" s="13">
        <f t="shared" si="0"/>
        <v>4363037</v>
      </c>
    </row>
    <row r="39" spans="1:5" x14ac:dyDescent="0.25">
      <c r="A39" s="5" t="s">
        <v>248</v>
      </c>
      <c r="B39" s="56">
        <v>216</v>
      </c>
      <c r="C39" s="13">
        <v>2340397</v>
      </c>
      <c r="D39" s="14">
        <v>1142335</v>
      </c>
      <c r="E39" s="13">
        <f t="shared" si="0"/>
        <v>3482732</v>
      </c>
    </row>
    <row r="40" spans="1:5" x14ac:dyDescent="0.25">
      <c r="A40" s="5" t="s">
        <v>269</v>
      </c>
      <c r="B40" s="56">
        <v>81</v>
      </c>
      <c r="C40" s="13">
        <v>962713</v>
      </c>
      <c r="D40" s="14">
        <v>409722</v>
      </c>
      <c r="E40" s="13">
        <f t="shared" si="0"/>
        <v>1372435</v>
      </c>
    </row>
    <row r="41" spans="1:5" x14ac:dyDescent="0.25">
      <c r="A41" s="5" t="s">
        <v>249</v>
      </c>
      <c r="B41" s="56">
        <v>7293</v>
      </c>
      <c r="C41" s="13">
        <v>180290033</v>
      </c>
      <c r="D41" s="14">
        <v>113652577</v>
      </c>
      <c r="E41" s="13">
        <f t="shared" si="0"/>
        <v>293942610</v>
      </c>
    </row>
    <row r="42" spans="1:5" x14ac:dyDescent="0.25">
      <c r="A42" s="5" t="s">
        <v>270</v>
      </c>
      <c r="B42" s="67">
        <v>5</v>
      </c>
      <c r="C42" s="13">
        <v>6860</v>
      </c>
      <c r="D42" s="28">
        <v>0</v>
      </c>
      <c r="E42" s="13">
        <f t="shared" si="0"/>
        <v>6860</v>
      </c>
    </row>
    <row r="43" spans="1:5" x14ac:dyDescent="0.25">
      <c r="A43" s="5" t="s">
        <v>251</v>
      </c>
      <c r="B43" s="56">
        <v>19</v>
      </c>
      <c r="C43" s="13">
        <v>9361</v>
      </c>
      <c r="D43" s="14">
        <v>0</v>
      </c>
      <c r="E43" s="13">
        <f t="shared" si="0"/>
        <v>9361</v>
      </c>
    </row>
    <row r="44" spans="1:5" x14ac:dyDescent="0.25">
      <c r="A44" s="5" t="s">
        <v>267</v>
      </c>
      <c r="B44" s="67">
        <v>5</v>
      </c>
      <c r="C44" s="13">
        <v>8250</v>
      </c>
      <c r="D44" s="28"/>
      <c r="E44" s="13">
        <f t="shared" si="0"/>
        <v>8250</v>
      </c>
    </row>
    <row r="45" spans="1:5" x14ac:dyDescent="0.25">
      <c r="A45" s="5" t="s">
        <v>252</v>
      </c>
      <c r="B45" s="56">
        <v>3304</v>
      </c>
      <c r="C45" s="13">
        <v>11538322</v>
      </c>
      <c r="D45" s="14">
        <v>0</v>
      </c>
      <c r="E45" s="13">
        <f t="shared" si="0"/>
        <v>11538322</v>
      </c>
    </row>
    <row r="46" spans="1:5" x14ac:dyDescent="0.25">
      <c r="A46" s="5" t="s">
        <v>253</v>
      </c>
      <c r="B46" s="56">
        <v>12642</v>
      </c>
      <c r="C46" s="13">
        <v>25482611</v>
      </c>
      <c r="D46" s="14">
        <v>589</v>
      </c>
      <c r="E46" s="13">
        <f t="shared" si="0"/>
        <v>25483200</v>
      </c>
    </row>
    <row r="47" spans="1:5" x14ac:dyDescent="0.25">
      <c r="A47" s="5" t="s">
        <v>254</v>
      </c>
      <c r="B47" s="56">
        <v>2442</v>
      </c>
      <c r="C47" s="13">
        <v>5802038</v>
      </c>
      <c r="D47" s="14">
        <v>0</v>
      </c>
      <c r="E47" s="13">
        <f t="shared" si="0"/>
        <v>5802038</v>
      </c>
    </row>
    <row r="48" spans="1:5" x14ac:dyDescent="0.25">
      <c r="A48" s="5" t="s">
        <v>255</v>
      </c>
      <c r="B48" s="56">
        <v>5310</v>
      </c>
      <c r="C48" s="13">
        <v>6908890</v>
      </c>
      <c r="D48" s="14">
        <v>0</v>
      </c>
      <c r="E48" s="13">
        <f t="shared" si="0"/>
        <v>6908890</v>
      </c>
    </row>
    <row r="49" spans="1:5" x14ac:dyDescent="0.25">
      <c r="A49" s="5" t="s">
        <v>256</v>
      </c>
      <c r="B49" s="56">
        <v>1207</v>
      </c>
      <c r="C49" s="13">
        <v>2835049</v>
      </c>
      <c r="D49" s="14">
        <v>0</v>
      </c>
      <c r="E49" s="13">
        <f t="shared" si="0"/>
        <v>2835049</v>
      </c>
    </row>
    <row r="50" spans="1:5" x14ac:dyDescent="0.25">
      <c r="A50" s="5" t="s">
        <v>257</v>
      </c>
      <c r="B50" s="56">
        <v>3802</v>
      </c>
      <c r="C50" s="13">
        <v>5557374</v>
      </c>
      <c r="D50" s="14">
        <v>0</v>
      </c>
      <c r="E50" s="13">
        <f t="shared" si="0"/>
        <v>5557374</v>
      </c>
    </row>
    <row r="51" spans="1:5" x14ac:dyDescent="0.25">
      <c r="A51" s="5" t="s">
        <v>271</v>
      </c>
      <c r="B51" s="12">
        <v>101</v>
      </c>
      <c r="C51" s="13">
        <v>8644228</v>
      </c>
      <c r="D51" s="28">
        <v>1728846</v>
      </c>
      <c r="E51" s="13">
        <f t="shared" si="0"/>
        <v>10373074</v>
      </c>
    </row>
    <row r="52" spans="1:5" x14ac:dyDescent="0.25">
      <c r="A52" s="16" t="s">
        <v>214</v>
      </c>
      <c r="B52" s="68">
        <v>90</v>
      </c>
      <c r="C52" s="19">
        <v>37071877</v>
      </c>
      <c r="D52" s="33">
        <f>22428131-4</f>
        <v>22428127</v>
      </c>
      <c r="E52" s="19">
        <f t="shared" si="0"/>
        <v>59500004</v>
      </c>
    </row>
    <row r="53" spans="1:5" s="3" customFormat="1" x14ac:dyDescent="0.25">
      <c r="A53" s="1" t="s">
        <v>479</v>
      </c>
      <c r="B53" s="58">
        <f>SUM(B4:B52)</f>
        <v>132469</v>
      </c>
      <c r="C53" s="58">
        <f t="shared" ref="C53:E53" si="1">SUM(C4:C52)</f>
        <v>1200719899</v>
      </c>
      <c r="D53" s="58">
        <f t="shared" si="1"/>
        <v>299280101</v>
      </c>
      <c r="E53" s="58">
        <f t="shared" si="1"/>
        <v>1500000000</v>
      </c>
    </row>
  </sheetData>
  <sheetProtection algorithmName="SHA-512" hashValue="wqbdd3zPpz+Ptf4XmPJnxorlSL17TlWOgqXTFnhsGPrl8HLmLXJI4RNwA4zCwiC3tK0cYnpUhFVRo8ELSjY6pw==" saltValue="kEM8xZ/2ri5DlFwGJ/CL+Q==" spinCount="100000" sheet="1" objects="1" scenarios="1"/>
  <mergeCells count="1">
    <mergeCell ref="A1:E1"/>
  </mergeCells>
  <pageMargins left="0.15748031496062992" right="0.19685039370078741" top="0.35433070866141736" bottom="0.74803149606299213" header="0.19685039370078741" footer="0.31496062992125984"/>
  <pageSetup paperSize="9" scale="9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C768-80C2-4F64-BD9F-F3B5ED9ADC6D}">
  <dimension ref="A3:E25"/>
  <sheetViews>
    <sheetView workbookViewId="0">
      <selection activeCell="D14" sqref="D14"/>
    </sheetView>
  </sheetViews>
  <sheetFormatPr baseColWidth="10" defaultRowHeight="15" x14ac:dyDescent="0.25"/>
  <cols>
    <col min="1" max="1" width="35.42578125" style="10" customWidth="1"/>
    <col min="2" max="2" width="11.42578125" style="10"/>
    <col min="3" max="3" width="15.28515625" style="10" customWidth="1"/>
    <col min="4" max="4" width="15.7109375" style="10" customWidth="1"/>
    <col min="5" max="5" width="14.28515625" style="10" customWidth="1"/>
    <col min="6" max="16384" width="11.42578125" style="10"/>
  </cols>
  <sheetData>
    <row r="3" spans="1:5" x14ac:dyDescent="0.25">
      <c r="A3" s="71" t="s">
        <v>491</v>
      </c>
      <c r="B3" s="71"/>
      <c r="C3" s="71"/>
      <c r="D3" s="71"/>
      <c r="E3" s="71"/>
    </row>
    <row r="5" spans="1:5" s="62" customFormat="1" ht="44.25" customHeight="1" x14ac:dyDescent="0.25">
      <c r="A5" s="59" t="s">
        <v>485</v>
      </c>
      <c r="B5" s="66" t="s">
        <v>490</v>
      </c>
      <c r="C5" s="60" t="s">
        <v>487</v>
      </c>
      <c r="D5" s="70" t="s">
        <v>488</v>
      </c>
      <c r="E5" s="61" t="s">
        <v>489</v>
      </c>
    </row>
    <row r="6" spans="1:5" x14ac:dyDescent="0.25">
      <c r="A6" s="24" t="s">
        <v>213</v>
      </c>
      <c r="B6" s="56">
        <v>1322</v>
      </c>
      <c r="C6" s="13">
        <v>4971824</v>
      </c>
      <c r="D6" s="14">
        <v>0</v>
      </c>
      <c r="E6" s="13">
        <v>4971824</v>
      </c>
    </row>
    <row r="7" spans="1:5" x14ac:dyDescent="0.25">
      <c r="A7" s="5" t="s">
        <v>214</v>
      </c>
      <c r="B7" s="56">
        <v>10775</v>
      </c>
      <c r="C7" s="13">
        <v>24015207</v>
      </c>
      <c r="D7" s="14">
        <v>0</v>
      </c>
      <c r="E7" s="13">
        <v>24015207</v>
      </c>
    </row>
    <row r="8" spans="1:5" x14ac:dyDescent="0.25">
      <c r="A8" s="5" t="s">
        <v>217</v>
      </c>
      <c r="B8" s="56">
        <v>6771</v>
      </c>
      <c r="C8" s="13">
        <v>51937526</v>
      </c>
      <c r="D8" s="14">
        <v>28812959</v>
      </c>
      <c r="E8" s="13">
        <v>80750485</v>
      </c>
    </row>
    <row r="9" spans="1:5" x14ac:dyDescent="0.25">
      <c r="A9" s="5" t="s">
        <v>223</v>
      </c>
      <c r="B9" s="56">
        <v>5397</v>
      </c>
      <c r="C9" s="13">
        <v>2272896</v>
      </c>
      <c r="D9" s="14">
        <v>450000</v>
      </c>
      <c r="E9" s="13">
        <v>2722896</v>
      </c>
    </row>
    <row r="10" spans="1:5" x14ac:dyDescent="0.25">
      <c r="A10" s="5" t="s">
        <v>261</v>
      </c>
      <c r="B10" s="56">
        <v>129</v>
      </c>
      <c r="C10" s="13">
        <v>504176</v>
      </c>
      <c r="D10" s="14">
        <v>0</v>
      </c>
      <c r="E10" s="13">
        <v>504176</v>
      </c>
    </row>
    <row r="11" spans="1:5" x14ac:dyDescent="0.25">
      <c r="A11" s="5" t="s">
        <v>266</v>
      </c>
      <c r="B11" s="56">
        <v>761</v>
      </c>
      <c r="C11" s="13">
        <v>761615</v>
      </c>
      <c r="D11" s="14">
        <v>0</v>
      </c>
      <c r="E11" s="13">
        <v>761615</v>
      </c>
    </row>
    <row r="12" spans="1:5" x14ac:dyDescent="0.25">
      <c r="A12" s="5" t="s">
        <v>226</v>
      </c>
      <c r="B12" s="56">
        <v>5794</v>
      </c>
      <c r="C12" s="13">
        <v>11296723</v>
      </c>
      <c r="D12" s="14">
        <v>0</v>
      </c>
      <c r="E12" s="13">
        <v>11296723</v>
      </c>
    </row>
    <row r="13" spans="1:5" x14ac:dyDescent="0.25">
      <c r="A13" s="5" t="s">
        <v>228</v>
      </c>
      <c r="B13" s="56">
        <v>33987</v>
      </c>
      <c r="C13" s="13">
        <v>108638851</v>
      </c>
      <c r="D13" s="14">
        <v>0</v>
      </c>
      <c r="E13" s="13">
        <v>108638851</v>
      </c>
    </row>
    <row r="14" spans="1:5" x14ac:dyDescent="0.25">
      <c r="A14" s="5" t="s">
        <v>235</v>
      </c>
      <c r="B14" s="56">
        <v>2207</v>
      </c>
      <c r="C14" s="13">
        <v>23842010</v>
      </c>
      <c r="D14" s="14">
        <v>14707842</v>
      </c>
      <c r="E14" s="13">
        <v>38549852</v>
      </c>
    </row>
    <row r="15" spans="1:5" x14ac:dyDescent="0.25">
      <c r="A15" s="5" t="s">
        <v>237</v>
      </c>
      <c r="B15" s="56">
        <v>833</v>
      </c>
      <c r="C15" s="13">
        <v>6794114</v>
      </c>
      <c r="D15" s="14">
        <v>5261767</v>
      </c>
      <c r="E15" s="13">
        <v>12055881</v>
      </c>
    </row>
    <row r="16" spans="1:5" x14ac:dyDescent="0.25">
      <c r="A16" s="5" t="s">
        <v>241</v>
      </c>
      <c r="B16" s="56">
        <v>9376</v>
      </c>
      <c r="C16" s="13">
        <v>127846829</v>
      </c>
      <c r="D16" s="14">
        <v>64930476</v>
      </c>
      <c r="E16" s="13">
        <v>192777305</v>
      </c>
    </row>
    <row r="17" spans="1:5" x14ac:dyDescent="0.25">
      <c r="A17" s="5" t="s">
        <v>242</v>
      </c>
      <c r="B17" s="56">
        <v>350</v>
      </c>
      <c r="C17" s="13">
        <v>5580206</v>
      </c>
      <c r="D17" s="14">
        <v>3120605</v>
      </c>
      <c r="E17" s="13">
        <v>8700811</v>
      </c>
    </row>
    <row r="18" spans="1:5" x14ac:dyDescent="0.25">
      <c r="A18" s="5" t="s">
        <v>243</v>
      </c>
      <c r="B18" s="56">
        <v>1374</v>
      </c>
      <c r="C18" s="13">
        <v>7269756</v>
      </c>
      <c r="D18" s="14">
        <v>4525500</v>
      </c>
      <c r="E18" s="13">
        <v>11795256</v>
      </c>
    </row>
    <row r="19" spans="1:5" x14ac:dyDescent="0.25">
      <c r="A19" s="5" t="s">
        <v>245</v>
      </c>
      <c r="B19" s="56">
        <v>469</v>
      </c>
      <c r="C19" s="13">
        <v>1660151</v>
      </c>
      <c r="D19" s="14">
        <v>1579133</v>
      </c>
      <c r="E19" s="13">
        <v>3239284</v>
      </c>
    </row>
    <row r="20" spans="1:5" x14ac:dyDescent="0.25">
      <c r="A20" s="5" t="s">
        <v>251</v>
      </c>
      <c r="B20" s="56">
        <v>19</v>
      </c>
      <c r="C20" s="13">
        <v>9361</v>
      </c>
      <c r="D20" s="14">
        <v>0</v>
      </c>
      <c r="E20" s="13">
        <v>9361</v>
      </c>
    </row>
    <row r="21" spans="1:5" x14ac:dyDescent="0.25">
      <c r="A21" s="5" t="s">
        <v>267</v>
      </c>
      <c r="B21" s="67">
        <v>5</v>
      </c>
      <c r="C21" s="13">
        <v>8250</v>
      </c>
      <c r="D21" s="28"/>
      <c r="E21" s="13">
        <v>8250</v>
      </c>
    </row>
    <row r="22" spans="1:5" x14ac:dyDescent="0.25">
      <c r="A22" s="5" t="s">
        <v>252</v>
      </c>
      <c r="B22" s="56">
        <v>3304</v>
      </c>
      <c r="C22" s="13">
        <v>11538322</v>
      </c>
      <c r="D22" s="14">
        <v>0</v>
      </c>
      <c r="E22" s="13">
        <v>11538322</v>
      </c>
    </row>
    <row r="23" spans="1:5" x14ac:dyDescent="0.25">
      <c r="A23" s="5" t="s">
        <v>253</v>
      </c>
      <c r="B23" s="56">
        <v>12642</v>
      </c>
      <c r="C23" s="13">
        <v>25482611</v>
      </c>
      <c r="D23" s="14">
        <v>589</v>
      </c>
      <c r="E23" s="13">
        <v>25483200</v>
      </c>
    </row>
    <row r="24" spans="1:5" x14ac:dyDescent="0.25">
      <c r="A24" s="16" t="s">
        <v>214</v>
      </c>
      <c r="B24" s="68">
        <v>90</v>
      </c>
      <c r="C24" s="19">
        <v>37071877</v>
      </c>
      <c r="D24" s="33">
        <v>22428127</v>
      </c>
      <c r="E24" s="19">
        <v>59500004</v>
      </c>
    </row>
    <row r="25" spans="1:5" s="3" customFormat="1" x14ac:dyDescent="0.25">
      <c r="A25" s="1" t="s">
        <v>479</v>
      </c>
      <c r="B25" s="52">
        <f>SUM(B6:B24)</f>
        <v>95605</v>
      </c>
      <c r="C25" s="52">
        <f t="shared" ref="C25:E25" si="0">SUM(C6:C24)</f>
        <v>451502305</v>
      </c>
      <c r="D25" s="52">
        <f t="shared" si="0"/>
        <v>145816998</v>
      </c>
      <c r="E25" s="52">
        <f t="shared" si="0"/>
        <v>597319303</v>
      </c>
    </row>
  </sheetData>
  <sheetProtection algorithmName="SHA-512" hashValue="N8gl2TA8vl/Y3Vi/a2NmT/UpfrXiJ92cIpENakhmLfq9AjnOpdgsFDNYns98bdljXWZD8q71LHcD9seqzxvxLg==" saltValue="CtWGurSYurZLXIGF+3BHeA==" spinCount="100000" sheet="1" objects="1" scenarios="1"/>
  <mergeCells count="1">
    <mergeCell ref="A3:E3"/>
  </mergeCells>
  <pageMargins left="0.2" right="0.4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F12-743A-48A5-8B18-676088628EA2}">
  <dimension ref="A3:E37"/>
  <sheetViews>
    <sheetView tabSelected="1" workbookViewId="0">
      <selection activeCell="G13" sqref="G13"/>
    </sheetView>
  </sheetViews>
  <sheetFormatPr baseColWidth="10" defaultRowHeight="15" x14ac:dyDescent="0.25"/>
  <cols>
    <col min="1" max="1" width="34.140625" style="10" bestFit="1" customWidth="1"/>
    <col min="2" max="2" width="11.42578125" style="10"/>
    <col min="3" max="3" width="14.140625" style="10" customWidth="1"/>
    <col min="4" max="4" width="18.42578125" style="10" customWidth="1"/>
    <col min="5" max="5" width="16.85546875" style="10" customWidth="1"/>
    <col min="6" max="16384" width="11.42578125" style="10"/>
  </cols>
  <sheetData>
    <row r="3" spans="1:5" x14ac:dyDescent="0.25">
      <c r="A3" s="71" t="s">
        <v>493</v>
      </c>
      <c r="B3" s="71"/>
      <c r="C3" s="71"/>
      <c r="D3" s="71"/>
      <c r="E3" s="71"/>
    </row>
    <row r="5" spans="1:5" s="62" customFormat="1" ht="44.25" customHeight="1" x14ac:dyDescent="0.25">
      <c r="A5" s="59" t="s">
        <v>485</v>
      </c>
      <c r="B5" s="66" t="s">
        <v>490</v>
      </c>
      <c r="C5" s="60" t="s">
        <v>487</v>
      </c>
      <c r="D5" s="70" t="s">
        <v>488</v>
      </c>
      <c r="E5" s="61" t="s">
        <v>489</v>
      </c>
    </row>
    <row r="6" spans="1:5" x14ac:dyDescent="0.25">
      <c r="A6" s="24" t="s">
        <v>207</v>
      </c>
      <c r="B6" s="55">
        <v>321</v>
      </c>
      <c r="C6" s="7">
        <v>7577569</v>
      </c>
      <c r="D6" s="8">
        <v>3995547</v>
      </c>
      <c r="E6" s="7">
        <v>11573116</v>
      </c>
    </row>
    <row r="7" spans="1:5" x14ac:dyDescent="0.25">
      <c r="A7" s="5" t="s">
        <v>209</v>
      </c>
      <c r="B7" s="56">
        <v>2701</v>
      </c>
      <c r="C7" s="13">
        <v>4827527</v>
      </c>
      <c r="D7" s="14">
        <v>0</v>
      </c>
      <c r="E7" s="13">
        <v>4827527</v>
      </c>
    </row>
    <row r="8" spans="1:5" x14ac:dyDescent="0.25">
      <c r="A8" s="5" t="s">
        <v>211</v>
      </c>
      <c r="B8" s="56">
        <v>489</v>
      </c>
      <c r="C8" s="13">
        <v>1324835</v>
      </c>
      <c r="D8" s="14">
        <v>0</v>
      </c>
      <c r="E8" s="13">
        <v>1324835</v>
      </c>
    </row>
    <row r="9" spans="1:5" x14ac:dyDescent="0.25">
      <c r="A9" s="5" t="s">
        <v>215</v>
      </c>
      <c r="B9" s="56">
        <v>436</v>
      </c>
      <c r="C9" s="13">
        <v>1821591</v>
      </c>
      <c r="D9" s="14">
        <v>0</v>
      </c>
      <c r="E9" s="13">
        <v>1821591</v>
      </c>
    </row>
    <row r="10" spans="1:5" x14ac:dyDescent="0.25">
      <c r="A10" s="5" t="s">
        <v>216</v>
      </c>
      <c r="B10" s="56">
        <v>2768</v>
      </c>
      <c r="C10" s="13">
        <v>6548427</v>
      </c>
      <c r="D10" s="14">
        <v>0</v>
      </c>
      <c r="E10" s="13">
        <v>6548427</v>
      </c>
    </row>
    <row r="11" spans="1:5" x14ac:dyDescent="0.25">
      <c r="A11" s="5" t="s">
        <v>258</v>
      </c>
      <c r="B11" s="56">
        <v>14</v>
      </c>
      <c r="C11" s="13">
        <v>821543</v>
      </c>
      <c r="D11" s="14">
        <v>0</v>
      </c>
      <c r="E11" s="13">
        <v>821543</v>
      </c>
    </row>
    <row r="12" spans="1:5" x14ac:dyDescent="0.25">
      <c r="A12" s="5" t="s">
        <v>219</v>
      </c>
      <c r="B12" s="56">
        <v>1883</v>
      </c>
      <c r="C12" s="13">
        <v>17910505</v>
      </c>
      <c r="D12" s="14">
        <v>10076951</v>
      </c>
      <c r="E12" s="13">
        <v>27987456</v>
      </c>
    </row>
    <row r="13" spans="1:5" x14ac:dyDescent="0.25">
      <c r="A13" s="5" t="s">
        <v>221</v>
      </c>
      <c r="B13" s="56">
        <v>168</v>
      </c>
      <c r="C13" s="13">
        <v>22568870</v>
      </c>
      <c r="D13" s="14">
        <v>11189075</v>
      </c>
      <c r="E13" s="13">
        <v>33757945</v>
      </c>
    </row>
    <row r="14" spans="1:5" x14ac:dyDescent="0.25">
      <c r="A14" s="5" t="s">
        <v>260</v>
      </c>
      <c r="B14" s="56">
        <v>335</v>
      </c>
      <c r="C14" s="13">
        <v>28304247</v>
      </c>
      <c r="D14" s="14">
        <v>0</v>
      </c>
      <c r="E14" s="13">
        <v>28304247</v>
      </c>
    </row>
    <row r="15" spans="1:5" x14ac:dyDescent="0.25">
      <c r="A15" s="5" t="s">
        <v>268</v>
      </c>
      <c r="B15" s="56">
        <v>24</v>
      </c>
      <c r="C15" s="13">
        <v>138970</v>
      </c>
      <c r="D15" s="14">
        <v>0</v>
      </c>
      <c r="E15" s="13">
        <v>138970</v>
      </c>
    </row>
    <row r="16" spans="1:5" x14ac:dyDescent="0.25">
      <c r="A16" s="5" t="s">
        <v>225</v>
      </c>
      <c r="B16" s="56">
        <v>297</v>
      </c>
      <c r="C16" s="13">
        <v>568357</v>
      </c>
      <c r="D16" s="14">
        <v>0</v>
      </c>
      <c r="E16" s="13">
        <v>568357</v>
      </c>
    </row>
    <row r="17" spans="1:5" x14ac:dyDescent="0.25">
      <c r="A17" s="5" t="s">
        <v>227</v>
      </c>
      <c r="B17" s="56">
        <v>651</v>
      </c>
      <c r="C17" s="13">
        <v>1583951</v>
      </c>
      <c r="D17" s="14">
        <v>0</v>
      </c>
      <c r="E17" s="13">
        <v>1583951</v>
      </c>
    </row>
    <row r="18" spans="1:5" x14ac:dyDescent="0.25">
      <c r="A18" s="5" t="s">
        <v>230</v>
      </c>
      <c r="B18" s="56">
        <v>3242</v>
      </c>
      <c r="C18" s="13">
        <v>17085724</v>
      </c>
      <c r="D18" s="14">
        <v>0</v>
      </c>
      <c r="E18" s="13">
        <v>17085724</v>
      </c>
    </row>
    <row r="19" spans="1:5" x14ac:dyDescent="0.25">
      <c r="A19" s="5" t="s">
        <v>231</v>
      </c>
      <c r="B19" s="56">
        <v>172</v>
      </c>
      <c r="C19" s="13">
        <v>45363487</v>
      </c>
      <c r="D19" s="14">
        <v>0</v>
      </c>
      <c r="E19" s="13">
        <v>45363487</v>
      </c>
    </row>
    <row r="20" spans="1:5" x14ac:dyDescent="0.25">
      <c r="A20" s="5" t="s">
        <v>262</v>
      </c>
      <c r="B20" s="56">
        <v>962</v>
      </c>
      <c r="C20" s="13">
        <v>211810158</v>
      </c>
      <c r="D20" s="14">
        <v>0</v>
      </c>
      <c r="E20" s="13">
        <v>211810158</v>
      </c>
    </row>
    <row r="21" spans="1:5" x14ac:dyDescent="0.25">
      <c r="A21" s="5" t="s">
        <v>233</v>
      </c>
      <c r="B21" s="56">
        <v>843</v>
      </c>
      <c r="C21" s="13">
        <v>137666337</v>
      </c>
      <c r="D21" s="14">
        <v>0</v>
      </c>
      <c r="E21" s="13">
        <v>137666337</v>
      </c>
    </row>
    <row r="22" spans="1:5" x14ac:dyDescent="0.25">
      <c r="A22" s="5" t="s">
        <v>239</v>
      </c>
      <c r="B22" s="56">
        <v>373</v>
      </c>
      <c r="C22" s="13">
        <v>7402965</v>
      </c>
      <c r="D22" s="14">
        <v>3334093</v>
      </c>
      <c r="E22" s="13">
        <v>10737058</v>
      </c>
    </row>
    <row r="23" spans="1:5" x14ac:dyDescent="0.25">
      <c r="A23" s="5" t="s">
        <v>240</v>
      </c>
      <c r="B23" s="56">
        <v>345</v>
      </c>
      <c r="C23" s="13">
        <v>9729512</v>
      </c>
      <c r="D23" s="14">
        <v>4795353</v>
      </c>
      <c r="E23" s="13">
        <v>14524865</v>
      </c>
    </row>
    <row r="24" spans="1:5" x14ac:dyDescent="0.25">
      <c r="A24" s="5" t="s">
        <v>264</v>
      </c>
      <c r="B24" s="56">
        <v>24</v>
      </c>
      <c r="C24" s="13">
        <v>143286</v>
      </c>
      <c r="D24" s="14">
        <v>0</v>
      </c>
      <c r="E24" s="13">
        <v>143286</v>
      </c>
    </row>
    <row r="25" spans="1:5" x14ac:dyDescent="0.25">
      <c r="A25" s="5" t="s">
        <v>265</v>
      </c>
      <c r="B25" s="56">
        <v>101</v>
      </c>
      <c r="C25" s="13">
        <v>9939846</v>
      </c>
      <c r="D25" s="14">
        <v>1507872</v>
      </c>
      <c r="E25" s="13">
        <v>11447718</v>
      </c>
    </row>
    <row r="26" spans="1:5" x14ac:dyDescent="0.25">
      <c r="A26" s="5" t="s">
        <v>247</v>
      </c>
      <c r="B26" s="56">
        <v>258</v>
      </c>
      <c r="C26" s="13">
        <v>2732305</v>
      </c>
      <c r="D26" s="14">
        <v>1630732</v>
      </c>
      <c r="E26" s="13">
        <v>4363037</v>
      </c>
    </row>
    <row r="27" spans="1:5" x14ac:dyDescent="0.25">
      <c r="A27" s="5" t="s">
        <v>248</v>
      </c>
      <c r="B27" s="56">
        <v>216</v>
      </c>
      <c r="C27" s="13">
        <v>2340397</v>
      </c>
      <c r="D27" s="14">
        <v>1142335</v>
      </c>
      <c r="E27" s="13">
        <v>3482732</v>
      </c>
    </row>
    <row r="28" spans="1:5" x14ac:dyDescent="0.25">
      <c r="A28" s="5" t="s">
        <v>269</v>
      </c>
      <c r="B28" s="56">
        <v>81</v>
      </c>
      <c r="C28" s="13">
        <v>962713</v>
      </c>
      <c r="D28" s="14">
        <v>409722</v>
      </c>
      <c r="E28" s="13">
        <v>1372435</v>
      </c>
    </row>
    <row r="29" spans="1:5" x14ac:dyDescent="0.25">
      <c r="A29" s="5" t="s">
        <v>249</v>
      </c>
      <c r="B29" s="56">
        <v>7293</v>
      </c>
      <c r="C29" s="13">
        <v>180290033</v>
      </c>
      <c r="D29" s="14">
        <v>113652577</v>
      </c>
      <c r="E29" s="13">
        <v>293942610</v>
      </c>
    </row>
    <row r="30" spans="1:5" x14ac:dyDescent="0.25">
      <c r="A30" s="5" t="s">
        <v>270</v>
      </c>
      <c r="B30" s="67">
        <v>5</v>
      </c>
      <c r="C30" s="13">
        <v>6860</v>
      </c>
      <c r="D30" s="28">
        <v>0</v>
      </c>
      <c r="E30" s="13">
        <v>6860</v>
      </c>
    </row>
    <row r="31" spans="1:5" x14ac:dyDescent="0.25">
      <c r="A31" s="5" t="s">
        <v>254</v>
      </c>
      <c r="B31" s="56">
        <v>2442</v>
      </c>
      <c r="C31" s="13">
        <v>5802038</v>
      </c>
      <c r="D31" s="14">
        <v>0</v>
      </c>
      <c r="E31" s="13">
        <v>5802038</v>
      </c>
    </row>
    <row r="32" spans="1:5" x14ac:dyDescent="0.25">
      <c r="A32" s="5" t="s">
        <v>255</v>
      </c>
      <c r="B32" s="56">
        <v>5310</v>
      </c>
      <c r="C32" s="13">
        <v>6908890</v>
      </c>
      <c r="D32" s="14">
        <v>0</v>
      </c>
      <c r="E32" s="13">
        <v>6908890</v>
      </c>
    </row>
    <row r="33" spans="1:5" x14ac:dyDescent="0.25">
      <c r="A33" s="5" t="s">
        <v>256</v>
      </c>
      <c r="B33" s="56">
        <v>1207</v>
      </c>
      <c r="C33" s="13">
        <v>2835049</v>
      </c>
      <c r="D33" s="14">
        <v>0</v>
      </c>
      <c r="E33" s="13">
        <v>2835049</v>
      </c>
    </row>
    <row r="34" spans="1:5" x14ac:dyDescent="0.25">
      <c r="A34" s="5" t="s">
        <v>257</v>
      </c>
      <c r="B34" s="56">
        <v>3802</v>
      </c>
      <c r="C34" s="13">
        <v>5557374</v>
      </c>
      <c r="D34" s="14">
        <v>0</v>
      </c>
      <c r="E34" s="13">
        <v>5557374</v>
      </c>
    </row>
    <row r="35" spans="1:5" x14ac:dyDescent="0.25">
      <c r="A35" s="16" t="s">
        <v>271</v>
      </c>
      <c r="B35" s="68">
        <v>101</v>
      </c>
      <c r="C35" s="19">
        <v>8644228</v>
      </c>
      <c r="D35" s="33">
        <v>1728846</v>
      </c>
      <c r="E35" s="19">
        <v>10373074</v>
      </c>
    </row>
    <row r="36" spans="1:5" s="3" customFormat="1" x14ac:dyDescent="0.25">
      <c r="A36" s="1" t="s">
        <v>479</v>
      </c>
      <c r="B36" s="52">
        <f>SUM(B6:B35)</f>
        <v>36864</v>
      </c>
      <c r="C36" s="52">
        <f t="shared" ref="C36:E36" si="0">SUM(C6:C35)</f>
        <v>749217594</v>
      </c>
      <c r="D36" s="52">
        <f t="shared" si="0"/>
        <v>153463103</v>
      </c>
      <c r="E36" s="52">
        <f t="shared" si="0"/>
        <v>902680697</v>
      </c>
    </row>
    <row r="37" spans="1:5" x14ac:dyDescent="0.25">
      <c r="B37" s="9"/>
    </row>
  </sheetData>
  <sheetProtection algorithmName="SHA-512" hashValue="0Y9zpEGZbmr5+qhM7qbHUnJGIuqPEh6IywOGUrw31kqShy9n1FQoShb3LPK+8IPLCCkGaXanQCEFYrPQ+3nXYg==" saltValue="RY8Gjl3XfO/YUdS7Kgfs3g==" spinCount="100000" sheet="1" objects="1" scenarios="1"/>
  <mergeCells count="1">
    <mergeCell ref="A3:E3"/>
  </mergeCells>
  <pageMargins left="0.42" right="0.24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coût par ville</vt:lpstr>
      <vt:lpstr>commune TSP ODP</vt:lpstr>
      <vt:lpstr>coût par Type</vt:lpstr>
      <vt:lpstr>RAPP MOMO</vt:lpstr>
      <vt:lpstr>RAPP MTN</vt:lpstr>
      <vt:lpstr>'commune TSP ODP'!Impression_des_titres</vt:lpstr>
      <vt:lpstr>'coût par ville'!Impression_des_titres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PAPA_ROMY</dc:creator>
  <cp:lastModifiedBy>PAPA_ROMY</cp:lastModifiedBy>
  <cp:lastPrinted>2020-01-11T21:38:42Z</cp:lastPrinted>
  <dcterms:created xsi:type="dcterms:W3CDTF">2020-01-10T08:01:34Z</dcterms:created>
  <dcterms:modified xsi:type="dcterms:W3CDTF">2020-01-11T21:43:03Z</dcterms:modified>
</cp:coreProperties>
</file>