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ffb8e500e4ad89/Documents/"/>
    </mc:Choice>
  </mc:AlternateContent>
  <xr:revisionPtr revIDLastSave="0" documentId="8_{4EDC2746-78C4-4675-A5FC-90E7B25B5A2E}" xr6:coauthVersionLast="47" xr6:coauthVersionMax="47" xr10:uidLastSave="{00000000-0000-0000-0000-000000000000}"/>
  <bookViews>
    <workbookView xWindow="0" yWindow="680" windowWidth="28800" windowHeight="16960" activeTab="1" xr2:uid="{E32DE4BE-C009-46D5-91A3-1700F491F6D7}"/>
  </bookViews>
  <sheets>
    <sheet name="Cost Summary" sheetId="14" r:id="rId1"/>
    <sheet name="Job Info-Gen + Hit1" sheetId="2" r:id="rId2"/>
    <sheet name="H1-Prod. Cost Details" sheetId="16" r:id="rId3"/>
    <sheet name="Drop Down Tables" sheetId="1" r:id="rId4"/>
    <sheet name="Material Calculations" sheetId="7" r:id="rId5"/>
    <sheet name="Equipment Costs" sheetId="4" r:id="rId6"/>
    <sheet name="Building Costs" sheetId="5" r:id="rId7"/>
    <sheet name="Labor Costs" sheetId="6" r:id="rId8"/>
  </sheets>
  <definedNames>
    <definedName name="Bobbin_Color">'Drop Down Tables'!$G$2:$G$25</definedName>
    <definedName name="Complexity">'Drop Down Tables'!$B$2:$B$25</definedName>
    <definedName name="Employee_Cost_Table">'Labor Costs'!$A$2:$B$25</definedName>
    <definedName name="Employee_Hourly_Costs">'Labor Costs'!$A$2:$B$25</definedName>
    <definedName name="Employee_List">'Labor Costs'!$A$2:$A$25</definedName>
    <definedName name="Equipment_Hourly_Cost">'Equipment Costs'!$J$5:$J$25</definedName>
    <definedName name="Equipment_List">'Equipment Costs'!$I$5:$I$25</definedName>
    <definedName name="Equipment_Table">'Equipment Costs'!$I$5:$J$25</definedName>
    <definedName name="Fabric_Type">'Drop Down Tables'!$F$2:$F$25</definedName>
    <definedName name="Garment_Type">'Drop Down Tables'!$E$2:$E$25</definedName>
    <definedName name="Labor_Cost_per_Hour">'Labor Costs'!$B$2:$B$25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2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2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3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3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ther_Material">'Drop Down Tables'!$H$2:$H$25</definedName>
    <definedName name="percentageoptions">'Drop Down Tables'!$K$2:$K$26</definedName>
    <definedName name="percentageORinteger">'Drop Down Tables'!$J$2:$J$3</definedName>
    <definedName name="_xlnm.Print_Area" localSheetId="6">'Building Costs'!$A$1:$K$38</definedName>
    <definedName name="_xlnm.Print_Area" localSheetId="5">'Equipment Costs'!$A$1:$M$16</definedName>
    <definedName name="_xlnm.Print_Area" localSheetId="7">'Labor Costs'!#REF!</definedName>
    <definedName name="_xlnm.Print_Area" localSheetId="4">'Material Calculations'!$A$1:$D$11</definedName>
    <definedName name="_xlnm.Print_Titles" localSheetId="5">'Equipment Costs'!#REF!,'Equipment Costs'!$3:$3</definedName>
    <definedName name="_xlnm.Print_Titles" localSheetId="7">'Labor Costs'!#REF!</definedName>
    <definedName name="Profit_OH_Multiplier">'Drop Down Tables'!$K$2:$K$30</definedName>
    <definedName name="Profit_OH_Multiplier__Integer">'Drop Down Tables'!$L$2:$L$30</definedName>
    <definedName name="Profit_OH_Multiplier_Percentage">'Drop Down Tables'!$K$2:$K$30</definedName>
    <definedName name="ProfitIntegerOptions">'Drop Down Tables'!$L$2:$L$26</definedName>
    <definedName name="profitOHinteger">'Drop Down Tables'!$L$2:$L$26</definedName>
    <definedName name="profitOHpercentage">'Drop Down Tables'!$K$2:$K$26</definedName>
    <definedName name="QB_COLUMN_1" localSheetId="5" hidden="1">'Equipment Costs'!#REF!</definedName>
    <definedName name="QB_COLUMN_30" localSheetId="5" hidden="1">'Equipment Costs'!$C$3</definedName>
    <definedName name="QB_COLUMN_31" localSheetId="5" hidden="1">'Equipment Costs'!#REF!</definedName>
    <definedName name="QB_COLUMN_4" localSheetId="5" hidden="1">'Equipment Costs'!#REF!</definedName>
    <definedName name="QB_COLUMN_7" localSheetId="5" hidden="1">'Equipment Costs'!#REF!</definedName>
    <definedName name="QB_COLUMN_8" localSheetId="5" hidden="1">'Equipment Costs'!#REF!</definedName>
    <definedName name="QB_DATA_0" localSheetId="5" hidden="1">'Equipment Costs'!#REF!,'Equipment Costs'!#REF!,'Equipment Costs'!#REF!,'Equipment Costs'!#REF!,'Equipment Costs'!$5:$5,'Equipment Costs'!#REF!,'Equipment Costs'!#REF!,'Equipment Costs'!#REF!,'Equipment Costs'!#REF!,'Equipment Costs'!#REF!,'Equipment Costs'!#REF!,'Equipment Costs'!#REF!,'Equipment Costs'!#REF!,'Equipment Costs'!#REF!,'Equipment Costs'!#REF!,'Equipment Costs'!#REF!</definedName>
    <definedName name="QB_DATA_1" localSheetId="5" hidden="1">'Equipment Costs'!#REF!,'Equipment Costs'!#REF!,'Equipment Costs'!#REF!,'Equipment Costs'!#REF!,'Equipment Costs'!#REF!,'Equipment Costs'!#REF!,'Equipment Costs'!#REF!,'Equipment Costs'!#REF!,'Equipment Costs'!#REF!,'Equipment Costs'!#REF!,'Equipment Costs'!#REF!</definedName>
    <definedName name="QB_FORMULA_0" localSheetId="5" hidden="1">'Equipment Costs'!#REF!,'Equipment Costs'!#REF!,'Equipment Costs'!#REF!,'Equipment Costs'!#REF!,'Equipment Costs'!#REF!,'Equipment Costs'!#REF!,'Equipment Costs'!#REF!,'Equipment Costs'!#REF!,'Equipment Costs'!#REF!,'Equipment Costs'!#REF!,'Equipment Costs'!#REF!,'Equipment Costs'!#REF!,'Equipment Costs'!#REF!,'Equipment Costs'!#REF!,'Equipment Costs'!#REF!,'Equipment Costs'!#REF!</definedName>
    <definedName name="QB_FORMULA_1" localSheetId="5" hidden="1">'Equipment Costs'!#REF!,'Equipment Costs'!#REF!,'Equipment Costs'!#REF!,'Equipment Costs'!#REF!,'Equipment Costs'!#REF!,'Equipment Costs'!#REF!,'Equipment Costs'!#REF!,'Equipment Costs'!#REF!,'Equipment Costs'!#REF!,'Equipment Costs'!#REF!,'Equipment Costs'!#REF!,'Equipment Costs'!#REF!,'Equipment Costs'!#REF!,'Equipment Costs'!#REF!,'Equipment Costs'!#REF!</definedName>
    <definedName name="QB_ROW_25301" localSheetId="5" hidden="1">'Equipment Costs'!#REF!</definedName>
    <definedName name="QB_ROW_93010" localSheetId="5" hidden="1">'Equipment Costs'!$A$3</definedName>
    <definedName name="QB_ROW_93310" localSheetId="5" hidden="1">'Equipment Costs'!#REF!</definedName>
    <definedName name="QBCANSUPPORTUPDATE" localSheetId="5">TRUE</definedName>
    <definedName name="QBCANSUPPORTUPDATE" localSheetId="7">FALSE</definedName>
    <definedName name="QBCOMPANYFILENAME" localSheetId="5">"C:\Users\cruth\Desktop\Quickbooks\12ozCollective, Inc..qbw"</definedName>
    <definedName name="QBCOMPANYFILENAME" localSheetId="7">"C:\Users\cruth\Desktop\Quickbooks\12ozCollective, Inc..qbw"</definedName>
    <definedName name="QBENDDATE" localSheetId="7">20230406</definedName>
    <definedName name="QBHEADERSONSCREEN" localSheetId="5">FALSE</definedName>
    <definedName name="QBHEADERSONSCREEN" localSheetId="7">FALSE</definedName>
    <definedName name="QBMETADATASIZE" localSheetId="5">7652</definedName>
    <definedName name="QBMETADATASIZE" localSheetId="7">0</definedName>
    <definedName name="QBPRESERVECOLOR" localSheetId="5">TRUE</definedName>
    <definedName name="QBPRESERVECOLOR" localSheetId="7">TRUE</definedName>
    <definedName name="QBPRESERVEFONT" localSheetId="5">TRUE</definedName>
    <definedName name="QBPRESERVEFONT" localSheetId="7">TRUE</definedName>
    <definedName name="QBPRESERVEROWHEIGHT" localSheetId="5">TRUE</definedName>
    <definedName name="QBPRESERVEROWHEIGHT" localSheetId="7">TRUE</definedName>
    <definedName name="QBPRESERVESPACE" localSheetId="5">TRUE</definedName>
    <definedName name="QBPRESERVESPACE" localSheetId="7">TRUE</definedName>
    <definedName name="QBREPORTCOLAXIS" localSheetId="5">0</definedName>
    <definedName name="QBREPORTCOLAXIS" localSheetId="7">0</definedName>
    <definedName name="QBREPORTCOMPANYID" localSheetId="5">"4301e17fef494768b1542aacdbe53830"</definedName>
    <definedName name="QBREPORTCOMPANYID" localSheetId="7">"4301e17fef494768b1542aacdbe53830"</definedName>
    <definedName name="QBREPORTCOMPARECOL_ANNUALBUDGET" localSheetId="5">FALSE</definedName>
    <definedName name="QBREPORTCOMPARECOL_ANNUALBUDGET" localSheetId="7">FALSE</definedName>
    <definedName name="QBREPORTCOMPARECOL_AVGCOGS" localSheetId="5">FALSE</definedName>
    <definedName name="QBREPORTCOMPARECOL_AVGCOGS" localSheetId="7">FALSE</definedName>
    <definedName name="QBREPORTCOMPARECOL_AVGPRICE" localSheetId="5">FALSE</definedName>
    <definedName name="QBREPORTCOMPARECOL_AVGPRICE" localSheetId="7">FALSE</definedName>
    <definedName name="QBREPORTCOMPARECOL_BUDDIFF" localSheetId="5">FALSE</definedName>
    <definedName name="QBREPORTCOMPARECOL_BUDDIFF" localSheetId="7">FALSE</definedName>
    <definedName name="QBREPORTCOMPARECOL_BUDGET" localSheetId="5">FALSE</definedName>
    <definedName name="QBREPORTCOMPARECOL_BUDGET" localSheetId="7">FALSE</definedName>
    <definedName name="QBREPORTCOMPARECOL_BUDPCT" localSheetId="5">FALSE</definedName>
    <definedName name="QBREPORTCOMPARECOL_BUDPCT" localSheetId="7">FALSE</definedName>
    <definedName name="QBREPORTCOMPARECOL_COGS" localSheetId="5">FALSE</definedName>
    <definedName name="QBREPORTCOMPARECOL_COGS" localSheetId="7">FALSE</definedName>
    <definedName name="QBREPORTCOMPARECOL_EXCLUDEAMOUNT" localSheetId="5">FALSE</definedName>
    <definedName name="QBREPORTCOMPARECOL_EXCLUDEAMOUNT" localSheetId="7">FALSE</definedName>
    <definedName name="QBREPORTCOMPARECOL_EXCLUDECURPERIOD" localSheetId="5">FALSE</definedName>
    <definedName name="QBREPORTCOMPARECOL_EXCLUDECURPERIOD" localSheetId="7">FALSE</definedName>
    <definedName name="QBREPORTCOMPARECOL_FORECAST" localSheetId="5">FALSE</definedName>
    <definedName name="QBREPORTCOMPARECOL_FORECAST" localSheetId="7">FALSE</definedName>
    <definedName name="QBREPORTCOMPARECOL_GROSSMARGIN" localSheetId="5">FALSE</definedName>
    <definedName name="QBREPORTCOMPARECOL_GROSSMARGIN" localSheetId="7">FALSE</definedName>
    <definedName name="QBREPORTCOMPARECOL_GROSSMARGINPCT" localSheetId="5">FALSE</definedName>
    <definedName name="QBREPORTCOMPARECOL_GROSSMARGINPCT" localSheetId="7">FALSE</definedName>
    <definedName name="QBREPORTCOMPARECOL_HOURS" localSheetId="5">FALSE</definedName>
    <definedName name="QBREPORTCOMPARECOL_HOURS" localSheetId="7">FALSE</definedName>
    <definedName name="QBREPORTCOMPARECOL_PCTCOL" localSheetId="5">FALSE</definedName>
    <definedName name="QBREPORTCOMPARECOL_PCTCOL" localSheetId="7">FALSE</definedName>
    <definedName name="QBREPORTCOMPARECOL_PCTEXPENSE" localSheetId="5">FALSE</definedName>
    <definedName name="QBREPORTCOMPARECOL_PCTEXPENSE" localSheetId="7">FALSE</definedName>
    <definedName name="QBREPORTCOMPARECOL_PCTINCOME" localSheetId="5">FALSE</definedName>
    <definedName name="QBREPORTCOMPARECOL_PCTINCOME" localSheetId="7">FALSE</definedName>
    <definedName name="QBREPORTCOMPARECOL_PCTOFSALES" localSheetId="5">FALSE</definedName>
    <definedName name="QBREPORTCOMPARECOL_PCTOFSALES" localSheetId="7">FALSE</definedName>
    <definedName name="QBREPORTCOMPARECOL_PCTROW" localSheetId="5">FALSE</definedName>
    <definedName name="QBREPORTCOMPARECOL_PCTROW" localSheetId="7">FALSE</definedName>
    <definedName name="QBREPORTCOMPARECOL_PPDIFF" localSheetId="5">FALSE</definedName>
    <definedName name="QBREPORTCOMPARECOL_PPDIFF" localSheetId="7">FALSE</definedName>
    <definedName name="QBREPORTCOMPARECOL_PPPCT" localSheetId="5">FALSE</definedName>
    <definedName name="QBREPORTCOMPARECOL_PPPCT" localSheetId="7">FALSE</definedName>
    <definedName name="QBREPORTCOMPARECOL_PREVPERIOD" localSheetId="5">FALSE</definedName>
    <definedName name="QBREPORTCOMPARECOL_PREVPERIOD" localSheetId="7">FALSE</definedName>
    <definedName name="QBREPORTCOMPARECOL_PREVYEAR" localSheetId="5">FALSE</definedName>
    <definedName name="QBREPORTCOMPARECOL_PREVYEAR" localSheetId="7">FALSE</definedName>
    <definedName name="QBREPORTCOMPARECOL_PYDIFF" localSheetId="5">FALSE</definedName>
    <definedName name="QBREPORTCOMPARECOL_PYDIFF" localSheetId="7">FALSE</definedName>
    <definedName name="QBREPORTCOMPARECOL_PYPCT" localSheetId="5">FALSE</definedName>
    <definedName name="QBREPORTCOMPARECOL_PYPCT" localSheetId="7">FALSE</definedName>
    <definedName name="QBREPORTCOMPARECOL_QTY" localSheetId="5">FALSE</definedName>
    <definedName name="QBREPORTCOMPARECOL_QTY" localSheetId="7">FALSE</definedName>
    <definedName name="QBREPORTCOMPARECOL_RATE" localSheetId="5">FALSE</definedName>
    <definedName name="QBREPORTCOMPARECOL_RATE" localSheetId="7">FALSE</definedName>
    <definedName name="QBREPORTCOMPARECOL_TRIPBILLEDMILES" localSheetId="5">FALSE</definedName>
    <definedName name="QBREPORTCOMPARECOL_TRIPBILLEDMILES" localSheetId="7">FALSE</definedName>
    <definedName name="QBREPORTCOMPARECOL_TRIPBILLINGAMOUNT" localSheetId="5">FALSE</definedName>
    <definedName name="QBREPORTCOMPARECOL_TRIPBILLINGAMOUNT" localSheetId="7">FALSE</definedName>
    <definedName name="QBREPORTCOMPARECOL_TRIPMILES" localSheetId="5">FALSE</definedName>
    <definedName name="QBREPORTCOMPARECOL_TRIPMILES" localSheetId="7">FALSE</definedName>
    <definedName name="QBREPORTCOMPARECOL_TRIPNOTBILLABLEMILES" localSheetId="5">FALSE</definedName>
    <definedName name="QBREPORTCOMPARECOL_TRIPNOTBILLABLEMILES" localSheetId="7">FALSE</definedName>
    <definedName name="QBREPORTCOMPARECOL_TRIPTAXDEDUCTIBLEAMOUNT" localSheetId="5">FALSE</definedName>
    <definedName name="QBREPORTCOMPARECOL_TRIPTAXDEDUCTIBLEAMOUNT" localSheetId="7">FALSE</definedName>
    <definedName name="QBREPORTCOMPARECOL_TRIPUNBILLEDMILES" localSheetId="5">FALSE</definedName>
    <definedName name="QBREPORTCOMPARECOL_TRIPUNBILLEDMILES" localSheetId="7">FALSE</definedName>
    <definedName name="QBREPORTCOMPARECOL_YTD" localSheetId="5">FALSE</definedName>
    <definedName name="QBREPORTCOMPARECOL_YTD" localSheetId="7">FALSE</definedName>
    <definedName name="QBREPORTCOMPARECOL_YTDBUDGET" localSheetId="5">FALSE</definedName>
    <definedName name="QBREPORTCOMPARECOL_YTDBUDGET" localSheetId="7">FALSE</definedName>
    <definedName name="QBREPORTCOMPARECOL_YTDPCT" localSheetId="5">FALSE</definedName>
    <definedName name="QBREPORTCOMPARECOL_YTDPCT" localSheetId="7">FALSE</definedName>
    <definedName name="QBREPORTROWAXIS" localSheetId="5">12</definedName>
    <definedName name="QBREPORTROWAXIS" localSheetId="7">76</definedName>
    <definedName name="QBREPORTSUBCOLAXIS" localSheetId="5">0</definedName>
    <definedName name="QBREPORTSUBCOLAXIS" localSheetId="7">0</definedName>
    <definedName name="QBREPORTTYPE" localSheetId="5">109</definedName>
    <definedName name="QBREPORTTYPE" localSheetId="7">218</definedName>
    <definedName name="QBROWHEADERS" localSheetId="5">2</definedName>
    <definedName name="QBROWHEADERS" localSheetId="7">0</definedName>
    <definedName name="QBSTARTDATE" localSheetId="7">20230406</definedName>
    <definedName name="Staff_List_Job_Info_Sheet">'Drop Down Tables'!#REF!</definedName>
    <definedName name="Thread_Weight">'Drop Down Tables'!$C$2:$C$25</definedName>
    <definedName name="Waste_Percentage">'Drop Down Tables'!$I$2:$I$25</definedName>
    <definedName name="Yes_No">'Drop Down Tables'!$D$2:$D$4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4" l="1"/>
  <c r="C24" i="2"/>
  <c r="A2" i="14"/>
  <c r="G21" i="7"/>
  <c r="C11" i="16"/>
  <c r="K16" i="2"/>
  <c r="K17" i="2"/>
  <c r="E14" i="2"/>
  <c r="D20" i="7"/>
  <c r="C20" i="7"/>
  <c r="A3" i="14"/>
  <c r="K9" i="14"/>
  <c r="E11" i="14"/>
  <c r="E10" i="14"/>
  <c r="E9" i="14"/>
  <c r="E12" i="14"/>
  <c r="L28" i="16"/>
  <c r="C32" i="7"/>
  <c r="M33" i="7"/>
  <c r="M29" i="7"/>
  <c r="L33" i="7"/>
  <c r="K32" i="7"/>
  <c r="K31" i="7"/>
  <c r="L29" i="7"/>
  <c r="K28" i="7"/>
  <c r="K27" i="7"/>
  <c r="J32" i="7"/>
  <c r="J31" i="7"/>
  <c r="J28" i="7"/>
  <c r="J27" i="7"/>
  <c r="D28" i="7"/>
  <c r="D30" i="7" s="1"/>
  <c r="C28" i="7"/>
  <c r="C29" i="7" s="1"/>
  <c r="L2" i="14" l="1"/>
  <c r="J23" i="7"/>
  <c r="J21" i="7"/>
  <c r="K11" i="2" l="1"/>
  <c r="C41" i="16"/>
  <c r="M39" i="16"/>
  <c r="L39" i="16"/>
  <c r="N39" i="16" s="1"/>
  <c r="I39" i="16"/>
  <c r="H39" i="16"/>
  <c r="D39" i="16"/>
  <c r="E39" i="16" s="1"/>
  <c r="M38" i="16"/>
  <c r="L38" i="16"/>
  <c r="I38" i="16"/>
  <c r="H38" i="16"/>
  <c r="J38" i="16" s="1"/>
  <c r="D38" i="16"/>
  <c r="E38" i="16" s="1"/>
  <c r="M37" i="16"/>
  <c r="L37" i="16"/>
  <c r="I37" i="16"/>
  <c r="H37" i="16"/>
  <c r="D37" i="16"/>
  <c r="E37" i="16" s="1"/>
  <c r="C31" i="16"/>
  <c r="M30" i="16"/>
  <c r="L30" i="16"/>
  <c r="N30" i="16" s="1"/>
  <c r="I30" i="16"/>
  <c r="H30" i="16"/>
  <c r="D30" i="16"/>
  <c r="E30" i="16" s="1"/>
  <c r="M29" i="16"/>
  <c r="L29" i="16"/>
  <c r="I29" i="16"/>
  <c r="H29" i="16"/>
  <c r="D29" i="16"/>
  <c r="E29" i="16" s="1"/>
  <c r="M28" i="16"/>
  <c r="N28" i="16" s="1"/>
  <c r="I28" i="16"/>
  <c r="H28" i="16"/>
  <c r="D28" i="16"/>
  <c r="E28" i="16" s="1"/>
  <c r="M27" i="16"/>
  <c r="L27" i="16"/>
  <c r="N27" i="16" s="1"/>
  <c r="I27" i="16"/>
  <c r="H27" i="16"/>
  <c r="D27" i="16"/>
  <c r="E27" i="16" s="1"/>
  <c r="M20" i="16"/>
  <c r="L20" i="16"/>
  <c r="I20" i="16"/>
  <c r="H20" i="16"/>
  <c r="D20" i="16"/>
  <c r="E20" i="16" s="1"/>
  <c r="M19" i="16"/>
  <c r="I19" i="16"/>
  <c r="D19" i="16"/>
  <c r="M18" i="16"/>
  <c r="N18" i="16" s="1"/>
  <c r="I18" i="16"/>
  <c r="J18" i="16" s="1"/>
  <c r="D18" i="16"/>
  <c r="E18" i="16" s="1"/>
  <c r="M17" i="16"/>
  <c r="I17" i="16"/>
  <c r="D17" i="16"/>
  <c r="M9" i="16"/>
  <c r="L9" i="16"/>
  <c r="I9" i="16"/>
  <c r="H9" i="16"/>
  <c r="D9" i="16"/>
  <c r="E9" i="16" s="1"/>
  <c r="M8" i="16"/>
  <c r="I8" i="16"/>
  <c r="H8" i="16"/>
  <c r="D8" i="16"/>
  <c r="E8" i="16" s="1"/>
  <c r="M7" i="16"/>
  <c r="L7" i="16"/>
  <c r="N7" i="16" s="1"/>
  <c r="I7" i="16"/>
  <c r="H7" i="16"/>
  <c r="D7" i="16"/>
  <c r="E7" i="16" s="1"/>
  <c r="M6" i="16"/>
  <c r="I6" i="16"/>
  <c r="J6" i="16" s="1"/>
  <c r="D6" i="16"/>
  <c r="M5" i="16"/>
  <c r="L5" i="16"/>
  <c r="N5" i="16" s="1"/>
  <c r="I5" i="16"/>
  <c r="J5" i="16" s="1"/>
  <c r="D5" i="16"/>
  <c r="E5" i="16" s="1"/>
  <c r="J30" i="16" l="1"/>
  <c r="J7" i="16"/>
  <c r="J37" i="16"/>
  <c r="J9" i="16"/>
  <c r="J28" i="16"/>
  <c r="J39" i="16"/>
  <c r="N20" i="16"/>
  <c r="J29" i="16"/>
  <c r="J27" i="16"/>
  <c r="J8" i="16"/>
  <c r="L8" i="16"/>
  <c r="N8" i="16" s="1"/>
  <c r="J20" i="16"/>
  <c r="L31" i="16"/>
  <c r="L41" i="16"/>
  <c r="N37" i="16"/>
  <c r="H31" i="16"/>
  <c r="N9" i="16"/>
  <c r="E41" i="16"/>
  <c r="B32" i="14" s="1"/>
  <c r="B12" i="14" s="1"/>
  <c r="E31" i="16"/>
  <c r="B31" i="14" s="1"/>
  <c r="B11" i="14" s="1"/>
  <c r="N29" i="16"/>
  <c r="N31" i="16" s="1"/>
  <c r="D31" i="14" s="1"/>
  <c r="D11" i="14" s="1"/>
  <c r="H41" i="16"/>
  <c r="N38" i="16"/>
  <c r="E15" i="14"/>
  <c r="E35" i="14"/>
  <c r="F34" i="14"/>
  <c r="F33" i="14"/>
  <c r="K18" i="14"/>
  <c r="J18" i="14"/>
  <c r="I18" i="14"/>
  <c r="E18" i="14"/>
  <c r="D18" i="14"/>
  <c r="C18" i="14"/>
  <c r="B18" i="14"/>
  <c r="F14" i="14"/>
  <c r="F13" i="14"/>
  <c r="H23" i="7"/>
  <c r="G20" i="7"/>
  <c r="E23" i="7"/>
  <c r="B5" i="7"/>
  <c r="E14" i="7"/>
  <c r="B34" i="2"/>
  <c r="D34" i="2"/>
  <c r="B35" i="2"/>
  <c r="D35" i="2"/>
  <c r="B36" i="2"/>
  <c r="E36" i="2" s="1"/>
  <c r="D36" i="2"/>
  <c r="B37" i="2"/>
  <c r="D37" i="2"/>
  <c r="D33" i="2"/>
  <c r="B33" i="2"/>
  <c r="J8" i="4"/>
  <c r="E23" i="2"/>
  <c r="J6" i="4"/>
  <c r="J5" i="4"/>
  <c r="E34" i="2" l="1"/>
  <c r="E33" i="2"/>
  <c r="K15" i="14"/>
  <c r="K20" i="14" s="1"/>
  <c r="E35" i="2"/>
  <c r="E37" i="2"/>
  <c r="J41" i="16"/>
  <c r="C32" i="14" s="1"/>
  <c r="C12" i="14" s="1"/>
  <c r="J31" i="16"/>
  <c r="C31" i="14" s="1"/>
  <c r="C11" i="14" s="1"/>
  <c r="N41" i="16"/>
  <c r="D32" i="14" s="1"/>
  <c r="D12" i="14" s="1"/>
  <c r="E20" i="14"/>
  <c r="E22" i="14" s="1"/>
  <c r="E38" i="2" l="1"/>
  <c r="K22" i="14"/>
  <c r="F31" i="14" l="1"/>
  <c r="F12" i="14"/>
  <c r="F32" i="14"/>
  <c r="L6" i="1"/>
  <c r="L5" i="1"/>
  <c r="L4" i="1"/>
  <c r="L3" i="1"/>
  <c r="L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7" i="1"/>
  <c r="D8" i="7"/>
  <c r="D2" i="7"/>
  <c r="B8" i="7"/>
  <c r="D5" i="7"/>
  <c r="F11" i="14" l="1"/>
  <c r="B31" i="5"/>
  <c r="B33" i="5" s="1"/>
  <c r="B20" i="5"/>
  <c r="D9" i="5"/>
  <c r="D20" i="5" s="1"/>
  <c r="B9" i="5"/>
  <c r="C9" i="5" s="1"/>
  <c r="C20" i="5" s="1"/>
  <c r="F29" i="5" s="1"/>
  <c r="F33" i="5" s="1"/>
  <c r="G18" i="5" l="1"/>
  <c r="G22" i="5" s="1"/>
  <c r="F18" i="5"/>
  <c r="F22" i="5" s="1"/>
  <c r="C6" i="4" l="1"/>
  <c r="H6" i="4" s="1"/>
  <c r="H5" i="4"/>
  <c r="G5" i="4"/>
  <c r="F5" i="4"/>
  <c r="E5" i="4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E6" i="4" l="1"/>
  <c r="G6" i="4"/>
  <c r="F6" i="4"/>
  <c r="K39" i="2" l="1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38" i="2"/>
  <c r="K35" i="2"/>
  <c r="J30" i="2"/>
  <c r="K12" i="2"/>
  <c r="K13" i="2"/>
  <c r="K14" i="2"/>
  <c r="K15" i="2"/>
  <c r="K18" i="2"/>
  <c r="K19" i="2"/>
  <c r="K20" i="2"/>
  <c r="K21" i="2"/>
  <c r="K22" i="2"/>
  <c r="K23" i="2"/>
  <c r="K24" i="2"/>
  <c r="K25" i="2"/>
  <c r="K26" i="2"/>
  <c r="K27" i="2"/>
  <c r="K28" i="2"/>
  <c r="K29" i="2"/>
  <c r="K10" i="2"/>
  <c r="E54" i="2"/>
  <c r="E53" i="2"/>
  <c r="E52" i="2"/>
  <c r="E51" i="2"/>
  <c r="E50" i="2"/>
  <c r="E49" i="2"/>
  <c r="E48" i="2"/>
  <c r="E47" i="2"/>
  <c r="E46" i="2"/>
  <c r="E45" i="2"/>
  <c r="E44" i="2"/>
  <c r="E43" i="2"/>
  <c r="E15" i="2"/>
  <c r="E16" i="2"/>
  <c r="E17" i="2"/>
  <c r="E18" i="2"/>
  <c r="E19" i="2"/>
  <c r="E20" i="2"/>
  <c r="E21" i="2"/>
  <c r="E22" i="2"/>
  <c r="B29" i="2"/>
  <c r="E20" i="7" l="1"/>
  <c r="E22" i="7" s="1"/>
  <c r="L6" i="16"/>
  <c r="E6" i="16"/>
  <c r="E42" i="2"/>
  <c r="E41" i="2"/>
  <c r="H4" i="2"/>
  <c r="K55" i="2"/>
  <c r="F4" i="2"/>
  <c r="K30" i="2"/>
  <c r="E24" i="2"/>
  <c r="I29" i="14" l="1"/>
  <c r="I9" i="14" s="1"/>
  <c r="I15" i="14" s="1"/>
  <c r="I20" i="14" s="1"/>
  <c r="I22" i="14" s="1"/>
  <c r="E11" i="16"/>
  <c r="B29" i="14" s="1"/>
  <c r="B9" i="14" s="1"/>
  <c r="L11" i="16"/>
  <c r="N6" i="16"/>
  <c r="N11" i="16" s="1"/>
  <c r="D29" i="14" s="1"/>
  <c r="D9" i="14" s="1"/>
  <c r="E55" i="2"/>
  <c r="J29" i="14" s="1"/>
  <c r="J9" i="14" s="1"/>
  <c r="C21" i="7"/>
  <c r="C24" i="7" s="1"/>
  <c r="H20" i="7"/>
  <c r="H22" i="7" s="1"/>
  <c r="D22" i="7"/>
  <c r="D24" i="7" s="1"/>
  <c r="I35" i="14" l="1"/>
  <c r="E19" i="16"/>
  <c r="H19" i="16"/>
  <c r="J19" i="16" s="1"/>
  <c r="L19" i="16"/>
  <c r="N19" i="16" s="1"/>
  <c r="H17" i="16"/>
  <c r="J17" i="16" s="1"/>
  <c r="E17" i="16"/>
  <c r="L17" i="16"/>
  <c r="N17" i="16" s="1"/>
  <c r="C21" i="16"/>
  <c r="J11" i="16"/>
  <c r="C29" i="14" s="1"/>
  <c r="C9" i="14" s="1"/>
  <c r="H11" i="16"/>
  <c r="J35" i="14"/>
  <c r="L29" i="14"/>
  <c r="L35" i="14" s="1"/>
  <c r="J15" i="14"/>
  <c r="L9" i="14"/>
  <c r="L15" i="14" s="1"/>
  <c r="J21" i="16" l="1"/>
  <c r="C30" i="14" s="1"/>
  <c r="C10" i="14" s="1"/>
  <c r="E21" i="16"/>
  <c r="B30" i="14" s="1"/>
  <c r="B10" i="14" s="1"/>
  <c r="L21" i="16"/>
  <c r="N21" i="16"/>
  <c r="D30" i="14" s="1"/>
  <c r="D10" i="14" s="1"/>
  <c r="H21" i="16"/>
  <c r="F9" i="14"/>
  <c r="F29" i="14"/>
  <c r="J20" i="14"/>
  <c r="L20" i="14" s="1"/>
  <c r="L17" i="14" s="1"/>
  <c r="L18" i="14" s="1"/>
  <c r="D35" i="14" l="1"/>
  <c r="D15" i="14"/>
  <c r="D20" i="14" s="1"/>
  <c r="D22" i="14" s="1"/>
  <c r="J22" i="14"/>
  <c r="B35" i="14"/>
  <c r="L22" i="14"/>
  <c r="I3" i="14" s="1"/>
  <c r="J3" i="14" s="1"/>
  <c r="B15" i="14" l="1"/>
  <c r="B20" i="14" s="1"/>
  <c r="B22" i="14" s="1"/>
  <c r="C35" i="14"/>
  <c r="F30" i="14"/>
  <c r="F35" i="14" s="1"/>
  <c r="F10" i="14" l="1"/>
  <c r="F15" i="14" s="1"/>
  <c r="C15" i="14"/>
  <c r="C20" i="14" s="1"/>
  <c r="F20" i="14" s="1"/>
  <c r="F17" i="14" l="1"/>
  <c r="F18" i="14" s="1"/>
  <c r="F22" i="14"/>
  <c r="I2" i="14" s="1"/>
  <c r="I4" i="14" s="1"/>
  <c r="J4" i="14" s="1"/>
  <c r="C22" i="14"/>
  <c r="J2" i="14" l="1"/>
</calcChain>
</file>

<file path=xl/sharedStrings.xml><?xml version="1.0" encoding="utf-8"?>
<sst xmlns="http://schemas.openxmlformats.org/spreadsheetml/2006/main" count="406" uniqueCount="225">
  <si>
    <t>PRICING SUMMARY</t>
  </si>
  <si>
    <t>Totals</t>
  </si>
  <si>
    <t>Per Unit</t>
  </si>
  <si>
    <t>Stitch #</t>
  </si>
  <si>
    <t>Quantity</t>
  </si>
  <si>
    <t>Total Labor/Equip/Bldg/OH</t>
  </si>
  <si>
    <t>Total Materials</t>
  </si>
  <si>
    <t>TOTAL Embroidery Costs</t>
  </si>
  <si>
    <t>TOTAL COSTS</t>
  </si>
  <si>
    <t>Summarized Costs</t>
  </si>
  <si>
    <t>Labor Costs</t>
  </si>
  <si>
    <t>Equipment</t>
  </si>
  <si>
    <t>Building OH</t>
  </si>
  <si>
    <t>Misc. Supplies OH</t>
  </si>
  <si>
    <t>Total Costs w/o Materials</t>
  </si>
  <si>
    <t>Material Costs</t>
  </si>
  <si>
    <t>Thread/Ink/Bobbins</t>
  </si>
  <si>
    <t>Other</t>
  </si>
  <si>
    <t>Ship Supplies</t>
  </si>
  <si>
    <t>Matl Totals</t>
  </si>
  <si>
    <t>Pre-Production</t>
  </si>
  <si>
    <t>Units to Client</t>
  </si>
  <si>
    <t>Production</t>
  </si>
  <si>
    <t>Finishing/Packaging</t>
  </si>
  <si>
    <t>Shipping</t>
  </si>
  <si>
    <t>Coloreel</t>
  </si>
  <si>
    <t>Total</t>
  </si>
  <si>
    <t>Profit &amp; Overhead Factor (%)</t>
  </si>
  <si>
    <t>Profit &amp; Overhead Factor (Int.)</t>
  </si>
  <si>
    <t>Markup for Profit/OH ($)</t>
  </si>
  <si>
    <t>Total w/o Materials</t>
  </si>
  <si>
    <t>Total Other Materials</t>
  </si>
  <si>
    <t>HIT 1 plus One-Time Costs</t>
  </si>
  <si>
    <t>Client Name</t>
  </si>
  <si>
    <t>Job Description</t>
  </si>
  <si>
    <t>Garment Type</t>
  </si>
  <si>
    <t>Fabric Type</t>
  </si>
  <si>
    <t># of Hits</t>
  </si>
  <si>
    <t># of Colors</t>
  </si>
  <si>
    <t>Stitch Count</t>
  </si>
  <si>
    <t>Rounded Stitch Ct</t>
  </si>
  <si>
    <t>Stitches/Minute</t>
  </si>
  <si>
    <t>AdD</t>
  </si>
  <si>
    <t>Hats</t>
  </si>
  <si>
    <t>S/S Tees</t>
  </si>
  <si>
    <t>Cotton</t>
  </si>
  <si>
    <t>% Waste/Hit</t>
  </si>
  <si>
    <t># Wasted/Hit</t>
  </si>
  <si>
    <t>Units/Box</t>
  </si>
  <si>
    <t># of Shipping Boxes</t>
  </si>
  <si>
    <t>Complexity</t>
  </si>
  <si>
    <t>Standard</t>
  </si>
  <si>
    <t>Is Customer Supplying Blanks?</t>
  </si>
  <si>
    <t>No</t>
  </si>
  <si>
    <t>BARUDAN</t>
  </si>
  <si>
    <t>Preferred Vendor</t>
  </si>
  <si>
    <t>Thread Color</t>
  </si>
  <si>
    <t>Weight</t>
  </si>
  <si>
    <t>Cost/Unit</t>
  </si>
  <si>
    <t>Units Used</t>
  </si>
  <si>
    <t>Total Cost</t>
  </si>
  <si>
    <t>Preferred Blank</t>
  </si>
  <si>
    <t>Black</t>
  </si>
  <si>
    <t>#40 5500yd</t>
  </si>
  <si>
    <t>White</t>
  </si>
  <si>
    <t>#60 5500yd</t>
  </si>
  <si>
    <t>Blank Size</t>
  </si>
  <si>
    <t>Unit Cost</t>
  </si>
  <si>
    <t>One Size</t>
  </si>
  <si>
    <t>Gold</t>
  </si>
  <si>
    <t>#60 1640yd</t>
  </si>
  <si>
    <t>Staffing</t>
  </si>
  <si>
    <t>S</t>
  </si>
  <si>
    <t>August</t>
  </si>
  <si>
    <t>M</t>
  </si>
  <si>
    <t>L</t>
  </si>
  <si>
    <t>XL</t>
  </si>
  <si>
    <t>2XL</t>
  </si>
  <si>
    <t>3XL</t>
  </si>
  <si>
    <t># of Heads</t>
  </si>
  <si>
    <t># of Runs</t>
  </si>
  <si>
    <t>Run Time-Min.</t>
  </si>
  <si>
    <t>Hoop Time-Min.</t>
  </si>
  <si>
    <t>Offset Time-Min.</t>
  </si>
  <si>
    <t xml:space="preserve">      (Enter Run/Hoop/Offset Times in MINUTES)</t>
  </si>
  <si>
    <t>Total Thread Costs</t>
  </si>
  <si>
    <t>Bobbin Color</t>
  </si>
  <si>
    <t>Needed/Head</t>
  </si>
  <si>
    <t>Cost/Bobbin</t>
  </si>
  <si>
    <t>COLOREEL</t>
  </si>
  <si>
    <t>Thread</t>
  </si>
  <si>
    <t>Ink Type</t>
  </si>
  <si>
    <t>Color</t>
  </si>
  <si>
    <t>Qty</t>
  </si>
  <si>
    <t>Total Bobbin Costs</t>
  </si>
  <si>
    <t>Other Matl</t>
  </si>
  <si>
    <t>Cost Each</t>
  </si>
  <si>
    <t>Stabilizer</t>
  </si>
  <si>
    <t>NOTE:</t>
  </si>
  <si>
    <t>Topping</t>
  </si>
  <si>
    <t>Use Material Sheet</t>
  </si>
  <si>
    <t>Backing - Rolls</t>
  </si>
  <si>
    <t>for Material Costs here.</t>
  </si>
  <si>
    <t>Pull "Cost Each" from that</t>
  </si>
  <si>
    <t>sheet.</t>
  </si>
  <si>
    <t>Total Ink Costs</t>
  </si>
  <si>
    <t>Pre-Production:</t>
  </si>
  <si>
    <t>LABOR</t>
  </si>
  <si>
    <t>EQUIPMENT</t>
  </si>
  <si>
    <t>BUILDING</t>
  </si>
  <si>
    <t>WASTE:</t>
  </si>
  <si>
    <t>(Testing, Defects, Misprints)</t>
  </si>
  <si>
    <t>Employee</t>
  </si>
  <si>
    <t>Hours</t>
  </si>
  <si>
    <t>Rate</t>
  </si>
  <si>
    <t>Ttl Cost</t>
  </si>
  <si>
    <t>Equip. Used</t>
  </si>
  <si>
    <t>Usage Hours</t>
  </si>
  <si>
    <t># of Units</t>
  </si>
  <si>
    <t>Customer Service</t>
  </si>
  <si>
    <t>Taylor</t>
  </si>
  <si>
    <t>n/a</t>
  </si>
  <si>
    <t>Counting In</t>
  </si>
  <si>
    <t>Juan</t>
  </si>
  <si>
    <t>Digitizing</t>
  </si>
  <si>
    <t>Testing</t>
  </si>
  <si>
    <t xml:space="preserve">  </t>
  </si>
  <si>
    <t>Threading</t>
  </si>
  <si>
    <t>Production:</t>
  </si>
  <si>
    <t>Hooping-1st + Offset</t>
  </si>
  <si>
    <t>Hooping/Prod: GL</t>
  </si>
  <si>
    <t>Production Run: Lead</t>
  </si>
  <si>
    <t>Offset Time (incl. in hoop)</t>
  </si>
  <si>
    <t>Finishing</t>
  </si>
  <si>
    <t>Packaging-Manual</t>
  </si>
  <si>
    <t>Packaging-PacknFold</t>
  </si>
  <si>
    <t>Pack n Fold</t>
  </si>
  <si>
    <t>General Labor</t>
  </si>
  <si>
    <t>Thread Weight</t>
  </si>
  <si>
    <t>Yes/No</t>
  </si>
  <si>
    <t>Garment</t>
  </si>
  <si>
    <t>Fabric</t>
  </si>
  <si>
    <t>Bobbins</t>
  </si>
  <si>
    <t>Other Material</t>
  </si>
  <si>
    <t>Waste %</t>
  </si>
  <si>
    <t>Profit/OH</t>
  </si>
  <si>
    <t>Profit/OH Multiplier (%)</t>
  </si>
  <si>
    <t>Profit/OH Multiplier (Integer)</t>
  </si>
  <si>
    <t>Barudan</t>
  </si>
  <si>
    <t>Yes</t>
  </si>
  <si>
    <t>Caps</t>
  </si>
  <si>
    <t>%</t>
  </si>
  <si>
    <t>Medium</t>
  </si>
  <si>
    <t>#40 1100yd</t>
  </si>
  <si>
    <t>Bucket Hats</t>
  </si>
  <si>
    <t>Wool</t>
  </si>
  <si>
    <t>Integer</t>
  </si>
  <si>
    <t>Complex</t>
  </si>
  <si>
    <t>Unknown</t>
  </si>
  <si>
    <t>Fleece</t>
  </si>
  <si>
    <t>Foam</t>
  </si>
  <si>
    <t>L/S Tees</t>
  </si>
  <si>
    <t>Polyester</t>
  </si>
  <si>
    <t>#75 2734yd</t>
  </si>
  <si>
    <t>Hoodies</t>
  </si>
  <si>
    <t>Jacket</t>
  </si>
  <si>
    <t>Pants</t>
  </si>
  <si>
    <t>Thread Costs:</t>
  </si>
  <si>
    <t>(Includes Shipping)</t>
  </si>
  <si>
    <t>Meters (Cone)</t>
  </si>
  <si>
    <t>Cost Per Meter</t>
  </si>
  <si>
    <t>Stabilizer Costs:</t>
  </si>
  <si>
    <t>(Pkg = 250)</t>
  </si>
  <si>
    <t>Cost Per Blank</t>
  </si>
  <si>
    <t>Bobbin Costs:</t>
  </si>
  <si>
    <t>Bobbins/Case</t>
  </si>
  <si>
    <t>Cost per Bobbin</t>
  </si>
  <si>
    <t>Each bobbin =</t>
  </si>
  <si>
    <t>148 yds</t>
  </si>
  <si>
    <t>meters</t>
  </si>
  <si>
    <t>.914 meters/ yd</t>
  </si>
  <si>
    <t xml:space="preserve">Hourly Equipment Cost: </t>
  </si>
  <si>
    <t>Monthly Lease</t>
  </si>
  <si>
    <t>(Assumption = 1400 hours/year)</t>
  </si>
  <si>
    <t>Embroidery Equipment</t>
  </si>
  <si>
    <t>Option 1</t>
  </si>
  <si>
    <t>Option 2</t>
  </si>
  <si>
    <t>Option 3</t>
  </si>
  <si>
    <t>**</t>
  </si>
  <si>
    <t>Barudan, with hat hoop/hoop heads/etc.</t>
  </si>
  <si>
    <t>Coloreel, including import duty taxes</t>
  </si>
  <si>
    <t>Interest: 5% APR, 5 yr Lease, Residual Value at end of Lease: 60%</t>
  </si>
  <si>
    <t>Interest: 5% APR, 5 yr Lease, Residual Value at end of Lease: 40%</t>
  </si>
  <si>
    <t>Interest: 10% APR, 5 yr Lease, Residual Value at end of Lease: 60%</t>
  </si>
  <si>
    <t>Interest: 10% APR, 5 yr Lease, Residual Value at end of Lease: 40%</t>
  </si>
  <si>
    <t>**Recommended</t>
  </si>
  <si>
    <t>Building Overhead Costs</t>
  </si>
  <si>
    <t>12ozCollective, Inc.</t>
  </si>
  <si>
    <t>Updated 10/5/23</t>
  </si>
  <si>
    <t>Alloc. To</t>
  </si>
  <si>
    <t>Lessee Expenses</t>
  </si>
  <si>
    <t>Annual Cost</t>
  </si>
  <si>
    <t>Office</t>
  </si>
  <si>
    <t xml:space="preserve">Lease Expense - Stonefather </t>
  </si>
  <si>
    <t>($1/sq ft, this is on the low side)</t>
  </si>
  <si>
    <t>Sanitation - Evergreen Disposal</t>
  </si>
  <si>
    <t xml:space="preserve"> </t>
  </si>
  <si>
    <t>Fuel - City Service Valcom</t>
  </si>
  <si>
    <t>Embroidery</t>
  </si>
  <si>
    <t>Screen Print, etc.</t>
  </si>
  <si>
    <t>Sq. Ft.</t>
  </si>
  <si>
    <t>Repairs &amp; Maintenance (12oz only)</t>
  </si>
  <si>
    <t>Contents (Equip, etc.) Insurance</t>
  </si>
  <si>
    <t>Annual Costs Allocated</t>
  </si>
  <si>
    <t>Total Annual Building Costs</t>
  </si>
  <si>
    <t>1400 hrs</t>
  </si>
  <si>
    <t>Estimated annual prod. hrs</t>
  </si>
  <si>
    <t>Hourly Bldg Overhead Cost Est.</t>
  </si>
  <si>
    <t>Paid by Lessor</t>
  </si>
  <si>
    <t>Electricity - Flathead Electric</t>
  </si>
  <si>
    <t>Building Insurance</t>
  </si>
  <si>
    <t>Property Taxes</t>
  </si>
  <si>
    <t>(excludes depreciation, maintenance)</t>
  </si>
  <si>
    <t>Avg Hourly Labor Costs</t>
  </si>
  <si>
    <t>Tanna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</si>
</sst>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_);[Red]\(#,##0.0000\)"/>
    <numFmt numFmtId="165" formatCode="0.0000"/>
    <numFmt numFmtId="166" formatCode="0.0%"/>
    <numFmt numFmtId="167" formatCode="#,##0.00;\-#,##0.00"/>
    <numFmt numFmtId="168" formatCode="&quot;$&quot;#,##0.0000"/>
    <numFmt numFmtId="169" formatCode="0.0"/>
    <numFmt numFmtId="170" formatCode="#,##0.000000"/>
    <numFmt numFmtId="171" formatCode="0_);[Red]\(0\)"/>
    <numFmt numFmtId="172" formatCode="_([$$-409]* #,##0.00_);_([$$-409]* \(#,##0.00\);_([$$-409]* &quot;-&quot;??_);_(@_)"/>
  </numFmts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323232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23232"/>
      <name val="Arial"/>
      <family val="2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rgb="FF323232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9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0" borderId="0" xfId="0" applyFont="1"/>
    <xf numFmtId="0" fontId="4" fillId="0" borderId="0" xfId="0" applyFont="1"/>
    <xf numFmtId="4" fontId="5" fillId="0" borderId="0" xfId="0" applyNumberFormat="1" applyFont="1"/>
    <xf numFmtId="0" fontId="1" fillId="2" borderId="6" xfId="0" applyFont="1" applyFill="1" applyBorder="1"/>
    <xf numFmtId="0" fontId="0" fillId="2" borderId="7" xfId="0" applyFill="1" applyBorder="1"/>
    <xf numFmtId="40" fontId="0" fillId="4" borderId="10" xfId="0" applyNumberFormat="1" applyFill="1" applyBorder="1"/>
    <xf numFmtId="0" fontId="3" fillId="2" borderId="11" xfId="0" applyFont="1" applyFill="1" applyBorder="1"/>
    <xf numFmtId="0" fontId="3" fillId="2" borderId="11" xfId="0" applyFont="1" applyFill="1" applyBorder="1" applyAlignment="1">
      <alignment horizontal="center"/>
    </xf>
    <xf numFmtId="0" fontId="1" fillId="2" borderId="9" xfId="0" applyFont="1" applyFill="1" applyBorder="1"/>
    <xf numFmtId="0" fontId="0" fillId="3" borderId="9" xfId="0" applyFill="1" applyBorder="1"/>
    <xf numFmtId="4" fontId="0" fillId="3" borderId="9" xfId="0" applyNumberFormat="1" applyFill="1" applyBorder="1"/>
    <xf numFmtId="4" fontId="0" fillId="4" borderId="9" xfId="0" applyNumberFormat="1" applyFill="1" applyBorder="1"/>
    <xf numFmtId="0" fontId="1" fillId="2" borderId="12" xfId="0" applyFont="1" applyFill="1" applyBorder="1"/>
    <xf numFmtId="0" fontId="4" fillId="4" borderId="12" xfId="0" applyFont="1" applyFill="1" applyBorder="1"/>
    <xf numFmtId="4" fontId="4" fillId="4" borderId="1" xfId="0" applyNumberFormat="1" applyFont="1" applyFill="1" applyBorder="1"/>
    <xf numFmtId="0" fontId="4" fillId="3" borderId="11" xfId="0" applyFont="1" applyFill="1" applyBorder="1"/>
    <xf numFmtId="40" fontId="0" fillId="4" borderId="11" xfId="0" applyNumberFormat="1" applyFill="1" applyBorder="1"/>
    <xf numFmtId="0" fontId="0" fillId="3" borderId="11" xfId="0" applyFill="1" applyBorder="1"/>
    <xf numFmtId="40" fontId="0" fillId="4" borderId="9" xfId="0" applyNumberFormat="1" applyFill="1" applyBorder="1"/>
    <xf numFmtId="0" fontId="0" fillId="3" borderId="12" xfId="0" applyFill="1" applyBorder="1"/>
    <xf numFmtId="40" fontId="0" fillId="4" borderId="12" xfId="0" applyNumberFormat="1" applyFill="1" applyBorder="1"/>
    <xf numFmtId="0" fontId="3" fillId="2" borderId="14" xfId="0" applyFont="1" applyFill="1" applyBorder="1" applyAlignment="1">
      <alignment horizontal="center"/>
    </xf>
    <xf numFmtId="0" fontId="0" fillId="3" borderId="14" xfId="0" applyFill="1" applyBorder="1"/>
    <xf numFmtId="40" fontId="0" fillId="3" borderId="14" xfId="0" applyNumberFormat="1" applyFill="1" applyBorder="1"/>
    <xf numFmtId="0" fontId="3" fillId="2" borderId="14" xfId="0" applyFont="1" applyFill="1" applyBorder="1" applyAlignment="1">
      <alignment horizontal="left"/>
    </xf>
    <xf numFmtId="0" fontId="0" fillId="2" borderId="14" xfId="0" applyFill="1" applyBorder="1"/>
    <xf numFmtId="40" fontId="0" fillId="2" borderId="14" xfId="0" applyNumberFormat="1" applyFill="1" applyBorder="1"/>
    <xf numFmtId="40" fontId="0" fillId="4" borderId="14" xfId="0" applyNumberFormat="1" applyFill="1" applyBorder="1"/>
    <xf numFmtId="0" fontId="0" fillId="5" borderId="15" xfId="0" applyFill="1" applyBorder="1"/>
    <xf numFmtId="0" fontId="3" fillId="2" borderId="16" xfId="0" applyFont="1" applyFill="1" applyBorder="1" applyAlignment="1">
      <alignment horizontal="center"/>
    </xf>
    <xf numFmtId="4" fontId="0" fillId="4" borderId="14" xfId="0" applyNumberFormat="1" applyFill="1" applyBorder="1"/>
    <xf numFmtId="4" fontId="4" fillId="2" borderId="12" xfId="0" applyNumberFormat="1" applyFont="1" applyFill="1" applyBorder="1"/>
    <xf numFmtId="38" fontId="0" fillId="3" borderId="14" xfId="0" applyNumberFormat="1" applyFill="1" applyBorder="1"/>
    <xf numFmtId="38" fontId="0" fillId="4" borderId="14" xfId="0" applyNumberFormat="1" applyFill="1" applyBorder="1"/>
    <xf numFmtId="0" fontId="1" fillId="6" borderId="14" xfId="0" applyFont="1" applyFill="1" applyBorder="1"/>
    <xf numFmtId="0" fontId="0" fillId="6" borderId="14" xfId="0" applyFill="1" applyBorder="1"/>
    <xf numFmtId="40" fontId="0" fillId="6" borderId="14" xfId="0" applyNumberFormat="1" applyFill="1" applyBorder="1"/>
    <xf numFmtId="38" fontId="0" fillId="6" borderId="14" xfId="0" applyNumberFormat="1" applyFill="1" applyBorder="1"/>
    <xf numFmtId="4" fontId="0" fillId="6" borderId="14" xfId="0" applyNumberFormat="1" applyFill="1" applyBorder="1"/>
    <xf numFmtId="38" fontId="0" fillId="2" borderId="14" xfId="0" applyNumberFormat="1" applyFill="1" applyBorder="1"/>
    <xf numFmtId="164" fontId="0" fillId="3" borderId="14" xfId="0" applyNumberFormat="1" applyFill="1" applyBorder="1"/>
    <xf numFmtId="164" fontId="5" fillId="3" borderId="11" xfId="0" applyNumberFormat="1" applyFont="1" applyFill="1" applyBorder="1"/>
    <xf numFmtId="165" fontId="0" fillId="3" borderId="11" xfId="0" applyNumberFormat="1" applyFill="1" applyBorder="1"/>
    <xf numFmtId="165" fontId="0" fillId="3" borderId="9" xfId="0" applyNumberFormat="1" applyFill="1" applyBorder="1"/>
    <xf numFmtId="165" fontId="0" fillId="3" borderId="12" xfId="0" applyNumberFormat="1" applyFill="1" applyBorder="1"/>
    <xf numFmtId="3" fontId="5" fillId="4" borderId="11" xfId="0" applyNumberFormat="1" applyFont="1" applyFill="1" applyBorder="1"/>
    <xf numFmtId="166" fontId="0" fillId="0" borderId="0" xfId="0" applyNumberFormat="1"/>
    <xf numFmtId="49" fontId="7" fillId="3" borderId="0" xfId="0" applyNumberFormat="1" applyFont="1" applyFill="1" applyAlignment="1">
      <alignment horizontal="left"/>
    </xf>
    <xf numFmtId="49" fontId="7" fillId="0" borderId="0" xfId="0" applyNumberFormat="1" applyFont="1" applyAlignment="1">
      <alignment horizontal="left"/>
    </xf>
    <xf numFmtId="0" fontId="6" fillId="3" borderId="0" xfId="0" applyFont="1" applyFill="1"/>
    <xf numFmtId="49" fontId="0" fillId="0" borderId="0" xfId="0" applyNumberFormat="1" applyAlignment="1">
      <alignment horizontal="center"/>
    </xf>
    <xf numFmtId="49" fontId="8" fillId="0" borderId="1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8" fillId="0" borderId="7" xfId="0" applyNumberFormat="1" applyFont="1" applyBorder="1" applyAlignment="1">
      <alignment horizontal="center"/>
    </xf>
    <xf numFmtId="49" fontId="8" fillId="3" borderId="7" xfId="0" applyNumberFormat="1" applyFont="1" applyFill="1" applyBorder="1" applyAlignment="1">
      <alignment horizontal="center"/>
    </xf>
    <xf numFmtId="49" fontId="8" fillId="0" borderId="0" xfId="0" applyNumberFormat="1" applyFont="1"/>
    <xf numFmtId="167" fontId="8" fillId="0" borderId="0" xfId="0" applyNumberFormat="1" applyFont="1"/>
    <xf numFmtId="49" fontId="9" fillId="0" borderId="0" xfId="0" applyNumberFormat="1" applyFont="1"/>
    <xf numFmtId="49" fontId="9" fillId="0" borderId="0" xfId="0" applyNumberFormat="1" applyFont="1" applyAlignment="1">
      <alignment horizontal="left"/>
    </xf>
    <xf numFmtId="167" fontId="9" fillId="0" borderId="0" xfId="0" applyNumberFormat="1" applyFont="1"/>
    <xf numFmtId="40" fontId="0" fillId="0" borderId="0" xfId="0" applyNumberFormat="1"/>
    <xf numFmtId="40" fontId="0" fillId="3" borderId="0" xfId="0" applyNumberFormat="1" applyFill="1"/>
    <xf numFmtId="49" fontId="10" fillId="0" borderId="0" xfId="0" applyNumberFormat="1" applyFont="1" applyAlignment="1">
      <alignment horizontal="left"/>
    </xf>
    <xf numFmtId="49" fontId="10" fillId="0" borderId="0" xfId="0" applyNumberFormat="1" applyFont="1"/>
    <xf numFmtId="167" fontId="10" fillId="0" borderId="0" xfId="0" applyNumberFormat="1" applyFont="1"/>
    <xf numFmtId="0" fontId="6" fillId="0" borderId="0" xfId="0" applyFont="1"/>
    <xf numFmtId="38" fontId="0" fillId="0" borderId="0" xfId="0" applyNumberFormat="1"/>
    <xf numFmtId="0" fontId="11" fillId="0" borderId="12" xfId="0" applyFont="1" applyBorder="1"/>
    <xf numFmtId="0" fontId="11" fillId="0" borderId="13" xfId="0" applyFont="1" applyBorder="1"/>
    <xf numFmtId="0" fontId="11" fillId="0" borderId="11" xfId="0" applyFont="1" applyBorder="1"/>
    <xf numFmtId="0" fontId="11" fillId="0" borderId="0" xfId="0" applyFont="1"/>
    <xf numFmtId="0" fontId="6" fillId="0" borderId="1" xfId="0" applyFont="1" applyBorder="1"/>
    <xf numFmtId="38" fontId="0" fillId="0" borderId="2" xfId="0" applyNumberFormat="1" applyBorder="1"/>
    <xf numFmtId="0" fontId="6" fillId="0" borderId="2" xfId="0" applyFont="1" applyBorder="1"/>
    <xf numFmtId="0" fontId="6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6" fillId="0" borderId="4" xfId="0" applyFont="1" applyBorder="1"/>
    <xf numFmtId="38" fontId="0" fillId="0" borderId="5" xfId="0" applyNumberFormat="1" applyBorder="1"/>
    <xf numFmtId="0" fontId="6" fillId="3" borderId="18" xfId="0" applyFont="1" applyFill="1" applyBorder="1" applyAlignment="1">
      <alignment horizontal="left"/>
    </xf>
    <xf numFmtId="0" fontId="6" fillId="3" borderId="19" xfId="0" applyFont="1" applyFill="1" applyBorder="1" applyAlignment="1">
      <alignment horizontal="left"/>
    </xf>
    <xf numFmtId="0" fontId="6" fillId="3" borderId="20" xfId="0" applyFont="1" applyFill="1" applyBorder="1"/>
    <xf numFmtId="0" fontId="2" fillId="3" borderId="21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left"/>
    </xf>
    <xf numFmtId="0" fontId="6" fillId="3" borderId="23" xfId="0" applyFont="1" applyFill="1" applyBorder="1"/>
    <xf numFmtId="0" fontId="6" fillId="3" borderId="24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24" xfId="0" applyFont="1" applyFill="1" applyBorder="1"/>
    <xf numFmtId="38" fontId="12" fillId="0" borderId="0" xfId="0" applyNumberFormat="1" applyFont="1"/>
    <xf numFmtId="38" fontId="12" fillId="0" borderId="5" xfId="0" applyNumberFormat="1" applyFont="1" applyBorder="1"/>
    <xf numFmtId="38" fontId="6" fillId="3" borderId="24" xfId="0" applyNumberFormat="1" applyFont="1" applyFill="1" applyBorder="1"/>
    <xf numFmtId="38" fontId="6" fillId="3" borderId="0" xfId="0" applyNumberFormat="1" applyFont="1" applyFill="1"/>
    <xf numFmtId="38" fontId="13" fillId="0" borderId="0" xfId="0" applyNumberFormat="1" applyFont="1"/>
    <xf numFmtId="38" fontId="13" fillId="0" borderId="5" xfId="0" applyNumberFormat="1" applyFont="1" applyBorder="1"/>
    <xf numFmtId="0" fontId="6" fillId="0" borderId="6" xfId="0" applyFont="1" applyBorder="1"/>
    <xf numFmtId="38" fontId="0" fillId="0" borderId="7" xfId="0" applyNumberFormat="1" applyBorder="1"/>
    <xf numFmtId="38" fontId="0" fillId="0" borderId="8" xfId="0" applyNumberFormat="1" applyBorder="1"/>
    <xf numFmtId="8" fontId="6" fillId="3" borderId="25" xfId="0" applyNumberFormat="1" applyFont="1" applyFill="1" applyBorder="1"/>
    <xf numFmtId="8" fontId="6" fillId="3" borderId="26" xfId="0" applyNumberFormat="1" applyFont="1" applyFill="1" applyBorder="1"/>
    <xf numFmtId="0" fontId="6" fillId="3" borderId="27" xfId="0" applyFont="1" applyFill="1" applyBorder="1"/>
    <xf numFmtId="38" fontId="0" fillId="0" borderId="3" xfId="0" applyNumberFormat="1" applyBorder="1"/>
    <xf numFmtId="40" fontId="0" fillId="4" borderId="5" xfId="0" applyNumberFormat="1" applyFill="1" applyBorder="1"/>
    <xf numFmtId="49" fontId="15" fillId="4" borderId="4" xfId="0" applyNumberFormat="1" applyFont="1" applyFill="1" applyBorder="1"/>
    <xf numFmtId="4" fontId="0" fillId="0" borderId="0" xfId="0" applyNumberFormat="1"/>
    <xf numFmtId="4" fontId="6" fillId="7" borderId="0" xfId="0" applyNumberFormat="1" applyFont="1" applyFill="1"/>
    <xf numFmtId="168" fontId="6" fillId="7" borderId="0" xfId="0" applyNumberFormat="1" applyFont="1" applyFill="1"/>
    <xf numFmtId="3" fontId="6" fillId="7" borderId="0" xfId="0" applyNumberFormat="1" applyFont="1" applyFill="1"/>
    <xf numFmtId="4" fontId="0" fillId="7" borderId="0" xfId="0" applyNumberFormat="1" applyFill="1"/>
    <xf numFmtId="168" fontId="0" fillId="7" borderId="0" xfId="0" applyNumberFormat="1" applyFill="1"/>
    <xf numFmtId="3" fontId="0" fillId="7" borderId="0" xfId="0" applyNumberFormat="1" applyFill="1"/>
    <xf numFmtId="0" fontId="19" fillId="4" borderId="0" xfId="0" applyFont="1" applyFill="1"/>
    <xf numFmtId="0" fontId="19" fillId="0" borderId="0" xfId="0" applyFont="1"/>
    <xf numFmtId="9" fontId="0" fillId="0" borderId="0" xfId="0" applyNumberFormat="1"/>
    <xf numFmtId="169" fontId="0" fillId="0" borderId="0" xfId="0" applyNumberFormat="1"/>
    <xf numFmtId="0" fontId="0" fillId="4" borderId="0" xfId="0" applyFill="1" applyProtection="1">
      <protection locked="0"/>
    </xf>
    <xf numFmtId="40" fontId="0" fillId="4" borderId="0" xfId="0" applyNumberFormat="1" applyFill="1"/>
    <xf numFmtId="0" fontId="0" fillId="6" borderId="0" xfId="0" applyFill="1"/>
    <xf numFmtId="0" fontId="19" fillId="5" borderId="0" xfId="0" applyFont="1" applyFill="1"/>
    <xf numFmtId="49" fontId="15" fillId="4" borderId="6" xfId="0" applyNumberFormat="1" applyFont="1" applyFill="1" applyBorder="1"/>
    <xf numFmtId="0" fontId="6" fillId="4" borderId="4" xfId="0" applyFont="1" applyFill="1" applyBorder="1"/>
    <xf numFmtId="40" fontId="6" fillId="0" borderId="2" xfId="0" applyNumberFormat="1" applyFont="1" applyBorder="1"/>
    <xf numFmtId="40" fontId="0" fillId="0" borderId="2" xfId="0" applyNumberFormat="1" applyBorder="1"/>
    <xf numFmtId="40" fontId="0" fillId="0" borderId="3" xfId="0" applyNumberFormat="1" applyBorder="1"/>
    <xf numFmtId="40" fontId="6" fillId="0" borderId="4" xfId="0" applyNumberFormat="1" applyFont="1" applyBorder="1"/>
    <xf numFmtId="40" fontId="6" fillId="0" borderId="0" xfId="0" applyNumberFormat="1" applyFont="1"/>
    <xf numFmtId="38" fontId="6" fillId="0" borderId="0" xfId="0" applyNumberFormat="1" applyFont="1"/>
    <xf numFmtId="40" fontId="0" fillId="0" borderId="5" xfId="0" applyNumberFormat="1" applyBorder="1"/>
    <xf numFmtId="40" fontId="2" fillId="0" borderId="4" xfId="0" applyNumberFormat="1" applyFont="1" applyBorder="1"/>
    <xf numFmtId="40" fontId="2" fillId="0" borderId="0" xfId="0" applyNumberFormat="1" applyFont="1"/>
    <xf numFmtId="38" fontId="2" fillId="0" borderId="0" xfId="0" applyNumberFormat="1" applyFont="1"/>
    <xf numFmtId="40" fontId="0" fillId="0" borderId="4" xfId="0" applyNumberFormat="1" applyBorder="1"/>
    <xf numFmtId="40" fontId="0" fillId="0" borderId="7" xfId="0" applyNumberFormat="1" applyBorder="1"/>
    <xf numFmtId="38" fontId="0" fillId="3" borderId="7" xfId="0" applyNumberFormat="1" applyFill="1" applyBorder="1"/>
    <xf numFmtId="40" fontId="0" fillId="0" borderId="8" xfId="0" applyNumberFormat="1" applyBorder="1"/>
    <xf numFmtId="40" fontId="0" fillId="6" borderId="7" xfId="0" applyNumberFormat="1" applyFill="1" applyBorder="1"/>
    <xf numFmtId="40" fontId="6" fillId="8" borderId="1" xfId="0" applyNumberFormat="1" applyFont="1" applyFill="1" applyBorder="1"/>
    <xf numFmtId="40" fontId="6" fillId="8" borderId="6" xfId="0" applyNumberFormat="1" applyFont="1" applyFill="1" applyBorder="1"/>
    <xf numFmtId="40" fontId="0" fillId="8" borderId="7" xfId="0" applyNumberFormat="1" applyFill="1" applyBorder="1"/>
    <xf numFmtId="40" fontId="6" fillId="8" borderId="2" xfId="0" applyNumberFormat="1" applyFont="1" applyFill="1" applyBorder="1"/>
    <xf numFmtId="38" fontId="6" fillId="8" borderId="2" xfId="0" applyNumberFormat="1" applyFont="1" applyFill="1" applyBorder="1"/>
    <xf numFmtId="40" fontId="6" fillId="8" borderId="4" xfId="0" applyNumberFormat="1" applyFont="1" applyFill="1" applyBorder="1"/>
    <xf numFmtId="166" fontId="0" fillId="3" borderId="0" xfId="0" applyNumberFormat="1" applyFill="1"/>
    <xf numFmtId="0" fontId="0" fillId="4" borderId="9" xfId="0" applyFill="1" applyBorder="1"/>
    <xf numFmtId="0" fontId="0" fillId="3" borderId="4" xfId="0" applyFill="1" applyBorder="1"/>
    <xf numFmtId="0" fontId="0" fillId="3" borderId="5" xfId="0" applyFill="1" applyBorder="1"/>
    <xf numFmtId="0" fontId="0" fillId="5" borderId="7" xfId="0" applyFill="1" applyBorder="1"/>
    <xf numFmtId="0" fontId="0" fillId="5" borderId="8" xfId="0" applyFill="1" applyBorder="1"/>
    <xf numFmtId="0" fontId="6" fillId="5" borderId="0" xfId="0" applyFont="1" applyFill="1"/>
    <xf numFmtId="49" fontId="18" fillId="4" borderId="1" xfId="0" applyNumberFormat="1" applyFont="1" applyFill="1" applyBorder="1" applyAlignment="1">
      <alignment horizontal="center"/>
    </xf>
    <xf numFmtId="40" fontId="16" fillId="4" borderId="3" xfId="0" applyNumberFormat="1" applyFont="1" applyFill="1" applyBorder="1" applyAlignment="1">
      <alignment horizontal="left"/>
    </xf>
    <xf numFmtId="40" fontId="17" fillId="4" borderId="5" xfId="0" applyNumberFormat="1" applyFont="1" applyFill="1" applyBorder="1"/>
    <xf numFmtId="40" fontId="17" fillId="4" borderId="8" xfId="0" applyNumberFormat="1" applyFont="1" applyFill="1" applyBorder="1"/>
    <xf numFmtId="1" fontId="0" fillId="3" borderId="0" xfId="0" applyNumberFormat="1" applyFill="1"/>
    <xf numFmtId="0" fontId="22" fillId="0" borderId="0" xfId="0" applyFont="1" applyAlignment="1">
      <alignment horizontal="center"/>
    </xf>
    <xf numFmtId="0" fontId="21" fillId="0" borderId="0" xfId="0" applyFont="1"/>
    <xf numFmtId="40" fontId="19" fillId="0" borderId="0" xfId="0" quotePrefix="1" applyNumberFormat="1" applyFont="1" applyAlignment="1">
      <alignment horizontal="center"/>
    </xf>
    <xf numFmtId="8" fontId="19" fillId="0" borderId="0" xfId="0" applyNumberFormat="1" applyFont="1"/>
    <xf numFmtId="8" fontId="21" fillId="0" borderId="0" xfId="0" applyNumberFormat="1" applyFont="1"/>
    <xf numFmtId="0" fontId="21" fillId="5" borderId="1" xfId="0" applyFont="1" applyFill="1" applyBorder="1"/>
    <xf numFmtId="0" fontId="3" fillId="2" borderId="4" xfId="0" applyFont="1" applyFill="1" applyBorder="1"/>
    <xf numFmtId="0" fontId="20" fillId="2" borderId="0" xfId="0" applyFont="1" applyFill="1"/>
    <xf numFmtId="0" fontId="20" fillId="2" borderId="4" xfId="0" applyFont="1" applyFill="1" applyBorder="1"/>
    <xf numFmtId="40" fontId="20" fillId="2" borderId="0" xfId="0" applyNumberFormat="1" applyFont="1" applyFill="1"/>
    <xf numFmtId="40" fontId="12" fillId="4" borderId="0" xfId="0" applyNumberFormat="1" applyFont="1" applyFill="1"/>
    <xf numFmtId="0" fontId="20" fillId="6" borderId="4" xfId="0" applyFont="1" applyFill="1" applyBorder="1"/>
    <xf numFmtId="0" fontId="20" fillId="6" borderId="0" xfId="0" applyFont="1" applyFill="1"/>
    <xf numFmtId="9" fontId="20" fillId="2" borderId="4" xfId="0" applyNumberFormat="1" applyFont="1" applyFill="1" applyBorder="1"/>
    <xf numFmtId="9" fontId="0" fillId="4" borderId="0" xfId="0" applyNumberFormat="1" applyFill="1"/>
    <xf numFmtId="9" fontId="20" fillId="2" borderId="0" xfId="0" applyNumberFormat="1" applyFont="1" applyFill="1"/>
    <xf numFmtId="2" fontId="0" fillId="4" borderId="0" xfId="0" applyNumberFormat="1" applyFill="1"/>
    <xf numFmtId="40" fontId="0" fillId="6" borderId="0" xfId="0" applyNumberFormat="1" applyFill="1"/>
    <xf numFmtId="40" fontId="20" fillId="6" borderId="0" xfId="0" applyNumberFormat="1" applyFont="1" applyFill="1"/>
    <xf numFmtId="40" fontId="13" fillId="4" borderId="0" xfId="0" applyNumberFormat="1" applyFont="1" applyFill="1"/>
    <xf numFmtId="40" fontId="12" fillId="0" borderId="0" xfId="0" applyNumberFormat="1" applyFont="1"/>
    <xf numFmtId="40" fontId="13" fillId="0" borderId="0" xfId="0" applyNumberFormat="1" applyFont="1"/>
    <xf numFmtId="40" fontId="12" fillId="0" borderId="0" xfId="0" applyNumberFormat="1" applyFont="1" applyAlignment="1">
      <alignment horizontal="center"/>
    </xf>
    <xf numFmtId="0" fontId="6" fillId="3" borderId="14" xfId="0" applyFont="1" applyFill="1" applyBorder="1"/>
    <xf numFmtId="0" fontId="1" fillId="2" borderId="0" xfId="0" applyFont="1" applyFill="1"/>
    <xf numFmtId="43" fontId="0" fillId="4" borderId="0" xfId="3" applyFont="1" applyFill="1"/>
    <xf numFmtId="170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/>
    </xf>
    <xf numFmtId="6" fontId="6" fillId="3" borderId="14" xfId="0" applyNumberFormat="1" applyFont="1" applyFill="1" applyBorder="1"/>
    <xf numFmtId="171" fontId="0" fillId="3" borderId="0" xfId="0" applyNumberFormat="1" applyFill="1"/>
    <xf numFmtId="170" fontId="0" fillId="3" borderId="0" xfId="0" applyNumberFormat="1" applyFill="1"/>
    <xf numFmtId="3" fontId="0" fillId="3" borderId="0" xfId="0" applyNumberFormat="1" applyFill="1"/>
    <xf numFmtId="0" fontId="0" fillId="0" borderId="0" xfId="0" applyNumberFormat="1" applyAlignment="1">
      <alignment wrapText="1"/>
    </xf>
    <xf numFmtId="0" fontId="0" fillId="9" borderId="0" xfId="0" applyFill="1"/>
    <xf numFmtId="170" fontId="0" fillId="3" borderId="28" xfId="0" applyNumberFormat="1" applyFill="1" applyBorder="1"/>
    <xf numFmtId="172" fontId="0" fillId="8" borderId="7" xfId="0" applyNumberFormat="1" applyFill="1" applyBorder="1"/>
    <xf numFmtId="0" fontId="0" fillId="8" borderId="7" xfId="0" applyNumberFormat="1" applyFill="1" applyBorder="1"/>
    <xf numFmtId="172" fontId="0" fillId="0" borderId="0" xfId="0" applyNumberFormat="1"/>
  </cellXfs>
  <cellStyles count="4">
    <cellStyle name="Comma" xfId="3" builtinId="3"/>
    <cellStyle name="Currency 2" xfId="2" xr:uid="{9D3275A9-9885-4023-B001-02654333410D}"/>
    <cellStyle name="Normal" xfId="0" builtinId="0"/>
    <cellStyle name="Percent 2" xfId="1" xr:uid="{8528095F-F656-45C9-B37B-2107482B2A1A}"/>
  </cellStyles>
  <dxfs count="2">
    <dxf>
      <numFmt numFmtId="13" formatCode="0%"/>
    </dxf>
    <dxf>
      <numFmt numFmtId="1" formatCode="0"/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914400</xdr:colOff>
      <xdr:row>3</xdr:row>
      <xdr:rowOff>25400</xdr:rowOff>
    </xdr:to>
    <xdr:sp macro="" textlink="">
      <xdr:nvSpPr>
        <xdr:cNvPr id="4097" name="FILTER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700-00000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914400</xdr:colOff>
      <xdr:row>3</xdr:row>
      <xdr:rowOff>25400</xdr:rowOff>
    </xdr:to>
    <xdr:sp macro="" textlink="">
      <xdr:nvSpPr>
        <xdr:cNvPr id="4098" name="HEADER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id="{00000000-0008-0000-0700-00000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548640</xdr:colOff>
      <xdr:row>3</xdr:row>
      <xdr:rowOff>15240</xdr:rowOff>
    </xdr:to>
    <xdr:pic>
      <xdr:nvPicPr>
        <xdr:cNvPr id="2" name="FILTER" hidden="1">
          <a:extLst>
            <a:ext uri="{FF2B5EF4-FFF2-40B4-BE49-F238E27FC236}">
              <a16:creationId xmlns:a16="http://schemas.microsoft.com/office/drawing/2014/main" id="{7E1C2004-DAC7-9559-D46F-8D066575E03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548640" cy="2057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548640</xdr:colOff>
      <xdr:row>3</xdr:row>
      <xdr:rowOff>15240</xdr:rowOff>
    </xdr:to>
    <xdr:pic>
      <xdr:nvPicPr>
        <xdr:cNvPr id="3" name="HEADER" hidden="1">
          <a:extLst>
            <a:ext uri="{FF2B5EF4-FFF2-40B4-BE49-F238E27FC236}">
              <a16:creationId xmlns:a16="http://schemas.microsoft.com/office/drawing/2014/main" id="{FF78F439-922F-B17B-F0A4-22CC6CBDEB0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548640" cy="2057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8525-9155-4509-85B0-22152B83FB6D}">
  <sheetPr>
    <pageSetUpPr fitToPage="1"/>
  </sheetPr>
  <dimension ref="A1:O36"/>
  <sheetViews>
    <sheetView topLeftCell="B1" workbookViewId="0">
      <selection activeCell="K1" sqref="K1"/>
    </sheetView>
  </sheetViews>
  <sheetFormatPr defaultColWidth="8.85546875" defaultRowHeight="15"/>
  <cols>
    <col min="1" max="1" width="27.140625" customWidth="1"/>
    <col min="2" max="4" width="11.7109375" customWidth="1"/>
    <col min="5" max="5" width="17" customWidth="1"/>
    <col min="6" max="6" width="22.140625" customWidth="1"/>
    <col min="7" max="7" width="2.140625" customWidth="1"/>
    <col min="8" max="8" width="26.140625" customWidth="1"/>
    <col min="9" max="9" width="19.140625" customWidth="1"/>
    <col min="11" max="11" width="13.42578125" customWidth="1"/>
    <col min="12" max="12" width="11.85546875" customWidth="1"/>
    <col min="13" max="13" width="10.140625" customWidth="1"/>
    <col min="15" max="15" width="10.5703125" bestFit="1" customWidth="1"/>
  </cols>
  <sheetData>
    <row r="1" spans="1:15" ht="18.95">
      <c r="H1" s="137" t="s">
        <v>0</v>
      </c>
      <c r="I1" s="195" t="s">
        <v>1</v>
      </c>
      <c r="J1" s="195" t="s">
        <v>2</v>
      </c>
      <c r="K1" s="201" t="s">
        <v>3</v>
      </c>
      <c r="L1" s="201" t="s">
        <v>4</v>
      </c>
    </row>
    <row r="2" spans="1:15" ht="19.5" customHeight="1">
      <c r="A2" s="130" t="str">
        <f>'Job Info-Gen + Hit1'!A2</f>
        <v>AdD</v>
      </c>
      <c r="C2" s="130"/>
      <c r="H2" t="s">
        <v>5</v>
      </c>
      <c r="I2" s="80">
        <f>F22</f>
        <v>18499.776438157838</v>
      </c>
      <c r="J2" s="80">
        <f>I2/'Job Info-Gen + Hit1'!$C$24</f>
        <v>1.1562360273848649</v>
      </c>
      <c r="K2" s="206">
        <f>'Job Info-Gen + Hit1'!H2</f>
        <v>0</v>
      </c>
      <c r="L2">
        <f>'Job Info-Gen + Hit1'!C24</f>
        <v>16000</v>
      </c>
    </row>
    <row r="3" spans="1:15" ht="18.75">
      <c r="A3" s="130" t="str">
        <f>'Job Info-Gen + Hit1'!B2</f>
        <v>Hats</v>
      </c>
      <c r="B3" s="130">
        <v>200</v>
      </c>
      <c r="C3" s="131"/>
      <c r="E3" s="173"/>
      <c r="F3" s="173"/>
      <c r="H3" t="s">
        <v>6</v>
      </c>
      <c r="I3" s="193">
        <f>L22</f>
        <v>1249.0035937500002</v>
      </c>
      <c r="J3" s="193">
        <f>I3/'Job Info-Gen + Hit1'!$C$24</f>
        <v>7.8062724609375009E-2</v>
      </c>
    </row>
    <row r="4" spans="1:15" ht="18.95">
      <c r="A4" s="131"/>
      <c r="B4" s="131"/>
      <c r="C4" s="174"/>
      <c r="D4" s="175"/>
      <c r="E4" s="176"/>
      <c r="F4" s="177"/>
      <c r="H4" t="s">
        <v>7</v>
      </c>
      <c r="I4" s="194">
        <f>SUM(I2:I3)</f>
        <v>19748.780031907838</v>
      </c>
      <c r="J4" s="194">
        <f>I4/'Job Info-Gen + Hit1'!$C$24</f>
        <v>1.2342987519942399</v>
      </c>
      <c r="K4" s="80"/>
      <c r="L4" s="80"/>
      <c r="O4" s="211">
        <v>1892.506744831868</v>
      </c>
    </row>
    <row r="5" spans="1:15" ht="18.95">
      <c r="A5" s="131"/>
      <c r="B5" s="131"/>
      <c r="C5" s="131"/>
      <c r="I5" s="193"/>
      <c r="J5" s="193"/>
      <c r="K5" s="200"/>
      <c r="L5" s="200"/>
    </row>
    <row r="6" spans="1:15" ht="15.95" thickBot="1"/>
    <row r="7" spans="1:15" ht="18.95">
      <c r="A7" s="178" t="s">
        <v>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5">
      <c r="A8" s="179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180"/>
      <c r="H8" s="3" t="s">
        <v>15</v>
      </c>
      <c r="I8" s="3" t="s">
        <v>16</v>
      </c>
      <c r="J8" s="3" t="s">
        <v>17</v>
      </c>
      <c r="K8" s="3" t="s">
        <v>18</v>
      </c>
      <c r="L8" s="3" t="s">
        <v>19</v>
      </c>
      <c r="M8" s="11"/>
    </row>
    <row r="9" spans="1:15">
      <c r="A9" s="181" t="s">
        <v>20</v>
      </c>
      <c r="B9" s="135">
        <f t="shared" ref="B9:E12" si="0">B29</f>
        <v>268</v>
      </c>
      <c r="C9" s="135">
        <f t="shared" si="0"/>
        <v>25.300305064744759</v>
      </c>
      <c r="D9" s="135">
        <f t="shared" si="0"/>
        <v>73.747142857142848</v>
      </c>
      <c r="E9" s="135">
        <f t="shared" si="0"/>
        <v>0</v>
      </c>
      <c r="F9" s="135">
        <f>SUM(B9:E9)</f>
        <v>367.04744792188762</v>
      </c>
      <c r="G9" s="80"/>
      <c r="H9" s="182" t="s">
        <v>21</v>
      </c>
      <c r="I9" s="135">
        <f>I29</f>
        <v>575.45781250000005</v>
      </c>
      <c r="J9" s="135">
        <f>J29</f>
        <v>560</v>
      </c>
      <c r="K9" s="135">
        <f>K29</f>
        <v>0</v>
      </c>
      <c r="L9" s="135">
        <f t="shared" ref="L9" si="1">SUM(I9:K9)</f>
        <v>1135.4578125</v>
      </c>
      <c r="M9" s="11"/>
    </row>
    <row r="10" spans="1:15">
      <c r="A10" s="181" t="s">
        <v>22</v>
      </c>
      <c r="B10" s="135">
        <f t="shared" si="0"/>
        <v>7120</v>
      </c>
      <c r="C10" s="135">
        <f t="shared" si="0"/>
        <v>2251.7271507622836</v>
      </c>
      <c r="D10" s="135">
        <f t="shared" si="0"/>
        <v>2019.537142857143</v>
      </c>
      <c r="E10" s="135">
        <f t="shared" si="0"/>
        <v>40</v>
      </c>
      <c r="F10" s="135">
        <f t="shared" ref="F10:F14" si="2">SUM(B10:E10)</f>
        <v>11431.264293619426</v>
      </c>
      <c r="G10" s="80"/>
      <c r="H10" s="182"/>
      <c r="I10" s="135"/>
      <c r="J10" s="135"/>
      <c r="K10" s="135"/>
      <c r="L10" s="135"/>
      <c r="M10" s="11"/>
    </row>
    <row r="11" spans="1:15">
      <c r="A11" s="181" t="s">
        <v>23</v>
      </c>
      <c r="B11" s="135">
        <f t="shared" si="0"/>
        <v>840</v>
      </c>
      <c r="C11" s="135">
        <f t="shared" si="0"/>
        <v>190.06</v>
      </c>
      <c r="D11" s="135">
        <f t="shared" si="0"/>
        <v>385.75428571428569</v>
      </c>
      <c r="E11" s="135">
        <f t="shared" si="0"/>
        <v>0</v>
      </c>
      <c r="F11" s="135">
        <f t="shared" si="2"/>
        <v>1415.8142857142857</v>
      </c>
      <c r="G11" s="80"/>
      <c r="H11" s="182"/>
      <c r="I11" s="198"/>
      <c r="J11" s="135"/>
      <c r="K11" s="135"/>
      <c r="L11" s="135"/>
      <c r="M11" s="11"/>
    </row>
    <row r="12" spans="1:15">
      <c r="A12" s="181" t="s">
        <v>24</v>
      </c>
      <c r="B12" s="135">
        <f t="shared" si="0"/>
        <v>0</v>
      </c>
      <c r="C12" s="135">
        <f t="shared" si="0"/>
        <v>0</v>
      </c>
      <c r="D12" s="135">
        <f t="shared" si="0"/>
        <v>0</v>
      </c>
      <c r="E12" s="135">
        <f t="shared" si="0"/>
        <v>0</v>
      </c>
      <c r="F12" s="135">
        <f t="shared" si="2"/>
        <v>0</v>
      </c>
      <c r="G12" s="80"/>
      <c r="H12" s="182"/>
      <c r="I12" s="135"/>
      <c r="J12" s="135"/>
      <c r="K12" s="135"/>
      <c r="L12" s="135"/>
      <c r="M12" s="11"/>
    </row>
    <row r="13" spans="1:15">
      <c r="A13" s="181"/>
      <c r="B13" s="183"/>
      <c r="C13" s="183"/>
      <c r="D13" s="183"/>
      <c r="E13" s="183"/>
      <c r="F13" s="135">
        <f t="shared" si="2"/>
        <v>0</v>
      </c>
      <c r="G13" s="80"/>
      <c r="H13" s="182" t="s">
        <v>25</v>
      </c>
      <c r="I13" s="183">
        <v>0</v>
      </c>
      <c r="J13" s="183"/>
      <c r="K13" s="183"/>
      <c r="L13" s="135"/>
      <c r="M13" s="11"/>
    </row>
    <row r="14" spans="1:15">
      <c r="A14" s="181"/>
      <c r="B14" s="183"/>
      <c r="C14" s="183"/>
      <c r="D14" s="183"/>
      <c r="E14" s="183"/>
      <c r="F14" s="183">
        <f t="shared" si="2"/>
        <v>0</v>
      </c>
      <c r="G14" s="80"/>
      <c r="H14" s="182"/>
      <c r="I14" s="183"/>
      <c r="J14" s="183"/>
      <c r="K14" s="183"/>
      <c r="L14" s="135"/>
      <c r="M14" s="11"/>
    </row>
    <row r="15" spans="1:15">
      <c r="A15" s="181" t="s">
        <v>26</v>
      </c>
      <c r="B15" s="135">
        <f>SUM(B9:B14)</f>
        <v>8228</v>
      </c>
      <c r="C15" s="135">
        <f t="shared" ref="C15:F15" si="3">SUM(C9:C14)</f>
        <v>2467.0874558270284</v>
      </c>
      <c r="D15" s="135">
        <f t="shared" si="3"/>
        <v>2479.0385714285717</v>
      </c>
      <c r="E15" s="135">
        <f t="shared" si="3"/>
        <v>40</v>
      </c>
      <c r="F15" s="135">
        <f t="shared" si="3"/>
        <v>13214.126027255599</v>
      </c>
      <c r="G15" s="80"/>
      <c r="H15" s="182" t="s">
        <v>26</v>
      </c>
      <c r="I15" s="135">
        <f t="shared" ref="I15:L15" si="4">SUM(I9:I14)</f>
        <v>575.45781250000005</v>
      </c>
      <c r="J15" s="135">
        <f t="shared" si="4"/>
        <v>560</v>
      </c>
      <c r="K15" s="135">
        <f t="shared" si="4"/>
        <v>0</v>
      </c>
      <c r="L15" s="135">
        <f t="shared" si="4"/>
        <v>1135.4578125</v>
      </c>
      <c r="M15" s="11"/>
    </row>
    <row r="16" spans="1:15">
      <c r="A16" s="184"/>
      <c r="B16" s="136"/>
      <c r="C16" s="136"/>
      <c r="D16" s="136"/>
      <c r="E16" s="136"/>
      <c r="F16" s="136"/>
      <c r="G16" s="136"/>
      <c r="H16" s="185"/>
      <c r="I16" s="136"/>
      <c r="J16" s="136"/>
      <c r="K16" s="136"/>
      <c r="L16" s="136"/>
      <c r="M16" s="11"/>
    </row>
    <row r="17" spans="1:13">
      <c r="A17" s="186" t="s">
        <v>27</v>
      </c>
      <c r="B17" s="187">
        <v>0.4</v>
      </c>
      <c r="C17" s="187">
        <v>0.4</v>
      </c>
      <c r="D17" s="187">
        <v>0.4</v>
      </c>
      <c r="E17" s="187">
        <v>0.4</v>
      </c>
      <c r="F17" s="187">
        <f>F20/F15</f>
        <v>0.40000000000000008</v>
      </c>
      <c r="G17" s="132"/>
      <c r="H17" s="188" t="s">
        <v>27</v>
      </c>
      <c r="I17" s="187">
        <v>0.1</v>
      </c>
      <c r="J17" s="187">
        <v>0.1</v>
      </c>
      <c r="K17" s="187">
        <v>0.1</v>
      </c>
      <c r="L17" s="187">
        <f>L20/L15</f>
        <v>0.1</v>
      </c>
      <c r="M17" s="11"/>
    </row>
    <row r="18" spans="1:13">
      <c r="A18" s="186" t="s">
        <v>28</v>
      </c>
      <c r="B18" s="189">
        <f>B17</f>
        <v>0.4</v>
      </c>
      <c r="C18" s="189">
        <f t="shared" ref="C18:F18" si="5">C17</f>
        <v>0.4</v>
      </c>
      <c r="D18" s="189">
        <f t="shared" si="5"/>
        <v>0.4</v>
      </c>
      <c r="E18" s="189">
        <f t="shared" si="5"/>
        <v>0.4</v>
      </c>
      <c r="F18" s="189">
        <f t="shared" si="5"/>
        <v>0.40000000000000008</v>
      </c>
      <c r="G18" s="136"/>
      <c r="H18" s="188" t="s">
        <v>28</v>
      </c>
      <c r="I18" s="189">
        <f>I17</f>
        <v>0.1</v>
      </c>
      <c r="J18" s="189">
        <f t="shared" ref="J18:L18" si="6">J17</f>
        <v>0.1</v>
      </c>
      <c r="K18" s="189">
        <f t="shared" si="6"/>
        <v>0.1</v>
      </c>
      <c r="L18" s="189">
        <f t="shared" si="6"/>
        <v>0.1</v>
      </c>
      <c r="M18" s="11"/>
    </row>
    <row r="19" spans="1:13">
      <c r="A19" s="184"/>
      <c r="B19" s="136"/>
      <c r="C19" s="136"/>
      <c r="D19" s="136"/>
      <c r="E19" s="136"/>
      <c r="F19" s="136"/>
      <c r="G19" s="136"/>
      <c r="H19" s="185"/>
      <c r="I19" s="136"/>
      <c r="J19" s="136"/>
      <c r="K19" s="136"/>
      <c r="L19" s="136"/>
      <c r="M19" s="11"/>
    </row>
    <row r="20" spans="1:13">
      <c r="A20" s="181" t="s">
        <v>29</v>
      </c>
      <c r="B20" s="135">
        <f>B15*B17</f>
        <v>3291.2000000000003</v>
      </c>
      <c r="C20" s="135">
        <f t="shared" ref="C20:E20" si="7">C15*C17</f>
        <v>986.83498233081139</v>
      </c>
      <c r="D20" s="135">
        <f t="shared" si="7"/>
        <v>991.61542857142877</v>
      </c>
      <c r="E20" s="135">
        <f t="shared" si="7"/>
        <v>16</v>
      </c>
      <c r="F20" s="183">
        <f>SUM(B20:E20)</f>
        <v>5285.6504109022408</v>
      </c>
      <c r="G20" s="80"/>
      <c r="H20" s="182" t="s">
        <v>29</v>
      </c>
      <c r="I20" s="135">
        <f>I15*I17</f>
        <v>57.545781250000005</v>
      </c>
      <c r="J20" s="135">
        <f t="shared" ref="J20:K20" si="8">J15*J17</f>
        <v>56</v>
      </c>
      <c r="K20" s="135">
        <f t="shared" si="8"/>
        <v>0</v>
      </c>
      <c r="L20" s="183">
        <f>SUM(I20:K20)</f>
        <v>113.54578125</v>
      </c>
      <c r="M20" s="11"/>
    </row>
    <row r="21" spans="1:13">
      <c r="A21" s="184"/>
      <c r="B21" s="190"/>
      <c r="C21" s="190"/>
      <c r="D21" s="190"/>
      <c r="E21" s="190"/>
      <c r="F21" s="190"/>
      <c r="G21" s="190"/>
      <c r="H21" s="191"/>
      <c r="I21" s="190"/>
      <c r="J21" s="190"/>
      <c r="K21" s="190"/>
      <c r="L21" s="190"/>
      <c r="M21" s="11"/>
    </row>
    <row r="22" spans="1:13">
      <c r="A22" s="181" t="s">
        <v>30</v>
      </c>
      <c r="B22" s="192">
        <f>B15+B20</f>
        <v>11519.2</v>
      </c>
      <c r="C22" s="192">
        <f t="shared" ref="C22:F22" si="9">C15+C20</f>
        <v>3453.9224381578397</v>
      </c>
      <c r="D22" s="192">
        <f t="shared" si="9"/>
        <v>3470.6540000000005</v>
      </c>
      <c r="E22" s="192">
        <f t="shared" si="9"/>
        <v>56</v>
      </c>
      <c r="F22" s="192">
        <f t="shared" si="9"/>
        <v>18499.776438157838</v>
      </c>
      <c r="G22" s="80"/>
      <c r="H22" s="182" t="s">
        <v>31</v>
      </c>
      <c r="I22" s="192">
        <f t="shared" ref="I22:L22" si="10">I15+I20</f>
        <v>633.00359375000005</v>
      </c>
      <c r="J22" s="192">
        <f t="shared" si="10"/>
        <v>616</v>
      </c>
      <c r="K22" s="192">
        <f t="shared" si="10"/>
        <v>0</v>
      </c>
      <c r="L22" s="192">
        <f t="shared" si="10"/>
        <v>1249.0035937500002</v>
      </c>
      <c r="M22" s="11"/>
    </row>
    <row r="23" spans="1:13" ht="15.95" thickBot="1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5"/>
    </row>
    <row r="26" spans="1:13" ht="15.95" thickBot="1"/>
    <row r="27" spans="1:13" ht="18.95">
      <c r="A27" s="178" t="s">
        <v>32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9"/>
    </row>
    <row r="28" spans="1:13">
      <c r="A28" s="179" t="s">
        <v>9</v>
      </c>
      <c r="B28" s="3" t="s">
        <v>10</v>
      </c>
      <c r="C28" s="3" t="s">
        <v>11</v>
      </c>
      <c r="D28" s="3" t="s">
        <v>12</v>
      </c>
      <c r="E28" s="3" t="s">
        <v>13</v>
      </c>
      <c r="F28" s="3" t="s">
        <v>14</v>
      </c>
      <c r="G28" s="180"/>
      <c r="H28" s="3" t="s">
        <v>15</v>
      </c>
      <c r="I28" s="3" t="s">
        <v>16</v>
      </c>
      <c r="J28" s="3" t="s">
        <v>17</v>
      </c>
      <c r="K28" s="3"/>
      <c r="L28" s="3" t="s">
        <v>19</v>
      </c>
      <c r="M28" s="11"/>
    </row>
    <row r="29" spans="1:13">
      <c r="A29" s="181" t="s">
        <v>20</v>
      </c>
      <c r="B29" s="135">
        <f>'H1-Prod. Cost Details'!E11</f>
        <v>268</v>
      </c>
      <c r="C29" s="135">
        <f>'H1-Prod. Cost Details'!J11</f>
        <v>25.300305064744759</v>
      </c>
      <c r="D29" s="135">
        <f>'H1-Prod. Cost Details'!N11</f>
        <v>73.747142857142848</v>
      </c>
      <c r="E29" s="135"/>
      <c r="F29" s="135">
        <f>SUM(B29:E29)</f>
        <v>367.04744792188762</v>
      </c>
      <c r="G29" s="80"/>
      <c r="H29" s="182" t="s">
        <v>21</v>
      </c>
      <c r="I29" s="135">
        <f>'Job Info-Gen + Hit1'!$K$30+'Job Info-Gen + Hit1'!$K$35+'Job Info-Gen + Hit1'!$K$55+'Job Info-Gen + Hit1'!$E$38</f>
        <v>575.45781250000005</v>
      </c>
      <c r="J29" s="135">
        <f>'Job Info-Gen + Hit1'!$E$55</f>
        <v>560</v>
      </c>
      <c r="K29" s="135"/>
      <c r="L29" s="135">
        <f t="shared" ref="L29" si="11">SUM(I29:K29)</f>
        <v>1135.4578125</v>
      </c>
      <c r="M29" s="11"/>
    </row>
    <row r="30" spans="1:13">
      <c r="A30" s="181" t="s">
        <v>22</v>
      </c>
      <c r="B30" s="135">
        <f>'H1-Prod. Cost Details'!E21</f>
        <v>7120</v>
      </c>
      <c r="C30" s="135">
        <f>'H1-Prod. Cost Details'!J21</f>
        <v>2251.7271507622836</v>
      </c>
      <c r="D30" s="135">
        <f>'H1-Prod. Cost Details'!N21</f>
        <v>2019.537142857143</v>
      </c>
      <c r="E30" s="135">
        <v>40</v>
      </c>
      <c r="F30" s="135">
        <f t="shared" ref="F30:F34" si="12">SUM(B30:E30)</f>
        <v>11431.264293619426</v>
      </c>
      <c r="G30" s="80"/>
      <c r="H30" s="182"/>
      <c r="I30" s="135"/>
      <c r="J30" s="135"/>
      <c r="K30" s="135"/>
      <c r="L30" s="135"/>
      <c r="M30" s="11"/>
    </row>
    <row r="31" spans="1:13">
      <c r="A31" s="181" t="s">
        <v>23</v>
      </c>
      <c r="B31" s="135">
        <f>'H1-Prod. Cost Details'!E31</f>
        <v>840</v>
      </c>
      <c r="C31" s="135">
        <f>'H1-Prod. Cost Details'!J31</f>
        <v>190.06</v>
      </c>
      <c r="D31" s="135">
        <f>'H1-Prod. Cost Details'!N31</f>
        <v>385.75428571428569</v>
      </c>
      <c r="E31" s="135"/>
      <c r="F31" s="135">
        <f t="shared" si="12"/>
        <v>1415.8142857142857</v>
      </c>
      <c r="G31" s="80"/>
      <c r="H31" s="182"/>
      <c r="I31" s="135"/>
      <c r="J31" s="135"/>
      <c r="K31" s="135"/>
      <c r="L31" s="135"/>
      <c r="M31" s="11"/>
    </row>
    <row r="32" spans="1:13">
      <c r="A32" s="181" t="s">
        <v>24</v>
      </c>
      <c r="B32" s="135">
        <f>'H1-Prod. Cost Details'!E41</f>
        <v>0</v>
      </c>
      <c r="C32" s="135">
        <f>'H1-Prod. Cost Details'!J41</f>
        <v>0</v>
      </c>
      <c r="D32" s="135">
        <f>'H1-Prod. Cost Details'!N41</f>
        <v>0</v>
      </c>
      <c r="E32" s="135"/>
      <c r="F32" s="135">
        <f t="shared" si="12"/>
        <v>0</v>
      </c>
      <c r="G32" s="80"/>
      <c r="H32" s="182"/>
      <c r="I32" s="135"/>
      <c r="J32" s="135"/>
      <c r="K32" s="135"/>
      <c r="L32" s="135"/>
      <c r="M32" s="11"/>
    </row>
    <row r="33" spans="1:13">
      <c r="A33" s="181"/>
      <c r="B33" s="183"/>
      <c r="C33" s="183"/>
      <c r="D33" s="183"/>
      <c r="E33" s="183"/>
      <c r="F33" s="135">
        <f t="shared" si="12"/>
        <v>0</v>
      </c>
      <c r="G33" s="80"/>
      <c r="H33" s="182"/>
      <c r="I33" s="183"/>
      <c r="J33" s="183"/>
      <c r="K33" s="183"/>
      <c r="L33" s="135"/>
      <c r="M33" s="11"/>
    </row>
    <row r="34" spans="1:13">
      <c r="A34" s="181"/>
      <c r="B34" s="183"/>
      <c r="C34" s="183"/>
      <c r="D34" s="183"/>
      <c r="E34" s="183"/>
      <c r="F34" s="183">
        <f t="shared" si="12"/>
        <v>0</v>
      </c>
      <c r="G34" s="80"/>
      <c r="H34" s="182"/>
      <c r="I34" s="183"/>
      <c r="J34" s="183"/>
      <c r="K34" s="183"/>
      <c r="L34" s="135"/>
      <c r="M34" s="11"/>
    </row>
    <row r="35" spans="1:13">
      <c r="A35" s="181" t="s">
        <v>26</v>
      </c>
      <c r="B35" s="135">
        <f>SUM(B29:B34)</f>
        <v>8228</v>
      </c>
      <c r="C35" s="135">
        <f t="shared" ref="C35:F35" si="13">SUM(C29:C34)</f>
        <v>2467.0874558270284</v>
      </c>
      <c r="D35" s="135">
        <f t="shared" si="13"/>
        <v>2479.0385714285717</v>
      </c>
      <c r="E35" s="135">
        <f t="shared" si="13"/>
        <v>40</v>
      </c>
      <c r="F35" s="135">
        <f t="shared" si="13"/>
        <v>13214.126027255599</v>
      </c>
      <c r="G35" s="80"/>
      <c r="H35" s="182" t="s">
        <v>26</v>
      </c>
      <c r="I35" s="135">
        <f t="shared" ref="I35:L35" si="14">SUM(I29:I34)</f>
        <v>575.45781250000005</v>
      </c>
      <c r="J35" s="135">
        <f t="shared" si="14"/>
        <v>560</v>
      </c>
      <c r="K35" s="135"/>
      <c r="L35" s="135">
        <f t="shared" si="14"/>
        <v>1135.4578125</v>
      </c>
      <c r="M35" s="11"/>
    </row>
    <row r="36" spans="1:13" ht="15.95" thickBot="1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</row>
  </sheetData>
  <dataValidations count="1">
    <dataValidation type="list" allowBlank="1" showInputMessage="1" showErrorMessage="1" sqref="I17:K17" xr:uid="{B230FF0F-933F-45B0-8300-85EA7075A956}">
      <formula1>Profit_OH_Multiplier</formula1>
    </dataValidation>
  </dataValidations>
  <pageMargins left="0.7" right="0.7" top="0.75" bottom="0.75" header="0.3" footer="0.3"/>
  <pageSetup scale="66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42FE79-A857-4F44-AEF7-B093214E8156}">
            <xm:f>_xludf.If+#REF!='Drop Down Tables'!$L$2</xm:f>
            <x14:dxf>
              <numFmt numFmtId="1" formatCode="0"/>
            </x14:dxf>
          </x14:cfRule>
          <x14:cfRule type="expression" priority="2" id="{3FF41DC0-4749-4559-BAA1-6169A2BAC8BE}">
            <xm:f>_xludf.If+#REF!='Drop Down Tables'!$J$2</xm:f>
            <x14:dxf>
              <numFmt numFmtId="13" formatCode="0%"/>
            </x14:dxf>
          </x14:cfRule>
          <xm:sqref>B17:E17 I17:K17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184098-C31E-4338-8244-C893D159933F}">
          <x14:formula1>
            <xm:f>'Drop Down Tables'!$K$2:$K$29</xm:f>
          </x14:formula1>
          <xm:sqref>B17:E17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4246-DDFC-4C8A-ABDC-247967A31154}">
  <sheetPr>
    <pageSetUpPr fitToPage="1"/>
  </sheetPr>
  <dimension ref="A1:K55"/>
  <sheetViews>
    <sheetView tabSelected="1" topLeftCell="A13" workbookViewId="0">
      <selection activeCell="H2" sqref="H2"/>
    </sheetView>
  </sheetViews>
  <sheetFormatPr defaultColWidth="8.85546875" defaultRowHeight="15"/>
  <cols>
    <col min="1" max="1" width="24.28515625" customWidth="1"/>
    <col min="2" max="2" width="27" customWidth="1"/>
    <col min="3" max="3" width="16.140625" customWidth="1"/>
    <col min="4" max="5" width="16.85546875" customWidth="1"/>
    <col min="6" max="6" width="12.42578125" customWidth="1"/>
    <col min="7" max="7" width="11.85546875" customWidth="1"/>
    <col min="8" max="8" width="17.28515625" customWidth="1"/>
    <col min="9" max="9" width="15.28515625" customWidth="1"/>
    <col min="10" max="10" width="15.140625" customWidth="1"/>
    <col min="11" max="11" width="13" customWidth="1"/>
    <col min="13" max="13" width="16.140625" customWidth="1"/>
  </cols>
  <sheetData>
    <row r="1" spans="1:11" s="1" customFormat="1">
      <c r="A1" s="3" t="s">
        <v>33</v>
      </c>
      <c r="B1" s="3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16" t="s">
        <v>40</v>
      </c>
      <c r="I1" s="197" t="s">
        <v>41</v>
      </c>
    </row>
    <row r="2" spans="1:11">
      <c r="A2" s="4" t="s">
        <v>42</v>
      </c>
      <c r="B2" s="4" t="s">
        <v>43</v>
      </c>
      <c r="C2" s="4" t="s">
        <v>44</v>
      </c>
      <c r="D2" s="4" t="s">
        <v>45</v>
      </c>
      <c r="E2" s="4">
        <v>2</v>
      </c>
      <c r="F2" s="172">
        <v>1</v>
      </c>
      <c r="G2" s="205">
        <v>7063</v>
      </c>
      <c r="H2" s="134"/>
      <c r="I2" s="4">
        <v>450</v>
      </c>
    </row>
    <row r="3" spans="1:11">
      <c r="E3" s="6" t="s">
        <v>46</v>
      </c>
      <c r="F3" s="6" t="s">
        <v>47</v>
      </c>
      <c r="G3" s="6" t="s">
        <v>48</v>
      </c>
      <c r="H3" s="6" t="s">
        <v>49</v>
      </c>
    </row>
    <row r="4" spans="1:11">
      <c r="B4" s="4"/>
      <c r="E4" s="161">
        <v>3.5000000000000003E-2</v>
      </c>
      <c r="F4" s="5">
        <f>ROUNDUP(E4*C24,0)</f>
        <v>560</v>
      </c>
      <c r="G4" s="172">
        <v>50</v>
      </c>
      <c r="H4" s="5">
        <f>ROUNDUP((C24/G4),0)</f>
        <v>320</v>
      </c>
    </row>
    <row r="5" spans="1:11" ht="15.95" thickBot="1">
      <c r="A5" s="3" t="s">
        <v>50</v>
      </c>
    </row>
    <row r="6" spans="1:11">
      <c r="A6" s="4" t="s">
        <v>51</v>
      </c>
      <c r="B6" s="7"/>
      <c r="C6" s="8"/>
      <c r="D6" s="8"/>
      <c r="E6" s="9"/>
    </row>
    <row r="7" spans="1:11">
      <c r="B7" s="10" t="s">
        <v>52</v>
      </c>
      <c r="C7" s="4" t="s">
        <v>53</v>
      </c>
      <c r="E7" s="11"/>
    </row>
    <row r="8" spans="1:11">
      <c r="B8" s="12"/>
      <c r="E8" s="11"/>
      <c r="G8" s="48" t="s">
        <v>54</v>
      </c>
    </row>
    <row r="9" spans="1:11">
      <c r="A9" s="3" t="s">
        <v>11</v>
      </c>
      <c r="B9" s="10" t="s">
        <v>55</v>
      </c>
      <c r="C9" s="207"/>
      <c r="D9" s="207"/>
      <c r="E9" s="11"/>
      <c r="G9" s="41" t="s">
        <v>56</v>
      </c>
      <c r="H9" s="49" t="s">
        <v>57</v>
      </c>
      <c r="I9" s="49" t="s">
        <v>58</v>
      </c>
      <c r="J9" s="49" t="s">
        <v>59</v>
      </c>
      <c r="K9" s="49" t="s">
        <v>60</v>
      </c>
    </row>
    <row r="10" spans="1:11">
      <c r="A10" s="4" t="s">
        <v>54</v>
      </c>
      <c r="B10" s="10" t="s">
        <v>61</v>
      </c>
      <c r="C10" s="207"/>
      <c r="D10" s="207"/>
      <c r="E10" s="11"/>
      <c r="G10" s="202" t="s">
        <v>62</v>
      </c>
      <c r="H10" s="42" t="s">
        <v>63</v>
      </c>
      <c r="I10" s="204">
        <v>11.79</v>
      </c>
      <c r="J10" s="60">
        <v>0</v>
      </c>
      <c r="K10" s="50">
        <f>I10*J10</f>
        <v>0</v>
      </c>
    </row>
    <row r="11" spans="1:11">
      <c r="A11" s="4"/>
      <c r="B11" s="12"/>
      <c r="E11" s="11"/>
      <c r="G11" s="196" t="s">
        <v>64</v>
      </c>
      <c r="H11" s="42" t="s">
        <v>63</v>
      </c>
      <c r="I11" s="208">
        <v>11.79</v>
      </c>
      <c r="J11" s="60">
        <v>0</v>
      </c>
      <c r="K11" s="50">
        <f>I11*J11</f>
        <v>0</v>
      </c>
    </row>
    <row r="12" spans="1:11">
      <c r="A12" s="4"/>
      <c r="B12" s="12"/>
      <c r="E12" s="11"/>
      <c r="G12" s="196" t="s">
        <v>62</v>
      </c>
      <c r="H12" s="42" t="s">
        <v>65</v>
      </c>
      <c r="I12" s="60">
        <v>16.89</v>
      </c>
      <c r="J12" s="60">
        <v>0</v>
      </c>
      <c r="K12" s="50">
        <f t="shared" ref="K12:K29" si="0">I12*J12</f>
        <v>0</v>
      </c>
    </row>
    <row r="13" spans="1:11" ht="15.95" thickBot="1">
      <c r="A13" s="4"/>
      <c r="B13" s="26" t="s">
        <v>66</v>
      </c>
      <c r="C13" s="27" t="s">
        <v>4</v>
      </c>
      <c r="D13" s="27" t="s">
        <v>67</v>
      </c>
      <c r="E13" s="27" t="s">
        <v>60</v>
      </c>
      <c r="G13" s="196" t="s">
        <v>64</v>
      </c>
      <c r="H13" s="42" t="s">
        <v>65</v>
      </c>
      <c r="I13" s="60">
        <v>16.89</v>
      </c>
      <c r="J13" s="60">
        <v>30</v>
      </c>
      <c r="K13" s="50">
        <f t="shared" si="0"/>
        <v>506.70000000000005</v>
      </c>
    </row>
    <row r="14" spans="1:11" ht="15.95" thickBot="1">
      <c r="B14" s="28" t="s">
        <v>68</v>
      </c>
      <c r="C14" s="29">
        <v>15950</v>
      </c>
      <c r="D14" s="30">
        <v>0</v>
      </c>
      <c r="E14" s="31">
        <f t="shared" ref="E14:E22" si="1">C14*D14</f>
        <v>0</v>
      </c>
      <c r="G14" s="196" t="s">
        <v>69</v>
      </c>
      <c r="H14" s="42" t="s">
        <v>70</v>
      </c>
      <c r="I14" s="60">
        <v>8.19</v>
      </c>
      <c r="J14" s="60">
        <v>0</v>
      </c>
      <c r="K14" s="50">
        <f t="shared" si="0"/>
        <v>0</v>
      </c>
    </row>
    <row r="15" spans="1:11" ht="15.95" thickBot="1">
      <c r="B15" s="28" t="s">
        <v>68</v>
      </c>
      <c r="C15" s="29">
        <v>50</v>
      </c>
      <c r="D15" s="30">
        <v>0</v>
      </c>
      <c r="E15" s="31">
        <f t="shared" si="1"/>
        <v>0</v>
      </c>
      <c r="G15" s="196"/>
      <c r="H15" s="42"/>
      <c r="I15" s="60"/>
      <c r="J15" s="60"/>
      <c r="K15" s="50">
        <f t="shared" si="0"/>
        <v>0</v>
      </c>
    </row>
    <row r="16" spans="1:11" ht="15.95" thickBot="1">
      <c r="A16" s="3" t="s">
        <v>71</v>
      </c>
      <c r="B16" s="28" t="s">
        <v>72</v>
      </c>
      <c r="C16" s="29"/>
      <c r="D16" s="30"/>
      <c r="E16" s="31">
        <f t="shared" si="1"/>
        <v>0</v>
      </c>
      <c r="G16" s="196"/>
      <c r="H16" s="42"/>
      <c r="I16" s="60"/>
      <c r="J16" s="60"/>
      <c r="K16" s="50">
        <f t="shared" si="0"/>
        <v>0</v>
      </c>
    </row>
    <row r="17" spans="1:11" ht="15.95" thickBot="1">
      <c r="A17" s="4" t="s">
        <v>73</v>
      </c>
      <c r="B17" s="28" t="s">
        <v>74</v>
      </c>
      <c r="C17" s="29"/>
      <c r="D17" s="30"/>
      <c r="E17" s="31">
        <f t="shared" si="1"/>
        <v>0</v>
      </c>
      <c r="G17" s="196"/>
      <c r="H17" s="42"/>
      <c r="I17" s="60"/>
      <c r="J17" s="60"/>
      <c r="K17" s="50">
        <f t="shared" si="0"/>
        <v>0</v>
      </c>
    </row>
    <row r="18" spans="1:11" ht="15.95" thickBot="1">
      <c r="A18" s="4"/>
      <c r="B18" s="28" t="s">
        <v>75</v>
      </c>
      <c r="C18" s="29"/>
      <c r="D18" s="30"/>
      <c r="E18" s="31">
        <f t="shared" si="1"/>
        <v>0</v>
      </c>
      <c r="G18" s="196"/>
      <c r="H18" s="42"/>
      <c r="I18" s="60"/>
      <c r="J18" s="60"/>
      <c r="K18" s="50">
        <f t="shared" si="0"/>
        <v>0</v>
      </c>
    </row>
    <row r="19" spans="1:11" ht="15.95" thickBot="1">
      <c r="A19" s="4"/>
      <c r="B19" s="28" t="s">
        <v>76</v>
      </c>
      <c r="C19" s="29"/>
      <c r="D19" s="30"/>
      <c r="E19" s="31">
        <f t="shared" si="1"/>
        <v>0</v>
      </c>
      <c r="G19" s="196"/>
      <c r="H19" s="42"/>
      <c r="I19" s="60"/>
      <c r="J19" s="60"/>
      <c r="K19" s="50">
        <f t="shared" si="0"/>
        <v>0</v>
      </c>
    </row>
    <row r="20" spans="1:11" ht="15.95" thickBot="1">
      <c r="A20" s="4"/>
      <c r="B20" s="28" t="s">
        <v>77</v>
      </c>
      <c r="C20" s="29"/>
      <c r="D20" s="30"/>
      <c r="E20" s="31">
        <f t="shared" si="1"/>
        <v>0</v>
      </c>
      <c r="G20" s="196"/>
      <c r="H20" s="42"/>
      <c r="I20" s="60"/>
      <c r="J20" s="60"/>
      <c r="K20" s="50">
        <f t="shared" si="0"/>
        <v>0</v>
      </c>
    </row>
    <row r="21" spans="1:11" ht="15.95" thickBot="1">
      <c r="A21" s="4"/>
      <c r="B21" s="28" t="s">
        <v>78</v>
      </c>
      <c r="C21" s="29"/>
      <c r="D21" s="30"/>
      <c r="E21" s="31">
        <f t="shared" si="1"/>
        <v>0</v>
      </c>
      <c r="G21" s="196"/>
      <c r="H21" s="42"/>
      <c r="I21" s="60"/>
      <c r="J21" s="60"/>
      <c r="K21" s="50">
        <f t="shared" si="0"/>
        <v>0</v>
      </c>
    </row>
    <row r="22" spans="1:11" ht="15.95" thickBot="1">
      <c r="A22" s="4"/>
      <c r="B22" s="28" t="s">
        <v>17</v>
      </c>
      <c r="C22" s="29"/>
      <c r="D22" s="30"/>
      <c r="E22" s="31">
        <f t="shared" si="1"/>
        <v>0</v>
      </c>
      <c r="G22" s="196"/>
      <c r="H22" s="42"/>
      <c r="I22" s="60"/>
      <c r="J22" s="60"/>
      <c r="K22" s="50">
        <f t="shared" si="0"/>
        <v>0</v>
      </c>
    </row>
    <row r="23" spans="1:11" ht="15.95" thickBot="1">
      <c r="A23" s="4"/>
      <c r="B23" s="28" t="s">
        <v>24</v>
      </c>
      <c r="C23" s="162">
        <v>1</v>
      </c>
      <c r="D23" s="30"/>
      <c r="E23" s="31">
        <f>D23</f>
        <v>0</v>
      </c>
      <c r="G23" s="196"/>
      <c r="H23" s="42"/>
      <c r="I23" s="60"/>
      <c r="J23" s="60"/>
      <c r="K23" s="50">
        <f t="shared" si="0"/>
        <v>0</v>
      </c>
    </row>
    <row r="24" spans="1:11">
      <c r="A24" s="4"/>
      <c r="B24" s="32" t="s">
        <v>1</v>
      </c>
      <c r="C24" s="33">
        <f>SUM(C14:C22)</f>
        <v>16000</v>
      </c>
      <c r="D24" s="51"/>
      <c r="E24" s="34">
        <f>SUM(E14:E23)</f>
        <v>0</v>
      </c>
      <c r="G24" s="196"/>
      <c r="H24" s="42"/>
      <c r="I24" s="60"/>
      <c r="J24" s="60"/>
      <c r="K24" s="50">
        <f t="shared" si="0"/>
        <v>0</v>
      </c>
    </row>
    <row r="25" spans="1:11" ht="15.95" thickBot="1">
      <c r="B25" s="13"/>
      <c r="C25" s="14"/>
      <c r="D25" s="14"/>
      <c r="E25" s="15"/>
      <c r="G25" s="196"/>
      <c r="H25" s="42"/>
      <c r="I25" s="60"/>
      <c r="J25" s="60"/>
      <c r="K25" s="50">
        <f t="shared" si="0"/>
        <v>0</v>
      </c>
    </row>
    <row r="26" spans="1:11">
      <c r="G26" s="196"/>
      <c r="H26" s="42"/>
      <c r="I26" s="60"/>
      <c r="J26" s="60"/>
      <c r="K26" s="50">
        <f t="shared" si="0"/>
        <v>0</v>
      </c>
    </row>
    <row r="27" spans="1:11" ht="15.95" thickBot="1">
      <c r="G27" s="196"/>
      <c r="H27" s="42"/>
      <c r="I27" s="60"/>
      <c r="J27" s="60"/>
      <c r="K27" s="50">
        <f t="shared" si="0"/>
        <v>0</v>
      </c>
    </row>
    <row r="28" spans="1:11">
      <c r="A28" s="17" t="s">
        <v>79</v>
      </c>
      <c r="B28" s="18" t="s">
        <v>80</v>
      </c>
      <c r="C28" s="18" t="s">
        <v>81</v>
      </c>
      <c r="D28" s="18" t="s">
        <v>82</v>
      </c>
      <c r="E28" s="19" t="s">
        <v>83</v>
      </c>
      <c r="G28" s="196"/>
      <c r="H28" s="42"/>
      <c r="I28" s="60"/>
      <c r="J28" s="60"/>
      <c r="K28" s="50">
        <f t="shared" si="0"/>
        <v>0</v>
      </c>
    </row>
    <row r="29" spans="1:11">
      <c r="A29" s="163">
        <v>15</v>
      </c>
      <c r="B29" s="5">
        <f>ROUNDUP((C24/A29),0)</f>
        <v>1067</v>
      </c>
      <c r="C29" s="203">
        <v>1</v>
      </c>
      <c r="D29" s="4">
        <v>7</v>
      </c>
      <c r="E29" s="164">
        <v>2</v>
      </c>
      <c r="G29" s="196"/>
      <c r="H29" s="42"/>
      <c r="I29" s="60"/>
      <c r="J29" s="60"/>
      <c r="K29" s="50">
        <f t="shared" si="0"/>
        <v>0</v>
      </c>
    </row>
    <row r="30" spans="1:11" ht="15.95" thickBot="1">
      <c r="A30" s="13"/>
      <c r="B30" s="14"/>
      <c r="C30" s="165" t="s">
        <v>84</v>
      </c>
      <c r="D30" s="165"/>
      <c r="E30" s="166"/>
      <c r="G30" s="44" t="s">
        <v>85</v>
      </c>
      <c r="H30" s="45"/>
      <c r="I30" s="46"/>
      <c r="J30" s="53">
        <f>SUM(J10:J29)</f>
        <v>30</v>
      </c>
      <c r="K30" s="47">
        <f>SUM(K10:K29)</f>
        <v>506.70000000000005</v>
      </c>
    </row>
    <row r="31" spans="1:11" ht="15.95" thickBot="1"/>
    <row r="32" spans="1:11">
      <c r="A32" s="17" t="s">
        <v>86</v>
      </c>
      <c r="B32" s="18" t="s">
        <v>79</v>
      </c>
      <c r="C32" s="18" t="s">
        <v>87</v>
      </c>
      <c r="D32" s="18" t="s">
        <v>88</v>
      </c>
      <c r="E32" s="18" t="s">
        <v>60</v>
      </c>
    </row>
    <row r="33" spans="1:11" ht="15.95" thickBot="1">
      <c r="A33" s="35" t="s">
        <v>62</v>
      </c>
      <c r="B33" s="65">
        <f>$A$29</f>
        <v>15</v>
      </c>
      <c r="C33" s="4">
        <v>15</v>
      </c>
      <c r="D33" s="61">
        <f>'Material Calculations'!$D$8</f>
        <v>0.30559027777777781</v>
      </c>
      <c r="E33" s="36">
        <f>(B33*C33*D33)</f>
        <v>68.7578125</v>
      </c>
      <c r="G33" s="48" t="s">
        <v>89</v>
      </c>
    </row>
    <row r="34" spans="1:11" ht="15.95" thickBot="1">
      <c r="A34" s="35"/>
      <c r="B34" s="65">
        <f t="shared" ref="B34:B37" si="2">$A$29</f>
        <v>15</v>
      </c>
      <c r="C34" s="4">
        <v>0</v>
      </c>
      <c r="D34" s="61">
        <f>'Material Calculations'!$D$8</f>
        <v>0.30559027777777781</v>
      </c>
      <c r="E34" s="36">
        <f t="shared" ref="E34:E37" si="3">(B34*C34*D34)</f>
        <v>0</v>
      </c>
      <c r="G34" s="41" t="s">
        <v>90</v>
      </c>
      <c r="H34" s="49" t="s">
        <v>57</v>
      </c>
      <c r="I34" s="49" t="s">
        <v>58</v>
      </c>
      <c r="J34" s="49" t="s">
        <v>59</v>
      </c>
      <c r="K34" s="49" t="s">
        <v>60</v>
      </c>
    </row>
    <row r="35" spans="1:11" ht="15.95" thickBot="1">
      <c r="A35" s="35"/>
      <c r="B35" s="65">
        <f t="shared" si="2"/>
        <v>15</v>
      </c>
      <c r="C35" s="4">
        <v>0</v>
      </c>
      <c r="D35" s="61">
        <f>'Material Calculations'!$D$8</f>
        <v>0.30559027777777781</v>
      </c>
      <c r="E35" s="36">
        <f t="shared" si="3"/>
        <v>0</v>
      </c>
      <c r="G35" s="196" t="s">
        <v>64</v>
      </c>
      <c r="H35" s="42"/>
      <c r="I35" s="60"/>
      <c r="J35" s="52"/>
      <c r="K35" s="50">
        <f>I35*J35</f>
        <v>0</v>
      </c>
    </row>
    <row r="36" spans="1:11" ht="15.95" thickBot="1">
      <c r="A36" s="35"/>
      <c r="B36" s="65">
        <f t="shared" si="2"/>
        <v>15</v>
      </c>
      <c r="C36" s="4">
        <v>0</v>
      </c>
      <c r="D36" s="61">
        <f>'Material Calculations'!$D$8</f>
        <v>0.30559027777777781</v>
      </c>
      <c r="E36" s="36">
        <f t="shared" si="3"/>
        <v>0</v>
      </c>
      <c r="G36" s="54"/>
      <c r="H36" s="55"/>
      <c r="I36" s="56"/>
      <c r="J36" s="57"/>
      <c r="K36" s="58"/>
    </row>
    <row r="37" spans="1:11" ht="15.95" thickBot="1">
      <c r="A37" s="35"/>
      <c r="B37" s="65">
        <f t="shared" si="2"/>
        <v>15</v>
      </c>
      <c r="C37" s="4">
        <v>0</v>
      </c>
      <c r="D37" s="61">
        <f>'Material Calculations'!$D$8</f>
        <v>0.30559027777777781</v>
      </c>
      <c r="E37" s="36">
        <f t="shared" si="3"/>
        <v>0</v>
      </c>
      <c r="G37" s="41" t="s">
        <v>91</v>
      </c>
      <c r="H37" s="49" t="s">
        <v>92</v>
      </c>
      <c r="I37" s="49" t="s">
        <v>58</v>
      </c>
      <c r="J37" s="49" t="s">
        <v>93</v>
      </c>
      <c r="K37" s="49" t="s">
        <v>60</v>
      </c>
    </row>
    <row r="38" spans="1:11">
      <c r="A38" s="44" t="s">
        <v>94</v>
      </c>
      <c r="B38" s="45"/>
      <c r="C38" s="46"/>
      <c r="D38" s="46"/>
      <c r="E38" s="135">
        <f>SUM(E33:E37)</f>
        <v>68.7578125</v>
      </c>
      <c r="G38" s="196" t="s">
        <v>25</v>
      </c>
      <c r="H38" s="42"/>
      <c r="I38" s="43"/>
      <c r="J38" s="60">
        <v>170</v>
      </c>
      <c r="K38" s="47">
        <f>I38*J38</f>
        <v>0</v>
      </c>
    </row>
    <row r="39" spans="1:11" ht="15.95" thickBot="1">
      <c r="B39" s="21"/>
      <c r="C39" s="20"/>
      <c r="D39" s="22"/>
      <c r="G39" s="196"/>
      <c r="H39" s="42"/>
      <c r="I39" s="43"/>
      <c r="J39" s="60"/>
      <c r="K39" s="47">
        <f t="shared" ref="K39:K54" si="4">I39*J39</f>
        <v>0</v>
      </c>
    </row>
    <row r="40" spans="1:11">
      <c r="B40" s="17" t="s">
        <v>95</v>
      </c>
      <c r="C40" s="18" t="s">
        <v>93</v>
      </c>
      <c r="D40" s="18" t="s">
        <v>96</v>
      </c>
      <c r="E40" s="19" t="s">
        <v>60</v>
      </c>
      <c r="G40" s="196"/>
      <c r="H40" s="42"/>
      <c r="I40" s="43"/>
      <c r="J40" s="60"/>
      <c r="K40" s="47">
        <f t="shared" si="4"/>
        <v>0</v>
      </c>
    </row>
    <row r="41" spans="1:11" ht="15.95" thickBot="1">
      <c r="B41" s="37" t="s">
        <v>97</v>
      </c>
      <c r="C41" s="37">
        <v>4000</v>
      </c>
      <c r="D41" s="62">
        <v>0.14000000000000001</v>
      </c>
      <c r="E41" s="36">
        <f t="shared" ref="E41:E54" si="5">C41*D41</f>
        <v>560</v>
      </c>
      <c r="G41" s="196"/>
      <c r="H41" s="42"/>
      <c r="I41" s="43"/>
      <c r="J41" s="60"/>
      <c r="K41" s="47">
        <f t="shared" si="4"/>
        <v>0</v>
      </c>
    </row>
    <row r="42" spans="1:11" ht="15.95" thickBot="1">
      <c r="A42" s="167" t="s">
        <v>98</v>
      </c>
      <c r="B42" s="29" t="s">
        <v>99</v>
      </c>
      <c r="C42" s="29">
        <v>0</v>
      </c>
      <c r="D42" s="63">
        <v>0.14000000000000001</v>
      </c>
      <c r="E42" s="38">
        <f t="shared" si="5"/>
        <v>0</v>
      </c>
      <c r="G42" s="196"/>
      <c r="H42" s="42"/>
      <c r="I42" s="43"/>
      <c r="J42" s="60"/>
      <c r="K42" s="47">
        <f t="shared" si="4"/>
        <v>0</v>
      </c>
    </row>
    <row r="43" spans="1:11" ht="15.95" thickBot="1">
      <c r="A43" s="167" t="s">
        <v>100</v>
      </c>
      <c r="B43" s="29" t="s">
        <v>101</v>
      </c>
      <c r="C43" s="29">
        <v>0</v>
      </c>
      <c r="D43" s="63">
        <v>81</v>
      </c>
      <c r="E43" s="38">
        <f t="shared" si="5"/>
        <v>0</v>
      </c>
      <c r="G43" s="196"/>
      <c r="H43" s="42"/>
      <c r="I43" s="43"/>
      <c r="J43" s="60"/>
      <c r="K43" s="47">
        <f t="shared" si="4"/>
        <v>0</v>
      </c>
    </row>
    <row r="44" spans="1:11" ht="15.95" thickBot="1">
      <c r="A44" s="167" t="s">
        <v>102</v>
      </c>
      <c r="B44" s="29"/>
      <c r="C44" s="29"/>
      <c r="D44" s="63"/>
      <c r="E44" s="38">
        <f t="shared" si="5"/>
        <v>0</v>
      </c>
      <c r="G44" s="196"/>
      <c r="H44" s="42"/>
      <c r="I44" s="43"/>
      <c r="J44" s="60"/>
      <c r="K44" s="47">
        <f t="shared" si="4"/>
        <v>0</v>
      </c>
    </row>
    <row r="45" spans="1:11" ht="15.95" thickBot="1">
      <c r="A45" s="167" t="s">
        <v>103</v>
      </c>
      <c r="B45" s="29"/>
      <c r="C45" s="29"/>
      <c r="D45" s="63"/>
      <c r="E45" s="38">
        <f t="shared" si="5"/>
        <v>0</v>
      </c>
      <c r="G45" s="196"/>
      <c r="H45" s="42"/>
      <c r="I45" s="43"/>
      <c r="J45" s="60"/>
      <c r="K45" s="47">
        <f t="shared" si="4"/>
        <v>0</v>
      </c>
    </row>
    <row r="46" spans="1:11" ht="15.95" thickBot="1">
      <c r="A46" s="167" t="s">
        <v>104</v>
      </c>
      <c r="B46" s="29"/>
      <c r="C46" s="29"/>
      <c r="D46" s="63"/>
      <c r="E46" s="38">
        <f t="shared" si="5"/>
        <v>0</v>
      </c>
      <c r="G46" s="196"/>
      <c r="H46" s="42"/>
      <c r="I46" s="43"/>
      <c r="J46" s="60"/>
      <c r="K46" s="47">
        <f t="shared" si="4"/>
        <v>0</v>
      </c>
    </row>
    <row r="47" spans="1:11" ht="15.95" thickBot="1">
      <c r="B47" s="29"/>
      <c r="C47" s="29"/>
      <c r="D47" s="63"/>
      <c r="E47" s="38">
        <f t="shared" si="5"/>
        <v>0</v>
      </c>
      <c r="G47" s="196"/>
      <c r="H47" s="42"/>
      <c r="I47" s="43"/>
      <c r="J47" s="60"/>
      <c r="K47" s="47">
        <f t="shared" si="4"/>
        <v>0</v>
      </c>
    </row>
    <row r="48" spans="1:11" ht="15.95" thickBot="1">
      <c r="B48" s="29"/>
      <c r="C48" s="29"/>
      <c r="D48" s="63"/>
      <c r="E48" s="38">
        <f t="shared" si="5"/>
        <v>0</v>
      </c>
      <c r="G48" s="196"/>
      <c r="H48" s="42"/>
      <c r="I48" s="43"/>
      <c r="J48" s="60"/>
      <c r="K48" s="47">
        <f t="shared" si="4"/>
        <v>0</v>
      </c>
    </row>
    <row r="49" spans="2:11" ht="15.95" thickBot="1">
      <c r="B49" s="29"/>
      <c r="C49" s="29"/>
      <c r="D49" s="63"/>
      <c r="E49" s="38">
        <f t="shared" si="5"/>
        <v>0</v>
      </c>
      <c r="G49" s="196"/>
      <c r="H49" s="42"/>
      <c r="I49" s="43"/>
      <c r="J49" s="60"/>
      <c r="K49" s="47">
        <f t="shared" si="4"/>
        <v>0</v>
      </c>
    </row>
    <row r="50" spans="2:11" ht="15.95" thickBot="1">
      <c r="B50" s="29"/>
      <c r="C50" s="29"/>
      <c r="D50" s="63"/>
      <c r="E50" s="38">
        <f t="shared" si="5"/>
        <v>0</v>
      </c>
      <c r="G50" s="196"/>
      <c r="H50" s="42"/>
      <c r="I50" s="43"/>
      <c r="J50" s="60"/>
      <c r="K50" s="47">
        <f t="shared" si="4"/>
        <v>0</v>
      </c>
    </row>
    <row r="51" spans="2:11" ht="15.95" thickBot="1">
      <c r="B51" s="29"/>
      <c r="C51" s="29"/>
      <c r="D51" s="63"/>
      <c r="E51" s="38">
        <f t="shared" si="5"/>
        <v>0</v>
      </c>
      <c r="G51" s="196"/>
      <c r="H51" s="42"/>
      <c r="I51" s="43"/>
      <c r="J51" s="60"/>
      <c r="K51" s="47">
        <f t="shared" si="4"/>
        <v>0</v>
      </c>
    </row>
    <row r="52" spans="2:11" ht="15.95" thickBot="1">
      <c r="B52" s="29"/>
      <c r="C52" s="29"/>
      <c r="D52" s="63"/>
      <c r="E52" s="38">
        <f t="shared" si="5"/>
        <v>0</v>
      </c>
      <c r="G52" s="196"/>
      <c r="H52" s="42"/>
      <c r="I52" s="43"/>
      <c r="J52" s="60"/>
      <c r="K52" s="47">
        <f t="shared" si="4"/>
        <v>0</v>
      </c>
    </row>
    <row r="53" spans="2:11" ht="15.95" thickBot="1">
      <c r="B53" s="29"/>
      <c r="C53" s="29"/>
      <c r="D53" s="63"/>
      <c r="E53" s="38">
        <f t="shared" si="5"/>
        <v>0</v>
      </c>
      <c r="G53" s="196"/>
      <c r="H53" s="42"/>
      <c r="I53" s="43"/>
      <c r="J53" s="60"/>
      <c r="K53" s="47">
        <f t="shared" si="4"/>
        <v>0</v>
      </c>
    </row>
    <row r="54" spans="2:11">
      <c r="B54" s="39"/>
      <c r="C54" s="39"/>
      <c r="D54" s="64"/>
      <c r="E54" s="40">
        <f t="shared" si="5"/>
        <v>0</v>
      </c>
      <c r="G54" s="196"/>
      <c r="H54" s="42"/>
      <c r="I54" s="43"/>
      <c r="J54" s="60"/>
      <c r="K54" s="47">
        <f t="shared" si="4"/>
        <v>0</v>
      </c>
    </row>
    <row r="55" spans="2:11" ht="15.95" thickBot="1">
      <c r="B55" s="23" t="s">
        <v>31</v>
      </c>
      <c r="C55" s="24"/>
      <c r="D55" s="24"/>
      <c r="E55" s="25">
        <f>SUM(E41:E54)</f>
        <v>560</v>
      </c>
      <c r="G55" s="44" t="s">
        <v>105</v>
      </c>
      <c r="H55" s="45"/>
      <c r="I55" s="46"/>
      <c r="J55" s="59"/>
      <c r="K55" s="47">
        <f>SUM(K38:K54)</f>
        <v>0</v>
      </c>
    </row>
  </sheetData>
  <protectedRanges>
    <protectedRange algorithmName="SHA-512" hashValue="MnnD1X83qnPh0M/91vewE1ZeXNJK8m7UcKUWJjSr+fOUbZ1pag7OW5V+FJmq/9IiZ0yS3yZcR5abK1pCpF55fQ==" saltValue="95IOv037zVLJTAJPA2QoKA==" spinCount="100000" sqref="A2:G2 I2 E4 G4 A6 C7 A10:A13 A17:A24 A29 A33:A37 C14:D22 D23 G10:J29 C29:E29 C33:D37 G35:J35 G38:J54 B41:D54" name="Fomula Cells Job Info Gen Hit1"/>
  </protectedRanges>
  <dataValidations count="14">
    <dataValidation type="whole" operator="greaterThan" allowBlank="1" showInputMessage="1" showErrorMessage="1" errorTitle="Whole Number" error="Input must be a whole number" sqref="C14:C24 B30:B31 F5:F12 A29 H2 D29:E29" xr:uid="{A0C11E64-3A60-457C-AA99-F473B9D564E5}">
      <formula1>0</formula1>
    </dataValidation>
    <dataValidation type="whole" operator="greaterThan" allowBlank="1" showInputMessage="1" showErrorMessage="1" sqref="G2 A29 E2 D29:E29" xr:uid="{279A019E-F8A0-46AC-81DC-ACDA36F59B3E}">
      <formula1>0</formula1>
    </dataValidation>
    <dataValidation type="list" allowBlank="1" showInputMessage="1" showErrorMessage="1" sqref="A6" xr:uid="{990CB1E1-89F7-4024-B7D2-FBBE3DB0B1BD}">
      <formula1>Complexity</formula1>
    </dataValidation>
    <dataValidation type="list" allowBlank="1" showInputMessage="1" showErrorMessage="1" sqref="C7" xr:uid="{81B4337F-ED3A-4EEE-8AAF-6B2DD4BB2655}">
      <formula1>Yes_No</formula1>
    </dataValidation>
    <dataValidation type="list" allowBlank="1" showInputMessage="1" showErrorMessage="1" sqref="C2" xr:uid="{3E700DD0-42B0-44BF-BCD1-981858220E52}">
      <formula1>Garment_Type</formula1>
    </dataValidation>
    <dataValidation type="list" allowBlank="1" showInputMessage="1" showErrorMessage="1" sqref="A10:A13" xr:uid="{4E928157-FD14-4CA6-A1C9-02F376DBF4DC}">
      <formula1>Equipment_List</formula1>
    </dataValidation>
    <dataValidation type="list" allowBlank="1" showInputMessage="1" showErrorMessage="1" sqref="A17:A24" xr:uid="{19EDCF5F-51FC-4633-85FC-00616BC4F5D9}">
      <formula1>Employee_List</formula1>
    </dataValidation>
    <dataValidation type="list" allowBlank="1" showInputMessage="1" showErrorMessage="1" sqref="A33:A37" xr:uid="{04237B32-829F-4270-A014-53660A38CE64}">
      <formula1>Bobbin_Color</formula1>
    </dataValidation>
    <dataValidation type="list" allowBlank="1" showInputMessage="1" showErrorMessage="1" sqref="B41:B54" xr:uid="{C7DCFBA8-FC9B-4E9B-A3E9-9BCFBF6FD6AF}">
      <formula1>Other_Material</formula1>
    </dataValidation>
    <dataValidation type="list" operator="greaterThan" allowBlank="1" showInputMessage="1" showErrorMessage="1" sqref="E4" xr:uid="{2EAE464F-D9E9-496F-AAD8-FAF522C3856E}">
      <formula1>Waste_Percentage</formula1>
    </dataValidation>
    <dataValidation type="list" allowBlank="1" showInputMessage="1" showErrorMessage="1" sqref="D2" xr:uid="{E67A9123-44D1-4A82-8DE5-6293EAAF9218}">
      <formula1>Fabric_Type</formula1>
    </dataValidation>
    <dataValidation type="list" allowBlank="1" showInputMessage="1" showErrorMessage="1" sqref="H35" xr:uid="{DE621EBB-1410-4D8C-98A4-0E22D3557D1E}">
      <formula1>Thread_Weight</formula1>
    </dataValidation>
    <dataValidation operator="greaterThan" allowBlank="1" showInputMessage="1" showErrorMessage="1" sqref="F2 C29" xr:uid="{75924A67-B3A5-4FA8-A8A5-D19434004476}"/>
    <dataValidation operator="greaterThan" allowBlank="1" showInputMessage="1" showErrorMessage="1" errorTitle="Whole Number" error="Input must be a whole number" sqref="A1:XFD1 C29" xr:uid="{30D7C258-46A8-42EC-BCAE-7E621A9E69CF}"/>
  </dataValidations>
  <pageMargins left="0.7" right="0.7" top="0.75" bottom="0.75" header="0.3" footer="0.3"/>
  <pageSetup scale="5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751B24-C567-48A6-B1F7-987FAB48F96A}">
          <x14:formula1>
            <xm:f>'Drop Down Tables'!$C$2:$C$19</xm:f>
          </x14:formula1>
          <xm:sqref>C39 H36 H10:H29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D6C1-29BE-4897-8C72-E0B359ADB86E}">
  <sheetPr>
    <pageSetUpPr fitToPage="1"/>
  </sheetPr>
  <dimension ref="A1:W41"/>
  <sheetViews>
    <sheetView workbookViewId="0">
      <selection activeCell="C20" sqref="C20"/>
    </sheetView>
  </sheetViews>
  <sheetFormatPr defaultColWidth="8.85546875" defaultRowHeight="15"/>
  <cols>
    <col min="1" max="1" width="21.85546875" style="80" customWidth="1"/>
    <col min="2" max="2" width="13" style="80" customWidth="1"/>
    <col min="3" max="4" width="8.85546875" style="80"/>
    <col min="5" max="5" width="10.85546875" style="80" customWidth="1"/>
    <col min="6" max="6" width="1.42578125" style="80" customWidth="1"/>
    <col min="7" max="7" width="11.85546875" style="80" customWidth="1"/>
    <col min="8" max="9" width="8.85546875" style="80"/>
    <col min="10" max="10" width="11.7109375" style="80" customWidth="1"/>
    <col min="11" max="11" width="1.85546875" style="80" customWidth="1"/>
    <col min="12" max="12" width="12.140625" style="80" customWidth="1"/>
    <col min="13" max="13" width="8.85546875" style="80"/>
    <col min="14" max="14" width="13" style="80" customWidth="1"/>
    <col min="15" max="15" width="1.85546875" style="80" customWidth="1"/>
    <col min="16" max="16" width="8.85546875" style="86"/>
    <col min="17" max="16384" width="8.85546875" style="80"/>
  </cols>
  <sheetData>
    <row r="1" spans="1:23" ht="15.95" thickBot="1"/>
    <row r="2" spans="1:23">
      <c r="A2" s="155" t="s">
        <v>106</v>
      </c>
      <c r="B2" s="158" t="s">
        <v>107</v>
      </c>
      <c r="C2" s="140"/>
      <c r="D2" s="140"/>
      <c r="E2" s="140"/>
      <c r="F2" s="140"/>
      <c r="G2" s="158" t="s">
        <v>108</v>
      </c>
      <c r="H2" s="140"/>
      <c r="I2" s="140"/>
      <c r="J2" s="140"/>
      <c r="K2" s="140"/>
      <c r="L2" s="158" t="s">
        <v>109</v>
      </c>
      <c r="M2" s="140"/>
      <c r="N2" s="140"/>
      <c r="O2" s="141"/>
      <c r="P2" s="159" t="s">
        <v>110</v>
      </c>
      <c r="Q2" s="141"/>
      <c r="R2" s="142"/>
    </row>
    <row r="3" spans="1:23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P3" s="145" t="s">
        <v>111</v>
      </c>
      <c r="R3" s="146"/>
    </row>
    <row r="4" spans="1:23">
      <c r="A4" s="147"/>
      <c r="B4" s="148" t="s">
        <v>112</v>
      </c>
      <c r="C4" s="148" t="s">
        <v>113</v>
      </c>
      <c r="D4" s="148" t="s">
        <v>114</v>
      </c>
      <c r="E4" s="148" t="s">
        <v>115</v>
      </c>
      <c r="F4" s="148"/>
      <c r="G4" s="148" t="s">
        <v>116</v>
      </c>
      <c r="H4" s="148" t="s">
        <v>113</v>
      </c>
      <c r="I4" s="148" t="s">
        <v>114</v>
      </c>
      <c r="J4" s="148" t="s">
        <v>115</v>
      </c>
      <c r="K4" s="148"/>
      <c r="L4" s="148" t="s">
        <v>117</v>
      </c>
      <c r="M4" s="148" t="s">
        <v>114</v>
      </c>
      <c r="N4" s="148" t="s">
        <v>115</v>
      </c>
      <c r="O4" s="148"/>
      <c r="P4" s="149" t="s">
        <v>118</v>
      </c>
      <c r="R4" s="146"/>
    </row>
    <row r="5" spans="1:23">
      <c r="A5" s="160" t="s">
        <v>119</v>
      </c>
      <c r="B5" s="81" t="s">
        <v>120</v>
      </c>
      <c r="C5" s="81">
        <v>0</v>
      </c>
      <c r="D5" s="135">
        <f>LOOKUP(B5,'Labor Costs'!$A$2:$B$25,'Labor Costs'!$B$2:$B$25)</f>
        <v>50</v>
      </c>
      <c r="E5" s="135">
        <f>C5*D5</f>
        <v>0</v>
      </c>
      <c r="G5" s="81" t="s">
        <v>121</v>
      </c>
      <c r="H5" s="135">
        <v>0</v>
      </c>
      <c r="I5" s="135">
        <f>LOOKUP(G5,Equipment_Table,[0]!Equipment_Hourly_Cost)</f>
        <v>0</v>
      </c>
      <c r="J5" s="135">
        <f>H5*I5</f>
        <v>0</v>
      </c>
      <c r="L5" s="81">
        <f t="shared" ref="L5:L9" si="0">$C5</f>
        <v>0</v>
      </c>
      <c r="M5" s="135">
        <f>'Building Costs'!$F$22</f>
        <v>11.345714285714285</v>
      </c>
      <c r="N5" s="135">
        <f>L5*M5</f>
        <v>0</v>
      </c>
      <c r="R5" s="146"/>
    </row>
    <row r="6" spans="1:23">
      <c r="A6" s="160" t="s">
        <v>122</v>
      </c>
      <c r="B6" s="81" t="s">
        <v>123</v>
      </c>
      <c r="C6" s="81">
        <v>4</v>
      </c>
      <c r="D6" s="135">
        <f>LOOKUP(B6,'Labor Costs'!$A$2:$B$25,'Labor Costs'!$B$2:$B$25)</f>
        <v>42</v>
      </c>
      <c r="E6" s="135">
        <f>C6*D6</f>
        <v>168</v>
      </c>
      <c r="G6" s="81" t="s">
        <v>121</v>
      </c>
      <c r="H6" s="135">
        <v>0</v>
      </c>
      <c r="I6" s="135">
        <f>LOOKUP(G6,Equipment_Table,[0]!Equipment_Hourly_Cost)</f>
        <v>0</v>
      </c>
      <c r="J6" s="135">
        <f>H6*I6</f>
        <v>0</v>
      </c>
      <c r="L6" s="81">
        <f t="shared" si="0"/>
        <v>4</v>
      </c>
      <c r="M6" s="135">
        <f>'Building Costs'!$F$22</f>
        <v>11.345714285714285</v>
      </c>
      <c r="N6" s="135">
        <f>L6*M6</f>
        <v>45.382857142857141</v>
      </c>
      <c r="R6" s="146"/>
    </row>
    <row r="7" spans="1:23">
      <c r="A7" s="160" t="s">
        <v>124</v>
      </c>
      <c r="B7" s="81" t="s">
        <v>73</v>
      </c>
      <c r="C7" s="81">
        <v>0.5</v>
      </c>
      <c r="D7" s="135">
        <f>LOOKUP(B7,'Labor Costs'!$A$2:$B$25,'Labor Costs'!$B$2:$B$25)</f>
        <v>40</v>
      </c>
      <c r="E7" s="135">
        <f t="shared" ref="E7:E9" si="1">C7*D7</f>
        <v>20</v>
      </c>
      <c r="G7" s="81" t="s">
        <v>121</v>
      </c>
      <c r="H7" s="81">
        <f t="shared" ref="H7:H9" si="2">$C7</f>
        <v>0.5</v>
      </c>
      <c r="I7" s="135">
        <f>LOOKUP(G7,Equipment_Table,[0]!Equipment_Hourly_Cost)</f>
        <v>0</v>
      </c>
      <c r="J7" s="135">
        <f t="shared" ref="J7:J9" si="3">H7*I7</f>
        <v>0</v>
      </c>
      <c r="L7" s="81">
        <f t="shared" si="0"/>
        <v>0.5</v>
      </c>
      <c r="M7" s="135">
        <f>'Building Costs'!$F$22</f>
        <v>11.345714285714285</v>
      </c>
      <c r="N7" s="135">
        <f t="shared" ref="N7:N9" si="4">L7*M7</f>
        <v>5.6728571428571426</v>
      </c>
      <c r="R7" s="146"/>
    </row>
    <row r="8" spans="1:23">
      <c r="A8" s="160" t="s">
        <v>125</v>
      </c>
      <c r="B8" s="81" t="s">
        <v>73</v>
      </c>
      <c r="C8" s="81">
        <v>0.5</v>
      </c>
      <c r="D8" s="135">
        <f>LOOKUP(B8,'Labor Costs'!$A$2:$B$25,'Labor Costs'!$B$2:$B$25)</f>
        <v>40</v>
      </c>
      <c r="E8" s="135">
        <f t="shared" si="1"/>
        <v>20</v>
      </c>
      <c r="G8" s="81" t="s">
        <v>54</v>
      </c>
      <c r="H8" s="81">
        <f t="shared" si="2"/>
        <v>0.5</v>
      </c>
      <c r="I8" s="135">
        <f>LOOKUP(G8,Equipment_Table,[0]!Equipment_Hourly_Cost)</f>
        <v>12.650152532372379</v>
      </c>
      <c r="J8" s="135">
        <f t="shared" si="3"/>
        <v>6.3250762661861897</v>
      </c>
      <c r="L8" s="81">
        <f>H8</f>
        <v>0.5</v>
      </c>
      <c r="M8" s="135">
        <f>'Building Costs'!$F$22</f>
        <v>11.345714285714285</v>
      </c>
      <c r="N8" s="135">
        <f t="shared" si="4"/>
        <v>5.6728571428571426</v>
      </c>
      <c r="R8" s="146"/>
      <c r="W8" s="80" t="s">
        <v>126</v>
      </c>
    </row>
    <row r="9" spans="1:23">
      <c r="A9" s="160" t="s">
        <v>127</v>
      </c>
      <c r="B9" s="81" t="s">
        <v>73</v>
      </c>
      <c r="C9" s="81">
        <v>1.5</v>
      </c>
      <c r="D9" s="135">
        <f>LOOKUP(B9,'Labor Costs'!$A$2:$B$25,'Labor Costs'!$B$2:$B$25)</f>
        <v>40</v>
      </c>
      <c r="E9" s="135">
        <f t="shared" si="1"/>
        <v>60</v>
      </c>
      <c r="G9" s="81" t="s">
        <v>54</v>
      </c>
      <c r="H9" s="81">
        <f t="shared" si="2"/>
        <v>1.5</v>
      </c>
      <c r="I9" s="135">
        <f>LOOKUP(G9,Equipment_Table,[0]!Equipment_Hourly_Cost)</f>
        <v>12.650152532372379</v>
      </c>
      <c r="J9" s="135">
        <f t="shared" si="3"/>
        <v>18.975228798558568</v>
      </c>
      <c r="L9" s="81">
        <f t="shared" si="0"/>
        <v>1.5</v>
      </c>
      <c r="M9" s="135">
        <f>'Building Costs'!$F$22</f>
        <v>11.345714285714285</v>
      </c>
      <c r="N9" s="135">
        <f t="shared" si="4"/>
        <v>17.018571428571427</v>
      </c>
      <c r="R9" s="146"/>
    </row>
    <row r="10" spans="1:23">
      <c r="A10" s="150"/>
      <c r="R10" s="146"/>
    </row>
    <row r="11" spans="1:23" ht="15.95" thickBot="1">
      <c r="A11" s="156" t="s">
        <v>1</v>
      </c>
      <c r="B11" s="154"/>
      <c r="C11" s="210">
        <f>SUM(C5:C10)</f>
        <v>6.5</v>
      </c>
      <c r="D11" s="154"/>
      <c r="E11" s="209">
        <f>SUM(E5:E10)</f>
        <v>268</v>
      </c>
      <c r="F11" s="154"/>
      <c r="G11" s="154"/>
      <c r="H11" s="157">
        <f>SUM(H5:H10)</f>
        <v>2.5</v>
      </c>
      <c r="I11" s="154"/>
      <c r="J11" s="209">
        <f>SUM(J5:J10)</f>
        <v>25.300305064744759</v>
      </c>
      <c r="K11" s="154"/>
      <c r="L11" s="157">
        <f>SUM(L5:L10)</f>
        <v>6.5</v>
      </c>
      <c r="M11" s="154"/>
      <c r="N11" s="209">
        <f>SUM(N5:N10)</f>
        <v>73.747142857142848</v>
      </c>
      <c r="O11" s="151"/>
      <c r="P11" s="152"/>
      <c r="Q11" s="151"/>
      <c r="R11" s="153"/>
    </row>
    <row r="13" spans="1:23" ht="15.95" thickBot="1"/>
    <row r="14" spans="1:23">
      <c r="A14" s="155" t="s">
        <v>128</v>
      </c>
      <c r="B14" s="158" t="s">
        <v>107</v>
      </c>
      <c r="C14" s="140"/>
      <c r="D14" s="140"/>
      <c r="E14" s="140"/>
      <c r="F14" s="140"/>
      <c r="G14" s="158" t="s">
        <v>108</v>
      </c>
      <c r="H14" s="140"/>
      <c r="I14" s="140"/>
      <c r="J14" s="140"/>
      <c r="K14" s="140"/>
      <c r="L14" s="158" t="s">
        <v>109</v>
      </c>
      <c r="M14" s="140"/>
      <c r="N14" s="140"/>
      <c r="O14" s="141"/>
      <c r="P14" s="159" t="s">
        <v>110</v>
      </c>
      <c r="Q14" s="141"/>
      <c r="R14" s="142"/>
    </row>
    <row r="15" spans="1:23">
      <c r="A15" s="143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P15" s="145" t="s">
        <v>111</v>
      </c>
      <c r="R15" s="146"/>
    </row>
    <row r="16" spans="1:23">
      <c r="A16" s="147"/>
      <c r="B16" s="148" t="s">
        <v>112</v>
      </c>
      <c r="C16" s="148" t="s">
        <v>113</v>
      </c>
      <c r="D16" s="148" t="s">
        <v>114</v>
      </c>
      <c r="E16" s="148" t="s">
        <v>115</v>
      </c>
      <c r="F16" s="148"/>
      <c r="G16" s="148" t="s">
        <v>116</v>
      </c>
      <c r="H16" s="148" t="s">
        <v>113</v>
      </c>
      <c r="I16" s="148" t="s">
        <v>114</v>
      </c>
      <c r="J16" s="148" t="s">
        <v>115</v>
      </c>
      <c r="K16" s="148"/>
      <c r="L16" s="148" t="s">
        <v>117</v>
      </c>
      <c r="M16" s="148" t="s">
        <v>114</v>
      </c>
      <c r="N16" s="148" t="s">
        <v>115</v>
      </c>
      <c r="O16" s="148"/>
      <c r="P16" s="149" t="s">
        <v>118</v>
      </c>
      <c r="R16" s="146"/>
    </row>
    <row r="17" spans="1:18">
      <c r="A17" s="160" t="s">
        <v>129</v>
      </c>
      <c r="B17" s="81" t="s">
        <v>73</v>
      </c>
      <c r="C17" s="135">
        <v>1</v>
      </c>
      <c r="D17" s="135">
        <f>LOOKUP(B17,'Labor Costs'!$A$2:$B$25,'Labor Costs'!$B$2:$B$25)</f>
        <v>40</v>
      </c>
      <c r="E17" s="135">
        <f t="shared" ref="E17:E20" si="5">C17*D17</f>
        <v>40</v>
      </c>
      <c r="G17" s="81" t="s">
        <v>54</v>
      </c>
      <c r="H17" s="135">
        <f>C17</f>
        <v>1</v>
      </c>
      <c r="I17" s="135">
        <f>LOOKUP(G17,Equipment_Table,[0]!Equipment_Hourly_Cost)</f>
        <v>12.650152532372379</v>
      </c>
      <c r="J17" s="135">
        <f t="shared" ref="J17:J20" si="6">H17*I17</f>
        <v>12.650152532372379</v>
      </c>
      <c r="L17" s="135">
        <f>C17</f>
        <v>1</v>
      </c>
      <c r="M17" s="135">
        <f>'Building Costs'!$F$22</f>
        <v>11.345714285714285</v>
      </c>
      <c r="N17" s="135">
        <f t="shared" ref="N17:N20" si="7">L17*M17</f>
        <v>11.345714285714285</v>
      </c>
      <c r="R17" s="146"/>
    </row>
    <row r="18" spans="1:18">
      <c r="A18" s="160" t="s">
        <v>130</v>
      </c>
      <c r="B18" s="81" t="s">
        <v>121</v>
      </c>
      <c r="C18" s="135">
        <v>3</v>
      </c>
      <c r="D18" s="135">
        <f>LOOKUP(B18,'Labor Costs'!$A$2:$B$25,'Labor Costs'!$B$2:$B$25)</f>
        <v>0</v>
      </c>
      <c r="E18" s="135">
        <f t="shared" si="5"/>
        <v>0</v>
      </c>
      <c r="G18" s="81" t="s">
        <v>121</v>
      </c>
      <c r="H18" s="135">
        <v>0</v>
      </c>
      <c r="I18" s="135">
        <f>LOOKUP(G18,Equipment_Table,[0]!Equipment_Hourly_Cost)</f>
        <v>0</v>
      </c>
      <c r="J18" s="135">
        <f t="shared" si="6"/>
        <v>0</v>
      </c>
      <c r="L18" s="135">
        <v>0</v>
      </c>
      <c r="M18" s="135">
        <f>'Building Costs'!$F$22</f>
        <v>11.345714285714285</v>
      </c>
      <c r="N18" s="135">
        <f t="shared" si="7"/>
        <v>0</v>
      </c>
      <c r="R18" s="146"/>
    </row>
    <row r="19" spans="1:18">
      <c r="A19" s="160" t="s">
        <v>131</v>
      </c>
      <c r="B19" s="81" t="s">
        <v>73</v>
      </c>
      <c r="C19" s="135">
        <v>111</v>
      </c>
      <c r="D19" s="135">
        <f>LOOKUP(B19,'Labor Costs'!$A$2:$B$25,'Labor Costs'!$B$2:$B$25)</f>
        <v>40</v>
      </c>
      <c r="E19" s="135">
        <f t="shared" si="5"/>
        <v>4440</v>
      </c>
      <c r="G19" s="81" t="s">
        <v>54</v>
      </c>
      <c r="H19" s="81">
        <f t="shared" ref="H19:H20" si="8">$C19</f>
        <v>111</v>
      </c>
      <c r="I19" s="135">
        <f>LOOKUP(G19,Equipment_Table,[0]!Equipment_Hourly_Cost)</f>
        <v>12.650152532372379</v>
      </c>
      <c r="J19" s="135">
        <f t="shared" si="6"/>
        <v>1404.1669310933341</v>
      </c>
      <c r="L19" s="81">
        <f t="shared" ref="L19:L20" si="9">$C19</f>
        <v>111</v>
      </c>
      <c r="M19" s="135">
        <f>'Building Costs'!$F$22</f>
        <v>11.345714285714285</v>
      </c>
      <c r="N19" s="135">
        <f t="shared" si="7"/>
        <v>1259.3742857142856</v>
      </c>
      <c r="R19" s="146"/>
    </row>
    <row r="20" spans="1:18">
      <c r="A20" s="160" t="s">
        <v>132</v>
      </c>
      <c r="B20" s="81" t="s">
        <v>73</v>
      </c>
      <c r="C20" s="135">
        <v>66</v>
      </c>
      <c r="D20" s="135">
        <f>LOOKUP(B20,'Labor Costs'!$A$2:$B$25,'Labor Costs'!$B$2:$B$25)</f>
        <v>40</v>
      </c>
      <c r="E20" s="135">
        <f t="shared" si="5"/>
        <v>2640</v>
      </c>
      <c r="G20" s="81" t="s">
        <v>54</v>
      </c>
      <c r="H20" s="81">
        <f t="shared" si="8"/>
        <v>66</v>
      </c>
      <c r="I20" s="135">
        <f>LOOKUP(G20,Equipment_Table,[0]!Equipment_Hourly_Cost)</f>
        <v>12.650152532372379</v>
      </c>
      <c r="J20" s="135">
        <f t="shared" si="6"/>
        <v>834.91006713657703</v>
      </c>
      <c r="L20" s="81">
        <f t="shared" si="9"/>
        <v>66</v>
      </c>
      <c r="M20" s="135">
        <f>'Building Costs'!$F$22</f>
        <v>11.345714285714285</v>
      </c>
      <c r="N20" s="135">
        <f t="shared" si="7"/>
        <v>748.81714285714281</v>
      </c>
      <c r="R20" s="146"/>
    </row>
    <row r="21" spans="1:18" ht="15.95" thickBot="1">
      <c r="A21" s="156" t="s">
        <v>1</v>
      </c>
      <c r="B21" s="154"/>
      <c r="C21" s="157">
        <f>SUM(C17:C20)</f>
        <v>181</v>
      </c>
      <c r="D21" s="154"/>
      <c r="E21" s="209">
        <f>SUM(E17:E20)</f>
        <v>7120</v>
      </c>
      <c r="F21" s="154"/>
      <c r="G21" s="154"/>
      <c r="H21" s="157">
        <f>SUM(H17:H20)</f>
        <v>178</v>
      </c>
      <c r="I21" s="154"/>
      <c r="J21" s="209">
        <f>SUM(J17:J20)</f>
        <v>2251.7271507622836</v>
      </c>
      <c r="K21" s="154"/>
      <c r="L21" s="157">
        <f>SUM(L17:L20)</f>
        <v>178</v>
      </c>
      <c r="M21" s="154"/>
      <c r="N21" s="209">
        <f>SUM(N17:N20)</f>
        <v>2019.537142857143</v>
      </c>
      <c r="O21" s="151"/>
      <c r="P21" s="152"/>
      <c r="Q21" s="151"/>
      <c r="R21" s="153"/>
    </row>
    <row r="23" spans="1:18" ht="15.95" thickBot="1"/>
    <row r="24" spans="1:18">
      <c r="A24" s="155" t="s">
        <v>23</v>
      </c>
      <c r="B24" s="158" t="s">
        <v>107</v>
      </c>
      <c r="C24" s="140"/>
      <c r="D24" s="140"/>
      <c r="E24" s="140"/>
      <c r="F24" s="140"/>
      <c r="G24" s="158" t="s">
        <v>108</v>
      </c>
      <c r="H24" s="140"/>
      <c r="I24" s="140"/>
      <c r="J24" s="140"/>
      <c r="K24" s="140"/>
      <c r="L24" s="158" t="s">
        <v>109</v>
      </c>
      <c r="M24" s="140"/>
      <c r="N24" s="140"/>
      <c r="O24" s="141"/>
      <c r="P24" s="159" t="s">
        <v>110</v>
      </c>
      <c r="Q24" s="141"/>
      <c r="R24" s="142"/>
    </row>
    <row r="25" spans="1:18">
      <c r="A25" s="143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P25" s="145" t="s">
        <v>111</v>
      </c>
      <c r="R25" s="146"/>
    </row>
    <row r="26" spans="1:18">
      <c r="A26" s="147"/>
      <c r="B26" s="148" t="s">
        <v>112</v>
      </c>
      <c r="C26" s="148" t="s">
        <v>113</v>
      </c>
      <c r="D26" s="148" t="s">
        <v>114</v>
      </c>
      <c r="E26" s="148" t="s">
        <v>115</v>
      </c>
      <c r="F26" s="148"/>
      <c r="G26" s="148" t="s">
        <v>116</v>
      </c>
      <c r="H26" s="148" t="s">
        <v>113</v>
      </c>
      <c r="I26" s="148" t="s">
        <v>114</v>
      </c>
      <c r="J26" s="148" t="s">
        <v>115</v>
      </c>
      <c r="K26" s="148"/>
      <c r="L26" s="148" t="s">
        <v>117</v>
      </c>
      <c r="M26" s="148" t="s">
        <v>114</v>
      </c>
      <c r="N26" s="148" t="s">
        <v>115</v>
      </c>
      <c r="O26" s="148"/>
      <c r="P26" s="149" t="s">
        <v>118</v>
      </c>
      <c r="R26" s="146"/>
    </row>
    <row r="27" spans="1:18">
      <c r="A27" s="160" t="s">
        <v>133</v>
      </c>
      <c r="B27" s="81" t="s">
        <v>73</v>
      </c>
      <c r="C27" s="81">
        <v>8</v>
      </c>
      <c r="D27" s="135">
        <f>LOOKUP(B27,'Labor Costs'!$A$2:$B$25,'Labor Costs'!$B$2:$B$25)</f>
        <v>40</v>
      </c>
      <c r="E27" s="135">
        <f t="shared" ref="E27:E30" si="10">C27*D27</f>
        <v>320</v>
      </c>
      <c r="G27" s="81" t="s">
        <v>121</v>
      </c>
      <c r="H27" s="81">
        <f t="shared" ref="H27:H30" si="11">$C27</f>
        <v>8</v>
      </c>
      <c r="I27" s="135">
        <f>LOOKUP(G27,Equipment_Table,[0]!Equipment_Hourly_Cost)</f>
        <v>0</v>
      </c>
      <c r="J27" s="135">
        <f t="shared" ref="J27:J30" si="12">H27*I27</f>
        <v>0</v>
      </c>
      <c r="L27" s="81">
        <f t="shared" ref="L27:L30" si="13">$C27</f>
        <v>8</v>
      </c>
      <c r="M27" s="135">
        <f>'Building Costs'!$F$22</f>
        <v>11.345714285714285</v>
      </c>
      <c r="N27" s="135">
        <f t="shared" ref="N27:N30" si="14">L27*M27</f>
        <v>90.765714285714282</v>
      </c>
      <c r="R27" s="146"/>
    </row>
    <row r="28" spans="1:18">
      <c r="A28" s="160" t="s">
        <v>134</v>
      </c>
      <c r="B28" s="81" t="s">
        <v>73</v>
      </c>
      <c r="C28" s="81">
        <v>13</v>
      </c>
      <c r="D28" s="135">
        <f>LOOKUP(B28,'Labor Costs'!$A$2:$B$25,'Labor Costs'!$B$2:$B$25)</f>
        <v>40</v>
      </c>
      <c r="E28" s="135">
        <f t="shared" si="10"/>
        <v>520</v>
      </c>
      <c r="G28" s="81" t="s">
        <v>121</v>
      </c>
      <c r="H28" s="81">
        <f t="shared" si="11"/>
        <v>13</v>
      </c>
      <c r="I28" s="135">
        <f>LOOKUP(G28,Equipment_Table,[0]!Equipment_Hourly_Cost)</f>
        <v>0</v>
      </c>
      <c r="J28" s="135">
        <f t="shared" si="12"/>
        <v>0</v>
      </c>
      <c r="L28" s="81">
        <f>C28</f>
        <v>13</v>
      </c>
      <c r="M28" s="135">
        <f>'Building Costs'!$F$22</f>
        <v>11.345714285714285</v>
      </c>
      <c r="N28" s="135">
        <f t="shared" si="14"/>
        <v>147.4942857142857</v>
      </c>
      <c r="R28" s="146"/>
    </row>
    <row r="29" spans="1:18">
      <c r="A29" s="160" t="s">
        <v>135</v>
      </c>
      <c r="B29" s="81" t="s">
        <v>121</v>
      </c>
      <c r="C29" s="81">
        <v>13</v>
      </c>
      <c r="D29" s="135">
        <f>LOOKUP(B29,'Labor Costs'!$A$2:$B$25,'Labor Costs'!$B$2:$B$25)</f>
        <v>0</v>
      </c>
      <c r="E29" s="135">
        <f t="shared" si="10"/>
        <v>0</v>
      </c>
      <c r="G29" s="81" t="s">
        <v>136</v>
      </c>
      <c r="H29" s="81">
        <f t="shared" si="11"/>
        <v>13</v>
      </c>
      <c r="I29" s="135">
        <f>LOOKUP(G29,Equipment_Table,[0]!Equipment_Hourly_Cost)</f>
        <v>14.620000000000001</v>
      </c>
      <c r="J29" s="135">
        <f t="shared" si="12"/>
        <v>190.06</v>
      </c>
      <c r="L29" s="81">
        <f t="shared" si="13"/>
        <v>13</v>
      </c>
      <c r="M29" s="135">
        <f>'Building Costs'!$F$22</f>
        <v>11.345714285714285</v>
      </c>
      <c r="N29" s="135">
        <f t="shared" si="14"/>
        <v>147.4942857142857</v>
      </c>
      <c r="R29" s="146"/>
    </row>
    <row r="30" spans="1:18">
      <c r="A30" s="160" t="s">
        <v>17</v>
      </c>
      <c r="B30" s="81" t="s">
        <v>121</v>
      </c>
      <c r="C30" s="81"/>
      <c r="D30" s="135">
        <f>LOOKUP(B30,'Labor Costs'!$A$2:$B$25,'Labor Costs'!$B$2:$B$25)</f>
        <v>0</v>
      </c>
      <c r="E30" s="135">
        <f t="shared" si="10"/>
        <v>0</v>
      </c>
      <c r="G30" s="81" t="s">
        <v>121</v>
      </c>
      <c r="H30" s="81">
        <f t="shared" si="11"/>
        <v>0</v>
      </c>
      <c r="I30" s="135">
        <f>LOOKUP(G30,Equipment_Table,[0]!Equipment_Hourly_Cost)</f>
        <v>0</v>
      </c>
      <c r="J30" s="135">
        <f t="shared" si="12"/>
        <v>0</v>
      </c>
      <c r="L30" s="81">
        <f t="shared" si="13"/>
        <v>0</v>
      </c>
      <c r="M30" s="135">
        <f>'Building Costs'!$F$22</f>
        <v>11.345714285714285</v>
      </c>
      <c r="N30" s="135">
        <f t="shared" si="14"/>
        <v>0</v>
      </c>
      <c r="R30" s="146"/>
    </row>
    <row r="31" spans="1:18" ht="15.95" thickBot="1">
      <c r="A31" s="156" t="s">
        <v>1</v>
      </c>
      <c r="B31" s="154"/>
      <c r="C31" s="157">
        <f>SUM(C27:C30)</f>
        <v>34</v>
      </c>
      <c r="D31" s="154"/>
      <c r="E31" s="209">
        <f>SUM(E27:E30)</f>
        <v>840</v>
      </c>
      <c r="F31" s="154"/>
      <c r="G31" s="154"/>
      <c r="H31" s="157">
        <f>SUM(H27:H30)</f>
        <v>34</v>
      </c>
      <c r="I31" s="154"/>
      <c r="J31" s="209">
        <f>SUM(J27:J30)</f>
        <v>190.06</v>
      </c>
      <c r="K31" s="154"/>
      <c r="L31" s="157">
        <f>SUM(L27:L30)</f>
        <v>34</v>
      </c>
      <c r="M31" s="154"/>
      <c r="N31" s="209">
        <f>SUM(N27:N30)</f>
        <v>385.75428571428569</v>
      </c>
      <c r="O31" s="151"/>
      <c r="P31" s="152"/>
      <c r="Q31" s="151"/>
      <c r="R31" s="153"/>
    </row>
    <row r="33" spans="1:18" ht="15.95" thickBot="1"/>
    <row r="34" spans="1:18">
      <c r="A34" s="155" t="s">
        <v>24</v>
      </c>
      <c r="B34" s="158" t="s">
        <v>107</v>
      </c>
      <c r="C34" s="140"/>
      <c r="D34" s="140"/>
      <c r="E34" s="140"/>
      <c r="F34" s="140"/>
      <c r="G34" s="158" t="s">
        <v>108</v>
      </c>
      <c r="H34" s="140"/>
      <c r="I34" s="140"/>
      <c r="J34" s="140"/>
      <c r="K34" s="140"/>
      <c r="L34" s="158" t="s">
        <v>109</v>
      </c>
      <c r="M34" s="140"/>
      <c r="N34" s="140"/>
      <c r="O34" s="141"/>
      <c r="P34" s="159" t="s">
        <v>110</v>
      </c>
      <c r="Q34" s="141"/>
      <c r="R34" s="142"/>
    </row>
    <row r="35" spans="1:18">
      <c r="A35" s="143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P35" s="145" t="s">
        <v>111</v>
      </c>
      <c r="R35" s="146"/>
    </row>
    <row r="36" spans="1:18">
      <c r="A36" s="147"/>
      <c r="B36" s="148" t="s">
        <v>112</v>
      </c>
      <c r="C36" s="148" t="s">
        <v>113</v>
      </c>
      <c r="D36" s="148" t="s">
        <v>114</v>
      </c>
      <c r="E36" s="148" t="s">
        <v>115</v>
      </c>
      <c r="F36" s="148"/>
      <c r="G36" s="148" t="s">
        <v>116</v>
      </c>
      <c r="H36" s="148" t="s">
        <v>113</v>
      </c>
      <c r="I36" s="148" t="s">
        <v>114</v>
      </c>
      <c r="J36" s="148" t="s">
        <v>115</v>
      </c>
      <c r="K36" s="148"/>
      <c r="L36" s="148" t="s">
        <v>117</v>
      </c>
      <c r="M36" s="148" t="s">
        <v>114</v>
      </c>
      <c r="N36" s="148" t="s">
        <v>115</v>
      </c>
      <c r="O36" s="148"/>
      <c r="P36" s="149" t="s">
        <v>118</v>
      </c>
      <c r="R36" s="146"/>
    </row>
    <row r="37" spans="1:18">
      <c r="A37" s="160" t="s">
        <v>24</v>
      </c>
      <c r="B37" s="81" t="s">
        <v>137</v>
      </c>
      <c r="C37" s="81">
        <v>0</v>
      </c>
      <c r="D37" s="135">
        <f>LOOKUP(B37,'Labor Costs'!$A$2:$B$25,'Labor Costs'!$B$2:$B$25)</f>
        <v>36</v>
      </c>
      <c r="E37" s="135">
        <f t="shared" ref="E37:E39" si="15">C37*D37</f>
        <v>0</v>
      </c>
      <c r="G37" s="81" t="s">
        <v>121</v>
      </c>
      <c r="H37" s="81">
        <f t="shared" ref="H37:H39" si="16">$C37</f>
        <v>0</v>
      </c>
      <c r="I37" s="135">
        <f>LOOKUP(G37,Equipment_Table,[0]!Equipment_Hourly_Cost)</f>
        <v>0</v>
      </c>
      <c r="J37" s="135">
        <f t="shared" ref="J37:J39" si="17">H37*I37</f>
        <v>0</v>
      </c>
      <c r="L37" s="81">
        <f t="shared" ref="L37:L39" si="18">$C37</f>
        <v>0</v>
      </c>
      <c r="M37" s="135">
        <f>'Building Costs'!$F$22</f>
        <v>11.345714285714285</v>
      </c>
      <c r="N37" s="135">
        <f t="shared" ref="N37:N39" si="19">L37*M37</f>
        <v>0</v>
      </c>
      <c r="R37" s="146"/>
    </row>
    <row r="38" spans="1:18">
      <c r="A38" s="160" t="s">
        <v>17</v>
      </c>
      <c r="B38" s="81" t="s">
        <v>121</v>
      </c>
      <c r="C38" s="81"/>
      <c r="D38" s="135">
        <f>LOOKUP(B38,'Labor Costs'!$A$2:$B$25,'Labor Costs'!$B$2:$B$25)</f>
        <v>0</v>
      </c>
      <c r="E38" s="135">
        <f t="shared" si="15"/>
        <v>0</v>
      </c>
      <c r="G38" s="81" t="s">
        <v>121</v>
      </c>
      <c r="H38" s="81">
        <f t="shared" si="16"/>
        <v>0</v>
      </c>
      <c r="I38" s="135">
        <f>LOOKUP(G38,Equipment_Table,[0]!Equipment_Hourly_Cost)</f>
        <v>0</v>
      </c>
      <c r="J38" s="135">
        <f t="shared" si="17"/>
        <v>0</v>
      </c>
      <c r="L38" s="81">
        <f t="shared" si="18"/>
        <v>0</v>
      </c>
      <c r="M38" s="135">
        <f>'Building Costs'!$F$22</f>
        <v>11.345714285714285</v>
      </c>
      <c r="N38" s="135">
        <f t="shared" si="19"/>
        <v>0</v>
      </c>
      <c r="R38" s="146"/>
    </row>
    <row r="39" spans="1:18">
      <c r="A39" s="160" t="s">
        <v>17</v>
      </c>
      <c r="B39" s="81" t="s">
        <v>121</v>
      </c>
      <c r="C39" s="81"/>
      <c r="D39" s="135">
        <f>LOOKUP(B39,'Labor Costs'!$A$2:$B$25,'Labor Costs'!$B$2:$B$25)</f>
        <v>0</v>
      </c>
      <c r="E39" s="135">
        <f t="shared" si="15"/>
        <v>0</v>
      </c>
      <c r="G39" s="81" t="s">
        <v>121</v>
      </c>
      <c r="H39" s="81">
        <f t="shared" si="16"/>
        <v>0</v>
      </c>
      <c r="I39" s="135">
        <f>LOOKUP(G39,Equipment_Table,[0]!Equipment_Hourly_Cost)</f>
        <v>0</v>
      </c>
      <c r="J39" s="135">
        <f t="shared" si="17"/>
        <v>0</v>
      </c>
      <c r="L39" s="81">
        <f t="shared" si="18"/>
        <v>0</v>
      </c>
      <c r="M39" s="135">
        <f>'Building Costs'!$F$22</f>
        <v>11.345714285714285</v>
      </c>
      <c r="N39" s="135">
        <f t="shared" si="19"/>
        <v>0</v>
      </c>
      <c r="R39" s="146"/>
    </row>
    <row r="40" spans="1:18">
      <c r="A40" s="150"/>
      <c r="R40" s="146"/>
    </row>
    <row r="41" spans="1:18" ht="15.95" thickBot="1">
      <c r="A41" s="156" t="s">
        <v>1</v>
      </c>
      <c r="B41" s="154"/>
      <c r="C41" s="157">
        <f>SUM(C37:C40)</f>
        <v>0</v>
      </c>
      <c r="D41" s="154"/>
      <c r="E41" s="209">
        <f>SUM(E37:E40)</f>
        <v>0</v>
      </c>
      <c r="F41" s="154"/>
      <c r="G41" s="154"/>
      <c r="H41" s="157">
        <f>SUM(H37:H40)</f>
        <v>0</v>
      </c>
      <c r="I41" s="154"/>
      <c r="J41" s="209">
        <f>SUM(J37:J40)</f>
        <v>0</v>
      </c>
      <c r="K41" s="154"/>
      <c r="L41" s="157">
        <f>SUM(L37:L40)</f>
        <v>0</v>
      </c>
      <c r="M41" s="154"/>
      <c r="N41" s="209">
        <f>SUM(N37:N40)</f>
        <v>0</v>
      </c>
      <c r="O41" s="151"/>
      <c r="P41" s="152"/>
      <c r="Q41" s="151"/>
      <c r="R41" s="153"/>
    </row>
  </sheetData>
  <dataValidations count="2">
    <dataValidation type="list" allowBlank="1" showInputMessage="1" showErrorMessage="1" sqref="G27:G30 G37:G39 G5:G9 G17:G20" xr:uid="{7A2BCF2A-07BD-459A-B468-DF1B81FC021F}">
      <formula1>Equipment_List</formula1>
    </dataValidation>
    <dataValidation type="list" allowBlank="1" showInputMessage="1" showErrorMessage="1" sqref="B27:B30 B37:B39 B5:B9 B17:B20" xr:uid="{66553AEE-FC1D-492E-80C9-86BB1E8A4C4C}">
      <formula1>Employee_List</formula1>
    </dataValidation>
  </dataValidations>
  <pageMargins left="0.7" right="0.7" top="0.75" bottom="0.75" header="0.3" footer="0.3"/>
  <pageSetup scale="7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091F-0189-4B4A-9C90-1757EE406522}">
  <sheetPr>
    <pageSetUpPr fitToPage="1"/>
  </sheetPr>
  <dimension ref="A1:L26"/>
  <sheetViews>
    <sheetView workbookViewId="0">
      <selection activeCell="C6" sqref="C6"/>
    </sheetView>
  </sheetViews>
  <sheetFormatPr defaultColWidth="8.85546875" defaultRowHeight="15"/>
  <cols>
    <col min="1" max="1" width="19.42578125" customWidth="1"/>
    <col min="2" max="2" width="15" customWidth="1"/>
    <col min="3" max="3" width="16.28515625" customWidth="1"/>
    <col min="8" max="8" width="12.85546875" customWidth="1"/>
    <col min="10" max="10" width="11.85546875" customWidth="1"/>
    <col min="11" max="11" width="20.42578125" customWidth="1"/>
    <col min="12" max="12" width="25.85546875" customWidth="1"/>
  </cols>
  <sheetData>
    <row r="1" spans="1:12" s="2" customFormat="1">
      <c r="A1" s="2" t="s">
        <v>11</v>
      </c>
      <c r="B1" s="2" t="s">
        <v>50</v>
      </c>
      <c r="C1" s="2" t="s">
        <v>138</v>
      </c>
      <c r="D1" s="2" t="s">
        <v>139</v>
      </c>
      <c r="E1" s="2" t="s">
        <v>140</v>
      </c>
      <c r="F1" s="2" t="s">
        <v>141</v>
      </c>
      <c r="G1" s="2" t="s">
        <v>142</v>
      </c>
      <c r="H1" s="2" t="s">
        <v>143</v>
      </c>
      <c r="I1" s="2" t="s">
        <v>144</v>
      </c>
      <c r="J1" s="2" t="s">
        <v>145</v>
      </c>
      <c r="K1" s="2" t="s">
        <v>146</v>
      </c>
      <c r="L1" s="2" t="s">
        <v>147</v>
      </c>
    </row>
    <row r="2" spans="1:12">
      <c r="A2" t="s">
        <v>148</v>
      </c>
      <c r="B2" t="s">
        <v>51</v>
      </c>
      <c r="C2" t="s">
        <v>63</v>
      </c>
      <c r="D2" t="s">
        <v>149</v>
      </c>
      <c r="E2" t="s">
        <v>150</v>
      </c>
      <c r="F2" t="s">
        <v>45</v>
      </c>
      <c r="G2" t="s">
        <v>62</v>
      </c>
      <c r="H2" t="s">
        <v>97</v>
      </c>
      <c r="I2" s="66">
        <v>5.0000000000000001E-3</v>
      </c>
      <c r="J2" t="s">
        <v>151</v>
      </c>
      <c r="K2" s="132">
        <v>10</v>
      </c>
      <c r="L2" s="133">
        <f t="shared" ref="L2:L6" si="0">K2</f>
        <v>10</v>
      </c>
    </row>
    <row r="3" spans="1:12">
      <c r="A3" t="s">
        <v>25</v>
      </c>
      <c r="B3" t="s">
        <v>152</v>
      </c>
      <c r="C3" t="s">
        <v>153</v>
      </c>
      <c r="D3" t="s">
        <v>53</v>
      </c>
      <c r="E3" t="s">
        <v>154</v>
      </c>
      <c r="F3" t="s">
        <v>155</v>
      </c>
      <c r="G3" t="s">
        <v>64</v>
      </c>
      <c r="H3" t="s">
        <v>99</v>
      </c>
      <c r="I3" s="66">
        <f>I2+0.005</f>
        <v>0.01</v>
      </c>
      <c r="J3" t="s">
        <v>156</v>
      </c>
      <c r="K3" s="132">
        <v>9</v>
      </c>
      <c r="L3" s="133">
        <f t="shared" si="0"/>
        <v>9</v>
      </c>
    </row>
    <row r="4" spans="1:12">
      <c r="B4" t="s">
        <v>157</v>
      </c>
      <c r="C4" t="s">
        <v>65</v>
      </c>
      <c r="D4" t="s">
        <v>158</v>
      </c>
      <c r="E4" t="s">
        <v>44</v>
      </c>
      <c r="F4" t="s">
        <v>159</v>
      </c>
      <c r="H4" t="s">
        <v>160</v>
      </c>
      <c r="I4" s="66">
        <f t="shared" ref="I4:I19" si="1">I3+0.005</f>
        <v>1.4999999999999999E-2</v>
      </c>
      <c r="K4" s="132">
        <v>8</v>
      </c>
      <c r="L4" s="133">
        <f t="shared" si="0"/>
        <v>8</v>
      </c>
    </row>
    <row r="5" spans="1:12">
      <c r="C5" t="s">
        <v>70</v>
      </c>
      <c r="E5" t="s">
        <v>161</v>
      </c>
      <c r="F5" t="s">
        <v>162</v>
      </c>
      <c r="I5" s="66">
        <f t="shared" si="1"/>
        <v>0.02</v>
      </c>
      <c r="K5" s="132">
        <v>7</v>
      </c>
      <c r="L5" s="133">
        <f t="shared" si="0"/>
        <v>7</v>
      </c>
    </row>
    <row r="6" spans="1:12">
      <c r="C6" t="s">
        <v>163</v>
      </c>
      <c r="E6" t="s">
        <v>164</v>
      </c>
      <c r="F6" t="s">
        <v>17</v>
      </c>
      <c r="I6" s="66">
        <f t="shared" si="1"/>
        <v>2.5000000000000001E-2</v>
      </c>
      <c r="K6" s="132">
        <v>6</v>
      </c>
      <c r="L6" s="133">
        <f t="shared" si="0"/>
        <v>6</v>
      </c>
    </row>
    <row r="7" spans="1:12">
      <c r="E7" t="s">
        <v>165</v>
      </c>
      <c r="I7" s="66">
        <f t="shared" si="1"/>
        <v>3.0000000000000002E-2</v>
      </c>
      <c r="K7" s="132">
        <v>5</v>
      </c>
      <c r="L7" s="133">
        <f>K7</f>
        <v>5</v>
      </c>
    </row>
    <row r="8" spans="1:12">
      <c r="E8" t="s">
        <v>166</v>
      </c>
      <c r="I8" s="66">
        <f t="shared" si="1"/>
        <v>3.5000000000000003E-2</v>
      </c>
      <c r="K8" s="132">
        <v>4</v>
      </c>
      <c r="L8" s="133">
        <f t="shared" ref="L8:L26" si="2">K8</f>
        <v>4</v>
      </c>
    </row>
    <row r="9" spans="1:12">
      <c r="E9" t="s">
        <v>17</v>
      </c>
      <c r="I9" s="66">
        <f t="shared" si="1"/>
        <v>0.04</v>
      </c>
      <c r="K9" s="132">
        <v>3</v>
      </c>
      <c r="L9" s="133">
        <f t="shared" si="2"/>
        <v>3</v>
      </c>
    </row>
    <row r="10" spans="1:12">
      <c r="I10" s="66">
        <f t="shared" si="1"/>
        <v>4.4999999999999998E-2</v>
      </c>
      <c r="K10" s="132">
        <v>2.75</v>
      </c>
      <c r="L10" s="133">
        <f t="shared" si="2"/>
        <v>2.75</v>
      </c>
    </row>
    <row r="11" spans="1:12">
      <c r="I11" s="66">
        <f t="shared" si="1"/>
        <v>4.9999999999999996E-2</v>
      </c>
      <c r="K11" s="132">
        <v>2.5</v>
      </c>
      <c r="L11" s="133">
        <f t="shared" si="2"/>
        <v>2.5</v>
      </c>
    </row>
    <row r="12" spans="1:12">
      <c r="I12" s="66">
        <f t="shared" si="1"/>
        <v>5.4999999999999993E-2</v>
      </c>
      <c r="K12" s="132">
        <v>2.25</v>
      </c>
      <c r="L12" s="133">
        <f t="shared" si="2"/>
        <v>2.25</v>
      </c>
    </row>
    <row r="13" spans="1:12">
      <c r="I13" s="66">
        <f t="shared" si="1"/>
        <v>5.9999999999999991E-2</v>
      </c>
      <c r="K13" s="132">
        <v>2</v>
      </c>
      <c r="L13" s="133">
        <f t="shared" si="2"/>
        <v>2</v>
      </c>
    </row>
    <row r="14" spans="1:12">
      <c r="I14" s="66">
        <f t="shared" si="1"/>
        <v>6.4999999999999988E-2</v>
      </c>
      <c r="K14" s="132">
        <v>1.75</v>
      </c>
      <c r="L14" s="133">
        <f t="shared" si="2"/>
        <v>1.75</v>
      </c>
    </row>
    <row r="15" spans="1:12">
      <c r="I15" s="66">
        <f t="shared" si="1"/>
        <v>6.9999999999999993E-2</v>
      </c>
      <c r="K15" s="132">
        <v>1.5</v>
      </c>
      <c r="L15" s="133">
        <f t="shared" si="2"/>
        <v>1.5</v>
      </c>
    </row>
    <row r="16" spans="1:12">
      <c r="I16" s="66">
        <f t="shared" si="1"/>
        <v>7.4999999999999997E-2</v>
      </c>
      <c r="K16" s="132">
        <v>1.25</v>
      </c>
      <c r="L16" s="133">
        <f t="shared" si="2"/>
        <v>1.25</v>
      </c>
    </row>
    <row r="17" spans="9:12">
      <c r="I17" s="66">
        <f t="shared" si="1"/>
        <v>0.08</v>
      </c>
      <c r="K17" s="132">
        <v>1</v>
      </c>
      <c r="L17" s="133">
        <f t="shared" si="2"/>
        <v>1</v>
      </c>
    </row>
    <row r="18" spans="9:12">
      <c r="I18" s="66">
        <f t="shared" si="1"/>
        <v>8.5000000000000006E-2</v>
      </c>
      <c r="K18" s="132">
        <v>0.9</v>
      </c>
      <c r="L18" s="133">
        <f t="shared" si="2"/>
        <v>0.9</v>
      </c>
    </row>
    <row r="19" spans="9:12">
      <c r="I19" s="66">
        <f t="shared" si="1"/>
        <v>9.0000000000000011E-2</v>
      </c>
      <c r="K19" s="132">
        <v>0.8</v>
      </c>
      <c r="L19" s="133">
        <f t="shared" si="2"/>
        <v>0.8</v>
      </c>
    </row>
    <row r="20" spans="9:12">
      <c r="K20" s="132">
        <v>0.7</v>
      </c>
      <c r="L20" s="133">
        <f t="shared" si="2"/>
        <v>0.7</v>
      </c>
    </row>
    <row r="21" spans="9:12">
      <c r="K21" s="132">
        <v>0.6</v>
      </c>
      <c r="L21" s="133">
        <f t="shared" si="2"/>
        <v>0.6</v>
      </c>
    </row>
    <row r="22" spans="9:12">
      <c r="K22" s="132">
        <v>0.5</v>
      </c>
      <c r="L22" s="133">
        <f t="shared" si="2"/>
        <v>0.5</v>
      </c>
    </row>
    <row r="23" spans="9:12">
      <c r="K23" s="132">
        <v>0.4</v>
      </c>
      <c r="L23" s="133">
        <f t="shared" si="2"/>
        <v>0.4</v>
      </c>
    </row>
    <row r="24" spans="9:12">
      <c r="K24" s="132">
        <v>0.3</v>
      </c>
      <c r="L24" s="133">
        <f t="shared" si="2"/>
        <v>0.3</v>
      </c>
    </row>
    <row r="25" spans="9:12">
      <c r="K25" s="132">
        <v>0.2</v>
      </c>
      <c r="L25" s="133">
        <f t="shared" si="2"/>
        <v>0.2</v>
      </c>
    </row>
    <row r="26" spans="9:12">
      <c r="K26" s="132">
        <v>0.1</v>
      </c>
      <c r="L26" s="133">
        <f t="shared" si="2"/>
        <v>0.1</v>
      </c>
    </row>
  </sheetData>
  <pageMargins left="0.7" right="0.7" top="0.75" bottom="0.75" header="0.3" footer="0.3"/>
  <pageSetup scale="67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8D77-51A4-4598-B269-C738B8CE52F9}">
  <sheetPr>
    <pageSetUpPr fitToPage="1"/>
  </sheetPr>
  <dimension ref="A2:X33"/>
  <sheetViews>
    <sheetView workbookViewId="0">
      <selection activeCell="G25" sqref="G25"/>
    </sheetView>
  </sheetViews>
  <sheetFormatPr defaultColWidth="14.42578125" defaultRowHeight="15"/>
  <cols>
    <col min="1" max="3" width="14.42578125" style="123" customWidth="1"/>
    <col min="4" max="4" width="16.28515625" style="123" customWidth="1"/>
    <col min="5" max="14" width="14.42578125" style="123" customWidth="1"/>
  </cols>
  <sheetData>
    <row r="2" spans="1:24">
      <c r="A2" s="124" t="s">
        <v>167</v>
      </c>
      <c r="B2" s="125">
        <v>10.054</v>
      </c>
      <c r="C2" s="126">
        <v>5000</v>
      </c>
      <c r="D2" s="125">
        <f>B2/C2</f>
        <v>2.0108000000000001E-3</v>
      </c>
    </row>
    <row r="3" spans="1:24">
      <c r="A3" s="124" t="s">
        <v>168</v>
      </c>
      <c r="B3" s="125"/>
      <c r="C3" s="126" t="s">
        <v>169</v>
      </c>
      <c r="D3" s="125" t="s">
        <v>170</v>
      </c>
    </row>
    <row r="4" spans="1:24">
      <c r="A4" s="124"/>
      <c r="B4" s="125"/>
      <c r="C4" s="126"/>
      <c r="D4" s="125"/>
    </row>
    <row r="5" spans="1:24">
      <c r="A5" s="124" t="s">
        <v>171</v>
      </c>
      <c r="B5" s="125">
        <f>23.45*2</f>
        <v>46.9</v>
      </c>
      <c r="C5" s="126">
        <v>250</v>
      </c>
      <c r="D5" s="125">
        <f>B5/C5</f>
        <v>0.18759999999999999</v>
      </c>
    </row>
    <row r="6" spans="1:24">
      <c r="A6" s="124" t="s">
        <v>168</v>
      </c>
      <c r="B6" s="125"/>
      <c r="C6" s="126" t="s">
        <v>172</v>
      </c>
      <c r="D6" s="125" t="s">
        <v>173</v>
      </c>
    </row>
    <row r="7" spans="1:24">
      <c r="A7" s="127"/>
      <c r="B7" s="128"/>
      <c r="C7" s="129"/>
      <c r="D7" s="128"/>
    </row>
    <row r="8" spans="1:24">
      <c r="A8" s="124" t="s">
        <v>174</v>
      </c>
      <c r="B8" s="125">
        <f>33.85*1.3</f>
        <v>44.005000000000003</v>
      </c>
      <c r="C8" s="126">
        <v>144</v>
      </c>
      <c r="D8" s="125">
        <f>B8/C8</f>
        <v>0.30559027777777781</v>
      </c>
    </row>
    <row r="9" spans="1:24">
      <c r="A9" s="124" t="s">
        <v>168</v>
      </c>
      <c r="B9" s="125"/>
      <c r="C9" s="126" t="s">
        <v>175</v>
      </c>
      <c r="D9" s="125" t="s">
        <v>176</v>
      </c>
    </row>
    <row r="10" spans="1:24">
      <c r="A10" s="124"/>
      <c r="B10" s="125"/>
      <c r="C10" s="126"/>
      <c r="D10" s="125"/>
    </row>
    <row r="12" spans="1:24" s="123" customFormat="1">
      <c r="O12"/>
      <c r="P12"/>
      <c r="Q12"/>
      <c r="R12"/>
      <c r="S12"/>
      <c r="T12"/>
      <c r="U12"/>
      <c r="V12"/>
      <c r="W12"/>
      <c r="X12"/>
    </row>
    <row r="13" spans="1:24" s="123" customFormat="1">
      <c r="O13"/>
      <c r="P13"/>
      <c r="Q13"/>
      <c r="R13"/>
      <c r="S13"/>
      <c r="T13"/>
      <c r="U13"/>
      <c r="V13"/>
      <c r="W13"/>
      <c r="X13"/>
    </row>
    <row r="14" spans="1:24" s="123" customFormat="1">
      <c r="C14" s="123" t="s">
        <v>177</v>
      </c>
      <c r="D14" s="123" t="s">
        <v>178</v>
      </c>
      <c r="E14" s="123">
        <f>148*0.914</f>
        <v>135.27199999999999</v>
      </c>
      <c r="F14" s="123" t="s">
        <v>179</v>
      </c>
      <c r="O14"/>
      <c r="P14"/>
      <c r="Q14"/>
      <c r="R14"/>
      <c r="S14"/>
      <c r="T14"/>
      <c r="U14"/>
      <c r="V14"/>
      <c r="W14"/>
      <c r="X14"/>
    </row>
    <row r="15" spans="1:24" s="123" customFormat="1">
      <c r="O15"/>
      <c r="P15"/>
      <c r="Q15"/>
      <c r="R15"/>
      <c r="S15"/>
      <c r="T15"/>
      <c r="U15"/>
      <c r="V15"/>
      <c r="W15"/>
      <c r="X15"/>
    </row>
    <row r="16" spans="1:24" s="123" customFormat="1">
      <c r="C16" s="123" t="s">
        <v>180</v>
      </c>
      <c r="O16"/>
      <c r="P16"/>
      <c r="Q16"/>
      <c r="R16"/>
      <c r="S16"/>
      <c r="T16"/>
      <c r="U16"/>
      <c r="V16"/>
      <c r="W16"/>
      <c r="X16"/>
    </row>
    <row r="17" spans="3:24" s="123" customFormat="1">
      <c r="O17"/>
      <c r="P17"/>
      <c r="Q17"/>
      <c r="R17"/>
      <c r="S17"/>
      <c r="T17"/>
      <c r="U17"/>
      <c r="V17"/>
      <c r="W17"/>
      <c r="X17"/>
    </row>
    <row r="18" spans="3:24" s="123" customFormat="1">
      <c r="F18" s="199"/>
      <c r="O18"/>
      <c r="P18"/>
      <c r="Q18"/>
      <c r="R18"/>
      <c r="S18"/>
      <c r="T18"/>
      <c r="U18"/>
      <c r="V18"/>
      <c r="W18"/>
      <c r="X18"/>
    </row>
    <row r="19" spans="3:24" s="123" customFormat="1">
      <c r="C19" s="123">
        <v>9.5</v>
      </c>
      <c r="D19" s="123">
        <v>21.6</v>
      </c>
      <c r="E19" s="123">
        <v>25.7</v>
      </c>
      <c r="G19" s="123">
        <v>1.8</v>
      </c>
      <c r="H19" s="123">
        <v>6.15</v>
      </c>
      <c r="J19" s="123">
        <v>25.7</v>
      </c>
      <c r="O19"/>
      <c r="P19"/>
      <c r="Q19"/>
      <c r="R19"/>
      <c r="S19"/>
      <c r="T19"/>
      <c r="U19"/>
      <c r="V19"/>
      <c r="W19"/>
      <c r="X19"/>
    </row>
    <row r="20" spans="3:24">
      <c r="C20" s="123">
        <f>C19*100</f>
        <v>950</v>
      </c>
      <c r="D20" s="123">
        <f>D19*100</f>
        <v>2160</v>
      </c>
      <c r="E20" s="123">
        <f>E19*'Job Info-Gen + Hit1'!C29</f>
        <v>25.7</v>
      </c>
      <c r="G20" s="123" t="e">
        <f>G19*#REF!</f>
        <v>#REF!</v>
      </c>
      <c r="H20" s="123">
        <f>H19*'Job Info-Gen + Hit1'!$B$29</f>
        <v>6562.05</v>
      </c>
      <c r="J20" s="123">
        <v>250</v>
      </c>
    </row>
    <row r="21" spans="3:24">
      <c r="C21" s="123">
        <f>C20/$E$14</f>
        <v>7.0228872198237626</v>
      </c>
      <c r="D21" s="123">
        <v>5000</v>
      </c>
      <c r="E21" s="123">
        <v>5000</v>
      </c>
      <c r="G21" s="123" t="e">
        <f>G20/$E$14</f>
        <v>#REF!</v>
      </c>
      <c r="H21" s="123">
        <v>5000</v>
      </c>
      <c r="J21" s="123">
        <f>J19*J20</f>
        <v>6425</v>
      </c>
    </row>
    <row r="22" spans="3:24">
      <c r="D22" s="123">
        <f>D20/D21</f>
        <v>0.432</v>
      </c>
      <c r="E22" s="123">
        <f>E20/E21</f>
        <v>5.1399999999999996E-3</v>
      </c>
      <c r="H22" s="123">
        <f>H20/H21</f>
        <v>1.3124100000000001</v>
      </c>
      <c r="J22" s="123">
        <v>5000</v>
      </c>
    </row>
    <row r="23" spans="3:24">
      <c r="E23" s="123">
        <f>0.3*15</f>
        <v>4.5</v>
      </c>
      <c r="H23" s="123">
        <f>0.3*15</f>
        <v>4.5</v>
      </c>
      <c r="J23" s="123">
        <f>J21/J22</f>
        <v>1.2849999999999999</v>
      </c>
    </row>
    <row r="24" spans="3:24">
      <c r="C24" s="123">
        <f>C21/15</f>
        <v>0.4681924813215842</v>
      </c>
      <c r="D24" s="123">
        <f>D22/15</f>
        <v>2.8799999999999999E-2</v>
      </c>
    </row>
    <row r="27" spans="3:24">
      <c r="C27" s="123">
        <v>8.1199999999999992</v>
      </c>
      <c r="D27" s="123">
        <v>25.13</v>
      </c>
      <c r="H27" s="123">
        <v>135.5</v>
      </c>
      <c r="I27" s="123">
        <v>5.34</v>
      </c>
      <c r="J27" s="123">
        <f>28.5</f>
        <v>28.5</v>
      </c>
      <c r="K27" s="123">
        <f>J27/I27</f>
        <v>5.3370786516853936</v>
      </c>
      <c r="L27" s="123">
        <v>5</v>
      </c>
    </row>
    <row r="28" spans="3:24">
      <c r="C28" s="123">
        <f>C27*500</f>
        <v>4059.9999999999995</v>
      </c>
      <c r="D28" s="123">
        <f>D27*500</f>
        <v>12565</v>
      </c>
      <c r="H28" s="123">
        <v>280.3</v>
      </c>
      <c r="I28" s="123">
        <v>11.04</v>
      </c>
      <c r="J28" s="123">
        <f>50*3*12</f>
        <v>1800</v>
      </c>
      <c r="K28" s="123">
        <f>J28/I28</f>
        <v>163.04347826086959</v>
      </c>
      <c r="L28" s="123">
        <v>163</v>
      </c>
    </row>
    <row r="29" spans="3:24">
      <c r="C29" s="123">
        <f>C28/$E$14</f>
        <v>30.013602223667867</v>
      </c>
      <c r="D29" s="123">
        <v>5000</v>
      </c>
      <c r="L29" s="123">
        <f>L27*L28</f>
        <v>815</v>
      </c>
      <c r="M29" s="123">
        <f>500/L29</f>
        <v>0.61349693251533743</v>
      </c>
    </row>
    <row r="30" spans="3:24">
      <c r="D30" s="123">
        <f>D28/D29</f>
        <v>2.5129999999999999</v>
      </c>
    </row>
    <row r="31" spans="3:24">
      <c r="H31" s="123">
        <v>18.8</v>
      </c>
      <c r="I31" s="123">
        <v>0.74</v>
      </c>
      <c r="J31" s="123">
        <f>28.5</f>
        <v>28.5</v>
      </c>
      <c r="K31" s="123">
        <f>J31/I31</f>
        <v>38.513513513513516</v>
      </c>
      <c r="L31" s="123">
        <v>39</v>
      </c>
    </row>
    <row r="32" spans="3:24">
      <c r="C32" s="123">
        <f>C29/15</f>
        <v>2.000906814911191</v>
      </c>
      <c r="H32" s="123">
        <v>216.2</v>
      </c>
      <c r="I32" s="123">
        <v>8.52</v>
      </c>
      <c r="J32" s="123">
        <f>50*3*12</f>
        <v>1800</v>
      </c>
      <c r="K32" s="123">
        <f>J32/I32</f>
        <v>211.26760563380282</v>
      </c>
      <c r="L32" s="123">
        <v>212</v>
      </c>
    </row>
    <row r="33" spans="12:13">
      <c r="L33" s="123">
        <f>L31*L32</f>
        <v>8268</v>
      </c>
      <c r="M33" s="123">
        <f>500/L33</f>
        <v>6.047411707789066E-2</v>
      </c>
    </row>
  </sheetData>
  <pageMargins left="0.75" right="0.75" top="1" bottom="1" header="0.5" footer="0.5"/>
  <pageSetup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B0E7-83C2-40B4-BE4F-4F1BC8580439}">
  <sheetPr codeName="Sheet2">
    <pageSetUpPr fitToPage="1"/>
  </sheetPr>
  <dimension ref="A1:K13"/>
  <sheetViews>
    <sheetView workbookViewId="0">
      <pane xSplit="1" ySplit="3" topLeftCell="H4" activePane="bottomRight" state="frozenSplit"/>
      <selection pane="bottomRight" activeCell="H21" sqref="H21"/>
      <selection pane="bottomLeft" activeCell="A2" sqref="A2"/>
      <selection pane="topRight" activeCell="C1" sqref="C1"/>
    </sheetView>
  </sheetViews>
  <sheetFormatPr defaultColWidth="8.85546875" defaultRowHeight="15"/>
  <cols>
    <col min="1" max="1" width="28.140625" customWidth="1"/>
    <col min="2" max="2" width="0.85546875" customWidth="1"/>
    <col min="3" max="3" width="8.7109375" bestFit="1" customWidth="1"/>
    <col min="4" max="4" width="1.42578125" customWidth="1"/>
    <col min="5" max="6" width="9.140625" hidden="1" customWidth="1"/>
    <col min="7" max="7" width="0" hidden="1" customWidth="1"/>
    <col min="8" max="8" width="13.7109375" customWidth="1"/>
    <col min="9" max="9" width="14.42578125" customWidth="1"/>
    <col min="10" max="10" width="9.140625" bestFit="1" customWidth="1"/>
    <col min="13" max="13" width="10.7109375" customWidth="1"/>
    <col min="14" max="14" width="9.140625" customWidth="1"/>
  </cols>
  <sheetData>
    <row r="1" spans="1:11">
      <c r="I1" s="67" t="s">
        <v>181</v>
      </c>
      <c r="J1" s="4"/>
      <c r="K1" s="4"/>
    </row>
    <row r="2" spans="1:11">
      <c r="H2" s="68" t="s">
        <v>182</v>
      </c>
      <c r="I2" s="69" t="s">
        <v>183</v>
      </c>
      <c r="J2" s="4"/>
      <c r="K2" s="4"/>
    </row>
    <row r="3" spans="1:11" s="72" customFormat="1" ht="15.95" thickBot="1">
      <c r="A3" s="71" t="s">
        <v>184</v>
      </c>
      <c r="B3" s="70"/>
      <c r="C3" s="71" t="s">
        <v>60</v>
      </c>
      <c r="E3" s="73" t="s">
        <v>185</v>
      </c>
      <c r="F3" s="73" t="s">
        <v>186</v>
      </c>
      <c r="G3" s="73" t="s">
        <v>187</v>
      </c>
      <c r="H3" s="73" t="s">
        <v>188</v>
      </c>
      <c r="I3" s="74" t="s">
        <v>188</v>
      </c>
      <c r="J3" s="74"/>
      <c r="K3" s="74"/>
    </row>
    <row r="4" spans="1:11" ht="15.95" thickTop="1">
      <c r="A4" s="75"/>
      <c r="B4" s="75"/>
      <c r="C4" s="76"/>
      <c r="I4" s="4"/>
      <c r="J4" s="4"/>
      <c r="K4" s="136"/>
    </row>
    <row r="5" spans="1:11">
      <c r="A5" s="78" t="s">
        <v>189</v>
      </c>
      <c r="B5" s="77"/>
      <c r="C5" s="79">
        <v>115769.13</v>
      </c>
      <c r="E5" s="80">
        <f>PMT(0.05/12,12*5,$C5*0.4)</f>
        <v>-873.88252039755025</v>
      </c>
      <c r="F5" s="80">
        <f>PMT(0.05/12,12*5,$C5*0.6)</f>
        <v>-1310.8237805963254</v>
      </c>
      <c r="G5" s="80">
        <f>PMT(0.1/12,12*5,$C5*0.4)</f>
        <v>-983.90075251785186</v>
      </c>
      <c r="H5" s="80">
        <f>PMT(0.1/12,12*5,$C5*0.6)</f>
        <v>-1475.8511287767776</v>
      </c>
      <c r="I5" s="81" t="s">
        <v>54</v>
      </c>
      <c r="J5" s="81">
        <f>H5*12/1400*-1</f>
        <v>12.650152532372379</v>
      </c>
    </row>
    <row r="6" spans="1:11">
      <c r="A6" s="82" t="s">
        <v>190</v>
      </c>
      <c r="B6" s="83"/>
      <c r="C6" s="84">
        <f>55482.64+411</f>
        <v>55893.64</v>
      </c>
      <c r="E6" s="80">
        <f>PMT(0.05/12,12*5,$C6*0.4)</f>
        <v>-421.91277586169417</v>
      </c>
      <c r="F6" s="80">
        <f>PMT(0.05/12,12*5,$C6*0.6)</f>
        <v>-632.86916379254114</v>
      </c>
      <c r="G6" s="80">
        <f>PMT(0.1/12,12*5,$C6*0.4)</f>
        <v>-475.0298672622132</v>
      </c>
      <c r="H6" s="80">
        <f>PMT(0.1/12,12*5,$C6*0.6)</f>
        <v>-712.5448008933198</v>
      </c>
      <c r="I6" s="81" t="s">
        <v>89</v>
      </c>
      <c r="J6" s="81">
        <f>H6*12/1400*-1</f>
        <v>6.1075268647998833</v>
      </c>
    </row>
    <row r="7" spans="1:11">
      <c r="I7" s="4" t="s">
        <v>121</v>
      </c>
      <c r="J7" s="4">
        <v>0</v>
      </c>
    </row>
    <row r="8" spans="1:11">
      <c r="I8" s="4" t="s">
        <v>136</v>
      </c>
      <c r="J8" s="4">
        <f>7.4+7.22</f>
        <v>14.620000000000001</v>
      </c>
    </row>
    <row r="9" spans="1:11" hidden="1">
      <c r="A9" t="s">
        <v>191</v>
      </c>
    </row>
    <row r="10" spans="1:11" hidden="1">
      <c r="A10" t="s">
        <v>192</v>
      </c>
    </row>
    <row r="11" spans="1:11" hidden="1">
      <c r="A11" t="s">
        <v>193</v>
      </c>
    </row>
    <row r="12" spans="1:11">
      <c r="A12" t="s">
        <v>194</v>
      </c>
    </row>
    <row r="13" spans="1:11">
      <c r="A13" t="s">
        <v>195</v>
      </c>
    </row>
  </sheetData>
  <sortState xmlns:xlrd2="http://schemas.microsoft.com/office/spreadsheetml/2017/richdata2" ref="I5:J8">
    <sortCondition ref="I5:I8"/>
  </sortState>
  <pageMargins left="0.7" right="0.7" top="0.75" bottom="0.75" header="0.1" footer="0.3"/>
  <pageSetup orientation="landscape" r:id="rId1"/>
  <headerFooter>
    <oddHeader xml:space="preserve">&amp;C&amp;"Arial,Bold"&amp;12 12ozCollective, Inc.
&amp;14Embroidery Equipment
Hourly Cost Calculations
</oddHeader>
    <oddFooter>&amp;R&amp;"Arial,Bold"&amp;8 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2D52-6909-411C-A788-17CADB36E1EB}">
  <sheetPr>
    <pageSetUpPr fitToPage="1"/>
  </sheetPr>
  <dimension ref="A1:N35"/>
  <sheetViews>
    <sheetView workbookViewId="0">
      <selection activeCell="F35" sqref="F35"/>
    </sheetView>
  </sheetViews>
  <sheetFormatPr defaultColWidth="8.85546875" defaultRowHeight="15"/>
  <cols>
    <col min="1" max="1" width="32" style="85" customWidth="1"/>
    <col min="2" max="2" width="12.42578125" style="86" customWidth="1"/>
    <col min="3" max="3" width="8.85546875" style="86"/>
    <col min="4" max="4" width="12.85546875" style="86" customWidth="1"/>
    <col min="5" max="5" width="3.85546875" customWidth="1"/>
    <col min="6" max="6" width="12.28515625" customWidth="1"/>
    <col min="7" max="7" width="16.7109375" customWidth="1"/>
    <col min="8" max="8" width="30.28515625" customWidth="1"/>
  </cols>
  <sheetData>
    <row r="1" spans="1:14" ht="15.95" thickBot="1"/>
    <row r="2" spans="1:14" ht="15.95">
      <c r="A2" s="87" t="s">
        <v>196</v>
      </c>
    </row>
    <row r="3" spans="1:14" ht="15.95">
      <c r="A3" s="88" t="s">
        <v>197</v>
      </c>
    </row>
    <row r="4" spans="1:14" ht="17.100000000000001" thickBot="1">
      <c r="A4" s="89" t="s">
        <v>198</v>
      </c>
    </row>
    <row r="5" spans="1:14" ht="17.100000000000001" thickBot="1">
      <c r="A5" s="90"/>
    </row>
    <row r="6" spans="1:14">
      <c r="A6" s="91"/>
      <c r="B6" s="92"/>
      <c r="C6" s="93" t="s">
        <v>199</v>
      </c>
      <c r="D6" s="94" t="s">
        <v>199</v>
      </c>
    </row>
    <row r="7" spans="1:14">
      <c r="A7" s="95" t="s">
        <v>200</v>
      </c>
      <c r="B7" s="1" t="s">
        <v>201</v>
      </c>
      <c r="C7" s="1" t="s">
        <v>202</v>
      </c>
      <c r="D7" s="96" t="s">
        <v>22</v>
      </c>
    </row>
    <row r="8" spans="1:14">
      <c r="A8" s="97"/>
      <c r="D8" s="98"/>
    </row>
    <row r="9" spans="1:14">
      <c r="A9" s="97" t="s">
        <v>203</v>
      </c>
      <c r="B9" s="86">
        <f>12*12000</f>
        <v>144000</v>
      </c>
      <c r="C9" s="86">
        <f>B9*2000/12000</f>
        <v>24000</v>
      </c>
      <c r="D9" s="98">
        <f>B9*10000/12000</f>
        <v>120000</v>
      </c>
    </row>
    <row r="10" spans="1:14">
      <c r="A10" s="97" t="s">
        <v>204</v>
      </c>
      <c r="D10" s="98"/>
    </row>
    <row r="11" spans="1:14">
      <c r="A11" s="97"/>
      <c r="D11" s="98"/>
    </row>
    <row r="12" spans="1:14">
      <c r="A12" s="97" t="s">
        <v>205</v>
      </c>
      <c r="B12" s="86">
        <v>2600</v>
      </c>
      <c r="C12" s="86">
        <v>0</v>
      </c>
      <c r="D12" s="98">
        <v>2600</v>
      </c>
    </row>
    <row r="13" spans="1:14" ht="15.95" thickBot="1">
      <c r="A13" s="97"/>
      <c r="D13" s="98"/>
      <c r="N13" t="s">
        <v>206</v>
      </c>
    </row>
    <row r="14" spans="1:14">
      <c r="A14" s="97" t="s">
        <v>207</v>
      </c>
      <c r="B14" s="86">
        <v>8800</v>
      </c>
      <c r="C14" s="86">
        <v>500</v>
      </c>
      <c r="D14" s="98">
        <v>8300</v>
      </c>
      <c r="F14" s="99" t="s">
        <v>208</v>
      </c>
      <c r="G14" s="100" t="s">
        <v>209</v>
      </c>
      <c r="H14" s="101"/>
      <c r="I14" s="85"/>
      <c r="J14" s="85"/>
    </row>
    <row r="15" spans="1:14">
      <c r="A15" s="97"/>
      <c r="D15" s="98"/>
      <c r="F15" s="102" t="s">
        <v>210</v>
      </c>
      <c r="G15" s="103" t="s">
        <v>210</v>
      </c>
      <c r="H15" s="104"/>
      <c r="I15" s="85"/>
      <c r="J15" s="85"/>
    </row>
    <row r="16" spans="1:14">
      <c r="A16" s="97" t="s">
        <v>211</v>
      </c>
      <c r="B16" s="86">
        <v>5000</v>
      </c>
      <c r="C16" s="86">
        <v>0</v>
      </c>
      <c r="D16" s="98">
        <v>5000</v>
      </c>
      <c r="F16" s="105">
        <v>1100</v>
      </c>
      <c r="G16" s="106">
        <v>8900</v>
      </c>
      <c r="H16" s="104"/>
      <c r="I16" s="85"/>
      <c r="J16" s="85"/>
    </row>
    <row r="17" spans="1:10">
      <c r="A17" s="97"/>
      <c r="D17" s="98"/>
      <c r="F17" s="107"/>
      <c r="G17" s="69"/>
      <c r="H17" s="104"/>
      <c r="I17" s="85"/>
      <c r="J17" s="85"/>
    </row>
    <row r="18" spans="1:10">
      <c r="A18" s="97" t="s">
        <v>212</v>
      </c>
      <c r="B18" s="108">
        <v>8960</v>
      </c>
      <c r="C18" s="108">
        <v>460</v>
      </c>
      <c r="D18" s="109">
        <v>8500</v>
      </c>
      <c r="F18" s="110">
        <f>D20*F16/10000</f>
        <v>15884</v>
      </c>
      <c r="G18" s="111">
        <f>D20*G16/10000</f>
        <v>128516</v>
      </c>
      <c r="H18" s="104" t="s">
        <v>213</v>
      </c>
      <c r="I18" s="85"/>
      <c r="J18" s="85"/>
    </row>
    <row r="19" spans="1:10">
      <c r="A19" s="97"/>
      <c r="D19" s="98"/>
      <c r="F19" s="110"/>
      <c r="G19" s="111"/>
      <c r="H19" s="104"/>
      <c r="I19" s="85"/>
      <c r="J19" s="85"/>
    </row>
    <row r="20" spans="1:10">
      <c r="A20" s="97" t="s">
        <v>214</v>
      </c>
      <c r="B20" s="112">
        <f>SUM(B9:B18)</f>
        <v>169360</v>
      </c>
      <c r="C20" s="112">
        <f t="shared" ref="C20:D20" si="0">SUM(C9:C18)</f>
        <v>24960</v>
      </c>
      <c r="D20" s="113">
        <f t="shared" si="0"/>
        <v>144400</v>
      </c>
      <c r="F20" s="105" t="s">
        <v>215</v>
      </c>
      <c r="G20" s="106" t="s">
        <v>215</v>
      </c>
      <c r="H20" s="104" t="s">
        <v>216</v>
      </c>
      <c r="I20" s="85"/>
      <c r="J20" s="85"/>
    </row>
    <row r="21" spans="1:10" ht="15.95" thickBot="1">
      <c r="A21" s="114"/>
      <c r="B21" s="115"/>
      <c r="C21" s="115"/>
      <c r="D21" s="116"/>
      <c r="F21" s="107"/>
      <c r="G21" s="69"/>
      <c r="H21" s="104"/>
      <c r="I21" s="85"/>
      <c r="J21" s="85"/>
    </row>
    <row r="22" spans="1:10" ht="15.95" thickBot="1">
      <c r="F22" s="117">
        <f>F18/1400</f>
        <v>11.345714285714285</v>
      </c>
      <c r="G22" s="118">
        <f>G18/1400</f>
        <v>91.797142857142859</v>
      </c>
      <c r="H22" s="119" t="s">
        <v>217</v>
      </c>
      <c r="I22" s="85"/>
      <c r="J22" s="85"/>
    </row>
    <row r="23" spans="1:10" ht="15.95" thickBot="1"/>
    <row r="24" spans="1:10" ht="15.95" thickBot="1">
      <c r="A24" s="91"/>
      <c r="B24" s="92"/>
      <c r="C24" s="120"/>
    </row>
    <row r="25" spans="1:10">
      <c r="A25" s="95" t="s">
        <v>218</v>
      </c>
      <c r="C25" s="98"/>
      <c r="F25" s="99" t="s">
        <v>202</v>
      </c>
      <c r="G25" s="100"/>
      <c r="H25" s="101"/>
    </row>
    <row r="26" spans="1:10">
      <c r="A26" s="97"/>
      <c r="C26" s="98"/>
      <c r="F26" s="102" t="s">
        <v>210</v>
      </c>
      <c r="G26" s="103"/>
      <c r="H26" s="104"/>
    </row>
    <row r="27" spans="1:10">
      <c r="A27" s="97" t="s">
        <v>219</v>
      </c>
      <c r="B27" s="86">
        <v>1200</v>
      </c>
      <c r="C27" s="98"/>
      <c r="F27" s="105">
        <v>2000</v>
      </c>
      <c r="G27" s="106"/>
      <c r="H27" s="104"/>
    </row>
    <row r="28" spans="1:10">
      <c r="A28" s="97"/>
      <c r="C28" s="98"/>
      <c r="F28" s="107"/>
      <c r="G28" s="69"/>
      <c r="H28" s="104"/>
    </row>
    <row r="29" spans="1:10">
      <c r="A29" s="97" t="s">
        <v>220</v>
      </c>
      <c r="B29" s="86">
        <v>9850</v>
      </c>
      <c r="C29" s="98"/>
      <c r="F29" s="110">
        <f>C20</f>
        <v>24960</v>
      </c>
      <c r="G29" s="111"/>
      <c r="H29" s="104" t="s">
        <v>213</v>
      </c>
    </row>
    <row r="30" spans="1:10">
      <c r="A30" s="97"/>
      <c r="C30" s="98"/>
      <c r="F30" s="110"/>
      <c r="G30" s="111"/>
      <c r="H30" s="104"/>
    </row>
    <row r="31" spans="1:10">
      <c r="A31" s="97" t="s">
        <v>221</v>
      </c>
      <c r="B31" s="108">
        <f>(12000/(12000+12000+15000))*70459</f>
        <v>21679.692307692309</v>
      </c>
      <c r="C31" s="98"/>
      <c r="F31" s="105" t="s">
        <v>215</v>
      </c>
      <c r="G31" s="106"/>
      <c r="H31" s="104" t="s">
        <v>216</v>
      </c>
    </row>
    <row r="32" spans="1:10">
      <c r="A32" s="97"/>
      <c r="C32" s="98"/>
      <c r="F32" s="107"/>
      <c r="G32" s="69"/>
      <c r="H32" s="104"/>
    </row>
    <row r="33" spans="1:8" ht="15.95" thickBot="1">
      <c r="A33" s="97" t="s">
        <v>218</v>
      </c>
      <c r="B33" s="112">
        <f>SUM(B27:B31)</f>
        <v>32729.692307692309</v>
      </c>
      <c r="C33" s="98"/>
      <c r="F33" s="117">
        <f>F29/1400</f>
        <v>17.828571428571429</v>
      </c>
      <c r="G33" s="118"/>
      <c r="H33" s="119" t="s">
        <v>217</v>
      </c>
    </row>
    <row r="34" spans="1:8">
      <c r="A34" s="97" t="s">
        <v>222</v>
      </c>
      <c r="C34" s="98"/>
    </row>
    <row r="35" spans="1:8" ht="15.95" thickBot="1">
      <c r="A35" s="114"/>
      <c r="B35" s="115"/>
      <c r="C35" s="116"/>
    </row>
  </sheetData>
  <pageMargins left="0.7" right="0.7" top="0.75" bottom="0.75" header="0.3" footer="0.3"/>
  <pageSetup scale="7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88D2-C838-4CC2-84D2-02054B58CCA3}">
  <sheetPr>
    <pageSetUpPr fitToPage="1"/>
  </sheetPr>
  <dimension ref="A1:I25"/>
  <sheetViews>
    <sheetView workbookViewId="0">
      <pane ySplit="1" topLeftCell="A2" activePane="bottomLeft" state="frozenSplit"/>
      <selection pane="bottomLeft" activeCell="G16" sqref="G16"/>
    </sheetView>
  </sheetViews>
  <sheetFormatPr defaultColWidth="8.85546875" defaultRowHeight="15"/>
  <cols>
    <col min="1" max="1" width="22" customWidth="1"/>
    <col min="2" max="2" width="19.85546875" style="80" customWidth="1"/>
    <col min="3" max="3" width="10" style="80" customWidth="1"/>
    <col min="4" max="4" width="12.7109375" style="80" customWidth="1"/>
    <col min="5" max="5" width="10.85546875" style="80" customWidth="1"/>
    <col min="6" max="6" width="18" style="80" customWidth="1"/>
    <col min="7" max="7" width="3.42578125" customWidth="1"/>
    <col min="8" max="8" width="22.42578125" style="80" customWidth="1"/>
    <col min="9" max="9" width="1.85546875" style="80" customWidth="1"/>
  </cols>
  <sheetData>
    <row r="1" spans="1:2">
      <c r="A1" s="168" t="s">
        <v>112</v>
      </c>
      <c r="B1" s="169" t="s">
        <v>223</v>
      </c>
    </row>
    <row r="2" spans="1:2">
      <c r="A2" s="122" t="s">
        <v>73</v>
      </c>
      <c r="B2" s="170">
        <v>40</v>
      </c>
    </row>
    <row r="3" spans="1:2">
      <c r="A3" s="122" t="s">
        <v>137</v>
      </c>
      <c r="B3" s="170">
        <v>36</v>
      </c>
    </row>
    <row r="4" spans="1:2">
      <c r="A4" s="139" t="s">
        <v>123</v>
      </c>
      <c r="B4" s="121">
        <v>42</v>
      </c>
    </row>
    <row r="5" spans="1:2">
      <c r="A5" s="122" t="s">
        <v>121</v>
      </c>
      <c r="B5" s="170">
        <v>0</v>
      </c>
    </row>
    <row r="6" spans="1:2">
      <c r="A6" s="122" t="s">
        <v>224</v>
      </c>
      <c r="B6" s="170">
        <v>41</v>
      </c>
    </row>
    <row r="7" spans="1:2">
      <c r="A7" s="122" t="s">
        <v>120</v>
      </c>
      <c r="B7" s="170">
        <v>50</v>
      </c>
    </row>
    <row r="8" spans="1:2">
      <c r="A8" s="122"/>
      <c r="B8" s="170"/>
    </row>
    <row r="9" spans="1:2">
      <c r="A9" s="122"/>
      <c r="B9" s="170"/>
    </row>
    <row r="10" spans="1:2">
      <c r="A10" s="122"/>
      <c r="B10" s="170"/>
    </row>
    <row r="11" spans="1:2">
      <c r="A11" s="122"/>
      <c r="B11" s="170"/>
    </row>
    <row r="12" spans="1:2">
      <c r="A12" s="122"/>
      <c r="B12" s="170"/>
    </row>
    <row r="13" spans="1:2">
      <c r="A13" s="122"/>
      <c r="B13" s="170"/>
    </row>
    <row r="14" spans="1:2">
      <c r="A14" s="122"/>
      <c r="B14" s="170"/>
    </row>
    <row r="15" spans="1:2">
      <c r="A15" s="122"/>
      <c r="B15" s="170"/>
    </row>
    <row r="16" spans="1:2">
      <c r="A16" s="122"/>
      <c r="B16" s="170"/>
    </row>
    <row r="17" spans="1:2">
      <c r="A17" s="122"/>
      <c r="B17" s="170"/>
    </row>
    <row r="18" spans="1:2">
      <c r="A18" s="122"/>
      <c r="B18" s="170"/>
    </row>
    <row r="19" spans="1:2">
      <c r="A19" s="122"/>
      <c r="B19" s="170"/>
    </row>
    <row r="20" spans="1:2">
      <c r="A20" s="122"/>
      <c r="B20" s="170"/>
    </row>
    <row r="21" spans="1:2">
      <c r="A21" s="122"/>
      <c r="B21" s="170"/>
    </row>
    <row r="22" spans="1:2">
      <c r="A22" s="139"/>
      <c r="B22" s="121"/>
    </row>
    <row r="23" spans="1:2">
      <c r="A23" s="139"/>
      <c r="B23" s="121"/>
    </row>
    <row r="24" spans="1:2">
      <c r="A24" s="122"/>
      <c r="B24" s="170"/>
    </row>
    <row r="25" spans="1:2" ht="15.95" thickBot="1">
      <c r="A25" s="138"/>
      <c r="B25" s="171"/>
    </row>
  </sheetData>
  <sortState xmlns:xlrd2="http://schemas.microsoft.com/office/spreadsheetml/2017/richdata2" ref="A2:B7">
    <sortCondition ref="A2:A7"/>
  </sortState>
  <pageMargins left="0.7" right="0.7" top="0.75" bottom="0.75" header="0.1" footer="0.3"/>
  <pageSetup orientation="landscape" r:id="rId1"/>
  <headerFooter>
    <oddHeader xml:space="preserve">&amp;C&amp;"Arial,Bold"&amp;12 12ozCollective, Inc.
&amp;14Embroidery Labor Costs
As of October 4, 2023
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Cindy Ruth</dc:creator>
  <cp:keywords/>
  <dc:description/>
  <cp:lastModifiedBy/>
  <cp:revision/>
  <dcterms:created xsi:type="dcterms:W3CDTF">2023-10-16T15:58:43Z</dcterms:created>
  <dcterms:modified xsi:type="dcterms:W3CDTF">2025-03-26T20:56:30Z</dcterms:modified>
  <cp:category/>
  <cp:contentStatus/>
</cp:coreProperties>
</file>