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https://unisalerno-my.sharepoint.com/personal/l_bacco2_studenti_unisa_it/Documents/GPS/Management/Initiation/Business Case/"/>
    </mc:Choice>
  </mc:AlternateContent>
  <xr:revisionPtr revIDLastSave="651" documentId="11_3DD160A1AFE6FBE2BD529CF81811431970A131A3" xr6:coauthVersionLast="47" xr6:coauthVersionMax="47" xr10:uidLastSave="{8EA3AAC1-3E36-4C3F-9489-B3B00B01AEC1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T25" i="1" l="1"/>
  <c r="O15" i="1"/>
  <c r="O16" i="1"/>
  <c r="O17" i="1"/>
  <c r="N9" i="1"/>
  <c r="N10" i="1"/>
  <c r="O25" i="1"/>
  <c r="O26" i="1"/>
  <c r="O27" i="1"/>
  <c r="O28" i="1"/>
  <c r="N25" i="1"/>
  <c r="N26" i="1"/>
  <c r="N27" i="1"/>
  <c r="N28" i="1"/>
  <c r="M25" i="1"/>
  <c r="L25" i="1"/>
  <c r="M26" i="1"/>
  <c r="L26" i="1"/>
  <c r="M27" i="1"/>
  <c r="L27" i="1"/>
  <c r="M28" i="1"/>
  <c r="L28" i="1"/>
  <c r="P27" i="1"/>
  <c r="D13" i="1"/>
  <c r="P26" i="1"/>
  <c r="C13" i="1"/>
  <c r="U17" i="1"/>
  <c r="V16" i="1"/>
  <c r="V15" i="1"/>
  <c r="U10" i="1"/>
  <c r="V9" i="1"/>
  <c r="V8" i="1"/>
  <c r="M11" i="1"/>
  <c r="E14" i="1"/>
  <c r="D14" i="1"/>
  <c r="C14" i="1"/>
  <c r="B14" i="1"/>
  <c r="D10" i="1"/>
  <c r="E10" i="1"/>
  <c r="C10" i="1"/>
  <c r="B10" i="1"/>
  <c r="P25" i="1"/>
  <c r="B13" i="1"/>
  <c r="B15" i="1"/>
  <c r="P28" i="1"/>
  <c r="E13" i="1"/>
  <c r="E15" i="1"/>
  <c r="D15" i="1"/>
  <c r="C15" i="1"/>
  <c r="J14" i="1"/>
  <c r="V17" i="1"/>
  <c r="V10" i="1"/>
  <c r="F15" i="1"/>
  <c r="L17" i="1"/>
  <c r="E9" i="1"/>
  <c r="E11" i="1"/>
  <c r="E17" i="1"/>
  <c r="L15" i="1"/>
  <c r="C9" i="1"/>
  <c r="C11" i="1"/>
  <c r="L16" i="1"/>
  <c r="D9" i="1"/>
  <c r="D11" i="1"/>
  <c r="D17" i="1"/>
  <c r="C17" i="1"/>
  <c r="N11" i="1" l="1"/>
  <c r="T26" i="1" l="1"/>
  <c r="T27" i="1" s="1"/>
  <c r="N14" i="1" s="1"/>
  <c r="O14" i="1" l="1"/>
  <c r="B9" i="1" s="1"/>
  <c r="B11" i="1" s="1"/>
  <c r="B17" i="1" s="1"/>
  <c r="B18" i="1" s="1"/>
  <c r="C18" i="1" s="1"/>
  <c r="D18" i="1" s="1"/>
  <c r="E18" i="1" s="1"/>
  <c r="F11" i="1" l="1"/>
  <c r="B20" i="1" s="1"/>
  <c r="F17" i="1" l="1"/>
</calcChain>
</file>

<file path=xl/sharedStrings.xml><?xml version="1.0" encoding="utf-8"?>
<sst xmlns="http://schemas.openxmlformats.org/spreadsheetml/2006/main" count="70" uniqueCount="48">
  <si>
    <t>Created by: Bacco Luigi &amp; Scala Benedetto</t>
  </si>
  <si>
    <t>Date:</t>
  </si>
  <si>
    <t>Discount rate</t>
  </si>
  <si>
    <t>Assume the project is completed in Year 0</t>
  </si>
  <si>
    <t>Year</t>
  </si>
  <si>
    <t>Total</t>
  </si>
  <si>
    <t>Costs</t>
  </si>
  <si>
    <t>Discount factor</t>
  </si>
  <si>
    <t>Discounted costs</t>
  </si>
  <si>
    <t>Benefits</t>
  </si>
  <si>
    <t>Discounted benefits</t>
  </si>
  <si>
    <t>Discounted benefits - costs</t>
  </si>
  <si>
    <t>NPV</t>
  </si>
  <si>
    <t>Cumulative benefits - costs</t>
  </si>
  <si>
    <t>ROI</t>
  </si>
  <si>
    <t>Settimane lavorative</t>
  </si>
  <si>
    <t>Ore Settimanali</t>
  </si>
  <si>
    <t>Paga oraria</t>
  </si>
  <si>
    <t>Senior</t>
  </si>
  <si>
    <t>Junior</t>
  </si>
  <si>
    <t>#Membri</t>
  </si>
  <si>
    <t>Totale</t>
  </si>
  <si>
    <t>Attrezzature</t>
  </si>
  <si>
    <t>Hosting</t>
  </si>
  <si>
    <t>Manutenzione</t>
  </si>
  <si>
    <t>Team</t>
  </si>
  <si>
    <t>Anno 0</t>
  </si>
  <si>
    <t>Anno 1</t>
  </si>
  <si>
    <t>Anno 2</t>
  </si>
  <si>
    <t>Anno 3</t>
  </si>
  <si>
    <t xml:space="preserve"> </t>
  </si>
  <si>
    <t>Realizzazione</t>
  </si>
  <si>
    <t>Manutenzione Straordinaria</t>
  </si>
  <si>
    <t>Payback in Year 3</t>
  </si>
  <si>
    <t>Benefici</t>
  </si>
  <si>
    <t>Benessere sociale</t>
  </si>
  <si>
    <t>Comuni influenzati</t>
  </si>
  <si>
    <t>Percentuale Risparmio</t>
  </si>
  <si>
    <t>Promozione territoriale</t>
  </si>
  <si>
    <t>#Segnalazioni</t>
  </si>
  <si>
    <t>Risparmio Segnalazioni</t>
  </si>
  <si>
    <t>Financial Analysis for CiviConnect</t>
  </si>
  <si>
    <t xml:space="preserve">             </t>
  </si>
  <si>
    <t>Gestione Rischi</t>
  </si>
  <si>
    <t>Contingency Reserve</t>
  </si>
  <si>
    <t>Management Reserve</t>
  </si>
  <si>
    <t>Percentuale</t>
  </si>
  <si>
    <t>Rischi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</si>
</sst>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-* #,##0.00\ [$€-410]_-;\-* #,##0.00\ [$€-410]_-;_-* &quot;-&quot;??\ [$€-410]_-;_-@_-"/>
    <numFmt numFmtId="168" formatCode="0.0%"/>
  </numFmts>
  <fonts count="11" x14ac:knownFonts="1">
    <font>
      <sz val="10"/>
      <name val="Arial"/>
    </font>
    <font>
      <sz val="10"/>
      <name val="Arial"/>
      <family val="2"/>
    </font>
    <font>
      <b/>
      <sz val="18"/>
      <name val="Avenir Next LT Pro"/>
      <family val="2"/>
    </font>
    <font>
      <b/>
      <sz val="12"/>
      <name val="Avenir Next LT Pro"/>
      <family val="2"/>
    </font>
    <font>
      <sz val="12"/>
      <name val="Avenir Next LT Pro"/>
      <family val="2"/>
    </font>
    <font>
      <sz val="10"/>
      <name val="Avenir Next LT Pro"/>
      <family val="2"/>
    </font>
    <font>
      <b/>
      <sz val="10"/>
      <name val="Avenir Next LT Pro"/>
      <family val="2"/>
    </font>
    <font>
      <b/>
      <sz val="10"/>
      <color rgb="FF00B050"/>
      <name val="Avenir Next LT Pro"/>
      <family val="2"/>
    </font>
    <font>
      <b/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/>
    <xf numFmtId="10" fontId="7" fillId="0" borderId="0" xfId="0" applyNumberFormat="1" applyFont="1"/>
    <xf numFmtId="0" fontId="5" fillId="0" borderId="0" xfId="0" applyFont="1"/>
    <xf numFmtId="9" fontId="6" fillId="0" borderId="0" xfId="0" applyNumberFormat="1" applyFont="1"/>
    <xf numFmtId="0" fontId="7" fillId="0" borderId="0" xfId="2" applyNumberFormat="1" applyFont="1"/>
    <xf numFmtId="0" fontId="7" fillId="0" borderId="0" xfId="0" applyFont="1"/>
    <xf numFmtId="3" fontId="7" fillId="0" borderId="0" xfId="0" applyNumberFormat="1" applyFont="1"/>
    <xf numFmtId="2" fontId="5" fillId="0" borderId="0" xfId="0" applyNumberFormat="1" applyFont="1"/>
    <xf numFmtId="166" fontId="6" fillId="0" borderId="0" xfId="1" applyNumberFormat="1" applyFont="1"/>
    <xf numFmtId="166" fontId="6" fillId="0" borderId="0" xfId="0" applyNumberFormat="1" applyFont="1"/>
    <xf numFmtId="37" fontId="7" fillId="0" borderId="0" xfId="1" applyNumberFormat="1" applyFont="1"/>
    <xf numFmtId="0" fontId="6" fillId="0" borderId="0" xfId="1" applyNumberFormat="1" applyFont="1"/>
    <xf numFmtId="166" fontId="5" fillId="0" borderId="0" xfId="0" applyNumberFormat="1" applyFont="1"/>
    <xf numFmtId="0" fontId="6" fillId="0" borderId="0" xfId="0" applyFont="1" applyAlignment="1">
      <alignment horizontal="right"/>
    </xf>
    <xf numFmtId="9" fontId="6" fillId="0" borderId="0" xfId="3" applyFont="1"/>
    <xf numFmtId="0" fontId="1" fillId="0" borderId="0" xfId="0" applyFont="1"/>
    <xf numFmtId="0" fontId="0" fillId="0" borderId="0" xfId="1" applyNumberFormat="1" applyFont="1"/>
    <xf numFmtId="10" fontId="0" fillId="0" borderId="0" xfId="1" applyNumberFormat="1" applyFont="1"/>
    <xf numFmtId="167" fontId="0" fillId="0" borderId="0" xfId="2" applyNumberFormat="1" applyFont="1"/>
    <xf numFmtId="167" fontId="0" fillId="0" borderId="0" xfId="1" applyNumberFormat="1" applyFont="1"/>
    <xf numFmtId="167" fontId="0" fillId="0" borderId="0" xfId="0" applyNumberFormat="1"/>
    <xf numFmtId="167" fontId="0" fillId="0" borderId="0" xfId="3" applyNumberFormat="1" applyFont="1"/>
    <xf numFmtId="0" fontId="1" fillId="0" borderId="0" xfId="1" applyNumberFormat="1" applyFont="1"/>
    <xf numFmtId="0" fontId="0" fillId="2" borderId="0" xfId="0" applyFill="1"/>
    <xf numFmtId="0" fontId="10" fillId="2" borderId="0" xfId="0" applyFont="1" applyFill="1"/>
    <xf numFmtId="0" fontId="8" fillId="2" borderId="0" xfId="0" applyFont="1" applyFill="1"/>
    <xf numFmtId="0" fontId="9" fillId="2" borderId="0" xfId="0" applyFont="1" applyFill="1"/>
    <xf numFmtId="9" fontId="0" fillId="0" borderId="0" xfId="3" applyFont="1"/>
    <xf numFmtId="168" fontId="0" fillId="0" borderId="0" xfId="3" applyNumberFormat="1" applyFon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2" fillId="0" borderId="0" xfId="0" applyFont="1" applyAlignment="1">
      <alignment horizontal="center"/>
    </xf>
  </cellXfs>
  <cellStyles count="4">
    <cellStyle name="Migliaia" xfId="1" builtinId="3"/>
    <cellStyle name="Normale" xfId="0" builtinId="0"/>
    <cellStyle name="Percentuale" xfId="3" builtinId="5"/>
    <cellStyle name="Valuta" xfId="2" builtinId="4"/>
  </cellStyles>
  <dxfs count="24"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_-* #,##0.00\ [$€-410]_-;\-* #,##0.00\ [$€-410]_-;_-* &quot;-&quot;??\ [$€-410]_-;_-@_-"/>
    </dxf>
    <dxf>
      <numFmt numFmtId="14" formatCode="0.00%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85725</xdr:rowOff>
    </xdr:from>
    <xdr:to>
      <xdr:col>6</xdr:col>
      <xdr:colOff>276225</xdr:colOff>
      <xdr:row>16</xdr:row>
      <xdr:rowOff>85725</xdr:rowOff>
    </xdr:to>
    <xdr:sp macro="" textlink="">
      <xdr:nvSpPr>
        <xdr:cNvPr id="1044" name="Line 2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ShapeType="1"/>
        </xdr:cNvSpPr>
      </xdr:nvSpPr>
      <xdr:spPr bwMode="auto">
        <a:xfrm flipH="1">
          <a:off x="5591175" y="3162300"/>
          <a:ext cx="276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229826</xdr:colOff>
      <xdr:row>17</xdr:row>
      <xdr:rowOff>38100</xdr:rowOff>
    </xdr:from>
    <xdr:to>
      <xdr:col>4</xdr:col>
      <xdr:colOff>229826</xdr:colOff>
      <xdr:row>19</xdr:row>
      <xdr:rowOff>0</xdr:rowOff>
    </xdr:to>
    <xdr:sp macro="" textlink="">
      <xdr:nvSpPr>
        <xdr:cNvPr id="1045" name="Line 3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ShapeType="1"/>
        </xdr:cNvSpPr>
      </xdr:nvSpPr>
      <xdr:spPr bwMode="auto">
        <a:xfrm flipV="1">
          <a:off x="5539245" y="3307326"/>
          <a:ext cx="0" cy="28964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0</xdr:col>
      <xdr:colOff>352425</xdr:colOff>
      <xdr:row>19</xdr:row>
      <xdr:rowOff>85725</xdr:rowOff>
    </xdr:from>
    <xdr:to>
      <xdr:col>0</xdr:col>
      <xdr:colOff>2371725</xdr:colOff>
      <xdr:row>19</xdr:row>
      <xdr:rowOff>85725</xdr:rowOff>
    </xdr:to>
    <xdr:sp macro="" textlink="">
      <xdr:nvSpPr>
        <xdr:cNvPr id="1046" name="Line 4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ShapeType="1"/>
        </xdr:cNvSpPr>
      </xdr:nvSpPr>
      <xdr:spPr bwMode="auto">
        <a:xfrm>
          <a:off x="352425" y="3648075"/>
          <a:ext cx="2019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CED9E5-7333-4B40-BC00-F5962084A29E}" name="Tabella2" displayName="Tabella2" ref="J8:N11" totalsRowCount="1">
  <autoFilter ref="J8:N10" xr:uid="{FBCED9E5-7333-4B40-BC00-F5962084A29E}"/>
  <tableColumns count="5">
    <tableColumn id="1" xr3:uid="{2A8AF16E-D434-4EF8-B474-BA68399A1454}" name="Ore Settimanali"/>
    <tableColumn id="2" xr3:uid="{42EAFB28-3F74-475B-AFA8-F22D5500B795}" name="Settimane lavorative"/>
    <tableColumn id="3" xr3:uid="{B37F57AB-A81F-4CB4-A1CF-3F99E55340A5}" name="Paga oraria" dataDxfId="23" dataCellStyle="Valuta"/>
    <tableColumn id="6" xr3:uid="{9F7DAF2F-1BB6-4177-BCFF-25E066475735}" name="#Membri" totalsRowFunction="custom">
      <totalsRowFormula>M9+M10</totalsRowFormula>
    </tableColumn>
    <tableColumn id="7" xr3:uid="{E0E96605-92B6-4BE1-8F21-6B0B7CE30236}" name="Totale" totalsRowFunction="custom" dataDxfId="22" totalsRowDxfId="21" dataCellStyle="Valuta" totalsRowCellStyle="Valuta">
      <calculatedColumnFormula>Tabella2[[#This Row],[Ore Settimanali]]*Tabella2[[#This Row],[Settimane lavorative]]*Tabella2[[#This Row],[Paga oraria]]*Tabella2[[#This Row],['#Membri]]</calculatedColumnFormula>
      <totalsRowFormula>N9+N10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EE27BE-C89C-41D2-AA09-DBEF5E4C7A59}" name="Tabella3" displayName="Tabella3" ref="J13:O17" totalsRowShown="0" dataDxfId="20" dataCellStyle="Migliaia">
  <autoFilter ref="J13:O17" xr:uid="{DDEE27BE-C89C-41D2-AA09-DBEF5E4C7A59}"/>
  <tableColumns count="6">
    <tableColumn id="1" xr3:uid="{C78999A4-0DF3-408F-BBA5-D0ADB82774E8}" name="Attrezzature" dataDxfId="19" dataCellStyle="Migliaia">
      <calculatedColumnFormula>300*Tabella2[[#Totals],['#Membri]]</calculatedColumnFormula>
    </tableColumn>
    <tableColumn id="2" xr3:uid="{E9858E55-41D8-4450-9DDF-F6829E428571}" name="Hosting" dataDxfId="18" dataCellStyle="Migliaia"/>
    <tableColumn id="3" xr3:uid="{EBAE60B8-844A-42F7-AD02-94DF6CDBD012}" name="Manutenzione" dataDxfId="17" dataCellStyle="Migliaia">
      <calculatedColumnFormula>Tabella25[[#Totals],[Totale]]</calculatedColumnFormula>
    </tableColumn>
    <tableColumn id="4" xr3:uid="{B639BF40-F07C-44BA-82D4-47E587E35128}" name="Team" dataDxfId="16" dataCellStyle="Migliaia">
      <calculatedColumnFormula>Tabella2[[#Totals],[Totale]]</calculatedColumnFormula>
    </tableColumn>
    <tableColumn id="6" xr3:uid="{54E1FF4E-1B75-4322-A576-26A2A6B26CF2}" name="Rischi" dataDxfId="15" dataCellStyle="Migliaia">
      <calculatedColumnFormula>Tabella2567[[#Totals],[Totale]]</calculatedColumnFormula>
    </tableColumn>
    <tableColumn id="5" xr3:uid="{0F7B2735-2E86-4C12-B433-8E7A9107AF0E}" name="Totale" dataDxfId="14" dataCellStyle="Migliaia">
      <calculatedColumnFormula>Tabella3[[#This Row],[Attrezzature]]+Tabella3[[#This Row],[Hosting]]+Tabella3[[#This Row],[Manutenzione]]+Tabella3[[#This Row],[Team]]+Tabella3[[#This Row],[Rischi]]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891ABDF-DA50-4D6C-8A3A-1CFF4BD9D7A8}" name="Tabella25" displayName="Tabella25" ref="R7:V10" totalsRowCount="1">
  <autoFilter ref="R7:V9" xr:uid="{F891ABDF-DA50-4D6C-8A3A-1CFF4BD9D7A8}"/>
  <tableColumns count="5">
    <tableColumn id="1" xr3:uid="{D86734A1-9D2F-4D73-91F4-78BC5CD2E0FD}" name="Ore Settimanali"/>
    <tableColumn id="2" xr3:uid="{31261FBA-6480-4E9C-9B99-57A5FEF6F014}" name="Settimane lavorative"/>
    <tableColumn id="3" xr3:uid="{2F21D9E8-EA82-41D7-B91E-A7ADA7D2CA81}" name="Paga oraria" dataDxfId="13"/>
    <tableColumn id="6" xr3:uid="{203DCB2A-3645-4B0B-ACB0-D49217FD04BC}" name="#Membri" totalsRowFunction="custom">
      <totalsRowFormula>U8+U9</totalsRowFormula>
    </tableColumn>
    <tableColumn id="7" xr3:uid="{D48CD6F8-9B81-4E99-9E31-DDAE7C67EBFA}" name="Totale" totalsRowFunction="custom" dataDxfId="12" totalsRowDxfId="11">
      <calculatedColumnFormula>Tabella25[[#This Row],[Ore Settimanali]]*Tabella25[[#This Row],[Settimane lavorative]]*Tabella25[[#This Row],[Paga oraria]]*Tabella25[[#This Row],['#Membri]]</calculatedColumnFormula>
      <totalsRowFormula>V8+V9</totalsRow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A88A50-DF70-4E07-AC23-16D2858C0292}" name="Tabella256" displayName="Tabella256" ref="R14:V17" totalsRowCount="1">
  <autoFilter ref="R14:V16" xr:uid="{A0A88A50-DF70-4E07-AC23-16D2858C0292}"/>
  <tableColumns count="5">
    <tableColumn id="1" xr3:uid="{837DF75B-FF94-499C-8886-F03977E9327C}" name="Ore Settimanali"/>
    <tableColumn id="2" xr3:uid="{57CD4026-4635-414A-8868-F3561CE71855}" name="Settimane lavorative"/>
    <tableColumn id="3" xr3:uid="{37896243-4014-4677-B7C8-0E4BD9E6F9D1}" name="Paga oraria" dataDxfId="10"/>
    <tableColumn id="6" xr3:uid="{6F9DE2C8-9FF0-4414-B985-CD53E49DF717}" name="#Membri" totalsRowFunction="custom">
      <totalsRowFormula>U15+U16</totalsRowFormula>
    </tableColumn>
    <tableColumn id="7" xr3:uid="{CE68B0C0-DF70-4729-8BD9-EA8AFA23F2C0}" name="Totale" totalsRowFunction="custom" dataDxfId="9" totalsRowDxfId="8">
      <calculatedColumnFormula>Tabella256[[#This Row],[Ore Settimanali]]*Tabella256[[#This Row],[Settimane lavorative]]*Tabella256[[#This Row],[Paga oraria]]*Tabella256[[#This Row],['#Membri]]</calculatedColumnFormula>
      <totalsRowFormula>V15+V16</totalsRow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73B649-155A-4814-AC0E-CB7260FC9061}" name="Tabella32" displayName="Tabella32" ref="J24:P28" totalsRowShown="0" dataCellStyle="Migliaia">
  <autoFilter ref="J24:P28" xr:uid="{F173B649-155A-4814-AC0E-CB7260FC9061}"/>
  <tableColumns count="7">
    <tableColumn id="1" xr3:uid="{70FA301B-0472-4E63-B11A-A917E746EAF6}" name="Comuni influenzati" dataCellStyle="Migliaia">
      <calculatedColumnFormula>300*Tabella2[[#Totals],['#Membri]]</calculatedColumnFormula>
    </tableColumn>
    <tableColumn id="2" xr3:uid="{F9326F50-D740-4C10-947C-09933A79E0DF}" name="Percentuale Risparmio" dataDxfId="7" dataCellStyle="Migliaia"/>
    <tableColumn id="8" xr3:uid="{327E61B8-8FA2-4116-BB54-1E142CC2D1DA}" name="Risparmio Segnalazioni" dataDxfId="6" dataCellStyle="Migliaia">
      <calculatedColumnFormula>20*Tabella32[[#This Row],['#Segnalazioni]]*Tabella32[[#This Row],[Percentuale Risparmio]]</calculatedColumnFormula>
    </tableColumn>
    <tableColumn id="7" xr3:uid="{DF5E2FC2-9F53-4059-BCA8-4A726E0A4762}" name="#Segnalazioni" dataDxfId="5" dataCellStyle="Migliaia">
      <calculatedColumnFormula>10*Tabella32[[#This Row],[Comuni influenzati]]</calculatedColumnFormula>
    </tableColumn>
    <tableColumn id="3" xr3:uid="{A163078B-AD06-430C-A759-BD9CFBA9C503}" name="Benessere sociale" dataDxfId="4" dataCellStyle="Percentuale">
      <calculatedColumnFormula>50*Tabella32[[#This Row],[Comuni influenzati]]</calculatedColumnFormula>
    </tableColumn>
    <tableColumn id="5" xr3:uid="{3DDFD838-B333-4266-835A-F4314019DACD}" name="Promozione territoriale" dataDxfId="3" dataCellStyle="Migliaia">
      <calculatedColumnFormula>50*Tabella32[[#This Row],[Comuni influenzati]]</calculatedColumnFormula>
    </tableColumn>
    <tableColumn id="4" xr3:uid="{E6418246-BD82-4D6F-94CE-0C5C3E3EDFB4}" name="Totale" dataDxfId="2" dataCellStyle="Migliaia">
      <calculatedColumnFormula>Tabella32[[#This Row],[Risparmio Segnalazioni]]+Tabella32[[#This Row],[Benessere sociale]]+Tabella32[[#This Row],[Promozione territoriale]]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9C214E-05E3-41B0-AD90-4FD77AE2D6C3}" name="Tabella2567" displayName="Tabella2567" ref="S24:T27" totalsRowCount="1">
  <autoFilter ref="S24:T26" xr:uid="{189C214E-05E3-41B0-AD90-4FD77AE2D6C3}"/>
  <tableColumns count="2">
    <tableColumn id="1" xr3:uid="{70694724-C218-41CD-BEE7-F2E5758EBDFB}" name="Percentuale" dataCellStyle="Percentuale"/>
    <tableColumn id="7" xr3:uid="{F7CDC56D-7CA9-4F15-851C-0C79DF526A7F}" name="Totale" totalsRowFunction="custom" dataDxfId="1" totalsRowDxfId="0">
      <calculatedColumnFormula>Tabella2567[[#This Row],[Percentuale]]*Tabella2[[#Totals],[Totale]]</calculatedColumnFormula>
      <totalsRowFormula>T25+T26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8"/>
  <sheetViews>
    <sheetView tabSelected="1" topLeftCell="A4" zoomScale="93" zoomScaleNormal="93" workbookViewId="0">
      <selection activeCell="M14" sqref="M14"/>
    </sheetView>
  </sheetViews>
  <sheetFormatPr defaultRowHeight="13.2" x14ac:dyDescent="0.25"/>
  <cols>
    <col min="1" max="1" width="37.109375" bestFit="1" customWidth="1"/>
    <col min="2" max="2" width="11.5546875" bestFit="1" customWidth="1"/>
    <col min="3" max="3" width="10.33203125" bestFit="1" customWidth="1"/>
    <col min="4" max="4" width="18.44140625" customWidth="1"/>
    <col min="5" max="6" width="10.33203125" bestFit="1" customWidth="1"/>
    <col min="10" max="10" width="20.33203125" customWidth="1"/>
    <col min="11" max="11" width="21.44140625" customWidth="1"/>
    <col min="12" max="12" width="25" customWidth="1"/>
    <col min="13" max="13" width="18.44140625" customWidth="1"/>
    <col min="14" max="14" width="20.109375" customWidth="1"/>
    <col min="15" max="15" width="24.5546875" customWidth="1"/>
    <col min="16" max="16" width="13.6640625" customWidth="1"/>
    <col min="17" max="17" width="13.5546875" customWidth="1"/>
    <col min="18" max="18" width="22.5546875" customWidth="1"/>
    <col min="19" max="20" width="24.6640625" customWidth="1"/>
    <col min="21" max="21" width="17.6640625" customWidth="1"/>
    <col min="22" max="22" width="13.6640625" customWidth="1"/>
  </cols>
  <sheetData>
    <row r="1" spans="1:22" ht="23.4" x14ac:dyDescent="0.45">
      <c r="A1" s="36" t="s">
        <v>41</v>
      </c>
      <c r="B1" s="36"/>
      <c r="C1" s="36"/>
      <c r="D1" s="36"/>
      <c r="E1" s="36"/>
      <c r="F1" s="36"/>
      <c r="G1" s="36"/>
    </row>
    <row r="2" spans="1:22" ht="23.4" x14ac:dyDescent="0.45">
      <c r="A2" s="2" t="s">
        <v>0</v>
      </c>
      <c r="B2" s="2"/>
      <c r="C2" s="2" t="s">
        <v>1</v>
      </c>
      <c r="D2" s="3">
        <v>45584</v>
      </c>
      <c r="E2" s="1"/>
      <c r="F2" s="1"/>
      <c r="G2" s="1"/>
    </row>
    <row r="3" spans="1:22" ht="30" customHeight="1" x14ac:dyDescent="0.3">
      <c r="A3" s="35"/>
      <c r="B3" s="35"/>
      <c r="C3" s="35"/>
      <c r="D3" s="35"/>
      <c r="E3" s="35"/>
      <c r="F3" s="35"/>
      <c r="G3" s="35"/>
    </row>
    <row r="4" spans="1:22" x14ac:dyDescent="0.25">
      <c r="A4" s="4"/>
      <c r="B4" s="4"/>
      <c r="C4" s="4"/>
      <c r="D4" s="4"/>
      <c r="E4" s="4"/>
      <c r="F4" s="4"/>
      <c r="G4" s="4"/>
    </row>
    <row r="5" spans="1:22" x14ac:dyDescent="0.25">
      <c r="A5" s="5" t="s">
        <v>2</v>
      </c>
      <c r="B5" s="6">
        <v>3.5000000000000003E-2</v>
      </c>
      <c r="C5" s="7"/>
      <c r="D5" s="7"/>
      <c r="E5" s="7"/>
      <c r="F5" s="7"/>
      <c r="G5" s="7"/>
    </row>
    <row r="6" spans="1:22" x14ac:dyDescent="0.25">
      <c r="A6" s="5"/>
      <c r="B6" s="8"/>
      <c r="C6" s="7"/>
      <c r="D6" s="7"/>
      <c r="E6" s="7"/>
      <c r="F6" s="7"/>
      <c r="G6" s="7"/>
      <c r="Q6" s="31" t="s">
        <v>24</v>
      </c>
      <c r="R6" s="31"/>
      <c r="S6" s="31"/>
      <c r="T6" s="31"/>
      <c r="U6" s="31"/>
      <c r="V6" s="31"/>
    </row>
    <row r="7" spans="1:22" x14ac:dyDescent="0.25">
      <c r="A7" s="7" t="s">
        <v>3</v>
      </c>
      <c r="B7" s="7"/>
      <c r="C7" s="7"/>
      <c r="D7" s="5" t="s">
        <v>4</v>
      </c>
      <c r="E7" s="7"/>
      <c r="F7" s="5"/>
      <c r="G7" s="7"/>
      <c r="I7" s="30"/>
      <c r="J7" s="31" t="s">
        <v>31</v>
      </c>
      <c r="K7" s="28"/>
      <c r="L7" s="28"/>
      <c r="M7" s="28"/>
      <c r="N7" s="28"/>
      <c r="Q7" s="30"/>
      <c r="R7" t="s">
        <v>16</v>
      </c>
      <c r="S7" t="s">
        <v>15</v>
      </c>
      <c r="T7" t="s">
        <v>17</v>
      </c>
      <c r="U7" t="s">
        <v>20</v>
      </c>
      <c r="V7" t="s">
        <v>21</v>
      </c>
    </row>
    <row r="8" spans="1:22" x14ac:dyDescent="0.25">
      <c r="A8" s="7"/>
      <c r="B8" s="9">
        <v>0</v>
      </c>
      <c r="C8" s="10">
        <v>1</v>
      </c>
      <c r="D8" s="10">
        <v>2</v>
      </c>
      <c r="E8" s="10">
        <v>3</v>
      </c>
      <c r="F8" s="5" t="s">
        <v>5</v>
      </c>
      <c r="G8" s="7"/>
      <c r="I8" s="30"/>
      <c r="J8" t="s">
        <v>16</v>
      </c>
      <c r="K8" t="s">
        <v>15</v>
      </c>
      <c r="L8" t="s">
        <v>17</v>
      </c>
      <c r="M8" t="s">
        <v>20</v>
      </c>
      <c r="N8" t="s">
        <v>21</v>
      </c>
      <c r="O8" t="s">
        <v>30</v>
      </c>
      <c r="Q8" s="30" t="s">
        <v>18</v>
      </c>
      <c r="R8">
        <v>5</v>
      </c>
      <c r="S8">
        <v>24</v>
      </c>
      <c r="T8" s="25">
        <v>20</v>
      </c>
      <c r="U8">
        <v>1</v>
      </c>
      <c r="V8" s="24">
        <f>Tabella25[[#This Row],[Ore Settimanali]]*Tabella25[[#This Row],[Settimane lavorative]]*Tabella25[[#This Row],[Paga oraria]]*Tabella25[[#This Row],['#Membri]]</f>
        <v>2400</v>
      </c>
    </row>
    <row r="9" spans="1:22" x14ac:dyDescent="0.25">
      <c r="A9" s="7" t="s">
        <v>6</v>
      </c>
      <c r="B9" s="11">
        <f>O14</f>
        <v>99436</v>
      </c>
      <c r="C9" s="11">
        <f>O15</f>
        <v>8250</v>
      </c>
      <c r="D9" s="11">
        <f>O16</f>
        <v>8250</v>
      </c>
      <c r="E9" s="11">
        <f>O17</f>
        <v>8250</v>
      </c>
      <c r="F9" s="7"/>
      <c r="G9" s="7"/>
      <c r="I9" s="30" t="s">
        <v>18</v>
      </c>
      <c r="J9">
        <v>20</v>
      </c>
      <c r="K9">
        <v>24</v>
      </c>
      <c r="L9" s="23">
        <v>20</v>
      </c>
      <c r="M9">
        <v>3</v>
      </c>
      <c r="N9" s="23">
        <f>Tabella2[[#This Row],[Ore Settimanali]]*Tabella2[[#This Row],[Settimane lavorative]]*Tabella2[[#This Row],[Paga oraria]]*Tabella2[[#This Row],['#Membri]]</f>
        <v>28800</v>
      </c>
      <c r="Q9" s="30" t="s">
        <v>19</v>
      </c>
      <c r="R9">
        <v>5</v>
      </c>
      <c r="S9">
        <v>24</v>
      </c>
      <c r="T9" s="25">
        <v>15</v>
      </c>
      <c r="U9">
        <v>2</v>
      </c>
      <c r="V9" s="24">
        <f>Tabella25[[#This Row],[Ore Settimanali]]*Tabella25[[#This Row],[Settimane lavorative]]*Tabella25[[#This Row],[Paga oraria]]*Tabella25[[#This Row],['#Membri]]</f>
        <v>3600</v>
      </c>
    </row>
    <row r="10" spans="1:22" x14ac:dyDescent="0.25">
      <c r="A10" s="7" t="s">
        <v>7</v>
      </c>
      <c r="B10" s="12">
        <f>ROUND(1/(1+$B$5)^B$8,2)</f>
        <v>1</v>
      </c>
      <c r="C10" s="12">
        <f>ROUND(1/(1+$B$5)^C$8,2)</f>
        <v>0.97</v>
      </c>
      <c r="D10" s="12">
        <f>ROUND(1/(1+$B$5)^D$8,2)</f>
        <v>0.93</v>
      </c>
      <c r="E10" s="12">
        <f>ROUND(1/(1+$B$5)^E$8,2)</f>
        <v>0.9</v>
      </c>
      <c r="F10" s="7"/>
      <c r="G10" s="7"/>
      <c r="I10" s="30" t="s">
        <v>19</v>
      </c>
      <c r="J10">
        <v>20</v>
      </c>
      <c r="K10">
        <v>24</v>
      </c>
      <c r="L10" s="23">
        <v>15</v>
      </c>
      <c r="M10">
        <v>7</v>
      </c>
      <c r="N10" s="23">
        <f>Tabella2[[#This Row],[Ore Settimanali]]*Tabella2[[#This Row],[Settimane lavorative]]*Tabella2[[#This Row],[Paga oraria]]*Tabella2[[#This Row],['#Membri]]</f>
        <v>50400</v>
      </c>
      <c r="Q10" s="30"/>
      <c r="U10">
        <f>U8+U9</f>
        <v>3</v>
      </c>
      <c r="V10" s="25">
        <f>V8+V9</f>
        <v>6000</v>
      </c>
    </row>
    <row r="11" spans="1:22" x14ac:dyDescent="0.25">
      <c r="A11" s="5" t="s">
        <v>8</v>
      </c>
      <c r="B11" s="13">
        <f>B9*B10</f>
        <v>99436</v>
      </c>
      <c r="C11" s="13">
        <f>C9*C10</f>
        <v>8002.5</v>
      </c>
      <c r="D11" s="13">
        <f>D9*D10</f>
        <v>7672.5</v>
      </c>
      <c r="E11" s="13">
        <f>E9*E10</f>
        <v>7425</v>
      </c>
      <c r="F11" s="14">
        <f>SUM(B11:E11)</f>
        <v>122536</v>
      </c>
      <c r="G11" s="7"/>
      <c r="I11" s="30"/>
      <c r="M11">
        <f>M9+M10</f>
        <v>10</v>
      </c>
      <c r="N11" s="23">
        <f>N9+N10</f>
        <v>79200</v>
      </c>
    </row>
    <row r="12" spans="1:22" x14ac:dyDescent="0.25">
      <c r="A12" s="7"/>
      <c r="B12" s="7"/>
      <c r="C12" s="7"/>
      <c r="D12" s="7"/>
      <c r="E12" s="7"/>
      <c r="F12" s="7"/>
      <c r="G12" s="7"/>
    </row>
    <row r="13" spans="1:22" x14ac:dyDescent="0.25">
      <c r="A13" s="7" t="s">
        <v>9</v>
      </c>
      <c r="B13" s="15">
        <f>P25</f>
        <v>9500</v>
      </c>
      <c r="C13" s="15">
        <f>P26</f>
        <v>19000</v>
      </c>
      <c r="D13" s="15">
        <f>P27</f>
        <v>38000</v>
      </c>
      <c r="E13" s="15">
        <f>P28</f>
        <v>76000</v>
      </c>
      <c r="F13" s="7"/>
      <c r="G13" s="7"/>
      <c r="I13" s="30"/>
      <c r="J13" t="s">
        <v>22</v>
      </c>
      <c r="K13" t="s">
        <v>23</v>
      </c>
      <c r="L13" t="s">
        <v>24</v>
      </c>
      <c r="M13" t="s">
        <v>25</v>
      </c>
      <c r="N13" t="s">
        <v>47</v>
      </c>
      <c r="O13" t="s">
        <v>21</v>
      </c>
      <c r="Q13" s="30" t="s">
        <v>32</v>
      </c>
      <c r="R13" s="30"/>
      <c r="S13" s="30"/>
      <c r="T13" s="30"/>
      <c r="U13" s="30"/>
      <c r="V13" s="30"/>
    </row>
    <row r="14" spans="1:22" x14ac:dyDescent="0.25">
      <c r="A14" s="7" t="s">
        <v>7</v>
      </c>
      <c r="B14" s="12">
        <f>ROUND(1/(1+$B$5)^B$8,2)</f>
        <v>1</v>
      </c>
      <c r="C14" s="12">
        <f>ROUND(1/(1+$B$5)^C$8,2)</f>
        <v>0.97</v>
      </c>
      <c r="D14" s="12">
        <f>ROUND(1/(1+$B$5)^D$8,2)</f>
        <v>0.93</v>
      </c>
      <c r="E14" s="12">
        <f>ROUND(1/(1+$B$5)^E$8,2)</f>
        <v>0.9</v>
      </c>
      <c r="F14" s="7"/>
      <c r="G14" s="7"/>
      <c r="I14" s="30" t="s">
        <v>26</v>
      </c>
      <c r="J14" s="24">
        <f>300*Tabella2[[#Totals],['#Membri]]</f>
        <v>3000</v>
      </c>
      <c r="K14" s="24">
        <v>1000</v>
      </c>
      <c r="L14" s="24"/>
      <c r="M14" s="24">
        <f>Tabella2[[#Totals],[Totale]]</f>
        <v>79200</v>
      </c>
      <c r="N14" s="24">
        <f>Tabella2567[[#Totals],[Totale]]</f>
        <v>16236</v>
      </c>
      <c r="O14" s="24">
        <f>Tabella3[[#This Row],[Attrezzature]]+Tabella3[[#This Row],[Hosting]]+Tabella3[[#This Row],[Manutenzione]]+Tabella3[[#This Row],[Team]]+Tabella3[[#This Row],[Rischi]]</f>
        <v>99436</v>
      </c>
      <c r="Q14" s="29"/>
      <c r="R14" t="s">
        <v>16</v>
      </c>
      <c r="S14" t="s">
        <v>15</v>
      </c>
      <c r="T14" t="s">
        <v>17</v>
      </c>
      <c r="U14" t="s">
        <v>20</v>
      </c>
      <c r="V14" t="s">
        <v>21</v>
      </c>
    </row>
    <row r="15" spans="1:22" x14ac:dyDescent="0.25">
      <c r="A15" s="5" t="s">
        <v>10</v>
      </c>
      <c r="B15" s="16">
        <f>B13*B14</f>
        <v>9500</v>
      </c>
      <c r="C15" s="13">
        <f>C13*C14</f>
        <v>18430</v>
      </c>
      <c r="D15" s="13">
        <f>D13*D14</f>
        <v>35340</v>
      </c>
      <c r="E15" s="13">
        <f>E13*E14</f>
        <v>68400</v>
      </c>
      <c r="F15" s="13">
        <f>SUM(B15:E15)</f>
        <v>131670</v>
      </c>
      <c r="G15" s="7"/>
      <c r="I15" s="30" t="s">
        <v>42</v>
      </c>
      <c r="J15" s="24"/>
      <c r="K15" s="24">
        <v>1000</v>
      </c>
      <c r="L15" s="24">
        <f>Tabella25[[#Totals],[Totale]]+Tabella256[[#Totals],[Totale]]</f>
        <v>7250</v>
      </c>
      <c r="M15" s="24"/>
      <c r="N15" s="24"/>
      <c r="O15" s="24">
        <f>Tabella3[[#This Row],[Attrezzature]]+Tabella3[[#This Row],[Hosting]]+Tabella3[[#This Row],[Manutenzione]]+Tabella3[[#This Row],[Team]]+Tabella3[[#This Row],[Rischi]]</f>
        <v>8250</v>
      </c>
      <c r="Q15" s="29" t="s">
        <v>18</v>
      </c>
      <c r="R15">
        <v>5</v>
      </c>
      <c r="S15">
        <v>5</v>
      </c>
      <c r="T15" s="25">
        <v>20</v>
      </c>
      <c r="U15">
        <v>1</v>
      </c>
      <c r="V15" s="24">
        <f>Tabella256[[#This Row],[Ore Settimanali]]*Tabella256[[#This Row],[Settimane lavorative]]*Tabella256[[#This Row],[Paga oraria]]*Tabella256[[#This Row],['#Membri]]</f>
        <v>500</v>
      </c>
    </row>
    <row r="16" spans="1:22" x14ac:dyDescent="0.25">
      <c r="A16" s="7"/>
      <c r="B16" s="7"/>
      <c r="C16" s="7"/>
      <c r="D16" s="7"/>
      <c r="E16" s="7"/>
      <c r="F16" s="7"/>
      <c r="G16" s="7"/>
      <c r="I16" s="30" t="s">
        <v>28</v>
      </c>
      <c r="J16" s="24"/>
      <c r="K16" s="24">
        <v>1000</v>
      </c>
      <c r="L16" s="24">
        <f>Tabella25[[#Totals],[Totale]]+Tabella256[[#Totals],[Totale]]</f>
        <v>7250</v>
      </c>
      <c r="M16" s="24"/>
      <c r="N16" s="24"/>
      <c r="O16" s="24">
        <f>Tabella3[[#This Row],[Attrezzature]]+Tabella3[[#This Row],[Hosting]]+Tabella3[[#This Row],[Manutenzione]]+Tabella3[[#This Row],[Team]]+Tabella3[[#This Row],[Rischi]]</f>
        <v>8250</v>
      </c>
      <c r="Q16" s="29" t="s">
        <v>19</v>
      </c>
      <c r="R16">
        <v>5</v>
      </c>
      <c r="S16">
        <v>5</v>
      </c>
      <c r="T16" s="25">
        <v>15</v>
      </c>
      <c r="U16">
        <v>2</v>
      </c>
      <c r="V16" s="24">
        <f>Tabella256[[#This Row],[Ore Settimanali]]*Tabella256[[#This Row],[Settimane lavorative]]*Tabella256[[#This Row],[Paga oraria]]*Tabella256[[#This Row],['#Membri]]</f>
        <v>750</v>
      </c>
    </row>
    <row r="17" spans="1:22" x14ac:dyDescent="0.25">
      <c r="A17" s="7" t="s">
        <v>11</v>
      </c>
      <c r="B17" s="17">
        <f>B15-B11</f>
        <v>-89936</v>
      </c>
      <c r="C17" s="17">
        <f>C15-C11</f>
        <v>10427.5</v>
      </c>
      <c r="D17" s="17">
        <f>D15-D11</f>
        <v>27667.5</v>
      </c>
      <c r="E17" s="17">
        <f>E15-E11</f>
        <v>60975</v>
      </c>
      <c r="F17" s="14">
        <f>F15-F11</f>
        <v>9134</v>
      </c>
      <c r="G17" s="18" t="s">
        <v>12</v>
      </c>
      <c r="I17" s="30" t="s">
        <v>29</v>
      </c>
      <c r="J17" s="24"/>
      <c r="K17" s="24">
        <v>1000</v>
      </c>
      <c r="L17" s="24">
        <f>Tabella25[[#Totals],[Totale]]+Tabella256[[#Totals],[Totale]]</f>
        <v>7250</v>
      </c>
      <c r="M17" s="24"/>
      <c r="N17" s="24"/>
      <c r="O17" s="24">
        <f>Tabella3[[#This Row],[Attrezzature]]+Tabella3[[#This Row],[Hosting]]+Tabella3[[#This Row],[Manutenzione]]+Tabella3[[#This Row],[Team]]+Tabella3[[#This Row],[Rischi]]</f>
        <v>8250</v>
      </c>
      <c r="Q17" s="29"/>
      <c r="U17">
        <f>U15+U16</f>
        <v>3</v>
      </c>
      <c r="V17" s="25">
        <f>V15+V16</f>
        <v>1250</v>
      </c>
    </row>
    <row r="18" spans="1:22" x14ac:dyDescent="0.25">
      <c r="A18" s="7" t="s">
        <v>13</v>
      </c>
      <c r="B18" s="17">
        <f>B17</f>
        <v>-89936</v>
      </c>
      <c r="C18" s="17">
        <f>B18+C17</f>
        <v>-79508.5</v>
      </c>
      <c r="D18" s="17">
        <f>C18+D17</f>
        <v>-51841</v>
      </c>
      <c r="E18" s="17">
        <f>D18+E17</f>
        <v>9134</v>
      </c>
      <c r="F18" s="7"/>
      <c r="G18" s="7"/>
    </row>
    <row r="19" spans="1:22" x14ac:dyDescent="0.25">
      <c r="A19" s="7"/>
      <c r="B19" s="7"/>
      <c r="C19" s="7"/>
      <c r="D19" s="7"/>
      <c r="E19" s="7"/>
      <c r="F19" s="7"/>
      <c r="G19" s="7"/>
    </row>
    <row r="20" spans="1:22" x14ac:dyDescent="0.25">
      <c r="A20" s="5" t="s">
        <v>14</v>
      </c>
      <c r="B20" s="19">
        <f>(F15-F11)/F11</f>
        <v>7.4541359274009275E-2</v>
      </c>
      <c r="C20" s="7"/>
      <c r="D20" s="7"/>
      <c r="F20" s="7"/>
      <c r="G20" s="7"/>
    </row>
    <row r="21" spans="1:22" x14ac:dyDescent="0.25">
      <c r="A21" s="7"/>
      <c r="E21" s="34" t="s">
        <v>33</v>
      </c>
      <c r="F21" s="34"/>
      <c r="G21" s="34"/>
    </row>
    <row r="22" spans="1:22" x14ac:dyDescent="0.25">
      <c r="A22" s="5"/>
      <c r="B22" s="7"/>
      <c r="C22" s="7"/>
      <c r="D22" s="7"/>
      <c r="E22" s="7"/>
      <c r="F22" s="7"/>
      <c r="G22" s="7"/>
      <c r="K22" s="20"/>
    </row>
    <row r="23" spans="1:22" x14ac:dyDescent="0.25">
      <c r="A23" s="7"/>
      <c r="B23" s="7"/>
      <c r="C23" s="7"/>
      <c r="D23" s="7"/>
      <c r="E23" s="7"/>
      <c r="F23" s="7"/>
      <c r="G23" s="7"/>
      <c r="I23" s="30"/>
      <c r="J23" s="30" t="s">
        <v>34</v>
      </c>
      <c r="K23" s="30"/>
      <c r="L23" s="30"/>
      <c r="M23" s="30"/>
      <c r="N23" s="30"/>
      <c r="O23" s="30"/>
      <c r="P23" s="30"/>
      <c r="R23" s="30" t="s">
        <v>43</v>
      </c>
      <c r="S23" s="30"/>
      <c r="T23" s="30"/>
    </row>
    <row r="24" spans="1:22" x14ac:dyDescent="0.25">
      <c r="I24" s="29"/>
      <c r="J24" s="20" t="s">
        <v>36</v>
      </c>
      <c r="K24" s="20" t="s">
        <v>37</v>
      </c>
      <c r="L24" s="20" t="s">
        <v>40</v>
      </c>
      <c r="M24" s="20" t="s">
        <v>39</v>
      </c>
      <c r="N24" s="20" t="s">
        <v>35</v>
      </c>
      <c r="O24" s="20" t="s">
        <v>38</v>
      </c>
      <c r="P24" s="20" t="s">
        <v>21</v>
      </c>
      <c r="R24" s="29"/>
      <c r="S24" t="s">
        <v>46</v>
      </c>
      <c r="T24" t="s">
        <v>21</v>
      </c>
    </row>
    <row r="25" spans="1:22" x14ac:dyDescent="0.25">
      <c r="I25" s="29" t="s">
        <v>26</v>
      </c>
      <c r="J25" s="21">
        <v>50</v>
      </c>
      <c r="K25" s="22">
        <v>0.45</v>
      </c>
      <c r="L25" s="24">
        <f>20*Tabella32[[#This Row],['#Segnalazioni]]*Tabella32[[#This Row],[Percentuale Risparmio]]</f>
        <v>4500</v>
      </c>
      <c r="M25" s="27">
        <f>10*Tabella32[[#This Row],[Comuni influenzati]]</f>
        <v>500</v>
      </c>
      <c r="N25" s="26">
        <f>50*Tabella32[[#This Row],[Comuni influenzati]]</f>
        <v>2500</v>
      </c>
      <c r="O25" s="24">
        <f>50*Tabella32[[#This Row],[Comuni influenzati]]</f>
        <v>2500</v>
      </c>
      <c r="P25" s="24">
        <f>Tabella32[[#This Row],[Risparmio Segnalazioni]]+Tabella32[[#This Row],[Benessere sociale]]+Tabella32[[#This Row],[Promozione territoriale]]</f>
        <v>9500</v>
      </c>
      <c r="R25" s="29" t="s">
        <v>44</v>
      </c>
      <c r="S25" s="33">
        <v>0.105</v>
      </c>
      <c r="T25" s="24">
        <f>Tabella2567[[#This Row],[Percentuale]]*Tabella2[[#Totals],[Totale]]</f>
        <v>8316</v>
      </c>
    </row>
    <row r="26" spans="1:22" x14ac:dyDescent="0.25">
      <c r="I26" s="29" t="s">
        <v>27</v>
      </c>
      <c r="J26" s="21">
        <v>100</v>
      </c>
      <c r="K26" s="22">
        <v>0.45</v>
      </c>
      <c r="L26" s="24">
        <f>20*Tabella32[[#This Row],['#Segnalazioni]]*Tabella32[[#This Row],[Percentuale Risparmio]]</f>
        <v>9000</v>
      </c>
      <c r="M26" s="21">
        <f>10*Tabella32[[#This Row],[Comuni influenzati]]</f>
        <v>1000</v>
      </c>
      <c r="N26" s="26">
        <f>50*Tabella32[[#This Row],[Comuni influenzati]]</f>
        <v>5000</v>
      </c>
      <c r="O26" s="24">
        <f>50*Tabella32[[#This Row],[Comuni influenzati]]</f>
        <v>5000</v>
      </c>
      <c r="P26" s="24">
        <f>Tabella32[[#This Row],[Risparmio Segnalazioni]]+Tabella32[[#This Row],[Benessere sociale]]+Tabella32[[#This Row],[Promozione territoriale]]</f>
        <v>19000</v>
      </c>
      <c r="R26" s="29" t="s">
        <v>45</v>
      </c>
      <c r="S26" s="32">
        <v>0.1</v>
      </c>
      <c r="T26" s="24">
        <f>Tabella2567[[#This Row],[Percentuale]]*Tabella2[[#Totals],[Totale]]</f>
        <v>7920</v>
      </c>
    </row>
    <row r="27" spans="1:22" x14ac:dyDescent="0.25">
      <c r="I27" s="29" t="s">
        <v>28</v>
      </c>
      <c r="J27" s="21">
        <v>200</v>
      </c>
      <c r="K27" s="22">
        <v>0.45</v>
      </c>
      <c r="L27" s="24">
        <f>20*Tabella32[[#This Row],['#Segnalazioni]]*Tabella32[[#This Row],[Percentuale Risparmio]]</f>
        <v>18000</v>
      </c>
      <c r="M27" s="21">
        <f>10*Tabella32[[#This Row],[Comuni influenzati]]</f>
        <v>2000</v>
      </c>
      <c r="N27" s="26">
        <f>50*Tabella32[[#This Row],[Comuni influenzati]]</f>
        <v>10000</v>
      </c>
      <c r="O27" s="24">
        <f>50*Tabella32[[#This Row],[Comuni influenzati]]</f>
        <v>10000</v>
      </c>
      <c r="P27" s="24">
        <f>Tabella32[[#This Row],[Risparmio Segnalazioni]]+Tabella32[[#This Row],[Benessere sociale]]+Tabella32[[#This Row],[Promozione territoriale]]</f>
        <v>38000</v>
      </c>
      <c r="R27" s="29"/>
      <c r="T27" s="25">
        <f>T25+T26</f>
        <v>16236</v>
      </c>
    </row>
    <row r="28" spans="1:22" x14ac:dyDescent="0.25">
      <c r="I28" s="29" t="s">
        <v>29</v>
      </c>
      <c r="J28" s="21">
        <v>400</v>
      </c>
      <c r="K28" s="22">
        <v>0.45</v>
      </c>
      <c r="L28" s="24">
        <f>20*Tabella32[[#This Row],['#Segnalazioni]]*Tabella32[[#This Row],[Percentuale Risparmio]]</f>
        <v>36000</v>
      </c>
      <c r="M28" s="21">
        <f>10*Tabella32[[#This Row],[Comuni influenzati]]</f>
        <v>4000</v>
      </c>
      <c r="N28" s="26">
        <f>50*Tabella32[[#This Row],[Comuni influenzati]]</f>
        <v>20000</v>
      </c>
      <c r="O28" s="24">
        <f>50*Tabella32[[#This Row],[Comuni influenzati]]</f>
        <v>20000</v>
      </c>
      <c r="P28" s="24">
        <f>Tabella32[[#This Row],[Risparmio Segnalazioni]]+Tabella32[[#This Row],[Benessere sociale]]+Tabella32[[#This Row],[Promozione territoriale]]</f>
        <v>76000</v>
      </c>
    </row>
  </sheetData>
  <mergeCells count="3">
    <mergeCell ref="E21:G21"/>
    <mergeCell ref="A3:G3"/>
    <mergeCell ref="A1:G1"/>
  </mergeCells>
  <phoneticPr fontId="0" type="noConversion"/>
  <printOptions gridLines="1"/>
  <pageMargins left="0.75" right="0.75" top="1" bottom="1" header="0.5" footer="0.5"/>
  <pageSetup scale="95" orientation="portrait" r:id="rId1"/>
  <headerFooter alignWithMargins="0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Augsburg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 Department</dc:creator>
  <cp:keywords/>
  <dc:description/>
  <cp:lastModifiedBy>LUIGI BACCO</cp:lastModifiedBy>
  <cp:revision/>
  <dcterms:created xsi:type="dcterms:W3CDTF">2003-02-20T16:30:31Z</dcterms:created>
  <dcterms:modified xsi:type="dcterms:W3CDTF">2024-12-13T16:45:53Z</dcterms:modified>
  <cp:category/>
  <cp:contentStatus/>
</cp:coreProperties>
</file>