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https://unisalerno-my.sharepoint.com/personal/l_bacco2_studenti_unisa_it/Documents/GPS/Management/Planning/Schedule and Cost/"/>
    </mc:Choice>
  </mc:AlternateContent>
  <xr:revisionPtr revIDLastSave="118" documentId="13_ncr:1_{418B99B5-980E-4020-838D-FF2F9468FA2B}" xr6:coauthVersionLast="47" xr6:coauthVersionMax="47" xr10:uidLastSave="{3C9321E4-7B83-4E0B-AA40-DAB1DE502F23}"/>
  <bookViews>
    <workbookView xWindow="11424" yWindow="0" windowWidth="11712" windowHeight="12336" xr2:uid="{00000000-000D-0000-FFFF-FFFF00000000}"/>
  </bookViews>
  <sheets>
    <sheet name="Project schedule" sheetId="11" r:id="rId1"/>
    <sheet name="Costi e ore" sheetId="13" r:id="rId2"/>
    <sheet name="Project Budget" sheetId="15" r:id="rId3"/>
    <sheet name="About" sheetId="12" r:id="rId4"/>
  </sheets>
  <definedNames>
    <definedName name="Display_Week">'Project schedule'!$Q$2</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_xlnm.Print_Titles" localSheetId="0">'Project schedule'!$4:$6</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7" i="15" l="1"/>
  <c r="F51" i="11"/>
  <c r="F50" i="11"/>
  <c r="F49" i="11"/>
  <c r="F48" i="11"/>
  <c r="F45" i="11"/>
  <c r="B62" i="15" a="1"/>
  <c r="B62" i="15" s="1"/>
  <c r="A14" i="13" l="1"/>
  <c r="B61" i="15" a="1"/>
  <c r="B61" i="15" s="1"/>
  <c r="G3" i="13"/>
  <c r="F23" i="11" l="1"/>
  <c r="X15" i="13" l="1"/>
  <c r="X9" i="13"/>
  <c r="X3" i="13"/>
  <c r="AM21" i="13"/>
  <c r="AM15" i="13"/>
  <c r="AM9" i="13"/>
  <c r="AH9" i="13"/>
  <c r="AH3" i="13"/>
  <c r="AC3" i="13" s="1"/>
  <c r="X27" i="13"/>
  <c r="X21" i="13"/>
  <c r="R15" i="13"/>
  <c r="B29" i="15"/>
  <c r="F9" i="11"/>
  <c r="F15" i="11"/>
  <c r="E16" i="11" s="1"/>
  <c r="E15" i="11"/>
  <c r="F13" i="11"/>
  <c r="F12" i="11"/>
  <c r="AC9" i="13" l="1"/>
  <c r="R9" i="13"/>
  <c r="R3" i="13"/>
  <c r="D37" i="11"/>
  <c r="L3" i="13" l="1"/>
  <c r="D52" i="11"/>
  <c r="Q1" i="11"/>
  <c r="D45" i="11"/>
  <c r="D24" i="11"/>
  <c r="H25" i="11"/>
  <c r="H38" i="11"/>
  <c r="H7" i="11"/>
  <c r="H54" i="11"/>
  <c r="H53" i="11"/>
  <c r="H46" i="11"/>
  <c r="H8" i="11"/>
  <c r="E9" i="11" l="1"/>
  <c r="E14" i="11"/>
  <c r="E11" i="11"/>
  <c r="F11" i="11" s="1"/>
  <c r="E10" i="11"/>
  <c r="F10" i="11" s="1"/>
  <c r="E12" i="11"/>
  <c r="E24" i="11"/>
  <c r="H9" i="11"/>
  <c r="E13" i="11"/>
  <c r="I5" i="11"/>
  <c r="H11" i="11" l="1"/>
  <c r="H10" i="11"/>
  <c r="F14" i="11"/>
  <c r="H12" i="11"/>
  <c r="X6" i="13"/>
  <c r="W6" i="13"/>
  <c r="W5" i="13"/>
  <c r="X5" i="13"/>
  <c r="H13" i="11"/>
  <c r="J5" i="11"/>
  <c r="I6" i="11"/>
  <c r="I4" i="11"/>
  <c r="W7" i="13" l="1"/>
  <c r="H14" i="11"/>
  <c r="X7" i="13"/>
  <c r="B22" i="15" s="1"/>
  <c r="K5" i="11"/>
  <c r="J6" i="11"/>
  <c r="X17" i="13" l="1"/>
  <c r="W17" i="13"/>
  <c r="X18" i="13"/>
  <c r="W18" i="13"/>
  <c r="H15" i="11"/>
  <c r="X11" i="13"/>
  <c r="W12" i="13"/>
  <c r="W11" i="13"/>
  <c r="X12" i="13"/>
  <c r="K6" i="11"/>
  <c r="L5" i="11"/>
  <c r="W13" i="13" l="1"/>
  <c r="W19" i="13"/>
  <c r="X19" i="13"/>
  <c r="B24" i="15" s="1"/>
  <c r="X13" i="13"/>
  <c r="B23" i="15" s="1"/>
  <c r="M5" i="11"/>
  <c r="L6" i="11"/>
  <c r="F16" i="11" l="1"/>
  <c r="H16" i="11" s="1"/>
  <c r="X24" i="13"/>
  <c r="W24" i="13"/>
  <c r="X23" i="13"/>
  <c r="W23" i="13"/>
  <c r="M6" i="11"/>
  <c r="N5" i="11"/>
  <c r="E17" i="11" l="1"/>
  <c r="R6" i="13"/>
  <c r="X30" i="13"/>
  <c r="W25" i="13"/>
  <c r="X25" i="13"/>
  <c r="B25" i="15" s="1"/>
  <c r="N6" i="11"/>
  <c r="O5" i="11"/>
  <c r="E18" i="11" l="1"/>
  <c r="F18" i="11" s="1"/>
  <c r="E19" i="11" s="1"/>
  <c r="F17" i="11"/>
  <c r="H17" i="11" s="1"/>
  <c r="W30" i="13"/>
  <c r="W29" i="13"/>
  <c r="Q6" i="13"/>
  <c r="X29" i="13"/>
  <c r="X31" i="13" s="1"/>
  <c r="R5" i="13"/>
  <c r="R7" i="13" s="1"/>
  <c r="Q5" i="13"/>
  <c r="O6" i="11"/>
  <c r="P5" i="11"/>
  <c r="U35" i="13" l="1"/>
  <c r="B26" i="15"/>
  <c r="W31" i="13"/>
  <c r="X1" i="13" s="1"/>
  <c r="E20" i="11"/>
  <c r="F19" i="11"/>
  <c r="Q7" i="13"/>
  <c r="Q5" i="11"/>
  <c r="P4" i="11"/>
  <c r="P6" i="11"/>
  <c r="AG5" i="13" l="1"/>
  <c r="AH5" i="13"/>
  <c r="AG6" i="13"/>
  <c r="AH6" i="13"/>
  <c r="AG12" i="13"/>
  <c r="AH12" i="13"/>
  <c r="AH11" i="13"/>
  <c r="AG11" i="13"/>
  <c r="R5" i="11"/>
  <c r="Q6" i="11"/>
  <c r="AG13" i="13" l="1"/>
  <c r="AC5" i="13"/>
  <c r="AB6" i="13"/>
  <c r="AB5" i="13"/>
  <c r="AB7" i="13" s="1"/>
  <c r="AC6" i="13"/>
  <c r="AH7" i="13"/>
  <c r="B28" i="15" s="1"/>
  <c r="AH13" i="13"/>
  <c r="B27" i="15" s="1"/>
  <c r="AG7" i="13"/>
  <c r="S5" i="11"/>
  <c r="R6" i="11"/>
  <c r="AE17" i="13" l="1"/>
  <c r="H19" i="11"/>
  <c r="AM3" i="13"/>
  <c r="AL5" i="13" s="1"/>
  <c r="E21" i="11"/>
  <c r="F21" i="11" s="1"/>
  <c r="F20" i="11"/>
  <c r="E22" i="11" s="1"/>
  <c r="F22" i="11" s="1"/>
  <c r="E23" i="11" s="1"/>
  <c r="AC7" i="13"/>
  <c r="AH1" i="13"/>
  <c r="S6" i="11"/>
  <c r="T5" i="11"/>
  <c r="AM5" i="13" l="1"/>
  <c r="AM6" i="13"/>
  <c r="H20" i="11"/>
  <c r="AL6" i="13"/>
  <c r="AL7" i="13" s="1"/>
  <c r="H21" i="11"/>
  <c r="U5" i="11"/>
  <c r="T6" i="11"/>
  <c r="AM7" i="13" l="1"/>
  <c r="AL12" i="13"/>
  <c r="AL11" i="13"/>
  <c r="AM11" i="13"/>
  <c r="AM12" i="13"/>
  <c r="V5" i="11"/>
  <c r="U6" i="11"/>
  <c r="AL13" i="13" l="1"/>
  <c r="AB11" i="13"/>
  <c r="AC11" i="13"/>
  <c r="AB12" i="13"/>
  <c r="AC12" i="13"/>
  <c r="F24" i="11"/>
  <c r="E26" i="11" s="1"/>
  <c r="Q11" i="13"/>
  <c r="R12" i="13"/>
  <c r="R11" i="13"/>
  <c r="Q12" i="13"/>
  <c r="AL24" i="13"/>
  <c r="AM24" i="13"/>
  <c r="AM23" i="13"/>
  <c r="AL23" i="13"/>
  <c r="AL17" i="13"/>
  <c r="AM17" i="13"/>
  <c r="AL18" i="13"/>
  <c r="AM18" i="13"/>
  <c r="V6" i="11"/>
  <c r="W5" i="11"/>
  <c r="E34" i="11" l="1"/>
  <c r="E35" i="11" s="1"/>
  <c r="F35" i="11" s="1"/>
  <c r="F26" i="11"/>
  <c r="F28" i="11"/>
  <c r="H23" i="11"/>
  <c r="AL25" i="13"/>
  <c r="AM25" i="13"/>
  <c r="B32" i="15" s="1"/>
  <c r="R18" i="13"/>
  <c r="Q13" i="13"/>
  <c r="AM19" i="13"/>
  <c r="B31" i="15" s="1"/>
  <c r="R13" i="13"/>
  <c r="AC13" i="13"/>
  <c r="Z17" i="13" s="1"/>
  <c r="AL19" i="13"/>
  <c r="H24" i="11"/>
  <c r="AB13" i="13"/>
  <c r="AC1" i="13" s="1"/>
  <c r="X5" i="11"/>
  <c r="W4" i="11"/>
  <c r="W6" i="11"/>
  <c r="AM1" i="13" l="1"/>
  <c r="Q18" i="13"/>
  <c r="E37" i="11"/>
  <c r="R17" i="13"/>
  <c r="R19" i="13" s="1"/>
  <c r="Q17" i="13"/>
  <c r="H26" i="11"/>
  <c r="E27" i="11"/>
  <c r="F27" i="11" s="1"/>
  <c r="E29" i="11" s="1"/>
  <c r="F29" i="11" s="1"/>
  <c r="G5" i="13"/>
  <c r="F6" i="13"/>
  <c r="F5" i="13"/>
  <c r="G6" i="13"/>
  <c r="K5" i="13"/>
  <c r="L5" i="13"/>
  <c r="Y5" i="11"/>
  <c r="X6" i="11"/>
  <c r="O23" i="13" l="1"/>
  <c r="B33" i="15"/>
  <c r="Q19" i="13"/>
  <c r="R1" i="13" s="1"/>
  <c r="F7" i="13"/>
  <c r="AW3" i="13"/>
  <c r="AR3" i="13" s="1"/>
  <c r="E28" i="11"/>
  <c r="AW9" i="13" s="1"/>
  <c r="G7" i="13"/>
  <c r="Z5" i="11"/>
  <c r="Y6" i="11"/>
  <c r="AV11" i="13" l="1"/>
  <c r="AW12" i="13"/>
  <c r="AW11" i="13"/>
  <c r="AV12" i="13"/>
  <c r="H27" i="11"/>
  <c r="Z6" i="11"/>
  <c r="AA5" i="11"/>
  <c r="AV13" i="13" l="1"/>
  <c r="AW13" i="13"/>
  <c r="B37" i="15" s="1"/>
  <c r="AW6" i="13"/>
  <c r="AW5" i="13"/>
  <c r="AV6" i="13"/>
  <c r="AV5" i="13"/>
  <c r="AQ5" i="13"/>
  <c r="AR6" i="13"/>
  <c r="AR5" i="13"/>
  <c r="AQ6" i="13"/>
  <c r="H29" i="11"/>
  <c r="E32" i="11"/>
  <c r="F32" i="11" s="1"/>
  <c r="E36" i="11" s="1"/>
  <c r="F36" i="11" s="1"/>
  <c r="E39" i="11" s="1"/>
  <c r="F39" i="11" s="1"/>
  <c r="E41" i="11" s="1"/>
  <c r="E30" i="11"/>
  <c r="F30" i="11" s="1"/>
  <c r="AB5" i="11"/>
  <c r="AA6" i="11"/>
  <c r="F41" i="11" l="1"/>
  <c r="E42" i="11" s="1"/>
  <c r="BQ9" i="13"/>
  <c r="BB15" i="13"/>
  <c r="AV7" i="13"/>
  <c r="AW1" i="13" s="1"/>
  <c r="AR7" i="13"/>
  <c r="BB3" i="13"/>
  <c r="E31" i="11"/>
  <c r="F31" i="11" s="1"/>
  <c r="AW7" i="13"/>
  <c r="AQ7" i="13"/>
  <c r="AC5" i="11"/>
  <c r="AB6" i="11"/>
  <c r="AT17" i="13" l="1"/>
  <c r="B36" i="15"/>
  <c r="F34" i="11"/>
  <c r="BB9" i="13"/>
  <c r="AR9" i="13" s="1"/>
  <c r="BA17" i="13"/>
  <c r="BB18" i="13"/>
  <c r="BA18" i="13"/>
  <c r="BB17" i="13"/>
  <c r="BA6" i="13"/>
  <c r="BA5" i="13"/>
  <c r="BB6" i="13"/>
  <c r="BB5" i="13"/>
  <c r="AC6" i="11"/>
  <c r="AD5" i="11"/>
  <c r="AR12" i="13" l="1"/>
  <c r="AQ12" i="13"/>
  <c r="AR11" i="13"/>
  <c r="AQ11" i="13"/>
  <c r="BB12" i="13"/>
  <c r="BA11" i="13"/>
  <c r="BB11" i="13"/>
  <c r="BA12" i="13"/>
  <c r="BB19" i="13"/>
  <c r="B40" i="15" s="1"/>
  <c r="BA7" i="13"/>
  <c r="BB7" i="13"/>
  <c r="B38" i="15" s="1"/>
  <c r="BA19" i="13"/>
  <c r="AE5" i="11"/>
  <c r="AD6" i="11"/>
  <c r="AD4" i="11"/>
  <c r="AQ13" i="13" l="1"/>
  <c r="AR13" i="13"/>
  <c r="BB13" i="13"/>
  <c r="BA13" i="13"/>
  <c r="BB1" i="13" s="1"/>
  <c r="H35" i="11"/>
  <c r="AR15" i="13"/>
  <c r="AF5" i="11"/>
  <c r="AE6" i="11"/>
  <c r="AY23" i="13" l="1"/>
  <c r="B39" i="15"/>
  <c r="AR18" i="13"/>
  <c r="AQ18" i="13"/>
  <c r="AQ17" i="13"/>
  <c r="AR17" i="13"/>
  <c r="AG5" i="11"/>
  <c r="AF6" i="11"/>
  <c r="AR21" i="13" l="1"/>
  <c r="H36" i="11"/>
  <c r="F37" i="11"/>
  <c r="AR19" i="13"/>
  <c r="B42" i="15" s="1"/>
  <c r="AQ19" i="13"/>
  <c r="AH5" i="11"/>
  <c r="AG6" i="11"/>
  <c r="G9" i="13" l="1"/>
  <c r="L7" i="13"/>
  <c r="K9" i="13" s="1"/>
  <c r="H37" i="11"/>
  <c r="E40" i="11"/>
  <c r="F40" i="11" s="1"/>
  <c r="G11" i="13"/>
  <c r="AR24" i="13"/>
  <c r="AQ23" i="13"/>
  <c r="AR23" i="13"/>
  <c r="AQ24" i="13"/>
  <c r="E45" i="11"/>
  <c r="AH6" i="11"/>
  <c r="AI5" i="11"/>
  <c r="BQ3" i="13" l="1"/>
  <c r="F11" i="13"/>
  <c r="G12" i="13"/>
  <c r="G13" i="13" s="1"/>
  <c r="F12" i="13"/>
  <c r="L9" i="13"/>
  <c r="H40" i="11"/>
  <c r="H41" i="11"/>
  <c r="BL3" i="13"/>
  <c r="BL9" i="13"/>
  <c r="BL15" i="13"/>
  <c r="BK18" i="13" s="1"/>
  <c r="H39" i="11"/>
  <c r="AQ25" i="13"/>
  <c r="AR1" i="13" s="1"/>
  <c r="AR25" i="13"/>
  <c r="AI6" i="11"/>
  <c r="AJ5" i="11"/>
  <c r="BG3" i="13" l="1"/>
  <c r="BG6" i="13"/>
  <c r="AO29" i="13"/>
  <c r="B43" i="15"/>
  <c r="F13" i="13"/>
  <c r="BK17" i="13"/>
  <c r="BK19" i="13" s="1"/>
  <c r="BL17" i="13"/>
  <c r="BL18" i="13"/>
  <c r="BF6" i="13"/>
  <c r="BG5" i="13"/>
  <c r="BG7" i="13" s="1"/>
  <c r="B46" i="15" s="1"/>
  <c r="BF5" i="13"/>
  <c r="BP6" i="13"/>
  <c r="BQ6" i="13"/>
  <c r="BP5" i="13"/>
  <c r="BQ5" i="13"/>
  <c r="BL6" i="13"/>
  <c r="BL5" i="13"/>
  <c r="BK6" i="13"/>
  <c r="BK5" i="13"/>
  <c r="BK12" i="13"/>
  <c r="BL12" i="13"/>
  <c r="BK11" i="13"/>
  <c r="BL11" i="13"/>
  <c r="AJ6" i="11"/>
  <c r="AK5" i="11"/>
  <c r="BL19" i="13" l="1"/>
  <c r="BF7" i="13"/>
  <c r="BL7" i="13"/>
  <c r="BK7" i="13"/>
  <c r="BL13" i="13"/>
  <c r="BP7" i="13"/>
  <c r="F42" i="11"/>
  <c r="BQ7" i="13"/>
  <c r="BP12" i="13"/>
  <c r="BQ12" i="13"/>
  <c r="BQ11" i="13"/>
  <c r="BP11" i="13"/>
  <c r="BK13" i="13"/>
  <c r="AL5" i="11"/>
  <c r="AK4" i="11"/>
  <c r="AK6" i="11"/>
  <c r="E43" i="11" l="1"/>
  <c r="BQ15" i="13"/>
  <c r="BI24" i="13"/>
  <c r="BL1" i="13"/>
  <c r="H42" i="11"/>
  <c r="BP13" i="13"/>
  <c r="BQ13" i="13"/>
  <c r="B48" i="15" s="1"/>
  <c r="AL6" i="11"/>
  <c r="AM5" i="11"/>
  <c r="F43" i="11" l="1"/>
  <c r="E44" i="11" s="1"/>
  <c r="BQ21" i="13"/>
  <c r="BP23" i="13"/>
  <c r="H43" i="11"/>
  <c r="BQ18" i="13"/>
  <c r="BQ17" i="13"/>
  <c r="BP18" i="13"/>
  <c r="BP17" i="13"/>
  <c r="F44" i="11"/>
  <c r="E47" i="11" s="1"/>
  <c r="AM6" i="11"/>
  <c r="AN5" i="11"/>
  <c r="F47" i="11" l="1"/>
  <c r="BW3" i="13"/>
  <c r="BQ27" i="13"/>
  <c r="BG9" i="13" s="1"/>
  <c r="G16" i="13" s="1"/>
  <c r="E48" i="11"/>
  <c r="E50" i="11"/>
  <c r="E51" i="11" s="1"/>
  <c r="E49" i="11"/>
  <c r="H44" i="11"/>
  <c r="BQ24" i="13"/>
  <c r="BP24" i="13"/>
  <c r="BP25" i="13" s="1"/>
  <c r="BP19" i="13"/>
  <c r="BQ19" i="13"/>
  <c r="B49" i="15" s="1"/>
  <c r="BQ23" i="13"/>
  <c r="AO5" i="11"/>
  <c r="AN6" i="11"/>
  <c r="BW15" i="13" l="1"/>
  <c r="BQ25" i="13"/>
  <c r="B50" i="15" s="1"/>
  <c r="H47" i="11"/>
  <c r="E52" i="11"/>
  <c r="BQ29" i="13"/>
  <c r="BQ30" i="13"/>
  <c r="BP30" i="13"/>
  <c r="BP29" i="13"/>
  <c r="BF11" i="13"/>
  <c r="BF12" i="13"/>
  <c r="BG11" i="13"/>
  <c r="BG12" i="13"/>
  <c r="L12" i="13"/>
  <c r="H45" i="11"/>
  <c r="AP5" i="11"/>
  <c r="AO6" i="11"/>
  <c r="BF13" i="13" l="1"/>
  <c r="BG1" i="13" s="1"/>
  <c r="BQ31" i="13"/>
  <c r="BP31" i="13"/>
  <c r="BQ1" i="13" s="1"/>
  <c r="G18" i="13"/>
  <c r="F18" i="13"/>
  <c r="F19" i="13"/>
  <c r="G19" i="13"/>
  <c r="BG13" i="13"/>
  <c r="BD17" i="13" s="1"/>
  <c r="L14" i="13"/>
  <c r="K14" i="13"/>
  <c r="AP6" i="11"/>
  <c r="AQ5" i="11"/>
  <c r="BN36" i="13" l="1"/>
  <c r="B51" i="15"/>
  <c r="BW9" i="13"/>
  <c r="F20" i="13"/>
  <c r="F52" i="11"/>
  <c r="BV5" i="13"/>
  <c r="BW6" i="13"/>
  <c r="BW5" i="13"/>
  <c r="BV6" i="13"/>
  <c r="BW21" i="13"/>
  <c r="G20" i="13"/>
  <c r="AR5" i="11"/>
  <c r="AQ6" i="11"/>
  <c r="BW12" i="13" l="1"/>
  <c r="BW11" i="13"/>
  <c r="BV12" i="13"/>
  <c r="BV11" i="13"/>
  <c r="BW27" i="13"/>
  <c r="BV29" i="13" s="1"/>
  <c r="BV7" i="13"/>
  <c r="BW7" i="13"/>
  <c r="B55" i="15" s="1"/>
  <c r="BW24" i="13"/>
  <c r="BV23" i="13"/>
  <c r="BW23" i="13"/>
  <c r="BV24" i="13"/>
  <c r="L17" i="13"/>
  <c r="H52" i="11"/>
  <c r="AR6" i="11"/>
  <c r="AS5" i="11"/>
  <c r="AR4" i="11"/>
  <c r="G23" i="13" l="1"/>
  <c r="F26" i="13" s="1"/>
  <c r="BW13" i="13"/>
  <c r="B56" i="15" s="1"/>
  <c r="BV30" i="13"/>
  <c r="BV31" i="13" s="1"/>
  <c r="BW30" i="13"/>
  <c r="BW29" i="13"/>
  <c r="BV13" i="13"/>
  <c r="BW25" i="13"/>
  <c r="B57" i="15" s="1"/>
  <c r="K19" i="13"/>
  <c r="L19" i="13"/>
  <c r="I24" i="13" s="1"/>
  <c r="B60" i="15" s="1" a="1"/>
  <c r="B60" i="15" s="1"/>
  <c r="BV17" i="13"/>
  <c r="BW18" i="13"/>
  <c r="BV18" i="13"/>
  <c r="BW17" i="13"/>
  <c r="BV25" i="13"/>
  <c r="AT5" i="11"/>
  <c r="AS6" i="11"/>
  <c r="G26" i="13" l="1"/>
  <c r="A8" i="13" s="1"/>
  <c r="F25" i="13"/>
  <c r="F27" i="13" s="1"/>
  <c r="G25" i="13"/>
  <c r="A5" i="13" s="1"/>
  <c r="BW31" i="13"/>
  <c r="B58" i="15" s="1"/>
  <c r="AT6" i="11"/>
  <c r="AU5" i="11"/>
  <c r="G27" i="13" l="1"/>
  <c r="D31" i="13" s="1"/>
  <c r="A2" i="13" s="1"/>
  <c r="AU6" i="11"/>
  <c r="AV5" i="11"/>
  <c r="AW5" i="11" l="1"/>
  <c r="AV6" i="11"/>
  <c r="AX5" i="11" l="1"/>
  <c r="AW6" i="11"/>
  <c r="AY5" i="11" l="1"/>
  <c r="AX6" i="11"/>
  <c r="AZ5" i="11" l="1"/>
  <c r="AY4" i="11"/>
  <c r="AY6" i="11"/>
  <c r="AZ6" i="11" l="1"/>
  <c r="BA5" i="11"/>
  <c r="BA6" i="11" l="1"/>
  <c r="BB5" i="11"/>
  <c r="BC5" i="11" l="1"/>
  <c r="BB6" i="11"/>
  <c r="BC6" i="11" l="1"/>
  <c r="BD5" i="11"/>
  <c r="BE5" i="11" l="1"/>
  <c r="BD6" i="11"/>
  <c r="BF5" i="11" l="1"/>
  <c r="BE6" i="11"/>
  <c r="BG5" i="11" l="1"/>
  <c r="BF4" i="11"/>
  <c r="BF6" i="11"/>
  <c r="BH5" i="11" l="1"/>
  <c r="BG6" i="11"/>
  <c r="BI5" i="11" l="1"/>
  <c r="BH6" i="11"/>
  <c r="BI6" i="11" l="1"/>
  <c r="BJ5" i="11"/>
  <c r="BK5" i="11" l="1"/>
  <c r="BJ6" i="11"/>
  <c r="BL5" i="11" l="1"/>
  <c r="BK6" i="11"/>
  <c r="BM5" i="11" l="1"/>
  <c r="BL6" i="11"/>
  <c r="BM6" i="11" l="1"/>
  <c r="BN5" i="11"/>
  <c r="BM4" i="11"/>
  <c r="BO5" i="11" l="1"/>
  <c r="BN6" i="11"/>
  <c r="BO6" i="11" l="1"/>
  <c r="BP5" i="11"/>
  <c r="BP6" i="11" l="1"/>
  <c r="BQ5" i="11"/>
  <c r="BQ6" i="11" l="1"/>
  <c r="BR5" i="11"/>
  <c r="BS5" i="11" l="1"/>
  <c r="BR6" i="11"/>
  <c r="BT5" i="11" l="1"/>
  <c r="BS6" i="11"/>
  <c r="BU5" i="11" l="1"/>
  <c r="BT6" i="11"/>
  <c r="BT4" i="11"/>
  <c r="BV5" i="11" l="1"/>
  <c r="BU6" i="11"/>
  <c r="BW5" i="11" l="1"/>
  <c r="BV6" i="11"/>
  <c r="BW6" i="11" l="1"/>
  <c r="BX5" i="11"/>
  <c r="BX6" i="11" l="1"/>
  <c r="BY5" i="11"/>
  <c r="BY6" i="11" l="1"/>
  <c r="BZ5" i="11"/>
  <c r="CA5" i="11" l="1"/>
  <c r="BZ6" i="11"/>
  <c r="CA6" i="11" l="1"/>
  <c r="CA4" i="11"/>
  <c r="CB5" i="11"/>
  <c r="CC5" i="11" l="1"/>
  <c r="CB6" i="11"/>
  <c r="CD5" i="11" l="1"/>
  <c r="CC6" i="11"/>
  <c r="CE5" i="11" l="1"/>
  <c r="CD6" i="11"/>
  <c r="CE6" i="11" l="1"/>
  <c r="CF5" i="11"/>
  <c r="CG5" i="11" l="1"/>
  <c r="CF6" i="11"/>
  <c r="CH5" i="11" l="1"/>
  <c r="CG6" i="11"/>
  <c r="CH6" i="11" l="1"/>
  <c r="CH4" i="11"/>
  <c r="CI5" i="11"/>
  <c r="CI6" i="11" l="1"/>
  <c r="CJ5" i="11"/>
  <c r="CK5" i="11" l="1"/>
  <c r="CJ6" i="11"/>
  <c r="CL5" i="11" l="1"/>
  <c r="CK6" i="11"/>
  <c r="CM5" i="11" l="1"/>
  <c r="CL6" i="11"/>
  <c r="CM6" i="11" l="1"/>
  <c r="CN5" i="11"/>
  <c r="CN6" i="11" l="1"/>
  <c r="CO5" i="11"/>
  <c r="CO6" i="11" l="1"/>
  <c r="CO4" i="11"/>
  <c r="CP5" i="11"/>
  <c r="CQ5" i="11" l="1"/>
  <c r="CP6" i="11"/>
  <c r="CR5" i="11" l="1"/>
  <c r="CQ6" i="11"/>
  <c r="CS5" i="11" l="1"/>
  <c r="CR6" i="11"/>
  <c r="CT5" i="11" l="1"/>
  <c r="CS6" i="11"/>
  <c r="CU5" i="11" l="1"/>
  <c r="CT6" i="11"/>
  <c r="CU6" i="11" l="1"/>
  <c r="CV5" i="11"/>
  <c r="CV6" i="11" l="1"/>
  <c r="CV4" i="11"/>
  <c r="CW5" i="11"/>
  <c r="CX5" i="11" l="1"/>
  <c r="CW6" i="11"/>
  <c r="CY5" i="11" l="1"/>
  <c r="CX6" i="11"/>
  <c r="CY6" i="11" l="1"/>
  <c r="CZ5" i="11"/>
  <c r="DA5" i="11" l="1"/>
  <c r="CZ6" i="11"/>
  <c r="DB5" i="11" l="1"/>
  <c r="DA6" i="11"/>
  <c r="DC5" i="11" l="1"/>
  <c r="DB6" i="11"/>
  <c r="DC6" i="11" l="1"/>
  <c r="DC4" i="11"/>
  <c r="DD5" i="11"/>
  <c r="DD6" i="11" l="1"/>
  <c r="DE5" i="11"/>
  <c r="DF5" i="11" l="1"/>
  <c r="DE6" i="11"/>
  <c r="DG5" i="11" l="1"/>
  <c r="DF6" i="11"/>
  <c r="DH5" i="11" l="1"/>
  <c r="DG6" i="11"/>
  <c r="DI5" i="11" l="1"/>
  <c r="DH6" i="11"/>
  <c r="DJ5" i="11" l="1"/>
  <c r="DI6" i="11"/>
  <c r="DJ6" i="11" l="1"/>
  <c r="DJ4" i="11"/>
  <c r="DK5" i="11"/>
  <c r="DK6" i="11" l="1"/>
  <c r="DL5" i="11"/>
  <c r="DL6" i="11" l="1"/>
  <c r="DM5" i="11"/>
  <c r="DM6" i="11" l="1"/>
  <c r="DN5" i="11"/>
  <c r="DN6" i="11" l="1"/>
  <c r="DO5" i="11"/>
  <c r="DP5" i="11" l="1"/>
  <c r="DO6" i="11"/>
  <c r="DQ5" i="11" l="1"/>
  <c r="DP6" i="11"/>
  <c r="DQ6" i="11" l="1"/>
  <c r="DR5" i="11"/>
  <c r="DQ4" i="11"/>
  <c r="DS5" i="11" l="1"/>
  <c r="DR6" i="11"/>
  <c r="DT5" i="11" l="1"/>
  <c r="DS6" i="11"/>
  <c r="DU5" i="11" l="1"/>
  <c r="DT6" i="11"/>
  <c r="DU6" i="11" l="1"/>
  <c r="DV5" i="11"/>
  <c r="DV6" i="11" l="1"/>
  <c r="DW5" i="11"/>
  <c r="DW6" i="11" l="1"/>
  <c r="DX5" i="11"/>
  <c r="DY5" i="11" l="1"/>
  <c r="DX6" i="11"/>
  <c r="DX4" i="11"/>
  <c r="DZ5" i="11" l="1"/>
  <c r="DY6" i="11"/>
  <c r="EA5" i="11" l="1"/>
  <c r="DZ6" i="11"/>
  <c r="EA6" i="11" l="1"/>
  <c r="EB5" i="11"/>
  <c r="EB6" i="11" l="1"/>
  <c r="EC5" i="11"/>
  <c r="ED5" i="11" l="1"/>
  <c r="EC6" i="11"/>
  <c r="ED6" i="11" l="1"/>
  <c r="EE5" i="11"/>
  <c r="EE6" i="11" l="1"/>
  <c r="EE4" i="11"/>
  <c r="EF5" i="11"/>
  <c r="EG5" i="11" l="1"/>
  <c r="EF6" i="11"/>
  <c r="EH5" i="11" l="1"/>
  <c r="EG6" i="11"/>
  <c r="EI5" i="11" l="1"/>
  <c r="EH6" i="11"/>
  <c r="EI6" i="11" l="1"/>
  <c r="EJ5" i="11"/>
  <c r="EJ6" i="11" l="1"/>
  <c r="EK5" i="11"/>
  <c r="EK6" i="11" l="1"/>
  <c r="EL5" i="11"/>
  <c r="EL6" i="11" l="1"/>
  <c r="EL4" i="11"/>
  <c r="EM5" i="11"/>
  <c r="EN5" i="11" l="1"/>
  <c r="EM6" i="11"/>
  <c r="EO5" i="11" l="1"/>
  <c r="EN6" i="11"/>
  <c r="EP5" i="11" l="1"/>
  <c r="EO6" i="11"/>
  <c r="EQ5" i="11" l="1"/>
  <c r="EP6" i="11"/>
  <c r="EQ6" i="11" l="1"/>
  <c r="ER5" i="11"/>
  <c r="ER6" i="11" l="1"/>
  <c r="ES5" i="11"/>
  <c r="ES6" i="11" l="1"/>
  <c r="ES4" i="11"/>
  <c r="ET5" i="11"/>
  <c r="EU5" i="11" l="1"/>
  <c r="ET6" i="11"/>
  <c r="EU6" i="11" l="1"/>
  <c r="EV5" i="11"/>
  <c r="EW5" i="11" l="1"/>
  <c r="EV6" i="11"/>
  <c r="EX5" i="11" l="1"/>
  <c r="EW6" i="11"/>
  <c r="EY5" i="11" l="1"/>
  <c r="EX6" i="11"/>
  <c r="EY6" i="11" l="1"/>
  <c r="EZ5" i="11"/>
  <c r="EZ6" i="11" l="1"/>
  <c r="EZ4" i="11"/>
  <c r="FA5" i="11"/>
  <c r="FA6" i="11" l="1"/>
  <c r="FB5" i="11"/>
  <c r="FC5" i="11" l="1"/>
  <c r="FB6" i="11"/>
  <c r="FD5" i="11" l="1"/>
  <c r="FC6" i="11"/>
  <c r="FE5" i="11" l="1"/>
  <c r="FD6" i="11"/>
  <c r="FF5" i="11" l="1"/>
  <c r="FF6" i="11" s="1"/>
  <c r="FE6" i="11"/>
  <c r="BW19" i="13"/>
  <c r="BV19" i="13"/>
  <c r="BW1" i="13" s="1"/>
  <c r="AM13" i="13"/>
  <c r="BT35" i="13" l="1"/>
  <c r="B54" i="15"/>
  <c r="AJ28" i="13"/>
  <c r="B30" i="15"/>
  <c r="B63" i="1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<sst xmlns="http://schemas.openxmlformats.org/spreadsheetml/2006/main" count="492" uniqueCount="159">
  <si>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</si>
  <si>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</si>
  <si>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</si>
  <si>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</si>
  <si>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</si>
  <si>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</si>
  <si>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</si>
  <si>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</si>
  <si>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</si>
  <si>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</si>
  <si>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</si>
  <si>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</si>
  <si>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</si>
  <si>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</si>
  <si>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</si>
  <si>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</si>
  <si>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</si>
  <si>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</si>
  <si>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</si>
  <si>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</si>
  <si>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</si>
  <si>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VanArsdel, Ltd.</t>
  </si>
  <si>
    <t>Project start:</t>
  </si>
  <si>
    <t>Display week:</t>
  </si>
  <si>
    <t>ASSIGNED TO</t>
  </si>
  <si>
    <t>Project Managers</t>
  </si>
  <si>
    <t>Luigi Bacco, Benedetto Scala</t>
  </si>
  <si>
    <t>Scrittura RAD</t>
  </si>
  <si>
    <t>CiviConnect project</t>
  </si>
  <si>
    <t>Tutto il team</t>
  </si>
  <si>
    <t>Stesura di oggetti entity, control e boundary</t>
  </si>
  <si>
    <t>MILESTONE FINE RAD</t>
  </si>
  <si>
    <t>Stesura SDD</t>
  </si>
  <si>
    <t>Implementazione</t>
  </si>
  <si>
    <t>Testing di Unità</t>
  </si>
  <si>
    <t>Revisione RAD</t>
  </si>
  <si>
    <t>Stesura ODD</t>
  </si>
  <si>
    <t>Design Pattern</t>
  </si>
  <si>
    <t>MILESTONE FINE SDD e ODD</t>
  </si>
  <si>
    <t>MILESTONE FINE IMPLEMENTAZIONE</t>
  </si>
  <si>
    <t>Testing</t>
  </si>
  <si>
    <t>MILESTONE FINE TESTING</t>
  </si>
  <si>
    <t>Paga oraria</t>
  </si>
  <si>
    <t>#Membri</t>
  </si>
  <si>
    <t>Totale</t>
  </si>
  <si>
    <t>Totale ore</t>
  </si>
  <si>
    <t>Milestone RAD</t>
  </si>
  <si>
    <t>Milestone SDD ODD</t>
  </si>
  <si>
    <t>Ore:</t>
  </si>
  <si>
    <t>Milestone Implementazione</t>
  </si>
  <si>
    <t>Milestone Testing</t>
  </si>
  <si>
    <t>Prodotto</t>
  </si>
  <si>
    <t>Management</t>
  </si>
  <si>
    <t>Totale Costo:</t>
  </si>
  <si>
    <t>Elicitation</t>
  </si>
  <si>
    <t>RAD Prodotto</t>
  </si>
  <si>
    <t>Analysis</t>
  </si>
  <si>
    <t>Revisione</t>
  </si>
  <si>
    <t>Tot Ore:</t>
  </si>
  <si>
    <t>Elicitation Prodotto</t>
  </si>
  <si>
    <t>Analisi Preliminari</t>
  </si>
  <si>
    <t>ID RF</t>
  </si>
  <si>
    <t>ID RNF</t>
  </si>
  <si>
    <t>Scenari</t>
  </si>
  <si>
    <t>Use Case</t>
  </si>
  <si>
    <t>Analysis Prodotto</t>
  </si>
  <si>
    <t>Sequence</t>
  </si>
  <si>
    <t>Activity</t>
  </si>
  <si>
    <t>State Chart</t>
  </si>
  <si>
    <t>SDD e ODD Prodotto</t>
  </si>
  <si>
    <t>ID Obbiettivi Design</t>
  </si>
  <si>
    <t>ID decomposizione</t>
  </si>
  <si>
    <t>Design Patterns</t>
  </si>
  <si>
    <t>SDD ID obbiettivi Prodotto</t>
  </si>
  <si>
    <t>ID Design Goals</t>
  </si>
  <si>
    <t>ID Trade Offs</t>
  </si>
  <si>
    <t>SDD e ODD Decomposizione Prodotto</t>
  </si>
  <si>
    <t>Sottosistemi</t>
  </si>
  <si>
    <t>Architetturale</t>
  </si>
  <si>
    <t>Mapping</t>
  </si>
  <si>
    <t>Implementazione e Training Prodotto</t>
  </si>
  <si>
    <t>Training</t>
  </si>
  <si>
    <t>Training Prodotto</t>
  </si>
  <si>
    <t>Training Flutter</t>
  </si>
  <si>
    <t>Training Tools</t>
  </si>
  <si>
    <t>Altro Training</t>
  </si>
  <si>
    <t>Setup</t>
  </si>
  <si>
    <t>Implementazione Prodotto</t>
  </si>
  <si>
    <t>Testing Prodotto</t>
  </si>
  <si>
    <t>Unità</t>
  </si>
  <si>
    <t>Scrittura Test Case Specification</t>
  </si>
  <si>
    <t>Scrittura Test Incident Report</t>
  </si>
  <si>
    <t>Scrittura Test Summary  Report</t>
  </si>
  <si>
    <t>Scrittura Test Plan</t>
  </si>
  <si>
    <t>Test Case Specification</t>
  </si>
  <si>
    <t>Test Plan</t>
  </si>
  <si>
    <t>Test Incident Report</t>
  </si>
  <si>
    <t>Test Summary Report</t>
  </si>
  <si>
    <t>Totale Junior:</t>
  </si>
  <si>
    <t>Totale Senior:</t>
  </si>
  <si>
    <t>Definizione degli Scenari</t>
  </si>
  <si>
    <t>Stesura Use Case</t>
  </si>
  <si>
    <t>Stesura dei Sequence Diagarm</t>
  </si>
  <si>
    <t xml:space="preserve">Stesura di Statechart Diagram </t>
  </si>
  <si>
    <t>Creazione Class Diagram</t>
  </si>
  <si>
    <t>Creazione Mockup</t>
  </si>
  <si>
    <t>Faiella, Sorridi</t>
  </si>
  <si>
    <t>Gambardella, Auriemma</t>
  </si>
  <si>
    <t>Brescia, Cieri</t>
  </si>
  <si>
    <t>Citro, Speranza</t>
  </si>
  <si>
    <t>Gambardella, Cieri</t>
  </si>
  <si>
    <t>Speranza, Faiella, Auriemma, Brescia, Sorridi, Citro</t>
  </si>
  <si>
    <t>Brescia</t>
  </si>
  <si>
    <t>Gambardella</t>
  </si>
  <si>
    <t>Faiella, Citro</t>
  </si>
  <si>
    <t>Speranza, Cieri</t>
  </si>
  <si>
    <t>Auriemma, Sorridi</t>
  </si>
  <si>
    <t>Revisione SDD</t>
  </si>
  <si>
    <t>Modello Ad Oggetti</t>
  </si>
  <si>
    <t>Modello Dinamico</t>
  </si>
  <si>
    <t>Class Diagram</t>
  </si>
  <si>
    <t>ID Oggetti</t>
  </si>
  <si>
    <t>MockUp</t>
  </si>
  <si>
    <t>Stesura dell'Activity Diagram</t>
  </si>
  <si>
    <t>Setup dell'Ambiente</t>
  </si>
  <si>
    <t>Trade Offs</t>
  </si>
  <si>
    <t xml:space="preserve">Design Goals </t>
  </si>
  <si>
    <t>Brescia, Citro, Sorridi</t>
  </si>
  <si>
    <t>Primo Sprint</t>
  </si>
  <si>
    <t>Secondo Sprint</t>
  </si>
  <si>
    <t>Terzo Sprint</t>
  </si>
  <si>
    <t>Quarto Sprint</t>
  </si>
  <si>
    <t>Tutto  il team</t>
  </si>
  <si>
    <t>Contingency Reserve</t>
  </si>
  <si>
    <t>Budget</t>
  </si>
  <si>
    <t>Definizione Requisiti Funzionali</t>
  </si>
  <si>
    <t>Definizione Requisiti Non Funzionali</t>
  </si>
  <si>
    <t>Decomposizione in sottosistemi</t>
  </si>
  <si>
    <t>Diagramma architetturale</t>
  </si>
  <si>
    <t>Mapping Hardware/Software</t>
  </si>
  <si>
    <t>Management Reserve</t>
  </si>
  <si>
    <t>Costo Management</t>
  </si>
  <si>
    <t>MILESTONE FINE SD e OD</t>
  </si>
  <si>
    <t>Object Design</t>
  </si>
  <si>
    <t>System Design</t>
  </si>
  <si>
    <t>Requirements Analysis</t>
  </si>
  <si>
    <t>Definzione Use Case</t>
  </si>
  <si>
    <t>Definizione di oggetti entity, control e boundary</t>
  </si>
  <si>
    <t>Definizione dei Sequence Diagarm</t>
  </si>
  <si>
    <t>Definizione dell'Activity Diagram</t>
  </si>
  <si>
    <t xml:space="preserve">Definizione di Statechart Diagram </t>
  </si>
  <si>
    <t>Sintesi del sistema</t>
  </si>
  <si>
    <t>Obiettivo Del Sistema</t>
  </si>
  <si>
    <t>Definizione Ambito Del Sistema</t>
  </si>
  <si>
    <t>Definizione Obbiettivi e Criteri del Successo</t>
  </si>
  <si>
    <t>Definizione Sistema Attuale</t>
  </si>
  <si>
    <t>Definizione ambito</t>
  </si>
  <si>
    <t>Definizione Obbiettivo Del Sistema</t>
  </si>
  <si>
    <t>Test Summary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</si>
</sst>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0.00\ &quot;€&quot;_-;\-* #,##0.00\ &quot;€&quot;_-;_-* &quot;-&quot;??\ &quot;€&quot;_-;_-@_-"/>
    <numFmt numFmtId="164" formatCode="_(* #,##0.00_);_(* \(#,##0.00\);_(* &quot;-&quot;??_);_(@_)"/>
    <numFmt numFmtId="165" formatCode="m/d/yy;@"/>
    <numFmt numFmtId="166" formatCode="ddd\,\ m/d/yyyy"/>
    <numFmt numFmtId="167" formatCode="mmm\ d\,\ yyyy"/>
    <numFmt numFmtId="168" formatCode="d"/>
  </numFmts>
  <fonts count="34"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sz val="12"/>
      <color theme="1"/>
      <name val="Arial"/>
      <family val="2"/>
      <scheme val="minor"/>
    </font>
    <font>
      <b/>
      <sz val="11"/>
      <color theme="1"/>
      <name val="Arial"/>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3" tint="0.749992370372631"/>
        <bgColor indexed="64"/>
      </patternFill>
    </fill>
    <fill>
      <patternFill patternType="solid">
        <fgColor theme="9"/>
        <bgColor indexed="64"/>
      </patternFill>
    </fill>
    <fill>
      <patternFill patternType="solid">
        <fgColor rgb="FF00B050"/>
        <bgColor indexed="64"/>
      </patternFill>
    </fill>
  </fills>
  <borders count="21">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4">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xf numFmtId="44" fontId="4" fillId="0" borderId="0" applyFont="0" applyFill="0" applyBorder="0" applyAlignment="0" applyProtection="0"/>
  </cellStyleXfs>
  <cellXfs count="140">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21" fillId="12" borderId="19" xfId="0" applyNumberFormat="1" applyFont="1" applyFill="1" applyBorder="1" applyAlignment="1">
      <alignment horizontal="center" vertical="center"/>
    </xf>
    <xf numFmtId="168" fontId="21" fillId="12" borderId="17" xfId="0" applyNumberFormat="1" applyFont="1" applyFill="1" applyBorder="1" applyAlignment="1">
      <alignment horizontal="center" vertical="center"/>
    </xf>
    <xf numFmtId="168" fontId="21" fillId="12" borderId="18" xfId="0" applyNumberFormat="1" applyFont="1" applyFill="1" applyBorder="1" applyAlignment="1">
      <alignment horizontal="center" vertical="center"/>
    </xf>
    <xf numFmtId="0" fontId="22" fillId="2" borderId="16" xfId="0" applyFont="1" applyFill="1" applyBorder="1" applyAlignment="1">
      <alignment horizontal="center" vertical="center" shrinkToFit="1"/>
    </xf>
    <xf numFmtId="0" fontId="22" fillId="2" borderId="13"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5" fontId="19"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1"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9" fontId="1" fillId="3" borderId="6" xfId="2" applyFont="1" applyFill="1" applyBorder="1" applyAlignment="1">
      <alignment horizontal="center" vertical="center"/>
    </xf>
    <xf numFmtId="165"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5"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5" fontId="19"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5"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5" fontId="19"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5"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5" fontId="19"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5"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5"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5" fontId="25"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9" fillId="4" borderId="0" xfId="12" applyFont="1" applyFill="1" applyBorder="1">
      <alignment horizontal="left" vertical="center" indent="2"/>
    </xf>
    <xf numFmtId="165" fontId="19" fillId="4" borderId="0" xfId="10" applyFont="1" applyFill="1" applyBorder="1">
      <alignment horizontal="center" vertical="center"/>
    </xf>
    <xf numFmtId="0" fontId="19" fillId="4" borderId="0" xfId="11" applyFont="1" applyFill="1" applyBorder="1" applyAlignment="1">
      <alignment vertical="center"/>
    </xf>
    <xf numFmtId="9" fontId="1" fillId="4" borderId="0" xfId="2" applyFont="1" applyFill="1" applyBorder="1" applyAlignment="1">
      <alignment horizontal="center" vertical="center"/>
    </xf>
    <xf numFmtId="0" fontId="19" fillId="5" borderId="0" xfId="12" applyFont="1" applyFill="1" applyBorder="1">
      <alignment horizontal="left" vertical="center" indent="2"/>
    </xf>
    <xf numFmtId="9" fontId="1" fillId="5" borderId="0" xfId="2" applyFont="1" applyFill="1" applyBorder="1" applyAlignment="1">
      <alignment horizontal="center" vertical="center"/>
    </xf>
    <xf numFmtId="165" fontId="19" fillId="5" borderId="0" xfId="10" applyFont="1" applyFill="1" applyBorder="1">
      <alignment horizontal="center" vertical="center"/>
    </xf>
    <xf numFmtId="0" fontId="19" fillId="10" borderId="0" xfId="12" applyFont="1" applyFill="1" applyBorder="1">
      <alignment horizontal="left" vertical="center" indent="2"/>
    </xf>
    <xf numFmtId="165" fontId="19" fillId="10" borderId="0" xfId="10" applyFont="1" applyFill="1" applyBorder="1">
      <alignment horizontal="center" vertical="center"/>
    </xf>
    <xf numFmtId="44" fontId="0" fillId="0" borderId="0" xfId="0" applyNumberFormat="1"/>
    <xf numFmtId="44" fontId="0" fillId="0" borderId="0" xfId="13" applyFont="1"/>
    <xf numFmtId="0" fontId="0" fillId="13" borderId="0" xfId="0" applyFill="1"/>
    <xf numFmtId="44" fontId="4" fillId="0" borderId="0" xfId="0" applyNumberFormat="1" applyFont="1"/>
    <xf numFmtId="44" fontId="19" fillId="3" borderId="7" xfId="11" applyNumberFormat="1" applyFont="1" applyFill="1" applyBorder="1" applyAlignment="1">
      <alignment vertical="center"/>
    </xf>
    <xf numFmtId="44" fontId="19" fillId="4" borderId="5" xfId="11" applyNumberFormat="1" applyFont="1" applyFill="1" applyBorder="1" applyAlignment="1">
      <alignment vertical="center"/>
    </xf>
    <xf numFmtId="44" fontId="19" fillId="4" borderId="0" xfId="11" applyNumberFormat="1" applyFont="1" applyFill="1" applyBorder="1" applyAlignment="1">
      <alignment vertical="center"/>
    </xf>
    <xf numFmtId="44" fontId="19" fillId="5" borderId="8" xfId="11" applyNumberFormat="1" applyFont="1" applyFill="1" applyBorder="1" applyAlignment="1">
      <alignment vertical="center"/>
    </xf>
    <xf numFmtId="44" fontId="19" fillId="10" borderId="9" xfId="11" applyNumberFormat="1" applyFont="1" applyFill="1" applyBorder="1" applyAlignment="1">
      <alignment vertical="center"/>
    </xf>
    <xf numFmtId="0" fontId="23" fillId="14" borderId="0" xfId="12" applyFont="1" applyFill="1" applyBorder="1">
      <alignment horizontal="left" vertical="center" indent="2"/>
    </xf>
    <xf numFmtId="44" fontId="32" fillId="14" borderId="0" xfId="0" applyNumberFormat="1" applyFont="1" applyFill="1"/>
    <xf numFmtId="0" fontId="33" fillId="15" borderId="0" xfId="12" applyFont="1" applyFill="1" applyBorder="1">
      <alignment horizontal="left" vertical="center" indent="2"/>
    </xf>
    <xf numFmtId="44" fontId="19" fillId="15" borderId="0" xfId="0" applyNumberFormat="1" applyFont="1" applyFill="1"/>
    <xf numFmtId="167" fontId="19" fillId="2" borderId="12" xfId="0" applyNumberFormat="1" applyFont="1" applyFill="1" applyBorder="1" applyAlignment="1">
      <alignment horizontal="center" vertical="center" wrapText="1"/>
    </xf>
    <xf numFmtId="167" fontId="19" fillId="2" borderId="18" xfId="0" applyNumberFormat="1" applyFont="1" applyFill="1" applyBorder="1" applyAlignment="1">
      <alignment horizontal="center" vertical="center" wrapText="1"/>
    </xf>
    <xf numFmtId="0" fontId="13" fillId="0" borderId="0" xfId="3" applyAlignment="1">
      <alignment wrapText="1"/>
    </xf>
    <xf numFmtId="0" fontId="20" fillId="11" borderId="15" xfId="0" applyFont="1" applyFill="1" applyBorder="1" applyAlignment="1">
      <alignment horizontal="left" vertical="center" indent="1"/>
    </xf>
    <xf numFmtId="0" fontId="4" fillId="2" borderId="20" xfId="0" applyFont="1" applyFill="1" applyBorder="1" applyAlignment="1">
      <alignment horizontal="left" indent="1"/>
    </xf>
    <xf numFmtId="0" fontId="20" fillId="11" borderId="15" xfId="0" applyFont="1" applyFill="1" applyBorder="1" applyAlignment="1">
      <alignment vertical="center"/>
    </xf>
    <xf numFmtId="0" fontId="4" fillId="2" borderId="20" xfId="0" applyFont="1" applyFill="1" applyBorder="1"/>
    <xf numFmtId="0" fontId="20" fillId="11" borderId="15" xfId="0" applyFont="1" applyFill="1" applyBorder="1" applyAlignment="1">
      <alignment horizontal="center" vertical="center"/>
    </xf>
    <xf numFmtId="0" fontId="27" fillId="0" borderId="0" xfId="0" applyFont="1" applyAlignment="1">
      <alignment horizontal="left"/>
    </xf>
    <xf numFmtId="0" fontId="28" fillId="0" borderId="0" xfId="0" applyFont="1"/>
    <xf numFmtId="166" fontId="27" fillId="0" borderId="0" xfId="9" applyFont="1" applyBorder="1" applyAlignment="1">
      <alignment horizontal="left"/>
    </xf>
    <xf numFmtId="0" fontId="26" fillId="0" borderId="0" xfId="8" applyFont="1" applyAlignment="1">
      <alignment horizontal="left"/>
    </xf>
    <xf numFmtId="0" fontId="4" fillId="0" borderId="0" xfId="0" applyFont="1"/>
    <xf numFmtId="167" fontId="19" fillId="2" borderId="17" xfId="0" applyNumberFormat="1" applyFont="1" applyFill="1" applyBorder="1" applyAlignment="1">
      <alignment horizontal="center" vertical="center" wrapText="1"/>
    </xf>
  </cellXfs>
  <cellStyles count="14">
    <cellStyle name="Collegamento ipertestuale" xfId="1" builtinId="8" customBuiltin="1"/>
    <cellStyle name="Date" xfId="10" xr:uid="{229918B6-DD13-4F5A-97B9-305F7E002AA3}"/>
    <cellStyle name="Migliaia" xfId="4" builtinId="3" customBuiltin="1"/>
    <cellStyle name="Name" xfId="11" xr:uid="{B2D3C1EE-6B41-4801-AAFC-C2274E49E503}"/>
    <cellStyle name="Normale" xfId="0" builtinId="0"/>
    <cellStyle name="Percentuale" xfId="2" builtinId="5"/>
    <cellStyle name="Project Start" xfId="9" xr:uid="{8EB8A09A-C31C-40A3-B2C1-9449520178B8}"/>
    <cellStyle name="Task" xfId="12" xr:uid="{6391D789-272B-4DD2-9BF3-2CDCF610FA41}"/>
    <cellStyle name="Titolo" xfId="5" builtinId="15" customBuiltin="1"/>
    <cellStyle name="Titolo 1" xfId="6" builtinId="16" customBuiltin="1"/>
    <cellStyle name="Titolo 2" xfId="7" builtinId="17" customBuiltin="1"/>
    <cellStyle name="Titolo 3" xfId="8" builtinId="18" customBuiltin="1"/>
    <cellStyle name="Valuta" xfId="13" builtinId="4"/>
    <cellStyle name="zHiddenText" xfId="3" xr:uid="{26E66EE6-E33F-4D77-BAE4-0FB4F5BBF673}"/>
  </cellStyles>
  <dxfs count="132">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6" tint="0.39994506668294322"/>
        </patternFill>
      </fill>
      <border>
        <left/>
        <right/>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numFmt numFmtId="34" formatCode="_-* #,##0.00\ &quot;€&quot;_-;\-* #,##0.00\ &quot;€&quot;_-;_-* &quot;-&quot;??\ &quot;€&quot;_-;_-@_-"/>
    </dxf>
    <dxf>
      <numFmt numFmtId="34" formatCode="_-* #,##0.00\ &quot;€&quot;_-;\-* #,##0.00\ &quot;€&quot;_-;_-* &quot;-&quot;??\ &quot;€&quot;_-;_-@_-"/>
    </dxf>
    <dxf>
      <numFmt numFmtId="34" formatCode="_-* #,##0.00\ &quot;€&quot;_-;\-* #,##0.00\ &quot;€&quot;_-;_-* &quot;-&quot;??\ &quot;€&quot;_-;_-@_-"/>
    </dxf>
    <dxf>
      <font>
        <b val="0"/>
        <i val="0"/>
        <strike val="0"/>
        <condense val="0"/>
        <extend val="0"/>
        <outline val="0"/>
        <shadow val="0"/>
        <u val="none"/>
        <vertAlign val="baseline"/>
        <sz val="11"/>
        <color theme="1"/>
        <name val="Arial"/>
        <family val="2"/>
        <scheme val="minor"/>
      </font>
      <numFmt numFmtId="34" formatCode="_-* #,##0.00\ &quot;€&quot;_-;\-* #,##0.00\ &quot;€&quot;_-;_-* &quot;-&quot;??\ &quot;€&quot;_-;_-@_-"/>
    </dxf>
    <dxf>
      <font>
        <b val="0"/>
        <i val="0"/>
        <strike val="0"/>
        <condense val="0"/>
        <extend val="0"/>
        <outline val="0"/>
        <shadow val="0"/>
        <u val="none"/>
        <vertAlign val="baseline"/>
        <sz val="11"/>
        <color theme="1"/>
        <name val="Arial"/>
        <family val="2"/>
        <scheme val="minor"/>
      </font>
      <numFmt numFmtId="34" formatCode="_-* #,##0.00\ &quot;€&quot;_-;\-* #,##0.00\ &quot;€&quot;_-;_-* &quot;-&quot;??\ &quot;€&quot;_-;_-@_-"/>
    </dxf>
    <dxf>
      <numFmt numFmtId="34" formatCode="_-* #,##0.00\ &quot;€&quot;_-;\-* #,##0.00\ &quot;€&quot;_-;_-* &quot;-&quot;??\ &quot;€&quot;_-;_-@_-"/>
    </dxf>
    <dxf>
      <numFmt numFmtId="34" formatCode="_-* #,##0.00\ &quot;€&quot;_-;\-* #,##0.00\ &quot;€&quot;_-;_-* &quot;-&quot;??\ &quot;€&quot;_-;_-@_-"/>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numFmt numFmtId="34" formatCode="_-* #,##0.00\ &quot;€&quot;_-;\-* #,##0.00\ &quot;€&quot;_-;_-* &quot;-&quot;??\ &quot;€&quot;_-;_-@_-"/>
    </dxf>
    <dxf>
      <font>
        <b val="0"/>
        <i val="0"/>
        <strike val="0"/>
        <condense val="0"/>
        <extend val="0"/>
        <outline val="0"/>
        <shadow val="0"/>
        <u val="none"/>
        <vertAlign val="baseline"/>
        <sz val="11"/>
        <color theme="1"/>
        <name val="Arial"/>
        <family val="2"/>
        <scheme val="minor"/>
      </font>
      <numFmt numFmtId="34" formatCode="_-* #,##0.00\ &quot;€&quot;_-;\-* #,##0.00\ &quot;€&quot;_-;_-* &quot;-&quot;??\ &quot;€&quot;_-;_-@_-"/>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numFmt numFmtId="34" formatCode="_-* #,##0.00\ &quot;€&quot;_-;\-* #,##0.00\ &quot;€&quot;_-;_-* &quot;-&quot;??\ &quot;€&quot;_-;_-@_-"/>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numFmt numFmtId="34" formatCode="_-* #,##0.00\ &quot;€&quot;_-;\-* #,##0.00\ &quot;€&quot;_-;_-* &quot;-&quot;??\ &quot;€&quot;_-;_-@_-"/>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numFmt numFmtId="34" formatCode="_-* #,##0.00\ &quot;€&quot;_-;\-* #,##0.00\ &quot;€&quot;_-;_-* &quot;-&quot;??\ &quot;€&quot;_-;_-@_-"/>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numFmt numFmtId="34" formatCode="_-* #,##0.00\ &quot;€&quot;_-;\-* #,##0.00\ &quot;€&quot;_-;_-* &quot;-&quot;??\ &quot;€&quot;_-;_-@_-"/>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numFmt numFmtId="34" formatCode="_-* #,##0.00\ &quot;€&quot;_-;\-* #,##0.00\ &quot;€&quot;_-;_-* &quot;-&quot;??\ &quot;€&quot;_-;_-@_-"/>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numFmt numFmtId="34" formatCode="_-* #,##0.00\ &quot;€&quot;_-;\-* #,##0.00\ &quot;€&quot;_-;_-* &quot;-&quot;??\ &quot;€&quot;_-;_-@_-"/>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numFmt numFmtId="34" formatCode="_-* #,##0.00\ &quot;€&quot;_-;\-* #,##0.00\ &quot;€&quot;_-;_-* &quot;-&quot;??\ &quot;€&quot;_-;_-@_-"/>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numFmt numFmtId="34" formatCode="_-* #,##0.00\ &quot;€&quot;_-;\-* #,##0.00\ &quot;€&quot;_-;_-* &quot;-&quot;??\ &quot;€&quot;_-;_-@_-"/>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font>
        <b val="0"/>
        <i val="0"/>
        <strike val="0"/>
        <condense val="0"/>
        <extend val="0"/>
        <outline val="0"/>
        <shadow val="0"/>
        <u val="none"/>
        <vertAlign val="baseline"/>
        <sz val="11"/>
        <color theme="1"/>
        <name val="Arial"/>
        <family val="2"/>
        <scheme val="minor"/>
      </font>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31"/>
      <tableStyleElement type="headerRow" dxfId="130"/>
      <tableStyleElement type="totalRow" dxfId="129"/>
      <tableStyleElement type="firstColumn" dxfId="128"/>
      <tableStyleElement type="lastColumn" dxfId="127"/>
      <tableStyleElement type="firstRowStripe" dxfId="126"/>
      <tableStyleElement type="secondRowStripe" dxfId="125"/>
      <tableStyleElement type="firstColumnStripe" dxfId="124"/>
      <tableStyleElement type="secondColumnStripe" dxfId="12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5A9EB3-D9ED-410A-9BCE-C72133D9451E}" name="Tabella1" displayName="Tabella1" ref="D4:G7" totalsRowCount="1">
  <autoFilter ref="D4:G6" xr:uid="{BD5A9EB3-D9ED-410A-9BCE-C72133D9451E}"/>
  <tableColumns count="4">
    <tableColumn id="2" xr3:uid="{E72BF9F4-A345-4EAF-8012-EA2EDF007347}" name="Paga oraria" totalsRowDxfId="122" dataCellStyle="Valuta" totalsRowCellStyle="Valuta"/>
    <tableColumn id="3" xr3:uid="{7B5BF77C-9E14-48E9-B8F3-1D34522613CC}" name="#Membri"/>
    <tableColumn id="5" xr3:uid="{06B170FC-EE34-40D0-847A-4F15ECA7CF78}" name="Totale ore" totalsRowFunction="custom">
      <calculatedColumnFormula>Tabella1[[#This Row],['#Membri]]*#REF!</calculatedColumnFormula>
      <totalsRowFormula>F5+F6</totalsRowFormula>
    </tableColumn>
    <tableColumn id="4" xr3:uid="{2EA06B6C-91B4-4662-85F0-355DE9043DB5}" name="Totale" totalsRowFunction="custom" totalsRowDxfId="121" dataCellStyle="Valuta" totalsRowCellStyle="Valuta">
      <calculatedColumnFormula>Tabella1[[#This Row],['#Membri]]*Tabella1[[#This Row],[Paga oraria]]*#REF!</calculatedColumnFormula>
      <totalsRowFormula>G5+G6</totalsRow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3D2AD1-C317-4120-BF7F-D79CBF3CAE72}" name="Tabella13" displayName="Tabella13" ref="D10:G13" totalsRowCount="1">
  <autoFilter ref="D10:G12" xr:uid="{D33D2AD1-C317-4120-BF7F-D79CBF3CAE72}"/>
  <tableColumns count="4">
    <tableColumn id="2" xr3:uid="{0CEB0E5B-E981-4C0B-958B-F2EAA38A78AA}" name="Paga oraria" totalsRowDxfId="120" dataCellStyle="Valuta" totalsRowCellStyle="Valuta"/>
    <tableColumn id="3" xr3:uid="{2B49739B-F816-499A-9615-9ABA9BDFC673}" name="#Membri"/>
    <tableColumn id="5" xr3:uid="{AD9F55D1-A39D-4238-9E30-613CB7AF6E95}" name="Totale ore" totalsRowFunction="custom">
      <calculatedColumnFormula>Tabella13[[#This Row],['#Membri]]*#REF!</calculatedColumnFormula>
      <totalsRowFormula>F11+F12</totalsRowFormula>
    </tableColumn>
    <tableColumn id="4" xr3:uid="{DAECC647-E269-41CC-8D1B-1594A52D3114}" name="Totale" totalsRowFunction="custom" totalsRowDxfId="119" dataCellStyle="Valuta" totalsRowCellStyle="Valuta">
      <calculatedColumnFormula>Tabella13[[#This Row],['#Membri]]*Tabella13[[#This Row],[Paga oraria]]*#REF!</calculatedColumnFormula>
      <totalsRowFormula>G11+G12</totalsRow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78F04B-D2E9-411F-9E23-43A9ECFC6EC1}" name="Tabella134" displayName="Tabella134" ref="D17:G20" totalsRowCount="1">
  <autoFilter ref="D17:G19" xr:uid="{1778F04B-D2E9-411F-9E23-43A9ECFC6EC1}"/>
  <tableColumns count="4">
    <tableColumn id="2" xr3:uid="{54D3B8DA-3641-44E2-A5ED-D3B93C1399D3}" name="Paga oraria" totalsRowDxfId="118" dataCellStyle="Valuta" totalsRowCellStyle="Valuta"/>
    <tableColumn id="3" xr3:uid="{E34C8A36-75E7-4C96-97CD-0791BCD0977F}" name="#Membri"/>
    <tableColumn id="5" xr3:uid="{CD270FAB-C090-4F75-8EA5-EE20403EA53F}" name="Totale ore" totalsRowFunction="custom">
      <calculatedColumnFormula>Tabella134[[#This Row],['#Membri]]*#REF!</calculatedColumnFormula>
      <totalsRowFormula>F18+F19</totalsRowFormula>
    </tableColumn>
    <tableColumn id="4" xr3:uid="{3B786640-30B0-4744-9F97-F18318E3BC20}" name="Totale" totalsRowFunction="custom" totalsRowDxfId="117" dataCellStyle="Valuta" totalsRowCellStyle="Valuta">
      <calculatedColumnFormula>Tabella134[[#This Row],['#Membri]]*Tabella134[[#This Row],[Paga oraria]]*#REF!</calculatedColumnFormula>
      <totalsRowFormula>G18+G19</totalsRow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8A8C3C-EEE0-45ED-9828-99084F6E699E}" name="Tabella1345" displayName="Tabella1345" ref="D24:G27" totalsRowCount="1">
  <autoFilter ref="D24:G26" xr:uid="{BF8A8C3C-EEE0-45ED-9828-99084F6E699E}"/>
  <tableColumns count="4">
    <tableColumn id="2" xr3:uid="{DD007EB3-2906-4E5E-958A-18CB76C02F5C}" name="Paga oraria" totalsRowDxfId="116" dataCellStyle="Valuta" totalsRowCellStyle="Valuta"/>
    <tableColumn id="3" xr3:uid="{38722EBE-DAB9-4FF5-BC21-FE3399E8C06A}" name="#Membri"/>
    <tableColumn id="5" xr3:uid="{DE605B2F-9D97-47E5-B056-DB779BAD6DA9}" name="Totale ore" totalsRowFunction="custom">
      <calculatedColumnFormula>Tabella1345[[#This Row],['#Membri]]*#REF!</calculatedColumnFormula>
      <totalsRowFormula>F25+F26</totalsRowFormula>
    </tableColumn>
    <tableColumn id="4" xr3:uid="{3E945B6C-D123-4F69-9EFA-35BE1A4EB721}" name="Totale" totalsRowFunction="custom" totalsRowDxfId="115" dataCellStyle="Valuta" totalsRowCellStyle="Valuta">
      <calculatedColumnFormula>Tabella1345[[#This Row],['#Membri]]*Tabella1345[[#This Row],[Paga oraria]]*#REF!</calculatedColumnFormula>
      <totalsRowFormula>G25+G26</totalsRow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F83FA4-39D6-495E-9670-80753AACE1AE}" name="Tabella16" displayName="Tabella16" ref="I4:L5" totalsRowShown="0">
  <autoFilter ref="I4:L5" xr:uid="{13F83FA4-39D6-495E-9670-80753AACE1AE}"/>
  <tableColumns count="4">
    <tableColumn id="2" xr3:uid="{709D9B04-1E7A-45AF-9005-80262A10C10D}" name="Paga oraria" totalsRowDxfId="114" dataCellStyle="Valuta" totalsRowCellStyle="Valuta"/>
    <tableColumn id="3" xr3:uid="{8DADEA92-25A4-48BA-AA1D-70F0942215BF}" name="#Membri"/>
    <tableColumn id="5" xr3:uid="{7CC8E175-7D2A-479A-BDC2-68F667405462}" name="Totale ore">
      <calculatedColumnFormula>Tabella16[[#This Row],['#Membri]]*#REF!</calculatedColumnFormula>
    </tableColumn>
    <tableColumn id="4" xr3:uid="{FD180807-E02F-47FF-B811-14AF547DBACE}" name="Totale" totalsRowDxfId="113" dataCellStyle="Valuta" totalsRowCellStyle="Valuta">
      <calculatedColumnFormula>Tabella16[[#This Row],['#Membri]]*Tabella16[[#This Row],[Paga oraria]]*#REF!</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DEC29AB-6C06-4373-A498-CE6973429F20}" name="Tabella137" displayName="Tabella137" ref="I8:L9" totalsRowShown="0">
  <autoFilter ref="I8:L9" xr:uid="{4DEC29AB-6C06-4373-A498-CE6973429F20}"/>
  <tableColumns count="4">
    <tableColumn id="2" xr3:uid="{D68126D3-F880-475C-8749-BD5ACBD85BFE}" name="Paga oraria" totalsRowDxfId="112" dataCellStyle="Valuta" totalsRowCellStyle="Valuta"/>
    <tableColumn id="3" xr3:uid="{B4AB3423-A56E-456F-8632-EB103D1DD9E8}" name="#Membri"/>
    <tableColumn id="5" xr3:uid="{C50C22CD-563C-4015-9F66-7FCAEC4508F8}" name="Totale ore">
      <calculatedColumnFormula>Tabella137[[#This Row],['#Membri]]*#REF!</calculatedColumnFormula>
    </tableColumn>
    <tableColumn id="4" xr3:uid="{E026673A-0FFC-4119-8154-BD8436B20B3C}" name="Totale" totalsRowDxfId="111" dataCellStyle="Valuta" totalsRowCellStyle="Valuta">
      <calculatedColumnFormula>Tabella137[[#This Row],['#Membri]]*Tabella137[[#This Row],[Paga oraria]]*#REF!</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AEAA893-81F6-403F-AF27-4F01BA4712B4}" name="Tabella1348" displayName="Tabella1348" ref="I13:L14" totalsRowShown="0">
  <autoFilter ref="I13:L14" xr:uid="{8AEAA893-81F6-403F-AF27-4F01BA4712B4}"/>
  <tableColumns count="4">
    <tableColumn id="2" xr3:uid="{C39844FF-708D-4C3A-8828-750DECCB32AF}" name="Paga oraria" totalsRowDxfId="110" dataCellStyle="Valuta" totalsRowCellStyle="Valuta"/>
    <tableColumn id="3" xr3:uid="{F3F3BFC5-7D74-4CDC-BAAD-DA7E3F4F899A}" name="#Membri"/>
    <tableColumn id="5" xr3:uid="{B0795D95-99A0-4382-B899-D698C698E40F}" name="Totale ore">
      <calculatedColumnFormula>Tabella1348[[#This Row],['#Membri]]*#REF!</calculatedColumnFormula>
    </tableColumn>
    <tableColumn id="4" xr3:uid="{E51E4225-3E8C-4480-987B-171830FF412A}" name="Totale" totalsRowDxfId="109" dataCellStyle="Valuta" totalsRowCellStyle="Valuta">
      <calculatedColumnFormula>Tabella1348[[#This Row],['#Membri]]*Tabella1348[[#This Row],[Paga oraria]]*#REF!</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774C874-4A5A-445C-BE2A-7DDAF67E0423}" name="Tabella13459" displayName="Tabella13459" ref="I18:L19" totalsRowShown="0">
  <autoFilter ref="I18:L19" xr:uid="{5774C874-4A5A-445C-BE2A-7DDAF67E0423}"/>
  <tableColumns count="4">
    <tableColumn id="2" xr3:uid="{62AC6551-EB54-4E50-8910-0D3D627104C1}" name="Paga oraria" totalsRowDxfId="108" dataCellStyle="Valuta" totalsRowCellStyle="Valuta"/>
    <tableColumn id="3" xr3:uid="{7B012E63-D832-4262-BADA-183165124CF8}" name="#Membri"/>
    <tableColumn id="5" xr3:uid="{FC4F6563-E288-42FD-98E6-37043A1F9B0C}" name="Totale ore">
      <calculatedColumnFormula>Tabella13459[[#This Row],['#Membri]]*#REF!</calculatedColumnFormula>
    </tableColumn>
    <tableColumn id="4" xr3:uid="{3C77601E-98FB-47D3-A4B2-FCE03744D1F0}" name="Totale" totalsRowDxfId="107" dataCellStyle="Valuta" totalsRowCellStyle="Valuta">
      <calculatedColumnFormula>Tabella13459[[#This Row],['#Membri]]*Tabella13459[[#This Row],[Paga oraria]]*#REF!</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E24CC59-15AB-4F3C-AF3E-1C1AF0795B1C}" name="Tabella9" displayName="Tabella9" ref="A1:A2" totalsRowShown="0">
  <autoFilter ref="A1:A2" xr:uid="{7E24CC59-15AB-4F3C-AF3E-1C1AF0795B1C}"/>
  <tableColumns count="1">
    <tableColumn id="1" xr3:uid="{B02CAFB3-5CEA-41FE-8BB6-A55588B9683B}" name="Totale Costo:" dataDxfId="106">
      <calculatedColumnFormula>SUM(Tabella963[Totale Costo:],Tabella964[Totale Costo:])</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C9E64F7-2F41-4586-9CB6-C82D259D4ACC}" name="Tabella1612" displayName="Tabella1612" ref="O4:R7" totalsRowCount="1">
  <autoFilter ref="O4:R6" xr:uid="{8C9E64F7-2F41-4586-9CB6-C82D259D4ACC}"/>
  <tableColumns count="4">
    <tableColumn id="2" xr3:uid="{8C720298-7ABB-4DD6-B460-128AA2244396}" name="Paga oraria" totalsRowDxfId="105" dataCellStyle="Valuta" totalsRowCellStyle="Valuta"/>
    <tableColumn id="3" xr3:uid="{FAB6CBC8-1FE2-4980-8DD9-C8769EFEFAFF}" name="#Membri"/>
    <tableColumn id="5" xr3:uid="{AD3C1DAB-5ACE-457F-983F-EC85A52E906C}" name="Totale ore" totalsRowFunction="custom">
      <calculatedColumnFormula>Tabella1612[[#This Row],['#Membri]]*R3</calculatedColumnFormula>
      <totalsRowFormula>SUM(Tabella1612[Totale ore])</totalsRowFormula>
    </tableColumn>
    <tableColumn id="4" xr3:uid="{E9734DB2-D555-4B61-9EBD-9BD8997AD17A}" name="Totale" totalsRowFunction="custom" totalsRowDxfId="104" dataCellStyle="Valuta" totalsRowCellStyle="Valuta">
      <calculatedColumnFormula>Tabella1612[[#This Row],['#Membri]]*Tabella1612[[#This Row],[Paga oraria]]*R3</calculatedColumnFormula>
      <totalsRowFormula>SUM(Tabella1612[Totale])</totalsRow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8ED7ED2-76A9-4C1D-84DB-7D8BD1ED3614}" name="Tabella161213" displayName="Tabella161213" ref="O10:R13" totalsRowCount="1">
  <autoFilter ref="O10:R12" xr:uid="{48ED7ED2-76A9-4C1D-84DB-7D8BD1ED3614}"/>
  <tableColumns count="4">
    <tableColumn id="2" xr3:uid="{34957625-A90E-43FD-B623-F5F5C2AA14A9}" name="Paga oraria" totalsRowDxfId="103" dataCellStyle="Valuta" totalsRowCellStyle="Valuta"/>
    <tableColumn id="3" xr3:uid="{C92EFC69-441E-4206-AAE6-ABA619A0BB9A}" name="#Membri"/>
    <tableColumn id="5" xr3:uid="{3AABFD28-8DA0-4557-A461-E865CC2EE21D}" name="Totale ore" totalsRowFunction="custom">
      <calculatedColumnFormula>Tabella161213[[#This Row],['#Membri]]*R9</calculatedColumnFormula>
      <totalsRowFormula>SUM(Tabella161213[Totale ore])</totalsRowFormula>
    </tableColumn>
    <tableColumn id="4" xr3:uid="{74CAF57F-E970-40FA-9E45-2F36648A77B3}" name="Totale" totalsRowFunction="custom" totalsRowDxfId="102" dataCellStyle="Valuta" totalsRowCellStyle="Valuta">
      <calculatedColumnFormula>Tabella161213[[#This Row],['#Membri]]*Tabella161213[[#This Row],[Paga oraria]]*R9</calculatedColumnFormula>
      <totalsRowFormula>SUM(Tabella161213[Totale])</totalsRow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F6C7A62-54A9-42E0-892A-8403308671F3}" name="Tabella16121314" displayName="Tabella16121314" ref="O16:R19" totalsRowCount="1">
  <autoFilter ref="O16:R18" xr:uid="{0F6C7A62-54A9-42E0-892A-8403308671F3}"/>
  <tableColumns count="4">
    <tableColumn id="2" xr3:uid="{F3278ED6-9533-4269-B89E-88B61EA1E15C}" name="Paga oraria" totalsRowDxfId="101" dataCellStyle="Valuta" totalsRowCellStyle="Valuta"/>
    <tableColumn id="3" xr3:uid="{66C77886-F688-40A3-B6EB-E396926DACFE}" name="#Membri"/>
    <tableColumn id="5" xr3:uid="{EC993FBE-AC5B-4784-B622-3230E7D4D9B5}" name="Totale ore" totalsRowFunction="custom">
      <calculatedColumnFormula>Tabella16121314[[#This Row],['#Membri]]*R15</calculatedColumnFormula>
      <totalsRowFormula>SUM(Tabella16121314[Totale ore])</totalsRowFormula>
    </tableColumn>
    <tableColumn id="4" xr3:uid="{1459297F-5E12-4DED-A128-9E88C3B8F1E4}" name="Totale" totalsRowFunction="custom" totalsRowDxfId="100" dataCellStyle="Valuta" totalsRowCellStyle="Valuta">
      <calculatedColumnFormula>Tabella16121314[[#This Row],['#Membri]]*Tabella16121314[[#This Row],[Paga oraria]]*R15</calculatedColumnFormula>
      <totalsRowFormula>SUM(Tabella16121314[Totale])</totalsRow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D6297F6-224C-4082-B61D-3F468480E295}" name="Tabella161215" displayName="Tabella161215" ref="U4:X7" totalsRowCount="1">
  <autoFilter ref="U4:X6" xr:uid="{5D6297F6-224C-4082-B61D-3F468480E295}"/>
  <tableColumns count="4">
    <tableColumn id="2" xr3:uid="{4FC8A5DF-1D80-4EF4-9F75-E6D7E6ED7E0C}" name="Paga oraria" totalsRowDxfId="99" dataCellStyle="Valuta" totalsRowCellStyle="Valuta"/>
    <tableColumn id="3" xr3:uid="{9E3CBEAC-5D99-4923-8BBA-40632F92C274}" name="#Membri"/>
    <tableColumn id="5" xr3:uid="{4660DBD1-ABF9-46C1-9952-111D5E84DC50}" name="Totale ore" totalsRowFunction="custom">
      <calculatedColumnFormula>Tabella161215[[#This Row],['#Membri]]*X3</calculatedColumnFormula>
      <totalsRowFormula>SUM(Tabella161215[Totale ore])</totalsRowFormula>
    </tableColumn>
    <tableColumn id="4" xr3:uid="{CB20E2F1-076B-4DA5-8FC2-41AC97746101}" name="Totale" totalsRowFunction="custom" totalsRowDxfId="98" dataCellStyle="Valuta" totalsRowCellStyle="Valuta">
      <calculatedColumnFormula>Tabella161215[[#This Row],['#Membri]]*Tabella161215[[#This Row],[Paga oraria]]*X3</calculatedColumnFormula>
      <totalsRowFormula>SUM(Tabella161215[Totale])</totalsRowFormula>
    </tableColumn>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3C0154E-B75E-4B22-B088-BFC5B2F9918F}" name="Tabella16121316" displayName="Tabella16121316" ref="U10:X13" totalsRowCount="1">
  <autoFilter ref="U10:X12" xr:uid="{D3C0154E-B75E-4B22-B088-BFC5B2F9918F}"/>
  <tableColumns count="4">
    <tableColumn id="2" xr3:uid="{6D786B02-9D52-4642-87CA-C585833A588B}" name="Paga oraria" totalsRowDxfId="97" dataCellStyle="Valuta" totalsRowCellStyle="Valuta"/>
    <tableColumn id="3" xr3:uid="{96D5B7FD-0AB8-43CE-A8A8-268DE4DCFD76}" name="#Membri"/>
    <tableColumn id="5" xr3:uid="{4A5FACFE-43FE-475C-B0C0-7BD0F3FF9196}" name="Totale ore" totalsRowFunction="custom">
      <calculatedColumnFormula>Tabella16121316[[#This Row],['#Membri]]*X9</calculatedColumnFormula>
      <totalsRowFormula>SUM(Tabella16121316[Totale ore])</totalsRowFormula>
    </tableColumn>
    <tableColumn id="4" xr3:uid="{900D9AD1-75D4-4CA9-92D6-6DF1B52D1EC9}" name="Totale" totalsRowFunction="custom" totalsRowDxfId="96" dataCellStyle="Valuta" totalsRowCellStyle="Valuta">
      <calculatedColumnFormula>Tabella16121316[[#This Row],['#Membri]]*Tabella16121316[[#This Row],[Paga oraria]]*X9</calculatedColumnFormula>
      <totalsRowFormula>SUM(Tabella16121316[Totale])</totalsRowFormula>
    </tableColumn>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BA8E8C0-7095-4D07-AABB-367150956DF0}" name="Tabella1612131417" displayName="Tabella1612131417" ref="U16:X19" totalsRowCount="1">
  <autoFilter ref="U16:X18" xr:uid="{4BA8E8C0-7095-4D07-AABB-367150956DF0}"/>
  <tableColumns count="4">
    <tableColumn id="2" xr3:uid="{B431DBC4-3DC4-4DC7-B846-19565E3554DA}" name="Paga oraria" totalsRowDxfId="95" dataCellStyle="Valuta" totalsRowCellStyle="Valuta"/>
    <tableColumn id="3" xr3:uid="{337E4F9C-75CA-4124-A937-9D4416B2CD9E}" name="#Membri"/>
    <tableColumn id="5" xr3:uid="{70F76BD2-4C59-41BB-A955-A3995FF0A0E5}" name="Totale ore" totalsRowFunction="custom">
      <calculatedColumnFormula>Tabella1612131417[[#This Row],['#Membri]]*X15</calculatedColumnFormula>
      <totalsRowFormula>SUM(Tabella1612131417[Totale ore])</totalsRowFormula>
    </tableColumn>
    <tableColumn id="4" xr3:uid="{81E01CC3-1142-4C31-94F0-4A578FC0DD47}" name="Totale" totalsRowFunction="custom" totalsRowDxfId="94" dataCellStyle="Valuta" totalsRowCellStyle="Valuta">
      <calculatedColumnFormula>Tabella1612131417[[#This Row],['#Membri]]*Tabella1612131417[[#This Row],[Paga oraria]]*X15</calculatedColumnFormula>
      <totalsRowFormula>SUM(Tabella1612131417[Totale])</totalsRowFormula>
    </tableColumn>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ECBB644-EEE0-4902-8906-37AF1D26473D}" name="Tabella161213141718" displayName="Tabella161213141718" ref="U22:X25" totalsRowCount="1">
  <autoFilter ref="U22:X24" xr:uid="{7ECBB644-EEE0-4902-8906-37AF1D26473D}"/>
  <tableColumns count="4">
    <tableColumn id="2" xr3:uid="{9E5D7383-70FF-4ABC-8A9A-5A86A25A3A02}" name="Paga oraria" totalsRowDxfId="93" dataCellStyle="Valuta" totalsRowCellStyle="Valuta"/>
    <tableColumn id="3" xr3:uid="{9612FDC9-1568-40DC-8BDD-581FE17EB912}" name="#Membri"/>
    <tableColumn id="5" xr3:uid="{A52DE012-1E30-4F6C-A95A-B9464D7F7C6C}" name="Totale ore" totalsRowFunction="custom">
      <calculatedColumnFormula>Tabella161213141718[[#This Row],['#Membri]]*X21</calculatedColumnFormula>
      <totalsRowFormula>SUM(Tabella161213141718[Totale ore])</totalsRowFormula>
    </tableColumn>
    <tableColumn id="4" xr3:uid="{441D8737-274A-46DE-B95E-4CE43E910870}" name="Totale" totalsRowFunction="custom" totalsRowDxfId="92" dataCellStyle="Valuta" totalsRowCellStyle="Valuta">
      <calculatedColumnFormula>Tabella161213141718[[#This Row],['#Membri]]*Tabella161213141718[[#This Row],[Paga oraria]]*X21</calculatedColumnFormula>
      <totalsRowFormula>SUM(Tabella161213141718[Totale])</totalsRowFormula>
    </tableColumn>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8D393F0-007F-474A-9AD8-C1397E7752DE}" name="Tabella16121314171819" displayName="Tabella16121314171819" ref="U28:X31" totalsRowCount="1">
  <autoFilter ref="U28:X30" xr:uid="{68D393F0-007F-474A-9AD8-C1397E7752DE}"/>
  <tableColumns count="4">
    <tableColumn id="2" xr3:uid="{D4A26515-78DC-4AB0-BC83-A71C7BCA9330}" name="Paga oraria" totalsRowDxfId="91" dataCellStyle="Valuta" totalsRowCellStyle="Valuta"/>
    <tableColumn id="3" xr3:uid="{E7F0B62D-C9FA-40A5-BC34-27A9EE7112C8}" name="#Membri"/>
    <tableColumn id="5" xr3:uid="{F3579467-F11A-4AC5-B3D3-5241D6293C69}" name="Totale ore" totalsRowFunction="custom">
      <calculatedColumnFormula>Tabella16121314171819[[#This Row],['#Membri]]*X27</calculatedColumnFormula>
      <totalsRowFormula>SUM(Tabella16121314171819[Totale ore])</totalsRowFormula>
    </tableColumn>
    <tableColumn id="4" xr3:uid="{903D44C4-204A-4461-A552-0A9FA629DC54}" name="Totale" totalsRowFunction="custom" totalsRowDxfId="90" dataCellStyle="Valuta" totalsRowCellStyle="Valuta">
      <calculatedColumnFormula>Tabella16121314171819[[#This Row],['#Membri]]*Tabella16121314171819[[#This Row],[Paga oraria]]*X27</calculatedColumnFormula>
      <totalsRowFormula>SUM(Tabella16121314171819[Totale])</totalsRowFormula>
    </tableColumn>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C68AF3C-B134-4B01-A8DA-67408CC9B2AF}" name="Tabella16121520" displayName="Tabella16121520" ref="Z4:AC7" totalsRowCount="1">
  <autoFilter ref="Z4:AC6" xr:uid="{2C68AF3C-B134-4B01-A8DA-67408CC9B2AF}"/>
  <tableColumns count="4">
    <tableColumn id="2" xr3:uid="{2E8E11A6-D666-49E8-AB62-3832C3274158}" name="Paga oraria" totalsRowDxfId="89" dataCellStyle="Valuta" totalsRowCellStyle="Valuta"/>
    <tableColumn id="3" xr3:uid="{FC5776C3-391E-45ED-AB7B-8DEB6DF17670}" name="#Membri"/>
    <tableColumn id="5" xr3:uid="{2556D7AF-2486-4947-9FF5-9AB61F79F801}" name="Totale ore" totalsRowFunction="custom">
      <calculatedColumnFormula>Tabella16121520[[#This Row],['#Membri]]*AC3</calculatedColumnFormula>
      <totalsRowFormula>SUM(Tabella16121520[Totale ore])</totalsRowFormula>
    </tableColumn>
    <tableColumn id="4" xr3:uid="{52744B0B-409C-4F58-BE4D-F92F049E93E9}" name="Totale" totalsRowFunction="custom" totalsRowDxfId="88" dataCellStyle="Valuta" totalsRowCellStyle="Valuta">
      <calculatedColumnFormula>Tabella16121520[[#This Row],['#Membri]]*Tabella16121520[[#This Row],[Paga oraria]]*AC3</calculatedColumnFormula>
      <totalsRowFormula>SUM(Tabella16121520[Totale])</totalsRowFormula>
    </tableColumn>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637D502-0012-4FC1-A362-F0B9C0413D7E}" name="Tabella1612131621" displayName="Tabella1612131621" ref="Z10:AC13" totalsRowCount="1">
  <autoFilter ref="Z10:AC12" xr:uid="{7637D502-0012-4FC1-A362-F0B9C0413D7E}"/>
  <tableColumns count="4">
    <tableColumn id="2" xr3:uid="{59808BCC-0B23-4942-AD15-9CFE1B9943B9}" name="Paga oraria" totalsRowDxfId="87" dataCellStyle="Valuta" totalsRowCellStyle="Valuta"/>
    <tableColumn id="3" xr3:uid="{7383943F-1CCD-4A11-BAA8-0EE533BA24E1}" name="#Membri"/>
    <tableColumn id="5" xr3:uid="{FB1B2C1B-11A0-4B8D-B041-60C11B3B57A0}" name="Totale ore" totalsRowFunction="custom">
      <calculatedColumnFormula>Tabella1612131621[[#This Row],['#Membri]]*AC9</calculatedColumnFormula>
      <totalsRowFormula>SUM(Tabella1612131621[Totale ore])</totalsRowFormula>
    </tableColumn>
    <tableColumn id="4" xr3:uid="{95F8F41A-B2D0-4A9E-97DD-ABB4180B6975}" name="Totale" totalsRowFunction="custom" totalsRowDxfId="86" dataCellStyle="Valuta" totalsRowCellStyle="Valuta">
      <calculatedColumnFormula>Tabella1612131621[[#This Row],['#Membri]]*Tabella1612131621[[#This Row],[Paga oraria]]*AC9</calculatedColumnFormula>
      <totalsRowFormula>SUM(Tabella1612131621[Totale])</totalsRowFormula>
    </tableColumn>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D07BD70-3D28-4538-AF7F-7A07643E5252}" name="Tabella1612152025" displayName="Tabella1612152025" ref="AO4:AR7" totalsRowCount="1">
  <autoFilter ref="AO4:AR6" xr:uid="{5D07BD70-3D28-4538-AF7F-7A07643E5252}"/>
  <tableColumns count="4">
    <tableColumn id="2" xr3:uid="{4D23F18B-B2BD-45C5-87B8-472739A2B929}" name="Paga oraria" totalsRowDxfId="85" dataCellStyle="Valuta" totalsRowCellStyle="Valuta"/>
    <tableColumn id="3" xr3:uid="{0437B2E3-06FB-465E-82A6-3CAA65797557}" name="#Membri"/>
    <tableColumn id="5" xr3:uid="{FFA68EF9-5CBB-4D68-8303-ABF5CD0F9BB2}" name="Totale ore" totalsRowFunction="custom">
      <calculatedColumnFormula>Tabella1612152025[[#This Row],['#Membri]]*AR3</calculatedColumnFormula>
      <totalsRowFormula>SUM(Tabella1612152025[Totale ore])</totalsRowFormula>
    </tableColumn>
    <tableColumn id="4" xr3:uid="{98B439F3-1150-4C28-B36E-F09997873112}" name="Totale" totalsRowFunction="custom" totalsRowDxfId="84" dataCellStyle="Valuta" totalsRowCellStyle="Valuta">
      <calculatedColumnFormula>Tabella1612152025[[#This Row],['#Membri]]*Tabella1612152025[[#This Row],[Paga oraria]]*AR3</calculatedColumnFormula>
      <totalsRowFormula>SUM(Tabella1612152025[Totale])</totalsRowFormula>
    </tableColumn>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4E5E6852-3A87-49F7-A2F5-2C44A26E2FE8}" name="Tabella161213162126" displayName="Tabella161213162126" ref="AO10:AR13" totalsRowCount="1">
  <autoFilter ref="AO10:AR12" xr:uid="{4E5E6852-3A87-49F7-A2F5-2C44A26E2FE8}"/>
  <tableColumns count="4">
    <tableColumn id="2" xr3:uid="{F430604C-C0BE-4412-91AA-22EF2FF1420B}" name="Paga oraria" totalsRowDxfId="83" dataCellStyle="Valuta" totalsRowCellStyle="Valuta"/>
    <tableColumn id="3" xr3:uid="{74729241-2C23-4BE2-BCE0-98F2D22A3532}" name="#Membri"/>
    <tableColumn id="5" xr3:uid="{59C96CEC-D25B-45BC-B871-F825E9EB718F}" name="Totale ore" totalsRowFunction="custom">
      <calculatedColumnFormula>Tabella161213162126[[#This Row],['#Membri]]*AR9</calculatedColumnFormula>
      <totalsRowFormula>SUM(Tabella161213162126[Totale ore])</totalsRowFormula>
    </tableColumn>
    <tableColumn id="4" xr3:uid="{DA5E351B-37FD-46F0-86B0-4A1EA3BBEE40}" name="Totale" totalsRowFunction="custom" totalsRowDxfId="82" dataCellStyle="Valuta" totalsRowCellStyle="Valuta">
      <calculatedColumnFormula>Tabella161213162126[[#This Row],['#Membri]]*Tabella161213162126[[#This Row],[Paga oraria]]*AR9</calculatedColumnFormula>
      <totalsRowFormula>SUM(Tabella161213162126[Totale])</totalsRowFormula>
    </tableColumn>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0241F78-2E91-42E4-A412-B1548A9D5DAE}" name="Tabella1612131417182327" displayName="Tabella1612131417182327" ref="AO22:AR25" totalsRowCount="1">
  <autoFilter ref="AO22:AR24" xr:uid="{B0241F78-2E91-42E4-A412-B1548A9D5DAE}"/>
  <tableColumns count="4">
    <tableColumn id="2" xr3:uid="{B1035901-D845-4540-B8A3-44A62E4436E7}" name="Paga oraria" totalsRowDxfId="81" dataCellStyle="Valuta" totalsRowCellStyle="Valuta"/>
    <tableColumn id="3" xr3:uid="{08D42CD0-64D5-4B1F-A998-5CB0AAEB5970}" name="#Membri"/>
    <tableColumn id="5" xr3:uid="{27187BFE-3A75-4554-9098-010AC7326486}" name="Totale ore" totalsRowFunction="custom">
      <calculatedColumnFormula>Tabella1612131417182327[[#This Row],['#Membri]]*AR21</calculatedColumnFormula>
      <totalsRowFormula>SUM(Tabella1612131417182327[Totale ore])</totalsRowFormula>
    </tableColumn>
    <tableColumn id="4" xr3:uid="{0CE77977-05ED-4234-B277-76F1D6E42B81}" name="Totale" totalsRowFunction="custom" totalsRowDxfId="80" dataCellStyle="Valuta" totalsRowCellStyle="Valuta">
      <calculatedColumnFormula>Tabella1612131417182327[[#This Row],['#Membri]]*Tabella1612131417182327[[#This Row],[Paga oraria]]*AR21</calculatedColumnFormula>
      <totalsRowFormula>SUM(Tabella1612131417182327[Totale])</totalsRowFormula>
    </tableColumn>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34E952A-350E-4829-8740-0D054FEBC467}" name="Tabella16121314172228" displayName="Tabella16121314172228" ref="AO16:AR19" totalsRowCount="1">
  <autoFilter ref="AO16:AR18" xr:uid="{034E952A-350E-4829-8740-0D054FEBC467}"/>
  <tableColumns count="4">
    <tableColumn id="2" xr3:uid="{23D138B1-79D1-4517-9F8C-9619B558B42D}" name="Paga oraria" totalsRowDxfId="79" dataCellStyle="Valuta" totalsRowCellStyle="Valuta"/>
    <tableColumn id="3" xr3:uid="{C73D7B6C-25F7-4C06-8924-9032803D10B0}" name="#Membri"/>
    <tableColumn id="5" xr3:uid="{686F8BC0-6FDB-45CD-A42F-29B6D36EE8D5}" name="Totale ore" totalsRowFunction="custom">
      <calculatedColumnFormula>Tabella16121314172228[[#This Row],['#Membri]]*AR15</calculatedColumnFormula>
      <totalsRowFormula>SUM(Tabella16121314172228[Totale ore])</totalsRowFormula>
    </tableColumn>
    <tableColumn id="4" xr3:uid="{B4E5DFBC-6BB3-4C2A-98E3-8196E30F7F91}" name="Totale" totalsRowFunction="custom" totalsRowDxfId="78" dataCellStyle="Valuta" totalsRowCellStyle="Valuta">
      <calculatedColumnFormula>Tabella16121314172228[[#This Row],['#Membri]]*Tabella16121314172228[[#This Row],[Paga oraria]]*AR15</calculatedColumnFormula>
      <totalsRowFormula>SUM(Tabella16121314172228[Totale])</totalsRowFormula>
    </tableColumn>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9F94B8E-57AF-4824-9686-CAF138DF3E00}" name="Tabella929" displayName="Tabella929" ref="O22:O23" totalsRowShown="0">
  <autoFilter ref="O22:O23" xr:uid="{D9F94B8E-57AF-4824-9686-CAF138DF3E00}"/>
  <tableColumns count="1">
    <tableColumn id="1" xr3:uid="{B016E335-36EB-4108-86C4-6766A62A72A0}" name="Totale Costo:" dataDxfId="77">
      <calculatedColumnFormula>SUM(Tabella1612[[#Totals],[Totale]],Tabella161213[[#Totals],[Totale]],Tabella16121314[[#Totals],[Totale]])</calculatedColumnFormula>
    </tableColumn>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CBEA2BF-B852-4B6A-8357-44F8243118E5}" name="Tabella92930" displayName="Tabella92930" ref="U34:U35" totalsRowShown="0">
  <autoFilter ref="U34:U35" xr:uid="{FCBEA2BF-B852-4B6A-8357-44F8243118E5}"/>
  <tableColumns count="1">
    <tableColumn id="1" xr3:uid="{77952BA9-2CB9-4544-84E7-CCBBD160F5F0}" name="Totale Costo:" dataDxfId="76">
      <calculatedColumnFormula>SUM(Tabella161215[[#Totals],[Totale]],Tabella16121316[[#Totals],[Totale]],Tabella1612131417[[#Totals],[Totale]],Tabella161213141718[[#Totals],[Totale]],Tabella16121314171819[[#Totals],[Totale]])</calculatedColumnFormula>
    </tableColumn>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3210E0E-485B-46F3-BCB1-6C6AE56ACAEF}" name="Tabella9293031" displayName="Tabella9293031" ref="Z16:Z17" totalsRowShown="0">
  <autoFilter ref="Z16:Z17" xr:uid="{D3210E0E-485B-46F3-BCB1-6C6AE56ACAEF}"/>
  <tableColumns count="1">
    <tableColumn id="1" xr3:uid="{F4B5AE60-B95F-480A-A557-260F338E1FEE}" name="Totale Costo:" dataDxfId="75">
      <calculatedColumnFormula>SUM(Tabella16121520[[#Totals],[Totale]],Tabella1612131621[[#Totals],[Totale]])</calculatedColumnFormula>
    </tableColumn>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E80F29A-54C8-4C39-843E-17D0E1A1946B}" name="Tabella929303132" displayName="Tabella929303132" ref="AO28:AO29" totalsRowShown="0">
  <autoFilter ref="AO28:AO29" xr:uid="{AE80F29A-54C8-4C39-843E-17D0E1A1946B}"/>
  <tableColumns count="1">
    <tableColumn id="1" xr3:uid="{5AC03A7F-0DAF-4091-81FC-C862B118B66E}" name="Totale Costo:" dataDxfId="74">
      <calculatedColumnFormula>SUM(Tabella1612152025[[#Totals],[Totale]],Tabella161213162126[[#Totals],[Totale]],Tabella16121314172228[[#Totals],[Totale]],Tabella1612131417182327[[#Totals],[Totale]])</calculatedColumnFormula>
    </tableColumn>
  </tableColumns>
  <tableStyleInfo name="TableStyleMedium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D69EB787-5451-4BE3-9BDE-3CA17E7A577C}" name="Tabella161215202533" displayName="Tabella161215202533" ref="AT4:AW7" totalsRowCount="1">
  <autoFilter ref="AT4:AW6" xr:uid="{D69EB787-5451-4BE3-9BDE-3CA17E7A577C}"/>
  <tableColumns count="4">
    <tableColumn id="2" xr3:uid="{C019737D-8F64-4AE8-8EA0-7CC652D73B0D}" name="Paga oraria" totalsRowDxfId="73" dataCellStyle="Valuta" totalsRowCellStyle="Valuta"/>
    <tableColumn id="3" xr3:uid="{BF83E42A-552C-4430-84A9-7DE30471C68D}" name="#Membri"/>
    <tableColumn id="5" xr3:uid="{5B7D07A2-366C-4BF8-A870-9FAA739CE1B2}" name="Totale ore" totalsRowFunction="custom">
      <calculatedColumnFormula>Tabella161215202533[[#This Row],['#Membri]]*AW3</calculatedColumnFormula>
      <totalsRowFormula>SUM(Tabella161215202533[Totale ore])</totalsRowFormula>
    </tableColumn>
    <tableColumn id="4" xr3:uid="{6A9ABAFA-FD32-46A2-91C5-047DD5F856BE}" name="Totale" totalsRowFunction="custom" totalsRowDxfId="72" dataCellStyle="Valuta" totalsRowCellStyle="Valuta">
      <calculatedColumnFormula>Tabella161215202533[[#This Row],['#Membri]]*Tabella161215202533[[#This Row],[Paga oraria]]*AW3</calculatedColumnFormula>
      <totalsRowFormula>SUM(Tabella161215202533[Totale])</totalsRowFormula>
    </tableColumn>
  </tableColumns>
  <tableStyleInfo name="TableStyleMedium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D5E702A4-A2FE-4A96-B335-5BF35BFB2035}" name="Tabella16121316212634" displayName="Tabella16121316212634" ref="AT10:AW13" totalsRowCount="1">
  <autoFilter ref="AT10:AW12" xr:uid="{D5E702A4-A2FE-4A96-B335-5BF35BFB2035}"/>
  <tableColumns count="4">
    <tableColumn id="2" xr3:uid="{5EE02664-BB7B-4F94-90E3-541E9A23BD74}" name="Paga oraria" totalsRowDxfId="71" dataCellStyle="Valuta" totalsRowCellStyle="Valuta"/>
    <tableColumn id="3" xr3:uid="{99DC43A5-F5A8-45FF-BA01-459E43CE87C8}" name="#Membri"/>
    <tableColumn id="5" xr3:uid="{D920A068-7875-4C61-A212-6AD587746DC9}" name="Totale ore" totalsRowFunction="custom">
      <calculatedColumnFormula>Tabella16121316212634[[#This Row],['#Membri]]*AW9</calculatedColumnFormula>
      <totalsRowFormula>SUM(Tabella16121316212634[Totale ore])</totalsRowFormula>
    </tableColumn>
    <tableColumn id="4" xr3:uid="{82F011AE-6776-461E-91EB-87A497902E64}" name="Totale" totalsRowFunction="custom" totalsRowDxfId="70" dataCellStyle="Valuta" totalsRowCellStyle="Valuta">
      <calculatedColumnFormula>Tabella16121316212634[[#This Row],['#Membri]]*Tabella16121316212634[[#This Row],[Paga oraria]]*AW9</calculatedColumnFormula>
      <totalsRowFormula>SUM(Tabella16121316212634[Totale])</totalsRowFormula>
    </tableColumn>
  </tableColumns>
  <tableStyleInfo name="TableStyleMedium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E537FB30-00C7-4C05-A694-A378DDBD8D5B}" name="Tabella9293031323738" displayName="Tabella9293031323738" ref="AT16:AT17" totalsRowShown="0">
  <autoFilter ref="AT16:AT17" xr:uid="{E537FB30-00C7-4C05-A694-A378DDBD8D5B}"/>
  <tableColumns count="1">
    <tableColumn id="1" xr3:uid="{C3892A12-581C-4B8B-BE66-07AE4F2600F6}" name="Totale Costo:" dataDxfId="69">
      <calculatedColumnFormula>SUM(Tabella161215202533[[#Totals],[Totale]],Tabella16121316212634[[#Totals],[Totale]])</calculatedColumnFormula>
    </tableColumn>
  </tableColumns>
  <tableStyleInfo name="TableStyleMedium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88F68AF-2743-4A52-85D5-BDE79C05E285}" name="Tabella161215202539" displayName="Tabella161215202539" ref="AY4:BB7" totalsRowCount="1">
  <autoFilter ref="AY4:BB6" xr:uid="{288F68AF-2743-4A52-85D5-BDE79C05E285}"/>
  <tableColumns count="4">
    <tableColumn id="2" xr3:uid="{50A28AEE-1D31-413A-80FF-4C58C715FC63}" name="Paga oraria" totalsRowDxfId="68" dataCellStyle="Valuta" totalsRowCellStyle="Valuta"/>
    <tableColumn id="3" xr3:uid="{0DEBE1D3-334A-4FBA-8CF2-16FF52624ED3}" name="#Membri"/>
    <tableColumn id="5" xr3:uid="{C1E95343-5BDE-4D38-9512-7441D3FEF9A7}" name="Totale ore" totalsRowFunction="custom">
      <calculatedColumnFormula>Tabella161215202539[[#This Row],['#Membri]]*BB3</calculatedColumnFormula>
      <totalsRowFormula>SUM(Tabella161215202539[Totale ore])</totalsRowFormula>
    </tableColumn>
    <tableColumn id="4" xr3:uid="{2BACD568-DBDF-412B-838B-504B34FF45F0}" name="Totale" totalsRowFunction="custom" totalsRowDxfId="67" dataCellStyle="Valuta" totalsRowCellStyle="Valuta">
      <calculatedColumnFormula>Tabella161215202539[[#This Row],['#Membri]]*Tabella161215202539[[#This Row],[Paga oraria]]*BB3</calculatedColumnFormula>
      <totalsRowFormula>SUM(Tabella161215202539[Totale])</totalsRowFormula>
    </tableColumn>
  </tableColumns>
  <tableStyleInfo name="TableStyleMedium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AF37185-1E01-42E6-8AAE-5E1711706AA0}" name="Tabella16121316212640" displayName="Tabella16121316212640" ref="AY10:BB13" totalsRowCount="1">
  <autoFilter ref="AY10:BB12" xr:uid="{0AF37185-1E01-42E6-8AAE-5E1711706AA0}"/>
  <tableColumns count="4">
    <tableColumn id="2" xr3:uid="{1304A4E7-652B-4C5E-95EB-1D5E4404EEF8}" name="Paga oraria" totalsRowDxfId="66" dataCellStyle="Valuta" totalsRowCellStyle="Valuta"/>
    <tableColumn id="3" xr3:uid="{6F57D1A4-8998-4A1E-A4B6-661F203207B9}" name="#Membri"/>
    <tableColumn id="5" xr3:uid="{AF41AA28-54C2-4CBA-91AD-3ED3379276F5}" name="Totale ore" totalsRowFunction="custom">
      <calculatedColumnFormula>Tabella16121316212640[[#This Row],['#Membri]]*BB9</calculatedColumnFormula>
      <totalsRowFormula>SUM(Tabella16121316212640[Totale ore])</totalsRowFormula>
    </tableColumn>
    <tableColumn id="4" xr3:uid="{9E7C34C9-D030-4AAE-98E1-AC39ECFA3538}" name="Totale" totalsRowFunction="custom" totalsRowDxfId="65" dataCellStyle="Valuta" totalsRowCellStyle="Valuta">
      <calculatedColumnFormula>Tabella16121316212640[[#This Row],['#Membri]]*Tabella16121316212640[[#This Row],[Paga oraria]]*BB9</calculatedColumnFormula>
      <totalsRowFormula>SUM(Tabella16121316212640[Totale])</totalsRowFormula>
    </tableColumn>
  </tableColumns>
  <tableStyleInfo name="TableStyleMedium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5F171FF6-E73F-459A-9A68-55040F6A7F44}" name="Tabella1612131417222841" displayName="Tabella1612131417222841" ref="AY16:BB19" totalsRowCount="1">
  <autoFilter ref="AY16:BB18" xr:uid="{5F171FF6-E73F-459A-9A68-55040F6A7F44}"/>
  <tableColumns count="4">
    <tableColumn id="2" xr3:uid="{74FFD8EC-A61D-4C57-BE4A-29DF3279B7D3}" name="Paga oraria" totalsRowDxfId="64" dataCellStyle="Valuta" totalsRowCellStyle="Valuta"/>
    <tableColumn id="3" xr3:uid="{FC86ED26-6064-42DB-9879-EA79AC59E0AD}" name="#Membri"/>
    <tableColumn id="5" xr3:uid="{1EDB9184-970E-488D-AAA2-D1D4E1A4F112}" name="Totale ore" totalsRowFunction="custom">
      <calculatedColumnFormula>Tabella1612131417222841[[#This Row],['#Membri]]*BB15</calculatedColumnFormula>
      <totalsRowFormula>SUM(Tabella1612131417222841[Totale ore])</totalsRowFormula>
    </tableColumn>
    <tableColumn id="4" xr3:uid="{F546466C-2184-46F5-A8BC-FEEA2CDD70BA}" name="Totale" totalsRowFunction="custom" totalsRowDxfId="63" dataCellStyle="Valuta" totalsRowCellStyle="Valuta">
      <calculatedColumnFormula>Tabella1612131417222841[[#This Row],['#Membri]]*Tabella1612131417222841[[#This Row],[Paga oraria]]*BB15</calculatedColumnFormula>
      <totalsRowFormula>SUM(Tabella1612131417222841[Totale])</totalsRowFormula>
    </tableColumn>
  </tableColumns>
  <tableStyleInfo name="TableStyleMedium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A9D4D39-85E2-49FE-A9CD-E7366CC01BFB}" name="Tabella929303132373842" displayName="Tabella929303132373842" ref="AY22:AY23" totalsRowShown="0">
  <autoFilter ref="AY22:AY23" xr:uid="{1A9D4D39-85E2-49FE-A9CD-E7366CC01BFB}"/>
  <tableColumns count="1">
    <tableColumn id="1" xr3:uid="{C16756B3-CB07-47D5-ABDE-C1F630BED295}" name="Totale Costo:" dataDxfId="62">
      <calculatedColumnFormula>SUM(Tabella161215202539[[#Totals],[Totale]],Tabella16121316212640[[#Totals],[Totale]],Tabella1612131417222841[[#Totals],[Totale]])</calculatedColumnFormula>
    </tableColumn>
  </tableColumns>
  <tableStyleInfo name="TableStyleMedium7"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4ABA4E6-575B-4D1D-A035-6E7306854632}" name="Tabella16121520253911" displayName="Tabella16121520253911" ref="BD4:BG7" totalsRowCount="1">
  <autoFilter ref="BD4:BG6" xr:uid="{14ABA4E6-575B-4D1D-A035-6E7306854632}"/>
  <tableColumns count="4">
    <tableColumn id="2" xr3:uid="{248F4D65-8AF5-4BE7-9A05-9F4A3DEC6C5C}" name="Paga oraria" totalsRowDxfId="61" dataCellStyle="Valuta" totalsRowCellStyle="Valuta"/>
    <tableColumn id="3" xr3:uid="{78DC0972-D544-471B-8254-2169B44CD703}" name="#Membri"/>
    <tableColumn id="5" xr3:uid="{4AC59BC0-51CA-41A6-A5A8-2BC40285E046}" name="Totale ore" totalsRowFunction="custom">
      <calculatedColumnFormula>Tabella16121520253911[[#This Row],['#Membri]]*BG3</calculatedColumnFormula>
      <totalsRowFormula>SUM(Tabella16121520253911[Totale ore])</totalsRowFormula>
    </tableColumn>
    <tableColumn id="4" xr3:uid="{4C13B732-3AF6-41E4-BE34-11F27D972BDF}" name="Totale" totalsRowFunction="custom" totalsRowDxfId="60" dataCellStyle="Valuta" totalsRowCellStyle="Valuta">
      <calculatedColumnFormula>Tabella16121520253911[[#This Row],['#Membri]]*Tabella16121520253911[[#This Row],[Paga oraria]]*BG3</calculatedColumnFormula>
      <totalsRowFormula>SUM(Tabella16121520253911[Totale])</totalsRowFormula>
    </tableColumn>
  </tableColumns>
  <tableStyleInfo name="TableStyleMedium7"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77C12753-8D64-4D0B-8A65-7DFCF6741EB3}" name="Tabella1612131621264024" displayName="Tabella1612131621264024" ref="BD10:BG13" totalsRowCount="1">
  <autoFilter ref="BD10:BG12" xr:uid="{77C12753-8D64-4D0B-8A65-7DFCF6741EB3}"/>
  <tableColumns count="4">
    <tableColumn id="2" xr3:uid="{26F2E3CC-AAE7-4652-ABAE-F9DC8A797602}" name="Paga oraria" totalsRowDxfId="59" dataCellStyle="Valuta" totalsRowCellStyle="Valuta"/>
    <tableColumn id="3" xr3:uid="{A92F1A22-4302-449E-8468-9C7177B5AA9E}" name="#Membri"/>
    <tableColumn id="5" xr3:uid="{857FFFF8-F260-4F18-BAB0-31EF82B9577A}" name="Totale ore" totalsRowFunction="custom">
      <calculatedColumnFormula>Tabella1612131621264024[[#This Row],['#Membri]]*BG9</calculatedColumnFormula>
      <totalsRowFormula>SUM(Tabella1612131621264024[Totale ore])</totalsRowFormula>
    </tableColumn>
    <tableColumn id="4" xr3:uid="{3CE1D971-67CD-4DEC-86C7-54E6367D7602}" name="Totale" totalsRowFunction="custom" totalsRowDxfId="58" dataCellStyle="Valuta" totalsRowCellStyle="Valuta">
      <calculatedColumnFormula>Tabella1612131621264024[[#This Row],['#Membri]]*Tabella1612131621264024[[#This Row],[Paga oraria]]*BG9</calculatedColumnFormula>
      <totalsRowFormula>SUM(Tabella1612131621264024[Totale])</totalsRowFormula>
    </tableColumn>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DA89785-ADFC-4FBC-AEAE-6C116AB9A062}" name="Tabella92930313237384236" displayName="Tabella92930313237384236" ref="BD16:BD17" totalsRowShown="0">
  <autoFilter ref="BD16:BD17" xr:uid="{EDA89785-ADFC-4FBC-AEAE-6C116AB9A062}"/>
  <tableColumns count="1">
    <tableColumn id="1" xr3:uid="{3D1968E2-47F2-4B00-9EEF-CF7A8D591C2E}" name="Totale Costo:" dataDxfId="57">
      <calculatedColumnFormula>SUM(Tabella16121520253911[[#Totals],[Totale]],Tabella1612131621264024[[#Totals],[Totale]])</calculatedColumnFormula>
    </tableColumn>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A2D6249-EF70-4309-8FB0-23B37ADD5290}" name="Tabella1612152025391137" displayName="Tabella1612152025391137" ref="BI4:BL7" totalsRowCount="1">
  <autoFilter ref="BI4:BL6" xr:uid="{1A2D6249-EF70-4309-8FB0-23B37ADD5290}"/>
  <tableColumns count="4">
    <tableColumn id="2" xr3:uid="{D7039164-DCA4-4DFE-8597-986384A06F8B}" name="Paga oraria" totalsRowDxfId="56" dataCellStyle="Valuta" totalsRowCellStyle="Valuta"/>
    <tableColumn id="3" xr3:uid="{1FBCED7D-D42F-41EB-9FE6-63C1305E849C}" name="#Membri"/>
    <tableColumn id="5" xr3:uid="{2AF7F77C-7850-42FA-9B2F-273C25DB6EE9}" name="Totale ore" totalsRowFunction="custom">
      <calculatedColumnFormula>Tabella1612152025391137[[#This Row],['#Membri]]*BL3</calculatedColumnFormula>
      <totalsRowFormula>SUM(Tabella1612152025391137[Totale ore])</totalsRowFormula>
    </tableColumn>
    <tableColumn id="4" xr3:uid="{19E87BD9-7C92-45DE-8D41-E95F8D403030}" name="Totale" totalsRowFunction="custom" totalsRowDxfId="55" dataCellStyle="Valuta" totalsRowCellStyle="Valuta">
      <calculatedColumnFormula>Tabella1612152025391137[[#This Row],['#Membri]]*Tabella1612152025391137[[#This Row],[Paga oraria]]*BL3</calculatedColumnFormula>
      <totalsRowFormula>SUM(Tabella1612152025391137[Totale])</totalsRowFormula>
    </tableColumn>
  </tableColumns>
  <tableStyleInfo name="TableStyleMedium7"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3B22A08-FE85-4E22-A115-F3A90EBE073E}" name="Tabella161213162126402443" displayName="Tabella161213162126402443" ref="BI10:BL13" totalsRowCount="1">
  <autoFilter ref="BI10:BL12" xr:uid="{63B22A08-FE85-4E22-A115-F3A90EBE073E}"/>
  <tableColumns count="4">
    <tableColumn id="2" xr3:uid="{E71DC216-F8AF-4069-9F2B-A08B9C8B938E}" name="Paga oraria" totalsRowDxfId="54" dataCellStyle="Valuta" totalsRowCellStyle="Valuta"/>
    <tableColumn id="3" xr3:uid="{AFAC617D-434B-4BD6-B6B3-F921114D0C7E}" name="#Membri"/>
    <tableColumn id="5" xr3:uid="{6075023A-AA0B-4F0F-8A41-5930AAFEB039}" name="Totale ore" totalsRowFunction="custom">
      <calculatedColumnFormula>Tabella161213162126402443[[#This Row],['#Membri]]*BL9</calculatedColumnFormula>
      <totalsRowFormula>SUM(Tabella161213162126402443[Totale ore])</totalsRowFormula>
    </tableColumn>
    <tableColumn id="4" xr3:uid="{A55E77A4-5705-49AA-8AB9-590455A3938F}" name="Totale" totalsRowFunction="custom" totalsRowDxfId="53" dataCellStyle="Valuta" totalsRowCellStyle="Valuta">
      <calculatedColumnFormula>Tabella161213162126402443[[#This Row],['#Membri]]*Tabella161213162126402443[[#This Row],[Paga oraria]]*BL9</calculatedColumnFormula>
      <totalsRowFormula>SUM(Tabella161213162126402443[Totale])</totalsRowFormula>
    </tableColumn>
  </tableColumns>
  <tableStyleInfo name="TableStyleMedium7"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E692C006-6408-43E4-BCC4-E175B1D615CD}" name="Tabella9293031323738423644" displayName="Tabella9293031323738423644" ref="BI23:BI24" totalsRowShown="0">
  <autoFilter ref="BI23:BI24" xr:uid="{E692C006-6408-43E4-BCC4-E175B1D615CD}"/>
  <tableColumns count="1">
    <tableColumn id="1" xr3:uid="{89EAB003-DB94-4940-B1AF-B0953D119FE8}" name="Totale Costo:" dataDxfId="52">
      <calculatedColumnFormula>SUM(Tabella1612152025391137[[#Totals],[Totale]],Tabella161213162126402443[[#Totals],[Totale]],Tabella16121316212640244345[[#Totals],[Totale]])</calculatedColumnFormula>
    </tableColumn>
  </tableColumns>
  <tableStyleInfo name="TableStyleMedium7"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5CB341D9-60A4-47E4-A77E-8B1081883200}" name="Tabella16121316212640244345" displayName="Tabella16121316212640244345" ref="BI16:BL19" totalsRowCount="1">
  <autoFilter ref="BI16:BL18" xr:uid="{5CB341D9-60A4-47E4-A77E-8B1081883200}"/>
  <tableColumns count="4">
    <tableColumn id="2" xr3:uid="{470EBA50-90C1-49FF-B471-A866905AE9FD}" name="Paga oraria" totalsRowDxfId="51" dataCellStyle="Valuta" totalsRowCellStyle="Valuta"/>
    <tableColumn id="3" xr3:uid="{F679FAE2-4825-42D6-9CCA-772072C75468}" name="#Membri"/>
    <tableColumn id="5" xr3:uid="{6E120FE1-E725-4C82-8527-0F224692D751}" name="Totale ore" totalsRowFunction="custom">
      <calculatedColumnFormula>Tabella16121316212640244345[[#This Row],['#Membri]]*BL15</calculatedColumnFormula>
      <totalsRowFormula>SUM(Tabella16121316212640244345[Totale ore])</totalsRowFormula>
    </tableColumn>
    <tableColumn id="4" xr3:uid="{B5A7DF4C-1F37-4B94-B7CD-2C016AA1F31F}" name="Totale" totalsRowFunction="custom" totalsRowDxfId="50" dataCellStyle="Valuta" totalsRowCellStyle="Valuta">
      <calculatedColumnFormula>Tabella16121316212640244345[[#This Row],['#Membri]]*Tabella16121316212640244345[[#This Row],[Paga oraria]]*BL15</calculatedColumnFormula>
      <totalsRowFormula>SUM(Tabella16121316212640244345[Totale])</totalsRowFormula>
    </tableColumn>
  </tableColumns>
  <tableStyleInfo name="TableStyleMedium7"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10D98771-3B4C-47A8-8846-F3DEDCD8FC3A}" name="Tabella161215202539113746" displayName="Tabella161215202539113746" ref="BN4:BQ7" totalsRowCount="1">
  <autoFilter ref="BN4:BQ6" xr:uid="{10D98771-3B4C-47A8-8846-F3DEDCD8FC3A}"/>
  <tableColumns count="4">
    <tableColumn id="2" xr3:uid="{76CF16AF-F2DB-446A-80FB-F1217EA22898}" name="Paga oraria" totalsRowDxfId="49" dataCellStyle="Valuta" totalsRowCellStyle="Valuta"/>
    <tableColumn id="3" xr3:uid="{B85AC56B-D091-49B1-B63A-7DD4F7F8462E}" name="#Membri"/>
    <tableColumn id="5" xr3:uid="{8EE038EE-B85D-47D0-8171-B52C9F02BE84}" name="Totale ore" totalsRowFunction="custom">
      <calculatedColumnFormula>Tabella161215202539113746[[#This Row],['#Membri]]*BQ3</calculatedColumnFormula>
      <totalsRowFormula>SUM(Tabella161215202539113746[Totale ore])</totalsRowFormula>
    </tableColumn>
    <tableColumn id="4" xr3:uid="{A9D6E6CB-8342-4991-BC71-DB56401C674A}" name="Totale" totalsRowFunction="custom" totalsRowDxfId="48" dataCellStyle="Valuta" totalsRowCellStyle="Valuta">
      <calculatedColumnFormula>Tabella161215202539113746[[#This Row],['#Membri]]*Tabella161215202539113746[[#This Row],[Paga oraria]]*BQ3</calculatedColumnFormula>
      <totalsRowFormula>SUM(Tabella161215202539113746[Totale])</totalsRowFormula>
    </tableColumn>
  </tableColumns>
  <tableStyleInfo name="TableStyleMedium7"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FAEE79C-55DC-4056-BC6D-42631CEE298A}" name="Tabella16121316212640244347" displayName="Tabella16121316212640244347" ref="BN10:BQ13" totalsRowCount="1">
  <autoFilter ref="BN10:BQ12" xr:uid="{0FAEE79C-55DC-4056-BC6D-42631CEE298A}"/>
  <tableColumns count="4">
    <tableColumn id="2" xr3:uid="{CBF44A8F-371D-4C75-811D-D715FCCB3B32}" name="Paga oraria" totalsRowDxfId="47" dataCellStyle="Valuta" totalsRowCellStyle="Valuta"/>
    <tableColumn id="3" xr3:uid="{6AF7D1B8-3613-4A8A-B390-7E223E00DBE4}" name="#Membri"/>
    <tableColumn id="5" xr3:uid="{EA60BA50-D910-4CA3-B527-E6609D89FD36}" name="Totale ore" totalsRowFunction="custom">
      <calculatedColumnFormula>Tabella16121316212640244347[[#This Row],['#Membri]]*BQ9</calculatedColumnFormula>
      <totalsRowFormula>SUM(Tabella16121316212640244347[Totale ore])</totalsRowFormula>
    </tableColumn>
    <tableColumn id="4" xr3:uid="{70954183-F513-47DC-AC50-0800E805373C}" name="Totale" totalsRowFunction="custom" totalsRowDxfId="46" dataCellStyle="Valuta" totalsRowCellStyle="Valuta">
      <calculatedColumnFormula>Tabella16121316212640244347[[#This Row],['#Membri]]*Tabella16121316212640244347[[#This Row],[Paga oraria]]*BQ9</calculatedColumnFormula>
      <totalsRowFormula>SUM(Tabella16121316212640244347[Totale])</totalsRowFormula>
    </tableColumn>
  </tableColumns>
  <tableStyleInfo name="TableStyleMedium7"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4F887926-006E-425F-BADC-02713B6D2B6E}" name="Tabella929303132373842364448" displayName="Tabella929303132373842364448" ref="BN35:BN36" totalsRowShown="0">
  <autoFilter ref="BN35:BN36" xr:uid="{4F887926-006E-425F-BADC-02713B6D2B6E}"/>
  <tableColumns count="1">
    <tableColumn id="1" xr3:uid="{9ACD6E44-4A7E-4354-80A0-9E06CB5588D4}" name="Totale Costo:" dataDxfId="45">
      <calculatedColumnFormula>SUM(Tabella161215202539113746[[#Totals],[Totale]],Tabella16121316212640244347[[#Totals],[Totale]],Tabella1612131621264024434549[[#Totals],[Totale]],Tabella161213162126402443454951[[#Totals],[Totale]],Tabella16121316212640244345495152[[#Totals],[Totale]])</calculatedColumnFormula>
    </tableColumn>
  </tableColumns>
  <tableStyleInfo name="TableStyleMedium7"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8D6780E-DF4B-4463-9C03-F27A07D72C79}" name="Tabella1612131621264024434549" displayName="Tabella1612131621264024434549" ref="BN16:BQ19" totalsRowCount="1">
  <autoFilter ref="BN16:BQ18" xr:uid="{08D6780E-DF4B-4463-9C03-F27A07D72C79}"/>
  <tableColumns count="4">
    <tableColumn id="2" xr3:uid="{60E89A68-DF68-4318-8AA5-5415A43B641B}" name="Paga oraria" totalsRowDxfId="44" dataCellStyle="Valuta" totalsRowCellStyle="Valuta"/>
    <tableColumn id="3" xr3:uid="{9D6F2C3C-FF06-4972-855F-764ACC7C6352}" name="#Membri"/>
    <tableColumn id="5" xr3:uid="{8B4256FA-FD51-4C23-AA0D-93BFD531CE43}" name="Totale ore" totalsRowFunction="custom">
      <calculatedColumnFormula>Tabella1612131621264024434549[[#This Row],['#Membri]]*BQ15</calculatedColumnFormula>
      <totalsRowFormula>SUM(Tabella1612131621264024434549[Totale ore])</totalsRowFormula>
    </tableColumn>
    <tableColumn id="4" xr3:uid="{3723C564-F3F2-46B8-8E05-595DE16F3CA9}" name="Totale" totalsRowFunction="custom" totalsRowDxfId="43" dataCellStyle="Valuta" totalsRowCellStyle="Valuta">
      <calculatedColumnFormula>Tabella1612131621264024434549[[#This Row],['#Membri]]*Tabella1612131621264024434549[[#This Row],[Paga oraria]]*BQ15</calculatedColumnFormula>
      <totalsRowFormula>SUM(Tabella1612131621264024434549[Totale])</totalsRowFormula>
    </tableColumn>
  </tableColumns>
  <tableStyleInfo name="TableStyleMedium7"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5473D06-5AE1-4D24-BDAF-9F3A450E7A71}" name="Tabella161213162126402443454951" displayName="Tabella161213162126402443454951" ref="BN22:BQ25" totalsRowCount="1">
  <autoFilter ref="BN22:BQ24" xr:uid="{F5473D06-5AE1-4D24-BDAF-9F3A450E7A71}"/>
  <tableColumns count="4">
    <tableColumn id="2" xr3:uid="{508D8CE9-F34E-4EE8-9B97-415FDAEBE567}" name="Paga oraria" totalsRowDxfId="42" dataCellStyle="Valuta" totalsRowCellStyle="Valuta"/>
    <tableColumn id="3" xr3:uid="{B99B1466-1D1E-4941-8FA0-1FA0605AD928}" name="#Membri"/>
    <tableColumn id="5" xr3:uid="{E319DBAB-B702-4F8F-A9EE-5C0449FC5E4F}" name="Totale ore" totalsRowFunction="custom">
      <calculatedColumnFormula>Tabella161213162126402443454951[[#This Row],['#Membri]]*BQ21</calculatedColumnFormula>
      <totalsRowFormula>SUM(Tabella161213162126402443454951[Totale ore])</totalsRowFormula>
    </tableColumn>
    <tableColumn id="4" xr3:uid="{70493A3D-487B-41A3-B553-5A37BFFFEB2B}" name="Totale" totalsRowFunction="custom" totalsRowDxfId="41" dataCellStyle="Valuta" totalsRowCellStyle="Valuta">
      <calculatedColumnFormula>Tabella161213162126402443454951[[#This Row],['#Membri]]*Tabella161213162126402443454951[[#This Row],[Paga oraria]]*BQ21</calculatedColumnFormula>
      <totalsRowFormula>SUM(Tabella161213162126402443454951[Totale])</totalsRowFormula>
    </tableColumn>
  </tableColumns>
  <tableStyleInfo name="TableStyleMedium7"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EDDD2CB-4561-4F59-95B0-99EF2912A2FC}" name="Tabella16121316212640244345495152" displayName="Tabella16121316212640244345495152" ref="BN28:BQ31" totalsRowCount="1">
  <autoFilter ref="BN28:BQ30" xr:uid="{0EDDD2CB-4561-4F59-95B0-99EF2912A2FC}"/>
  <tableColumns count="4">
    <tableColumn id="2" xr3:uid="{AC60BDB9-F6EC-4671-B30F-1A1B7F9FE62A}" name="Paga oraria" totalsRowDxfId="40" dataCellStyle="Valuta" totalsRowCellStyle="Valuta"/>
    <tableColumn id="3" xr3:uid="{1B24E625-8626-4FDF-92B3-FFDC41266F52}" name="#Membri"/>
    <tableColumn id="5" xr3:uid="{4674EFDE-5EA2-480A-8211-B1727B21388C}" name="Totale ore" totalsRowFunction="custom">
      <calculatedColumnFormula>Tabella16121316212640244345495152[[#This Row],['#Membri]]*BQ27</calculatedColumnFormula>
      <totalsRowFormula>SUM(Tabella16121316212640244345495152[Totale ore])</totalsRowFormula>
    </tableColumn>
    <tableColumn id="4" xr3:uid="{D5A5C25B-9477-402B-8C8E-3637CBB3C109}" name="Totale" totalsRowFunction="custom" totalsRowDxfId="39" dataCellStyle="Valuta" totalsRowCellStyle="Valuta">
      <calculatedColumnFormula>Tabella16121316212640244345495152[[#This Row],['#Membri]]*Tabella16121316212640244345495152[[#This Row],[Paga oraria]]*BQ27</calculatedColumnFormula>
      <totalsRowFormula>SUM(Tabella16121316212640244345495152[Totale])</totalsRowFormula>
    </tableColumn>
  </tableColumns>
  <tableStyleInfo name="TableStyleMedium7"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520E7010-F62A-44C4-80F9-8B8879300890}" name="Tabella161215202539113735" displayName="Tabella161215202539113735" ref="BT4:BW7" totalsRowCount="1">
  <autoFilter ref="BT4:BW6" xr:uid="{520E7010-F62A-44C4-80F9-8B8879300890}"/>
  <tableColumns count="4">
    <tableColumn id="2" xr3:uid="{E6BBEE81-0240-452A-AF97-6EAAD9DAECEC}" name="Paga oraria" totalsRowDxfId="38" dataCellStyle="Valuta" totalsRowCellStyle="Valuta"/>
    <tableColumn id="3" xr3:uid="{D25608BB-CC12-4BB6-BC8B-45760465BE9C}" name="#Membri"/>
    <tableColumn id="5" xr3:uid="{A4E32C16-43FD-4C68-8066-10A7F262C203}" name="Totale ore" totalsRowFunction="custom">
      <calculatedColumnFormula>Tabella161215202539113735[[#This Row],['#Membri]]*BW3</calculatedColumnFormula>
      <totalsRowFormula>SUM(Tabella161215202539113735[Totale ore])</totalsRowFormula>
    </tableColumn>
    <tableColumn id="4" xr3:uid="{D8A3CE14-066A-4873-AC53-6583F0438628}" name="Totale" totalsRowFunction="custom" totalsRowDxfId="37" dataCellStyle="Valuta" totalsRowCellStyle="Valuta">
      <calculatedColumnFormula>Tabella161215202539113735[[#This Row],['#Membri]]*Tabella161215202539113735[[#This Row],[Paga oraria]]*BW3</calculatedColumnFormula>
      <totalsRowFormula>SUM(Tabella161215202539113735[Totale])</totalsRowFormula>
    </tableColumn>
  </tableColumns>
  <tableStyleInfo name="TableStyleMedium7"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15CC6268-D855-484E-BC9F-4F958F42E326}" name="Tabella1612131621264024435055" displayName="Tabella1612131621264024435055" ref="BT16:BW19" totalsRowCount="1">
  <autoFilter ref="BT16:BW18" xr:uid="{15CC6268-D855-484E-BC9F-4F958F42E326}"/>
  <tableColumns count="4">
    <tableColumn id="2" xr3:uid="{E0ACAC0A-9367-42DE-A96C-52224D7F1CEF}" name="Paga oraria" dataCellStyle="Valuta" totalsRowCellStyle="Valuta"/>
    <tableColumn id="3" xr3:uid="{1EF753F1-3699-4FC2-B3E2-AD1E581B7214}" name="#Membri"/>
    <tableColumn id="5" xr3:uid="{23E828CD-C2CB-4C72-9731-9DD9BDFE82FD}" name="Totale ore" totalsRowFunction="custom">
      <totalsRowFormula>SUM(Tabella1612131621264024435055[Totale ore])</totalsRowFormula>
    </tableColumn>
    <tableColumn id="4" xr3:uid="{5F2B5BF8-BC94-4CB0-9780-25B1E567D571}" name="Totale" totalsRowFunction="custom" dataCellStyle="Valuta" totalsRowCellStyle="Valuta">
      <totalsRowFormula>SUM(Tabella1612131621264024435055[Totale])</totalsRowFormula>
    </tableColumn>
  </tableColumns>
  <tableStyleInfo name="TableStyleMedium7"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496FE877-EDC1-4612-B233-F79E4CD9BFCF}" name="Tabella929303132373842364453" displayName="Tabella929303132373842364453" ref="BT34:BT35" totalsRowShown="0">
  <autoFilter ref="BT34:BT35" xr:uid="{496FE877-EDC1-4612-B233-F79E4CD9BFCF}"/>
  <tableColumns count="1">
    <tableColumn id="1" xr3:uid="{589D4F24-A75B-4ECD-9E35-975FA2E7E11B}" name="Totale Costo:" dataDxfId="36">
      <calculatedColumnFormula>SUM(Tabella161215202539113735[[#Totals],[Totale]],Tabella16121520253911373554[[#Totals],[Totale]],Tabella1612131621264024435055[[#Totals],[Totale]],Tabella1612152025391137355460[[#Totals],[Totale]],Tabella161213162126402443505559[[#Totals],[Totale]])</calculatedColumnFormula>
    </tableColumn>
  </tableColumns>
  <tableStyleInfo name="TableStyleMedium7"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92BC94F1-5ECA-41B5-8CBB-5CD34B1A72CD}" name="Tabella16121520253911373554" displayName="Tabella16121520253911373554" ref="BT10:BW13" totalsRowCount="1">
  <autoFilter ref="BT10:BW12" xr:uid="{92BC94F1-5ECA-41B5-8CBB-5CD34B1A72CD}"/>
  <tableColumns count="4">
    <tableColumn id="2" xr3:uid="{722234C7-6B13-420F-8830-230E9B60A16B}" name="Paga oraria" totalsRowDxfId="35" dataCellStyle="Valuta" totalsRowCellStyle="Valuta"/>
    <tableColumn id="3" xr3:uid="{B9160918-C4A3-4DBC-8C77-F6EB273EE9C9}" name="#Membri"/>
    <tableColumn id="5" xr3:uid="{B8F3F3A8-B2BB-4635-8192-E32056277614}" name="Totale ore" totalsRowFunction="custom">
      <calculatedColumnFormula>Tabella16121520253911373554[[#This Row],['#Membri]]*BW9</calculatedColumnFormula>
      <totalsRowFormula>SUM(Tabella16121520253911373554[Totale ore])</totalsRowFormula>
    </tableColumn>
    <tableColumn id="4" xr3:uid="{D9FE8AA3-CBC7-48C0-A7F6-68491F5832E9}" name="Totale" totalsRowFunction="custom" totalsRowDxfId="34" dataCellStyle="Valuta" totalsRowCellStyle="Valuta">
      <calculatedColumnFormula>Tabella16121520253911373554[[#This Row],['#Membri]]*Tabella16121520253911373554[[#This Row],[Paga oraria]]*BW9</calculatedColumnFormula>
      <totalsRowFormula>SUM(Tabella16121520253911373554[Totale])</totalsRowFormula>
    </tableColumn>
  </tableColumns>
  <tableStyleInfo name="TableStyleMedium7"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B0A472D1-72DE-4383-8E4F-A7C1DDC79072}" name="Tabella161213162126402443505559" displayName="Tabella161213162126402443505559" ref="BT28:BW31" totalsRowCount="1">
  <autoFilter ref="BT28:BW30" xr:uid="{B0A472D1-72DE-4383-8E4F-A7C1DDC79072}"/>
  <tableColumns count="4">
    <tableColumn id="2" xr3:uid="{195D588F-3BF1-41BE-884D-CE192B484A14}" name="Paga oraria" dataCellStyle="Valuta" totalsRowCellStyle="Valuta"/>
    <tableColumn id="3" xr3:uid="{83D9B927-6A9C-4172-9626-EAFDD6340390}" name="#Membri"/>
    <tableColumn id="5" xr3:uid="{5B721D2F-BC9A-4DE0-8B73-8B2CCF4256D8}" name="Totale ore" totalsRowFunction="custom">
      <totalsRowFormula>SUM(Tabella161213162126402443505559[Totale ore])</totalsRowFormula>
    </tableColumn>
    <tableColumn id="4" xr3:uid="{59A38A4E-2731-43E6-BB79-931F5339A396}" name="Totale" totalsRowFunction="custom" dataCellStyle="Valuta" totalsRowCellStyle="Valuta">
      <totalsRowFormula>SUM(Tabella161213162126402443505559[Totale])</totalsRowFormula>
    </tableColumn>
  </tableColumns>
  <tableStyleInfo name="TableStyleMedium7"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AADD552A-1B3F-41FD-B131-654168E1CEC4}" name="Tabella1612152025391137355460" displayName="Tabella1612152025391137355460" ref="BT22:BW25" totalsRowCount="1">
  <autoFilter ref="BT22:BW24" xr:uid="{AADD552A-1B3F-41FD-B131-654168E1CEC4}"/>
  <tableColumns count="4">
    <tableColumn id="2" xr3:uid="{792727FF-3345-4868-B0B8-A96DB4DDE586}" name="Paga oraria" totalsRowDxfId="33" dataCellStyle="Valuta" totalsRowCellStyle="Valuta"/>
    <tableColumn id="3" xr3:uid="{89DEC77C-C8A3-4F8B-B4BB-6804453B6D0E}" name="#Membri"/>
    <tableColumn id="5" xr3:uid="{16E2D3E6-A7C2-4ABF-90A9-A05EA4379D75}" name="Totale ore" totalsRowFunction="custom">
      <calculatedColumnFormula>Tabella1612152025391137355460[[#This Row],['#Membri]]*BW21</calculatedColumnFormula>
      <totalsRowFormula>SUM(Tabella1612152025391137355460[Totale ore])</totalsRowFormula>
    </tableColumn>
    <tableColumn id="4" xr3:uid="{4758348B-A84F-4EFF-94E8-DA583DFF672D}" name="Totale" totalsRowFunction="custom" totalsRowDxfId="32" dataCellStyle="Valuta" totalsRowCellStyle="Valuta">
      <calculatedColumnFormula>Tabella1612152025391137355460[[#This Row],['#Membri]]*Tabella1612152025391137355460[[#This Row],[Paga oraria]]*BW21</calculatedColumnFormula>
      <totalsRowFormula>SUM(Tabella1612152025391137355460[Totale])</totalsRowFormula>
    </tableColumn>
  </tableColumns>
  <tableStyleInfo name="TableStyleMedium7"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891D7455-9B8B-4B75-9C06-F1DDCB2E43C7}" name="Tabella963" displayName="Tabella963" ref="D30:D31" totalsRowShown="0">
  <autoFilter ref="D30:D31" xr:uid="{891D7455-9B8B-4B75-9C06-F1DDCB2E43C7}"/>
  <tableColumns count="1">
    <tableColumn id="1" xr3:uid="{97D72244-B5C5-47E6-816F-589AF08944D2}" name="Totale Costo:" dataDxfId="31">
      <calculatedColumnFormula>SUM(Tabella1[[#Totals],[Totale]],Tabella13[[#Totals],[Totale]],Tabella134[[#Totals],[Totale]],Tabella1345[[#Totals],[Totale]])</calculatedColumnFormula>
    </tableColumn>
  </tableColumns>
  <tableStyleInfo name="TableStyleMedium7"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79EDFC10-A5EC-4423-B70F-2E33E6F27BC9}" name="Tabella964" displayName="Tabella964" ref="I23:I24" totalsRowShown="0">
  <autoFilter ref="I23:I24" xr:uid="{79EDFC10-A5EC-4423-B70F-2E33E6F27BC9}"/>
  <tableColumns count="1">
    <tableColumn id="1" xr3:uid="{517DA86F-9D99-446F-82BF-032C4CE0FBF9}" name="Totale Costo:" dataDxfId="30">
      <calculatedColumnFormula>SUM(Tabella16[Totale],Tabella137[Totale],Tabella1348[Totale],Tabella13459[Totale])</calculatedColumnFormula>
    </tableColumn>
  </tableColumns>
  <tableStyleInfo name="TableStyleMedium7"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2D6127AF-5C9C-4F45-AD2D-6E5F701B8BE6}" name="Tabella965" displayName="Tabella965" ref="A4:A5" totalsRowShown="0">
  <autoFilter ref="A4:A5" xr:uid="{2D6127AF-5C9C-4F45-AD2D-6E5F701B8BE6}"/>
  <tableColumns count="1">
    <tableColumn id="1" xr3:uid="{F6F9CA13-0797-4C8D-8E63-F5090DF811F1}" name="Totale Junior:" dataDxfId="29">
      <calculatedColumnFormula>SUM(Tabella1[[#This Row],[Totale]],G11,G18,G25)</calculatedColumnFormula>
    </tableColumn>
  </tableColumns>
  <tableStyleInfo name="TableStyleMedium7"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53DB47C9-CE86-4C01-AE1B-F30512CCD1F3}" name="Tabella96566" displayName="Tabella96566" ref="A7:A8" totalsRowShown="0">
  <autoFilter ref="A7:A8" xr:uid="{53DB47C9-CE86-4C01-AE1B-F30512CCD1F3}"/>
  <tableColumns count="1">
    <tableColumn id="1" xr3:uid="{BF74D369-B3C2-4756-B419-A8F6298D8BFD}" name="Totale Senior:" dataDxfId="28">
      <calculatedColumnFormula>SUM(G6,G12,G19,G26,Tabella964[Totale Costo:])</calculatedColumnFormula>
    </tableColumn>
  </tableColumns>
  <tableStyleInfo name="TableStyleMedium7"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DD87D61F-6FE0-4599-A87E-3EDD73344B0C}" name="Tabella16121520253350" displayName="Tabella16121520253350" ref="AE4:AH7" totalsRowCount="1">
  <autoFilter ref="AE4:AH6" xr:uid="{DD87D61F-6FE0-4599-A87E-3EDD73344B0C}"/>
  <tableColumns count="4">
    <tableColumn id="2" xr3:uid="{B0F9D0B5-40DC-4DCE-B6BF-F47FD904E1FE}" name="Paga oraria" totalsRowDxfId="27" dataCellStyle="Valuta" totalsRowCellStyle="Valuta"/>
    <tableColumn id="3" xr3:uid="{CA7E49B6-55B8-4978-9B68-BE559D004F52}" name="#Membri"/>
    <tableColumn id="5" xr3:uid="{9DC64C2D-5438-47AB-BBDC-E7EA349B31CB}" name="Totale ore" totalsRowFunction="custom">
      <calculatedColumnFormula>Tabella16121520253350[[#This Row],['#Membri]]*AH3</calculatedColumnFormula>
      <totalsRowFormula>SUM(Tabella16121520253350[Totale ore])</totalsRowFormula>
    </tableColumn>
    <tableColumn id="4" xr3:uid="{DB9C9DEA-7623-4375-952D-4A51D9D4404E}" name="Totale" totalsRowFunction="custom" totalsRowDxfId="26" dataCellStyle="Valuta" totalsRowCellStyle="Valuta">
      <calculatedColumnFormula>Tabella16121520253350[[#This Row],['#Membri]]*Tabella16121520253350[[#This Row],[Paga oraria]]*AH3</calculatedColumnFormula>
      <totalsRowFormula>SUM(Tabella16121520253350[Totale])</totalsRowFormula>
    </tableColumn>
  </tableColumns>
  <tableStyleInfo name="TableStyleMedium7"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BAE8E167-1AC8-489F-ACA9-24FA71DCBC29}" name="Tabella1612131621263456" displayName="Tabella1612131621263456" ref="AE10:AH13" totalsRowCount="1">
  <autoFilter ref="AE10:AH12" xr:uid="{BAE8E167-1AC8-489F-ACA9-24FA71DCBC29}"/>
  <tableColumns count="4">
    <tableColumn id="2" xr3:uid="{3463A18A-7277-4F69-A418-840AB6B9DD27}" name="Paga oraria" totalsRowDxfId="25" dataCellStyle="Valuta"/>
    <tableColumn id="3" xr3:uid="{9CA2B4AB-CC85-403D-A78A-CEA200D2AF60}" name="#Membri"/>
    <tableColumn id="5" xr3:uid="{E8086A8E-F6B7-4788-BB47-7139E778EA1E}" name="Totale ore" totalsRowFunction="custom">
      <calculatedColumnFormula>Tabella1612131621263456[[#This Row],['#Membri]]*AH9</calculatedColumnFormula>
      <totalsRowFormula>SUM(Tabella1612131621263456[Totale ore])</totalsRowFormula>
    </tableColumn>
    <tableColumn id="4" xr3:uid="{1E2718E0-51C1-4D2D-B346-5D97ED6D3FAF}" name="Totale" totalsRowFunction="custom" dataDxfId="24" totalsRowDxfId="23" dataCellStyle="Valuta">
      <calculatedColumnFormula>Tabella1612131621263456[[#This Row],['#Membri]]*Tabella1612131621263456[[#This Row],[Paga oraria]]*AH9</calculatedColumnFormula>
      <totalsRowFormula>SUM(Tabella1612131621263456[Totale])</totalsRowFormula>
    </tableColumn>
  </tableColumns>
  <tableStyleInfo name="TableStyleMedium7"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4A85CDEF-90A9-468D-A933-FE2A44FFEE1C}" name="Tabella929303132373857" displayName="Tabella929303132373857" ref="AE16:AE17" totalsRowShown="0">
  <autoFilter ref="AE16:AE17" xr:uid="{4A85CDEF-90A9-468D-A933-FE2A44FFEE1C}"/>
  <tableColumns count="1">
    <tableColumn id="1" xr3:uid="{7CAE7B8E-B847-4EEB-B0B0-AC9B6F862516}" name="Totale Costo:" dataDxfId="22">
      <calculatedColumnFormula>SUM(Tabella16121520253350[[#Totals],[Totale]],Tabella1612131621263456[[#Totals],[Totale]])</calculatedColumnFormula>
    </tableColumn>
  </tableColumns>
  <tableStyleInfo name="TableStyleMedium7"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7BDC78B1-C0DE-4851-AB77-2C844EAE9A1F}" name="Tabella161213162167" displayName="Tabella161213162167" ref="AJ4:AM7" totalsRowCount="1">
  <autoFilter ref="AJ4:AM6" xr:uid="{7BDC78B1-C0DE-4851-AB77-2C844EAE9A1F}"/>
  <tableColumns count="4">
    <tableColumn id="2" xr3:uid="{FE560084-94A7-4E02-9DFF-DF92208C3781}" name="Paga oraria" totalsRowDxfId="21" dataCellStyle="Valuta" totalsRowCellStyle="Valuta"/>
    <tableColumn id="3" xr3:uid="{B123EC7E-A3D0-450D-BF8F-FBF2BE810B89}" name="#Membri"/>
    <tableColumn id="5" xr3:uid="{BF7E12C1-979C-43F8-B7DA-793F8065C2F5}" name="Totale ore" totalsRowFunction="custom">
      <calculatedColumnFormula>Tabella161213162167[[#This Row],['#Membri]]*AM3</calculatedColumnFormula>
      <totalsRowFormula>SUM(Tabella161213162167[Totale ore])</totalsRowFormula>
    </tableColumn>
    <tableColumn id="4" xr3:uid="{65DD474A-2A37-4C77-979E-4AAF06987616}" name="Totale" totalsRowFunction="custom" totalsRowDxfId="20" dataCellStyle="Valuta" totalsRowCellStyle="Valuta">
      <calculatedColumnFormula>Tabella161213162167[[#This Row],['#Membri]]*Tabella161213162167[[#This Row],[Paga oraria]]*AM3</calculatedColumnFormula>
      <totalsRowFormula>SUM(Tabella161213162167[Totale])</totalsRowFormula>
    </tableColumn>
  </tableColumns>
  <tableStyleInfo name="TableStyleMedium7"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998B0CFD-ACD3-4D6F-AD16-C0A791307EE9}" name="Tabella1612131417182368" displayName="Tabella1612131417182368" ref="AJ16:AM19" totalsRowCount="1">
  <autoFilter ref="AJ16:AM18" xr:uid="{998B0CFD-ACD3-4D6F-AD16-C0A791307EE9}"/>
  <tableColumns count="4">
    <tableColumn id="2" xr3:uid="{C116E97C-B7B9-4F2E-831F-10B7CE5AAAF5}" name="Paga oraria" totalsRowDxfId="19" dataCellStyle="Valuta" totalsRowCellStyle="Valuta"/>
    <tableColumn id="3" xr3:uid="{9B2B5DFE-1372-43B0-86F9-91B47B823674}" name="#Membri"/>
    <tableColumn id="5" xr3:uid="{CA9B6615-B69C-4E85-BBE5-B20FC4CFFEE2}" name="Totale ore" totalsRowFunction="custom">
      <calculatedColumnFormula>Tabella1612131417182368[[#This Row],['#Membri]]*AM15</calculatedColumnFormula>
      <totalsRowFormula>SUM(Tabella1612131417182368[Totale ore])</totalsRowFormula>
    </tableColumn>
    <tableColumn id="4" xr3:uid="{5EACC707-478C-4F84-B7E7-38FF9465DD6B}" name="Totale" totalsRowFunction="custom" totalsRowDxfId="18" dataCellStyle="Valuta" totalsRowCellStyle="Valuta">
      <calculatedColumnFormula>Tabella1612131417182368[[#This Row],['#Membri]]*Tabella1612131417182368[[#This Row],[Paga oraria]]*AM15</calculatedColumnFormula>
      <totalsRowFormula>SUM(Tabella1612131417182368[Totale])</totalsRowFormula>
    </tableColumn>
  </tableColumns>
  <tableStyleInfo name="TableStyleMedium7"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11002559-60B3-4699-9A11-F4201A7DDD58}" name="Tabella16121314172269" displayName="Tabella16121314172269" ref="AJ10:AM13" totalsRowCount="1">
  <autoFilter ref="AJ10:AM12" xr:uid="{11002559-60B3-4699-9A11-F4201A7DDD58}"/>
  <tableColumns count="4">
    <tableColumn id="2" xr3:uid="{B7CDC16C-2431-4D31-8919-DFC38B1F16E9}" name="Paga oraria" totalsRowDxfId="17" dataCellStyle="Valuta"/>
    <tableColumn id="3" xr3:uid="{330F2194-B26A-4033-BB1D-43021A3FFC01}" name="#Membri"/>
    <tableColumn id="5" xr3:uid="{6E25E6A0-06C5-4C50-A2E8-B9C0A897BF90}" name="Totale ore" totalsRowFunction="custom">
      <calculatedColumnFormula>Tabella16121314172269[[#This Row],['#Membri]]*AM9</calculatedColumnFormula>
      <totalsRowFormula>SUM(Tabella16121314172269[Totale ore])</totalsRowFormula>
    </tableColumn>
    <tableColumn id="4" xr3:uid="{75912981-0796-4BED-8AF7-B3E401DE333A}" name="Totale" totalsRowFunction="custom" totalsRowDxfId="16" dataCellStyle="Valuta">
      <calculatedColumnFormula>Tabella16121314172269[[#This Row],['#Membri]]*Tabella16121314172269[[#This Row],[Paga oraria]]*AM9</calculatedColumnFormula>
      <totalsRowFormula>SUM(Tabella16121314172269[Totale])</totalsRowFormula>
    </tableColumn>
  </tableColumns>
  <tableStyleInfo name="TableStyleMedium7"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097089A8-109E-4E54-A64E-499CF959BD73}" name="Tabella161213141718236870" displayName="Tabella161213141718236870" ref="AJ22:AM25" totalsRowCount="1">
  <autoFilter ref="AJ22:AM24" xr:uid="{097089A8-109E-4E54-A64E-499CF959BD73}"/>
  <tableColumns count="4">
    <tableColumn id="2" xr3:uid="{5E1BA57D-3CD9-4672-8B17-96FE3FE6C368}" name="Paga oraria" totalsRowDxfId="15" dataCellStyle="Valuta"/>
    <tableColumn id="3" xr3:uid="{F0252531-7062-40FE-B498-BC0BBD323300}" name="#Membri"/>
    <tableColumn id="5" xr3:uid="{974C4923-B65E-4E05-A5C5-5A14D77B5010}" name="Totale ore" totalsRowFunction="custom">
      <calculatedColumnFormula>Tabella161213141718236870[[#This Row],['#Membri]]*AM21</calculatedColumnFormula>
      <totalsRowFormula>SUM(Tabella161213141718236870[Totale ore])</totalsRowFormula>
    </tableColumn>
    <tableColumn id="4" xr3:uid="{33750004-F0CA-4AA9-AD0B-474207C76EEC}" name="Totale" totalsRowFunction="custom" totalsRowDxfId="14" dataCellStyle="Valuta">
      <calculatedColumnFormula>Tabella161213141718236870[[#This Row],['#Membri]]*Tabella161213141718236870[[#This Row],[Paga oraria]]*AM21</calculatedColumnFormula>
      <totalsRowFormula>SUM(Tabella161213141718236870[Totale])</totalsRowFormula>
    </tableColumn>
  </tableColumns>
  <tableStyleInfo name="TableStyleMedium7"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B98D4ACF-C6D2-4281-B69F-0720C83C0DE8}" name="Tabella92930313237385771" displayName="Tabella92930313237385771" ref="AJ27:AJ28" totalsRowShown="0">
  <autoFilter ref="AJ27:AJ28" xr:uid="{B98D4ACF-C6D2-4281-B69F-0720C83C0DE8}"/>
  <tableColumns count="1">
    <tableColumn id="1" xr3:uid="{F8F08FE2-A9B7-4420-AD7A-9FB15E1E7353}" name="Totale Costo:" dataDxfId="13">
      <calculatedColumnFormula>SUM(Tabella161213162167[[#Totals],[Totale]],Tabella16121314172269[[#Totals],[Totale]],Tabella1612131417182368[[#Totals],[Totale]],Tabella161213141718236870[[#Totals],[Totale]])</calculatedColumnFormula>
    </tableColumn>
  </tableColumns>
  <tableStyleInfo name="TableStyleMedium7"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3820DE6-70B1-4AD3-B6EA-332656D6941D}" name="Tabella2123" displayName="Tabella2123" ref="A10:A11" totalsRowShown="0">
  <autoFilter ref="A10:A11" xr:uid="{A3820DE6-70B1-4AD3-B6EA-332656D6941D}"/>
  <tableColumns count="1">
    <tableColumn id="1" xr3:uid="{050E9500-C6F7-4F9E-A826-0A6439C62A18}" name="Management Reserve" dataDxfId="12"/>
  </tableColumns>
  <tableStyleInfo name="TableStyleMedium7"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49C72136-E212-40DA-A87D-9C46F5053D67}" name="Tabella212358" displayName="Tabella212358" ref="A13:A14" totalsRowShown="0">
  <autoFilter ref="A13:A14" xr:uid="{49C72136-E212-40DA-A87D-9C46F5053D67}"/>
  <tableColumns count="1">
    <tableColumn id="1" xr3:uid="{337EDF83-3806-40EF-8366-8E2761930792}" name="Contingency Reserve" dataDxfId="11">
      <calculatedColumnFormula>0.1*79200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26" Type="http://schemas.openxmlformats.org/officeDocument/2006/relationships/table" Target="../tables/table26.xml"/><Relationship Id="rId21" Type="http://schemas.openxmlformats.org/officeDocument/2006/relationships/table" Target="../tables/table21.xml"/><Relationship Id="rId34" Type="http://schemas.openxmlformats.org/officeDocument/2006/relationships/table" Target="../tables/table34.xml"/><Relationship Id="rId42" Type="http://schemas.openxmlformats.org/officeDocument/2006/relationships/table" Target="../tables/table42.xml"/><Relationship Id="rId47" Type="http://schemas.openxmlformats.org/officeDocument/2006/relationships/table" Target="../tables/table47.xml"/><Relationship Id="rId50" Type="http://schemas.openxmlformats.org/officeDocument/2006/relationships/table" Target="../tables/table50.xml"/><Relationship Id="rId55" Type="http://schemas.openxmlformats.org/officeDocument/2006/relationships/table" Target="../tables/table55.xml"/><Relationship Id="rId63" Type="http://schemas.openxmlformats.org/officeDocument/2006/relationships/table" Target="../tables/table63.xml"/><Relationship Id="rId7" Type="http://schemas.openxmlformats.org/officeDocument/2006/relationships/table" Target="../tables/table7.xml"/><Relationship Id="rId2" Type="http://schemas.openxmlformats.org/officeDocument/2006/relationships/table" Target="../tables/table2.xml"/><Relationship Id="rId16" Type="http://schemas.openxmlformats.org/officeDocument/2006/relationships/table" Target="../tables/table16.xml"/><Relationship Id="rId29" Type="http://schemas.openxmlformats.org/officeDocument/2006/relationships/table" Target="../tables/table29.xml"/><Relationship Id="rId11" Type="http://schemas.openxmlformats.org/officeDocument/2006/relationships/table" Target="../tables/table11.xml"/><Relationship Id="rId24" Type="http://schemas.openxmlformats.org/officeDocument/2006/relationships/table" Target="../tables/table24.xml"/><Relationship Id="rId32" Type="http://schemas.openxmlformats.org/officeDocument/2006/relationships/table" Target="../tables/table32.xml"/><Relationship Id="rId37" Type="http://schemas.openxmlformats.org/officeDocument/2006/relationships/table" Target="../tables/table37.xml"/><Relationship Id="rId40" Type="http://schemas.openxmlformats.org/officeDocument/2006/relationships/table" Target="../tables/table40.xml"/><Relationship Id="rId45" Type="http://schemas.openxmlformats.org/officeDocument/2006/relationships/table" Target="../tables/table45.xml"/><Relationship Id="rId53" Type="http://schemas.openxmlformats.org/officeDocument/2006/relationships/table" Target="../tables/table53.xml"/><Relationship Id="rId58" Type="http://schemas.openxmlformats.org/officeDocument/2006/relationships/table" Target="../tables/table58.xml"/><Relationship Id="rId66" Type="http://schemas.openxmlformats.org/officeDocument/2006/relationships/table" Target="../tables/table66.xml"/><Relationship Id="rId5" Type="http://schemas.openxmlformats.org/officeDocument/2006/relationships/table" Target="../tables/table5.xml"/><Relationship Id="rId61" Type="http://schemas.openxmlformats.org/officeDocument/2006/relationships/table" Target="../tables/table61.xml"/><Relationship Id="rId19" Type="http://schemas.openxmlformats.org/officeDocument/2006/relationships/table" Target="../tables/table19.xml"/><Relationship Id="rId14" Type="http://schemas.openxmlformats.org/officeDocument/2006/relationships/table" Target="../tables/table14.xml"/><Relationship Id="rId22" Type="http://schemas.openxmlformats.org/officeDocument/2006/relationships/table" Target="../tables/table22.xml"/><Relationship Id="rId27" Type="http://schemas.openxmlformats.org/officeDocument/2006/relationships/table" Target="../tables/table27.xml"/><Relationship Id="rId30" Type="http://schemas.openxmlformats.org/officeDocument/2006/relationships/table" Target="../tables/table30.xml"/><Relationship Id="rId35" Type="http://schemas.openxmlformats.org/officeDocument/2006/relationships/table" Target="../tables/table35.xml"/><Relationship Id="rId43" Type="http://schemas.openxmlformats.org/officeDocument/2006/relationships/table" Target="../tables/table43.xml"/><Relationship Id="rId48" Type="http://schemas.openxmlformats.org/officeDocument/2006/relationships/table" Target="../tables/table48.xml"/><Relationship Id="rId56" Type="http://schemas.openxmlformats.org/officeDocument/2006/relationships/table" Target="../tables/table56.xml"/><Relationship Id="rId64" Type="http://schemas.openxmlformats.org/officeDocument/2006/relationships/table" Target="../tables/table64.xml"/><Relationship Id="rId8" Type="http://schemas.openxmlformats.org/officeDocument/2006/relationships/table" Target="../tables/table8.xml"/><Relationship Id="rId51" Type="http://schemas.openxmlformats.org/officeDocument/2006/relationships/table" Target="../tables/table51.xml"/><Relationship Id="rId3" Type="http://schemas.openxmlformats.org/officeDocument/2006/relationships/table" Target="../tables/table3.xml"/><Relationship Id="rId12" Type="http://schemas.openxmlformats.org/officeDocument/2006/relationships/table" Target="../tables/table12.xml"/><Relationship Id="rId17" Type="http://schemas.openxmlformats.org/officeDocument/2006/relationships/table" Target="../tables/table17.xml"/><Relationship Id="rId25" Type="http://schemas.openxmlformats.org/officeDocument/2006/relationships/table" Target="../tables/table25.xml"/><Relationship Id="rId33" Type="http://schemas.openxmlformats.org/officeDocument/2006/relationships/table" Target="../tables/table33.xml"/><Relationship Id="rId38" Type="http://schemas.openxmlformats.org/officeDocument/2006/relationships/table" Target="../tables/table38.xml"/><Relationship Id="rId46" Type="http://schemas.openxmlformats.org/officeDocument/2006/relationships/table" Target="../tables/table46.xml"/><Relationship Id="rId59" Type="http://schemas.openxmlformats.org/officeDocument/2006/relationships/table" Target="../tables/table59.xml"/><Relationship Id="rId67" Type="http://schemas.openxmlformats.org/officeDocument/2006/relationships/table" Target="../tables/table67.xml"/><Relationship Id="rId20" Type="http://schemas.openxmlformats.org/officeDocument/2006/relationships/table" Target="../tables/table20.xml"/><Relationship Id="rId41" Type="http://schemas.openxmlformats.org/officeDocument/2006/relationships/table" Target="../tables/table41.xml"/><Relationship Id="rId54" Type="http://schemas.openxmlformats.org/officeDocument/2006/relationships/table" Target="../tables/table54.xml"/><Relationship Id="rId62" Type="http://schemas.openxmlformats.org/officeDocument/2006/relationships/table" Target="../tables/table62.xml"/><Relationship Id="rId1" Type="http://schemas.openxmlformats.org/officeDocument/2006/relationships/table" Target="../tables/table1.xml"/><Relationship Id="rId6" Type="http://schemas.openxmlformats.org/officeDocument/2006/relationships/table" Target="../tables/table6.xml"/><Relationship Id="rId15" Type="http://schemas.openxmlformats.org/officeDocument/2006/relationships/table" Target="../tables/table15.xml"/><Relationship Id="rId23" Type="http://schemas.openxmlformats.org/officeDocument/2006/relationships/table" Target="../tables/table23.xml"/><Relationship Id="rId28" Type="http://schemas.openxmlformats.org/officeDocument/2006/relationships/table" Target="../tables/table28.xml"/><Relationship Id="rId36" Type="http://schemas.openxmlformats.org/officeDocument/2006/relationships/table" Target="../tables/table36.xml"/><Relationship Id="rId49" Type="http://schemas.openxmlformats.org/officeDocument/2006/relationships/table" Target="../tables/table49.xml"/><Relationship Id="rId57" Type="http://schemas.openxmlformats.org/officeDocument/2006/relationships/table" Target="../tables/table57.xml"/><Relationship Id="rId10" Type="http://schemas.openxmlformats.org/officeDocument/2006/relationships/table" Target="../tables/table10.xml"/><Relationship Id="rId31" Type="http://schemas.openxmlformats.org/officeDocument/2006/relationships/table" Target="../tables/table31.xml"/><Relationship Id="rId44" Type="http://schemas.openxmlformats.org/officeDocument/2006/relationships/table" Target="../tables/table44.xml"/><Relationship Id="rId52" Type="http://schemas.openxmlformats.org/officeDocument/2006/relationships/table" Target="../tables/table52.xml"/><Relationship Id="rId60" Type="http://schemas.openxmlformats.org/officeDocument/2006/relationships/table" Target="../tables/table60.xml"/><Relationship Id="rId65" Type="http://schemas.openxmlformats.org/officeDocument/2006/relationships/table" Target="../tables/table65.xml"/><Relationship Id="rId4" Type="http://schemas.openxmlformats.org/officeDocument/2006/relationships/table" Target="../tables/table4.xml"/><Relationship Id="rId9" Type="http://schemas.openxmlformats.org/officeDocument/2006/relationships/table" Target="../tables/table9.xml"/><Relationship Id="rId13" Type="http://schemas.openxmlformats.org/officeDocument/2006/relationships/table" Target="../tables/table13.xml"/><Relationship Id="rId18" Type="http://schemas.openxmlformats.org/officeDocument/2006/relationships/table" Target="../tables/table18.xml"/><Relationship Id="rId39" Type="http://schemas.openxmlformats.org/officeDocument/2006/relationships/table" Target="../tables/table39.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F57"/>
  <sheetViews>
    <sheetView showGridLines="0" tabSelected="1" showRuler="0" topLeftCell="A37" zoomScale="63" zoomScaleNormal="63" zoomScalePageLayoutView="70" workbookViewId="0">
      <selection activeCell="B47" sqref="B47:B51"/>
    </sheetView>
  </sheetViews>
  <sheetFormatPr defaultColWidth="8.69921875" defaultRowHeight="30" customHeight="1" x14ac:dyDescent="0.25"/>
  <cols>
    <col min="1" max="1" width="2.69921875" style="13" customWidth="1"/>
    <col min="2" max="2" width="63" customWidth="1"/>
    <col min="3" max="3" width="22.8984375" customWidth="1"/>
    <col min="4" max="4" width="10.69921875" customWidth="1"/>
    <col min="5" max="5" width="10.69921875" style="2" customWidth="1"/>
    <col min="6" max="6" width="10.69921875" customWidth="1"/>
    <col min="7" max="7" width="2.69921875" customWidth="1"/>
    <col min="8" max="8" width="6" hidden="1" customWidth="1"/>
    <col min="9" max="25" width="1.69921875" customWidth="1"/>
    <col min="26" max="26" width="10.59765625" customWidth="1"/>
    <col min="27" max="162" width="1.69921875" customWidth="1"/>
  </cols>
  <sheetData>
    <row r="1" spans="1:162" ht="90" customHeight="1" x14ac:dyDescent="1.45">
      <c r="A1" s="14"/>
      <c r="B1" s="96" t="s">
        <v>28</v>
      </c>
      <c r="C1" s="18"/>
      <c r="D1" s="19"/>
      <c r="E1" s="20"/>
      <c r="F1" s="21"/>
      <c r="H1" s="1"/>
      <c r="I1" s="137" t="s">
        <v>22</v>
      </c>
      <c r="J1" s="138"/>
      <c r="K1" s="138"/>
      <c r="L1" s="138"/>
      <c r="M1" s="138"/>
      <c r="N1" s="138"/>
      <c r="O1" s="138"/>
      <c r="P1" s="24"/>
      <c r="Q1" s="136">
        <f>DATE(2024, 10, 14)</f>
        <v>45579</v>
      </c>
      <c r="R1" s="135"/>
      <c r="S1" s="135"/>
      <c r="T1" s="135"/>
      <c r="U1" s="135"/>
      <c r="V1" s="135"/>
      <c r="W1" s="135"/>
      <c r="X1" s="135"/>
      <c r="Y1" s="135"/>
      <c r="Z1" s="135"/>
    </row>
    <row r="2" spans="1:162" ht="30" customHeight="1" x14ac:dyDescent="0.6">
      <c r="B2" s="94" t="s">
        <v>21</v>
      </c>
      <c r="C2" s="95" t="s">
        <v>25</v>
      </c>
      <c r="D2" s="22"/>
      <c r="E2" s="23" t="s">
        <v>26</v>
      </c>
      <c r="F2" s="22"/>
      <c r="I2" s="137" t="s">
        <v>23</v>
      </c>
      <c r="J2" s="138"/>
      <c r="K2" s="138"/>
      <c r="L2" s="138"/>
      <c r="M2" s="138"/>
      <c r="N2" s="138"/>
      <c r="O2" s="138"/>
      <c r="P2" s="24"/>
      <c r="Q2" s="134">
        <v>1</v>
      </c>
      <c r="R2" s="135"/>
      <c r="S2" s="135"/>
      <c r="T2" s="135"/>
      <c r="U2" s="135"/>
      <c r="V2" s="135"/>
      <c r="W2" s="135"/>
      <c r="X2" s="135"/>
      <c r="Y2" s="135"/>
      <c r="Z2" s="135"/>
    </row>
    <row r="3" spans="1:162" s="26" customFormat="1" ht="30" customHeight="1" x14ac:dyDescent="0.25">
      <c r="A3" s="13"/>
      <c r="B3" s="25" t="s">
        <v>8</v>
      </c>
      <c r="D3" s="27"/>
      <c r="E3" s="28"/>
    </row>
    <row r="4" spans="1:162" s="26" customFormat="1" ht="30" customHeight="1" x14ac:dyDescent="0.25">
      <c r="A4" s="14"/>
      <c r="B4" s="29" t="s">
        <v>13</v>
      </c>
      <c r="E4" s="30"/>
      <c r="I4" s="139">
        <f>I5</f>
        <v>45579</v>
      </c>
      <c r="J4" s="126"/>
      <c r="K4" s="126"/>
      <c r="L4" s="126"/>
      <c r="M4" s="126"/>
      <c r="N4" s="126"/>
      <c r="O4" s="126"/>
      <c r="P4" s="126">
        <f>P5</f>
        <v>45586</v>
      </c>
      <c r="Q4" s="126"/>
      <c r="R4" s="126"/>
      <c r="S4" s="126"/>
      <c r="T4" s="126"/>
      <c r="U4" s="126"/>
      <c r="V4" s="126"/>
      <c r="W4" s="126">
        <f>W5</f>
        <v>45593</v>
      </c>
      <c r="X4" s="126"/>
      <c r="Y4" s="126"/>
      <c r="Z4" s="126"/>
      <c r="AA4" s="126"/>
      <c r="AB4" s="126"/>
      <c r="AC4" s="126"/>
      <c r="AD4" s="126">
        <f>AD5</f>
        <v>45600</v>
      </c>
      <c r="AE4" s="126"/>
      <c r="AF4" s="126"/>
      <c r="AG4" s="126"/>
      <c r="AH4" s="126"/>
      <c r="AI4" s="126"/>
      <c r="AJ4" s="126"/>
      <c r="AK4" s="126">
        <f>AK5</f>
        <v>45607</v>
      </c>
      <c r="AL4" s="126"/>
      <c r="AM4" s="126"/>
      <c r="AN4" s="126"/>
      <c r="AO4" s="126"/>
      <c r="AP4" s="126"/>
      <c r="AQ4" s="126"/>
      <c r="AR4" s="126">
        <f>AR5</f>
        <v>45614</v>
      </c>
      <c r="AS4" s="126"/>
      <c r="AT4" s="126"/>
      <c r="AU4" s="126"/>
      <c r="AV4" s="126"/>
      <c r="AW4" s="126"/>
      <c r="AX4" s="126"/>
      <c r="AY4" s="126">
        <f>AY5</f>
        <v>45621</v>
      </c>
      <c r="AZ4" s="126"/>
      <c r="BA4" s="126"/>
      <c r="BB4" s="126"/>
      <c r="BC4" s="126"/>
      <c r="BD4" s="126"/>
      <c r="BE4" s="126"/>
      <c r="BF4" s="126">
        <f>BF5</f>
        <v>45628</v>
      </c>
      <c r="BG4" s="126"/>
      <c r="BH4" s="126"/>
      <c r="BI4" s="126"/>
      <c r="BJ4" s="126"/>
      <c r="BK4" s="126"/>
      <c r="BL4" s="127"/>
      <c r="BM4" s="126">
        <f>BM5</f>
        <v>45635</v>
      </c>
      <c r="BN4" s="126"/>
      <c r="BO4" s="126"/>
      <c r="BP4" s="126"/>
      <c r="BQ4" s="126"/>
      <c r="BR4" s="126"/>
      <c r="BS4" s="127"/>
      <c r="BT4" s="126">
        <f>BT5</f>
        <v>45642</v>
      </c>
      <c r="BU4" s="126"/>
      <c r="BV4" s="126"/>
      <c r="BW4" s="126"/>
      <c r="BX4" s="126"/>
      <c r="BY4" s="126"/>
      <c r="BZ4" s="127"/>
      <c r="CA4" s="126">
        <f>CA5</f>
        <v>45649</v>
      </c>
      <c r="CB4" s="126"/>
      <c r="CC4" s="126"/>
      <c r="CD4" s="126"/>
      <c r="CE4" s="126"/>
      <c r="CF4" s="126"/>
      <c r="CG4" s="127"/>
      <c r="CH4" s="126">
        <f>CH5</f>
        <v>45656</v>
      </c>
      <c r="CI4" s="126"/>
      <c r="CJ4" s="126"/>
      <c r="CK4" s="126"/>
      <c r="CL4" s="126"/>
      <c r="CM4" s="126"/>
      <c r="CN4" s="127"/>
      <c r="CO4" s="126">
        <f>CO5</f>
        <v>45663</v>
      </c>
      <c r="CP4" s="126"/>
      <c r="CQ4" s="126"/>
      <c r="CR4" s="126"/>
      <c r="CS4" s="126"/>
      <c r="CT4" s="126"/>
      <c r="CU4" s="127"/>
      <c r="CV4" s="126">
        <f>CV5</f>
        <v>45670</v>
      </c>
      <c r="CW4" s="126"/>
      <c r="CX4" s="126"/>
      <c r="CY4" s="126"/>
      <c r="CZ4" s="126"/>
      <c r="DA4" s="126"/>
      <c r="DB4" s="127"/>
      <c r="DC4" s="126">
        <f>DC5</f>
        <v>45677</v>
      </c>
      <c r="DD4" s="126"/>
      <c r="DE4" s="126"/>
      <c r="DF4" s="126"/>
      <c r="DG4" s="126"/>
      <c r="DH4" s="126"/>
      <c r="DI4" s="127"/>
      <c r="DJ4" s="126">
        <f>DJ5</f>
        <v>45684</v>
      </c>
      <c r="DK4" s="126"/>
      <c r="DL4" s="126"/>
      <c r="DM4" s="126"/>
      <c r="DN4" s="126"/>
      <c r="DO4" s="126"/>
      <c r="DP4" s="127"/>
      <c r="DQ4" s="126">
        <f>DQ5</f>
        <v>45691</v>
      </c>
      <c r="DR4" s="126"/>
      <c r="DS4" s="126"/>
      <c r="DT4" s="126"/>
      <c r="DU4" s="126"/>
      <c r="DV4" s="126"/>
      <c r="DW4" s="127"/>
      <c r="DX4" s="126">
        <f>DX5</f>
        <v>45698</v>
      </c>
      <c r="DY4" s="126"/>
      <c r="DZ4" s="126"/>
      <c r="EA4" s="126"/>
      <c r="EB4" s="126"/>
      <c r="EC4" s="126"/>
      <c r="ED4" s="127"/>
      <c r="EE4" s="126">
        <f>EE5</f>
        <v>45705</v>
      </c>
      <c r="EF4" s="126"/>
      <c r="EG4" s="126"/>
      <c r="EH4" s="126"/>
      <c r="EI4" s="126"/>
      <c r="EJ4" s="126"/>
      <c r="EK4" s="127"/>
      <c r="EL4" s="126">
        <f>EL5</f>
        <v>45712</v>
      </c>
      <c r="EM4" s="126"/>
      <c r="EN4" s="126"/>
      <c r="EO4" s="126"/>
      <c r="EP4" s="126"/>
      <c r="EQ4" s="126"/>
      <c r="ER4" s="127"/>
      <c r="ES4" s="126">
        <f>ES5</f>
        <v>45719</v>
      </c>
      <c r="ET4" s="126"/>
      <c r="EU4" s="126"/>
      <c r="EV4" s="126"/>
      <c r="EW4" s="126"/>
      <c r="EX4" s="126"/>
      <c r="EY4" s="127"/>
      <c r="EZ4" s="126">
        <f>EZ5</f>
        <v>45726</v>
      </c>
      <c r="FA4" s="126"/>
      <c r="FB4" s="126"/>
      <c r="FC4" s="126"/>
      <c r="FD4" s="126"/>
      <c r="FE4" s="126"/>
      <c r="FF4" s="127"/>
    </row>
    <row r="5" spans="1:162" s="26" customFormat="1" ht="15" customHeight="1" x14ac:dyDescent="0.25">
      <c r="A5" s="128"/>
      <c r="B5" s="129" t="s">
        <v>5</v>
      </c>
      <c r="C5" s="131" t="s">
        <v>24</v>
      </c>
      <c r="D5" s="133" t="s">
        <v>1</v>
      </c>
      <c r="E5" s="133" t="s">
        <v>3</v>
      </c>
      <c r="F5" s="133" t="s">
        <v>4</v>
      </c>
      <c r="I5" s="31">
        <f>Project_Start-WEEKDAY(Project_Start,1)+2+7*(Display_Week-1)</f>
        <v>45579</v>
      </c>
      <c r="J5" s="31">
        <f>I5+1</f>
        <v>45580</v>
      </c>
      <c r="K5" s="31">
        <f t="shared" ref="K5:AX5" si="0">J5+1</f>
        <v>45581</v>
      </c>
      <c r="L5" s="31">
        <f t="shared" si="0"/>
        <v>45582</v>
      </c>
      <c r="M5" s="31">
        <f t="shared" si="0"/>
        <v>45583</v>
      </c>
      <c r="N5" s="31">
        <f t="shared" si="0"/>
        <v>45584</v>
      </c>
      <c r="O5" s="32">
        <f t="shared" si="0"/>
        <v>45585</v>
      </c>
      <c r="P5" s="33">
        <f>O5+1</f>
        <v>45586</v>
      </c>
      <c r="Q5" s="31">
        <f>P5+1</f>
        <v>45587</v>
      </c>
      <c r="R5" s="31">
        <f t="shared" si="0"/>
        <v>45588</v>
      </c>
      <c r="S5" s="31">
        <f t="shared" si="0"/>
        <v>45589</v>
      </c>
      <c r="T5" s="31">
        <f t="shared" si="0"/>
        <v>45590</v>
      </c>
      <c r="U5" s="31">
        <f t="shared" si="0"/>
        <v>45591</v>
      </c>
      <c r="V5" s="32">
        <f t="shared" si="0"/>
        <v>45592</v>
      </c>
      <c r="W5" s="33">
        <f>V5+1</f>
        <v>45593</v>
      </c>
      <c r="X5" s="31">
        <f>W5+1</f>
        <v>45594</v>
      </c>
      <c r="Y5" s="31">
        <f t="shared" si="0"/>
        <v>45595</v>
      </c>
      <c r="Z5" s="31">
        <f t="shared" si="0"/>
        <v>45596</v>
      </c>
      <c r="AA5" s="31">
        <f t="shared" si="0"/>
        <v>45597</v>
      </c>
      <c r="AB5" s="31">
        <f t="shared" si="0"/>
        <v>45598</v>
      </c>
      <c r="AC5" s="32">
        <f t="shared" si="0"/>
        <v>45599</v>
      </c>
      <c r="AD5" s="33">
        <f>AC5+1</f>
        <v>45600</v>
      </c>
      <c r="AE5" s="31">
        <f>AD5+1</f>
        <v>45601</v>
      </c>
      <c r="AF5" s="31">
        <f t="shared" si="0"/>
        <v>45602</v>
      </c>
      <c r="AG5" s="31">
        <f t="shared" si="0"/>
        <v>45603</v>
      </c>
      <c r="AH5" s="31">
        <f t="shared" si="0"/>
        <v>45604</v>
      </c>
      <c r="AI5" s="31">
        <f t="shared" si="0"/>
        <v>45605</v>
      </c>
      <c r="AJ5" s="32">
        <f t="shared" si="0"/>
        <v>45606</v>
      </c>
      <c r="AK5" s="33">
        <f>AJ5+1</f>
        <v>45607</v>
      </c>
      <c r="AL5" s="31">
        <f>AK5+1</f>
        <v>45608</v>
      </c>
      <c r="AM5" s="31">
        <f t="shared" si="0"/>
        <v>45609</v>
      </c>
      <c r="AN5" s="31">
        <f t="shared" si="0"/>
        <v>45610</v>
      </c>
      <c r="AO5" s="31">
        <f t="shared" si="0"/>
        <v>45611</v>
      </c>
      <c r="AP5" s="31">
        <f t="shared" si="0"/>
        <v>45612</v>
      </c>
      <c r="AQ5" s="32">
        <f t="shared" si="0"/>
        <v>45613</v>
      </c>
      <c r="AR5" s="33">
        <f>AQ5+1</f>
        <v>45614</v>
      </c>
      <c r="AS5" s="31">
        <f>AR5+1</f>
        <v>45615</v>
      </c>
      <c r="AT5" s="31">
        <f t="shared" si="0"/>
        <v>45616</v>
      </c>
      <c r="AU5" s="31">
        <f t="shared" si="0"/>
        <v>45617</v>
      </c>
      <c r="AV5" s="31">
        <f t="shared" si="0"/>
        <v>45618</v>
      </c>
      <c r="AW5" s="31">
        <f t="shared" si="0"/>
        <v>45619</v>
      </c>
      <c r="AX5" s="32">
        <f t="shared" si="0"/>
        <v>45620</v>
      </c>
      <c r="AY5" s="33">
        <f>AX5+1</f>
        <v>45621</v>
      </c>
      <c r="AZ5" s="31">
        <f>AY5+1</f>
        <v>45622</v>
      </c>
      <c r="BA5" s="31">
        <f t="shared" ref="BA5:BE5" si="1">AZ5+1</f>
        <v>45623</v>
      </c>
      <c r="BB5" s="31">
        <f t="shared" si="1"/>
        <v>45624</v>
      </c>
      <c r="BC5" s="31">
        <f t="shared" si="1"/>
        <v>45625</v>
      </c>
      <c r="BD5" s="31">
        <f t="shared" si="1"/>
        <v>45626</v>
      </c>
      <c r="BE5" s="32">
        <f t="shared" si="1"/>
        <v>45627</v>
      </c>
      <c r="BF5" s="33">
        <f>BE5+1</f>
        <v>45628</v>
      </c>
      <c r="BG5" s="31">
        <f>BF5+1</f>
        <v>45629</v>
      </c>
      <c r="BH5" s="31">
        <f t="shared" ref="BH5:BL5" si="2">BG5+1</f>
        <v>45630</v>
      </c>
      <c r="BI5" s="31">
        <f t="shared" si="2"/>
        <v>45631</v>
      </c>
      <c r="BJ5" s="31">
        <f t="shared" si="2"/>
        <v>45632</v>
      </c>
      <c r="BK5" s="31">
        <f t="shared" si="2"/>
        <v>45633</v>
      </c>
      <c r="BL5" s="31">
        <f t="shared" si="2"/>
        <v>45634</v>
      </c>
      <c r="BM5" s="33">
        <f>BL5+1</f>
        <v>45635</v>
      </c>
      <c r="BN5" s="31">
        <f>BM5+1</f>
        <v>45636</v>
      </c>
      <c r="BO5" s="31">
        <f t="shared" ref="BO5" si="3">BN5+1</f>
        <v>45637</v>
      </c>
      <c r="BP5" s="31">
        <f t="shared" ref="BP5" si="4">BO5+1</f>
        <v>45638</v>
      </c>
      <c r="BQ5" s="31">
        <f t="shared" ref="BQ5" si="5">BP5+1</f>
        <v>45639</v>
      </c>
      <c r="BR5" s="31">
        <f t="shared" ref="BR5" si="6">BQ5+1</f>
        <v>45640</v>
      </c>
      <c r="BS5" s="31">
        <f t="shared" ref="BS5" si="7">BR5+1</f>
        <v>45641</v>
      </c>
      <c r="BT5" s="33">
        <f>BS5+1</f>
        <v>45642</v>
      </c>
      <c r="BU5" s="31">
        <f>BT5+1</f>
        <v>45643</v>
      </c>
      <c r="BV5" s="31">
        <f t="shared" ref="BV5" si="8">BU5+1</f>
        <v>45644</v>
      </c>
      <c r="BW5" s="31">
        <f t="shared" ref="BW5" si="9">BV5+1</f>
        <v>45645</v>
      </c>
      <c r="BX5" s="31">
        <f t="shared" ref="BX5" si="10">BW5+1</f>
        <v>45646</v>
      </c>
      <c r="BY5" s="31">
        <f t="shared" ref="BY5" si="11">BX5+1</f>
        <v>45647</v>
      </c>
      <c r="BZ5" s="31">
        <f t="shared" ref="BZ5" si="12">BY5+1</f>
        <v>45648</v>
      </c>
      <c r="CA5" s="33">
        <f>BZ5+1</f>
        <v>45649</v>
      </c>
      <c r="CB5" s="31">
        <f>CA5+1</f>
        <v>45650</v>
      </c>
      <c r="CC5" s="31">
        <f t="shared" ref="CC5" si="13">CB5+1</f>
        <v>45651</v>
      </c>
      <c r="CD5" s="31">
        <f t="shared" ref="CD5" si="14">CC5+1</f>
        <v>45652</v>
      </c>
      <c r="CE5" s="31">
        <f t="shared" ref="CE5" si="15">CD5+1</f>
        <v>45653</v>
      </c>
      <c r="CF5" s="31">
        <f t="shared" ref="CF5" si="16">CE5+1</f>
        <v>45654</v>
      </c>
      <c r="CG5" s="31">
        <f t="shared" ref="CG5" si="17">CF5+1</f>
        <v>45655</v>
      </c>
      <c r="CH5" s="33">
        <f>CG5+1</f>
        <v>45656</v>
      </c>
      <c r="CI5" s="31">
        <f>CH5+1</f>
        <v>45657</v>
      </c>
      <c r="CJ5" s="31">
        <f t="shared" ref="CJ5" si="18">CI5+1</f>
        <v>45658</v>
      </c>
      <c r="CK5" s="31">
        <f t="shared" ref="CK5" si="19">CJ5+1</f>
        <v>45659</v>
      </c>
      <c r="CL5" s="31">
        <f t="shared" ref="CL5" si="20">CK5+1</f>
        <v>45660</v>
      </c>
      <c r="CM5" s="31">
        <f t="shared" ref="CM5" si="21">CL5+1</f>
        <v>45661</v>
      </c>
      <c r="CN5" s="31">
        <f t="shared" ref="CN5" si="22">CM5+1</f>
        <v>45662</v>
      </c>
      <c r="CO5" s="33">
        <f>CN5+1</f>
        <v>45663</v>
      </c>
      <c r="CP5" s="31">
        <f>CO5+1</f>
        <v>45664</v>
      </c>
      <c r="CQ5" s="31">
        <f t="shared" ref="CQ5" si="23">CP5+1</f>
        <v>45665</v>
      </c>
      <c r="CR5" s="31">
        <f t="shared" ref="CR5" si="24">CQ5+1</f>
        <v>45666</v>
      </c>
      <c r="CS5" s="31">
        <f t="shared" ref="CS5" si="25">CR5+1</f>
        <v>45667</v>
      </c>
      <c r="CT5" s="31">
        <f t="shared" ref="CT5" si="26">CS5+1</f>
        <v>45668</v>
      </c>
      <c r="CU5" s="31">
        <f t="shared" ref="CU5" si="27">CT5+1</f>
        <v>45669</v>
      </c>
      <c r="CV5" s="33">
        <f>CU5+1</f>
        <v>45670</v>
      </c>
      <c r="CW5" s="31">
        <f>CV5+1</f>
        <v>45671</v>
      </c>
      <c r="CX5" s="31">
        <f t="shared" ref="CX5" si="28">CW5+1</f>
        <v>45672</v>
      </c>
      <c r="CY5" s="31">
        <f t="shared" ref="CY5" si="29">CX5+1</f>
        <v>45673</v>
      </c>
      <c r="CZ5" s="31">
        <f t="shared" ref="CZ5" si="30">CY5+1</f>
        <v>45674</v>
      </c>
      <c r="DA5" s="31">
        <f t="shared" ref="DA5" si="31">CZ5+1</f>
        <v>45675</v>
      </c>
      <c r="DB5" s="31">
        <f t="shared" ref="DB5" si="32">DA5+1</f>
        <v>45676</v>
      </c>
      <c r="DC5" s="33">
        <f>DB5+1</f>
        <v>45677</v>
      </c>
      <c r="DD5" s="31">
        <f>DC5+1</f>
        <v>45678</v>
      </c>
      <c r="DE5" s="31">
        <f t="shared" ref="DE5" si="33">DD5+1</f>
        <v>45679</v>
      </c>
      <c r="DF5" s="31">
        <f t="shared" ref="DF5" si="34">DE5+1</f>
        <v>45680</v>
      </c>
      <c r="DG5" s="31">
        <f t="shared" ref="DG5" si="35">DF5+1</f>
        <v>45681</v>
      </c>
      <c r="DH5" s="31">
        <f t="shared" ref="DH5" si="36">DG5+1</f>
        <v>45682</v>
      </c>
      <c r="DI5" s="31">
        <f t="shared" ref="DI5" si="37">DH5+1</f>
        <v>45683</v>
      </c>
      <c r="DJ5" s="33">
        <f>DI5+1</f>
        <v>45684</v>
      </c>
      <c r="DK5" s="31">
        <f>DJ5+1</f>
        <v>45685</v>
      </c>
      <c r="DL5" s="31">
        <f t="shared" ref="DL5" si="38">DK5+1</f>
        <v>45686</v>
      </c>
      <c r="DM5" s="31">
        <f t="shared" ref="DM5" si="39">DL5+1</f>
        <v>45687</v>
      </c>
      <c r="DN5" s="31">
        <f t="shared" ref="DN5" si="40">DM5+1</f>
        <v>45688</v>
      </c>
      <c r="DO5" s="31">
        <f t="shared" ref="DO5" si="41">DN5+1</f>
        <v>45689</v>
      </c>
      <c r="DP5" s="31">
        <f t="shared" ref="DP5" si="42">DO5+1</f>
        <v>45690</v>
      </c>
      <c r="DQ5" s="33">
        <f>DP5+1</f>
        <v>45691</v>
      </c>
      <c r="DR5" s="31">
        <f>DQ5+1</f>
        <v>45692</v>
      </c>
      <c r="DS5" s="31">
        <f t="shared" ref="DS5" si="43">DR5+1</f>
        <v>45693</v>
      </c>
      <c r="DT5" s="31">
        <f t="shared" ref="DT5" si="44">DS5+1</f>
        <v>45694</v>
      </c>
      <c r="DU5" s="31">
        <f t="shared" ref="DU5" si="45">DT5+1</f>
        <v>45695</v>
      </c>
      <c r="DV5" s="31">
        <f t="shared" ref="DV5" si="46">DU5+1</f>
        <v>45696</v>
      </c>
      <c r="DW5" s="31">
        <f t="shared" ref="DW5" si="47">DV5+1</f>
        <v>45697</v>
      </c>
      <c r="DX5" s="33">
        <f>DW5+1</f>
        <v>45698</v>
      </c>
      <c r="DY5" s="31">
        <f>DX5+1</f>
        <v>45699</v>
      </c>
      <c r="DZ5" s="31">
        <f t="shared" ref="DZ5" si="48">DY5+1</f>
        <v>45700</v>
      </c>
      <c r="EA5" s="31">
        <f t="shared" ref="EA5" si="49">DZ5+1</f>
        <v>45701</v>
      </c>
      <c r="EB5" s="31">
        <f t="shared" ref="EB5" si="50">EA5+1</f>
        <v>45702</v>
      </c>
      <c r="EC5" s="31">
        <f t="shared" ref="EC5" si="51">EB5+1</f>
        <v>45703</v>
      </c>
      <c r="ED5" s="31">
        <f t="shared" ref="ED5" si="52">EC5+1</f>
        <v>45704</v>
      </c>
      <c r="EE5" s="33">
        <f>ED5+1</f>
        <v>45705</v>
      </c>
      <c r="EF5" s="31">
        <f>EE5+1</f>
        <v>45706</v>
      </c>
      <c r="EG5" s="31">
        <f t="shared" ref="EG5" si="53">EF5+1</f>
        <v>45707</v>
      </c>
      <c r="EH5" s="31">
        <f t="shared" ref="EH5" si="54">EG5+1</f>
        <v>45708</v>
      </c>
      <c r="EI5" s="31">
        <f t="shared" ref="EI5" si="55">EH5+1</f>
        <v>45709</v>
      </c>
      <c r="EJ5" s="31">
        <f t="shared" ref="EJ5" si="56">EI5+1</f>
        <v>45710</v>
      </c>
      <c r="EK5" s="31">
        <f t="shared" ref="EK5" si="57">EJ5+1</f>
        <v>45711</v>
      </c>
      <c r="EL5" s="33">
        <f>EK5+1</f>
        <v>45712</v>
      </c>
      <c r="EM5" s="31">
        <f>EL5+1</f>
        <v>45713</v>
      </c>
      <c r="EN5" s="31">
        <f t="shared" ref="EN5" si="58">EM5+1</f>
        <v>45714</v>
      </c>
      <c r="EO5" s="31">
        <f t="shared" ref="EO5" si="59">EN5+1</f>
        <v>45715</v>
      </c>
      <c r="EP5" s="31">
        <f t="shared" ref="EP5" si="60">EO5+1</f>
        <v>45716</v>
      </c>
      <c r="EQ5" s="31">
        <f t="shared" ref="EQ5" si="61">EP5+1</f>
        <v>45717</v>
      </c>
      <c r="ER5" s="31">
        <f t="shared" ref="ER5" si="62">EQ5+1</f>
        <v>45718</v>
      </c>
      <c r="ES5" s="33">
        <f>ER5+1</f>
        <v>45719</v>
      </c>
      <c r="ET5" s="31">
        <f>ES5+1</f>
        <v>45720</v>
      </c>
      <c r="EU5" s="31">
        <f t="shared" ref="EU5" si="63">ET5+1</f>
        <v>45721</v>
      </c>
      <c r="EV5" s="31">
        <f t="shared" ref="EV5" si="64">EU5+1</f>
        <v>45722</v>
      </c>
      <c r="EW5" s="31">
        <f t="shared" ref="EW5" si="65">EV5+1</f>
        <v>45723</v>
      </c>
      <c r="EX5" s="31">
        <f t="shared" ref="EX5" si="66">EW5+1</f>
        <v>45724</v>
      </c>
      <c r="EY5" s="31">
        <f t="shared" ref="EY5" si="67">EX5+1</f>
        <v>45725</v>
      </c>
      <c r="EZ5" s="33">
        <f>EY5+1</f>
        <v>45726</v>
      </c>
      <c r="FA5" s="31">
        <f>EZ5+1</f>
        <v>45727</v>
      </c>
      <c r="FB5" s="31">
        <f t="shared" ref="FB5" si="68">FA5+1</f>
        <v>45728</v>
      </c>
      <c r="FC5" s="31">
        <f t="shared" ref="FC5" si="69">FB5+1</f>
        <v>45729</v>
      </c>
      <c r="FD5" s="31">
        <f t="shared" ref="FD5" si="70">FC5+1</f>
        <v>45730</v>
      </c>
      <c r="FE5" s="31">
        <f t="shared" ref="FE5" si="71">FD5+1</f>
        <v>45731</v>
      </c>
      <c r="FF5" s="31">
        <f t="shared" ref="FF5" si="72">FE5+1</f>
        <v>45732</v>
      </c>
    </row>
    <row r="6" spans="1:162" s="26" customFormat="1" ht="14.4" thickBot="1" x14ac:dyDescent="0.3">
      <c r="A6" s="128"/>
      <c r="B6" s="130"/>
      <c r="C6" s="132"/>
      <c r="D6" s="132"/>
      <c r="E6" s="132"/>
      <c r="F6" s="132"/>
      <c r="I6" s="34" t="str">
        <f t="shared" ref="I6:AN6" si="73">LEFT(TEXT(I5,"ddd"),1)</f>
        <v>d</v>
      </c>
      <c r="J6" s="35" t="str">
        <f t="shared" si="73"/>
        <v>d</v>
      </c>
      <c r="K6" s="35" t="str">
        <f t="shared" si="73"/>
        <v>d</v>
      </c>
      <c r="L6" s="35" t="str">
        <f t="shared" si="73"/>
        <v>d</v>
      </c>
      <c r="M6" s="35" t="str">
        <f t="shared" si="73"/>
        <v>d</v>
      </c>
      <c r="N6" s="35" t="str">
        <f t="shared" si="73"/>
        <v>d</v>
      </c>
      <c r="O6" s="35" t="str">
        <f t="shared" si="73"/>
        <v>d</v>
      </c>
      <c r="P6" s="35" t="str">
        <f t="shared" si="73"/>
        <v>d</v>
      </c>
      <c r="Q6" s="35" t="str">
        <f t="shared" si="73"/>
        <v>d</v>
      </c>
      <c r="R6" s="35" t="str">
        <f t="shared" si="73"/>
        <v>d</v>
      </c>
      <c r="S6" s="35" t="str">
        <f t="shared" si="73"/>
        <v>d</v>
      </c>
      <c r="T6" s="35" t="str">
        <f t="shared" si="73"/>
        <v>d</v>
      </c>
      <c r="U6" s="35" t="str">
        <f t="shared" si="73"/>
        <v>d</v>
      </c>
      <c r="V6" s="35" t="str">
        <f t="shared" si="73"/>
        <v>d</v>
      </c>
      <c r="W6" s="35" t="str">
        <f t="shared" si="73"/>
        <v>d</v>
      </c>
      <c r="X6" s="35" t="str">
        <f t="shared" si="73"/>
        <v>d</v>
      </c>
      <c r="Y6" s="35" t="str">
        <f t="shared" si="73"/>
        <v>d</v>
      </c>
      <c r="Z6" s="35" t="str">
        <f t="shared" si="73"/>
        <v>d</v>
      </c>
      <c r="AA6" s="35" t="str">
        <f t="shared" si="73"/>
        <v>d</v>
      </c>
      <c r="AB6" s="35" t="str">
        <f t="shared" si="73"/>
        <v>d</v>
      </c>
      <c r="AC6" s="35" t="str">
        <f t="shared" si="73"/>
        <v>d</v>
      </c>
      <c r="AD6" s="35" t="str">
        <f t="shared" si="73"/>
        <v>d</v>
      </c>
      <c r="AE6" s="35" t="str">
        <f t="shared" si="73"/>
        <v>d</v>
      </c>
      <c r="AF6" s="35" t="str">
        <f t="shared" si="73"/>
        <v>d</v>
      </c>
      <c r="AG6" s="35" t="str">
        <f t="shared" si="73"/>
        <v>d</v>
      </c>
      <c r="AH6" s="35" t="str">
        <f t="shared" si="73"/>
        <v>d</v>
      </c>
      <c r="AI6" s="35" t="str">
        <f t="shared" si="73"/>
        <v>d</v>
      </c>
      <c r="AJ6" s="35" t="str">
        <f t="shared" si="73"/>
        <v>d</v>
      </c>
      <c r="AK6" s="35" t="str">
        <f t="shared" si="73"/>
        <v>d</v>
      </c>
      <c r="AL6" s="35" t="str">
        <f t="shared" si="73"/>
        <v>d</v>
      </c>
      <c r="AM6" s="35" t="str">
        <f t="shared" si="73"/>
        <v>d</v>
      </c>
      <c r="AN6" s="35" t="str">
        <f t="shared" si="73"/>
        <v>d</v>
      </c>
      <c r="AO6" s="35" t="str">
        <f t="shared" ref="AO6:BL6" si="74">LEFT(TEXT(AO5,"ddd"),1)</f>
        <v>d</v>
      </c>
      <c r="AP6" s="35" t="str">
        <f t="shared" si="74"/>
        <v>d</v>
      </c>
      <c r="AQ6" s="35" t="str">
        <f t="shared" si="74"/>
        <v>d</v>
      </c>
      <c r="AR6" s="35" t="str">
        <f t="shared" si="74"/>
        <v>d</v>
      </c>
      <c r="AS6" s="35" t="str">
        <f t="shared" si="74"/>
        <v>d</v>
      </c>
      <c r="AT6" s="35" t="str">
        <f t="shared" si="74"/>
        <v>d</v>
      </c>
      <c r="AU6" s="35" t="str">
        <f t="shared" si="74"/>
        <v>d</v>
      </c>
      <c r="AV6" s="35" t="str">
        <f t="shared" si="74"/>
        <v>d</v>
      </c>
      <c r="AW6" s="35" t="str">
        <f t="shared" si="74"/>
        <v>d</v>
      </c>
      <c r="AX6" s="35" t="str">
        <f t="shared" si="74"/>
        <v>d</v>
      </c>
      <c r="AY6" s="35" t="str">
        <f t="shared" si="74"/>
        <v>d</v>
      </c>
      <c r="AZ6" s="35" t="str">
        <f t="shared" si="74"/>
        <v>d</v>
      </c>
      <c r="BA6" s="35" t="str">
        <f t="shared" si="74"/>
        <v>d</v>
      </c>
      <c r="BB6" s="35" t="str">
        <f t="shared" si="74"/>
        <v>d</v>
      </c>
      <c r="BC6" s="35" t="str">
        <f t="shared" si="74"/>
        <v>d</v>
      </c>
      <c r="BD6" s="35" t="str">
        <f t="shared" si="74"/>
        <v>d</v>
      </c>
      <c r="BE6" s="35" t="str">
        <f t="shared" si="74"/>
        <v>d</v>
      </c>
      <c r="BF6" s="35" t="str">
        <f t="shared" si="74"/>
        <v>d</v>
      </c>
      <c r="BG6" s="35" t="str">
        <f t="shared" si="74"/>
        <v>d</v>
      </c>
      <c r="BH6" s="35" t="str">
        <f t="shared" si="74"/>
        <v>d</v>
      </c>
      <c r="BI6" s="35" t="str">
        <f t="shared" si="74"/>
        <v>d</v>
      </c>
      <c r="BJ6" s="35" t="str">
        <f t="shared" si="74"/>
        <v>d</v>
      </c>
      <c r="BK6" s="35" t="str">
        <f t="shared" si="74"/>
        <v>d</v>
      </c>
      <c r="BL6" s="36" t="str">
        <f t="shared" si="74"/>
        <v>d</v>
      </c>
      <c r="BM6" s="35" t="str">
        <f t="shared" ref="BM6:BZ6" si="75">LEFT(TEXT(BM5,"ddd"),1)</f>
        <v>d</v>
      </c>
      <c r="BN6" s="35" t="str">
        <f t="shared" si="75"/>
        <v>d</v>
      </c>
      <c r="BO6" s="35" t="str">
        <f t="shared" si="75"/>
        <v>d</v>
      </c>
      <c r="BP6" s="35" t="str">
        <f t="shared" si="75"/>
        <v>d</v>
      </c>
      <c r="BQ6" s="35" t="str">
        <f t="shared" si="75"/>
        <v>d</v>
      </c>
      <c r="BR6" s="35" t="str">
        <f t="shared" si="75"/>
        <v>d</v>
      </c>
      <c r="BS6" s="36" t="str">
        <f t="shared" si="75"/>
        <v>d</v>
      </c>
      <c r="BT6" s="35" t="str">
        <f t="shared" si="75"/>
        <v>d</v>
      </c>
      <c r="BU6" s="35" t="str">
        <f t="shared" si="75"/>
        <v>d</v>
      </c>
      <c r="BV6" s="35" t="str">
        <f t="shared" si="75"/>
        <v>d</v>
      </c>
      <c r="BW6" s="35" t="str">
        <f t="shared" si="75"/>
        <v>d</v>
      </c>
      <c r="BX6" s="35" t="str">
        <f t="shared" si="75"/>
        <v>d</v>
      </c>
      <c r="BY6" s="35" t="str">
        <f t="shared" si="75"/>
        <v>d</v>
      </c>
      <c r="BZ6" s="36" t="str">
        <f t="shared" si="75"/>
        <v>d</v>
      </c>
      <c r="CA6" s="35" t="str">
        <f t="shared" ref="CA6:EL6" si="76">LEFT(TEXT(CA5,"ddd"),1)</f>
        <v>d</v>
      </c>
      <c r="CB6" s="35" t="str">
        <f t="shared" si="76"/>
        <v>d</v>
      </c>
      <c r="CC6" s="35" t="str">
        <f t="shared" si="76"/>
        <v>d</v>
      </c>
      <c r="CD6" s="35" t="str">
        <f t="shared" si="76"/>
        <v>d</v>
      </c>
      <c r="CE6" s="35" t="str">
        <f t="shared" si="76"/>
        <v>d</v>
      </c>
      <c r="CF6" s="35" t="str">
        <f t="shared" si="76"/>
        <v>d</v>
      </c>
      <c r="CG6" s="36" t="str">
        <f t="shared" si="76"/>
        <v>d</v>
      </c>
      <c r="CH6" s="35" t="str">
        <f t="shared" si="76"/>
        <v>d</v>
      </c>
      <c r="CI6" s="35" t="str">
        <f t="shared" si="76"/>
        <v>d</v>
      </c>
      <c r="CJ6" s="35" t="str">
        <f t="shared" si="76"/>
        <v>d</v>
      </c>
      <c r="CK6" s="35" t="str">
        <f t="shared" si="76"/>
        <v>d</v>
      </c>
      <c r="CL6" s="35" t="str">
        <f t="shared" si="76"/>
        <v>d</v>
      </c>
      <c r="CM6" s="35" t="str">
        <f t="shared" si="76"/>
        <v>d</v>
      </c>
      <c r="CN6" s="36" t="str">
        <f t="shared" si="76"/>
        <v>d</v>
      </c>
      <c r="CO6" s="35" t="str">
        <f t="shared" si="76"/>
        <v>d</v>
      </c>
      <c r="CP6" s="35" t="str">
        <f t="shared" si="76"/>
        <v>d</v>
      </c>
      <c r="CQ6" s="35" t="str">
        <f t="shared" si="76"/>
        <v>d</v>
      </c>
      <c r="CR6" s="35" t="str">
        <f t="shared" si="76"/>
        <v>d</v>
      </c>
      <c r="CS6" s="35" t="str">
        <f t="shared" si="76"/>
        <v>d</v>
      </c>
      <c r="CT6" s="35" t="str">
        <f t="shared" si="76"/>
        <v>d</v>
      </c>
      <c r="CU6" s="36" t="str">
        <f t="shared" si="76"/>
        <v>d</v>
      </c>
      <c r="CV6" s="35" t="str">
        <f t="shared" si="76"/>
        <v>d</v>
      </c>
      <c r="CW6" s="35" t="str">
        <f t="shared" si="76"/>
        <v>d</v>
      </c>
      <c r="CX6" s="35" t="str">
        <f t="shared" si="76"/>
        <v>d</v>
      </c>
      <c r="CY6" s="35" t="str">
        <f t="shared" si="76"/>
        <v>d</v>
      </c>
      <c r="CZ6" s="35" t="str">
        <f t="shared" si="76"/>
        <v>d</v>
      </c>
      <c r="DA6" s="35" t="str">
        <f t="shared" si="76"/>
        <v>d</v>
      </c>
      <c r="DB6" s="36" t="str">
        <f t="shared" si="76"/>
        <v>d</v>
      </c>
      <c r="DC6" s="35" t="str">
        <f t="shared" si="76"/>
        <v>d</v>
      </c>
      <c r="DD6" s="35" t="str">
        <f t="shared" si="76"/>
        <v>d</v>
      </c>
      <c r="DE6" s="35" t="str">
        <f t="shared" si="76"/>
        <v>d</v>
      </c>
      <c r="DF6" s="35" t="str">
        <f t="shared" si="76"/>
        <v>d</v>
      </c>
      <c r="DG6" s="35" t="str">
        <f t="shared" si="76"/>
        <v>d</v>
      </c>
      <c r="DH6" s="35" t="str">
        <f t="shared" si="76"/>
        <v>d</v>
      </c>
      <c r="DI6" s="36" t="str">
        <f t="shared" si="76"/>
        <v>d</v>
      </c>
      <c r="DJ6" s="35" t="str">
        <f t="shared" si="76"/>
        <v>d</v>
      </c>
      <c r="DK6" s="35" t="str">
        <f t="shared" si="76"/>
        <v>d</v>
      </c>
      <c r="DL6" s="35" t="str">
        <f t="shared" si="76"/>
        <v>d</v>
      </c>
      <c r="DM6" s="35" t="str">
        <f t="shared" si="76"/>
        <v>d</v>
      </c>
      <c r="DN6" s="35" t="str">
        <f t="shared" si="76"/>
        <v>d</v>
      </c>
      <c r="DO6" s="35" t="str">
        <f t="shared" si="76"/>
        <v>d</v>
      </c>
      <c r="DP6" s="36" t="str">
        <f t="shared" si="76"/>
        <v>d</v>
      </c>
      <c r="DQ6" s="35" t="str">
        <f t="shared" si="76"/>
        <v>d</v>
      </c>
      <c r="DR6" s="35" t="str">
        <f t="shared" si="76"/>
        <v>d</v>
      </c>
      <c r="DS6" s="35" t="str">
        <f t="shared" si="76"/>
        <v>d</v>
      </c>
      <c r="DT6" s="35" t="str">
        <f t="shared" si="76"/>
        <v>d</v>
      </c>
      <c r="DU6" s="35" t="str">
        <f t="shared" si="76"/>
        <v>d</v>
      </c>
      <c r="DV6" s="35" t="str">
        <f t="shared" si="76"/>
        <v>d</v>
      </c>
      <c r="DW6" s="36" t="str">
        <f t="shared" si="76"/>
        <v>d</v>
      </c>
      <c r="DX6" s="35" t="str">
        <f t="shared" si="76"/>
        <v>d</v>
      </c>
      <c r="DY6" s="35" t="str">
        <f t="shared" si="76"/>
        <v>d</v>
      </c>
      <c r="DZ6" s="35" t="str">
        <f t="shared" si="76"/>
        <v>d</v>
      </c>
      <c r="EA6" s="35" t="str">
        <f t="shared" si="76"/>
        <v>d</v>
      </c>
      <c r="EB6" s="35" t="str">
        <f t="shared" si="76"/>
        <v>d</v>
      </c>
      <c r="EC6" s="35" t="str">
        <f t="shared" si="76"/>
        <v>d</v>
      </c>
      <c r="ED6" s="36" t="str">
        <f t="shared" si="76"/>
        <v>d</v>
      </c>
      <c r="EE6" s="35" t="str">
        <f t="shared" si="76"/>
        <v>d</v>
      </c>
      <c r="EF6" s="35" t="str">
        <f t="shared" si="76"/>
        <v>d</v>
      </c>
      <c r="EG6" s="35" t="str">
        <f t="shared" si="76"/>
        <v>d</v>
      </c>
      <c r="EH6" s="35" t="str">
        <f t="shared" si="76"/>
        <v>d</v>
      </c>
      <c r="EI6" s="35" t="str">
        <f t="shared" si="76"/>
        <v>d</v>
      </c>
      <c r="EJ6" s="35" t="str">
        <f t="shared" si="76"/>
        <v>d</v>
      </c>
      <c r="EK6" s="36" t="str">
        <f t="shared" si="76"/>
        <v>d</v>
      </c>
      <c r="EL6" s="35" t="str">
        <f t="shared" si="76"/>
        <v>d</v>
      </c>
      <c r="EM6" s="35" t="str">
        <f t="shared" ref="EM6:FF6" si="77">LEFT(TEXT(EM5,"ddd"),1)</f>
        <v>d</v>
      </c>
      <c r="EN6" s="35" t="str">
        <f t="shared" si="77"/>
        <v>d</v>
      </c>
      <c r="EO6" s="35" t="str">
        <f t="shared" si="77"/>
        <v>d</v>
      </c>
      <c r="EP6" s="35" t="str">
        <f t="shared" si="77"/>
        <v>d</v>
      </c>
      <c r="EQ6" s="35" t="str">
        <f t="shared" si="77"/>
        <v>d</v>
      </c>
      <c r="ER6" s="36" t="str">
        <f t="shared" si="77"/>
        <v>d</v>
      </c>
      <c r="ES6" s="35" t="str">
        <f t="shared" si="77"/>
        <v>d</v>
      </c>
      <c r="ET6" s="35" t="str">
        <f t="shared" si="77"/>
        <v>d</v>
      </c>
      <c r="EU6" s="35" t="str">
        <f t="shared" si="77"/>
        <v>d</v>
      </c>
      <c r="EV6" s="35" t="str">
        <f t="shared" si="77"/>
        <v>d</v>
      </c>
      <c r="EW6" s="35" t="str">
        <f t="shared" si="77"/>
        <v>d</v>
      </c>
      <c r="EX6" s="35" t="str">
        <f t="shared" si="77"/>
        <v>d</v>
      </c>
      <c r="EY6" s="36" t="str">
        <f t="shared" si="77"/>
        <v>d</v>
      </c>
      <c r="EZ6" s="35" t="str">
        <f t="shared" si="77"/>
        <v>d</v>
      </c>
      <c r="FA6" s="35" t="str">
        <f t="shared" si="77"/>
        <v>d</v>
      </c>
      <c r="FB6" s="35" t="str">
        <f t="shared" si="77"/>
        <v>d</v>
      </c>
      <c r="FC6" s="35" t="str">
        <f t="shared" si="77"/>
        <v>d</v>
      </c>
      <c r="FD6" s="35" t="str">
        <f t="shared" si="77"/>
        <v>d</v>
      </c>
      <c r="FE6" s="35" t="str">
        <f t="shared" si="77"/>
        <v>d</v>
      </c>
      <c r="FF6" s="36" t="str">
        <f t="shared" si="77"/>
        <v>d</v>
      </c>
    </row>
    <row r="7" spans="1:162" s="26" customFormat="1" ht="30" hidden="1" customHeight="1" thickBot="1" x14ac:dyDescent="0.3">
      <c r="A7" s="13" t="s">
        <v>20</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39"/>
      <c r="DI7" s="39"/>
      <c r="DJ7" s="39"/>
      <c r="DK7" s="39"/>
      <c r="DL7" s="39"/>
      <c r="DM7" s="39"/>
      <c r="DN7" s="39"/>
      <c r="DO7" s="39"/>
      <c r="DP7" s="39"/>
      <c r="DQ7" s="39"/>
      <c r="DR7" s="39"/>
      <c r="DS7" s="39"/>
      <c r="DT7" s="39"/>
      <c r="DU7" s="39"/>
      <c r="DV7" s="39"/>
      <c r="DW7" s="39"/>
      <c r="DX7" s="39"/>
      <c r="DY7" s="39"/>
      <c r="DZ7" s="39"/>
      <c r="EA7" s="39"/>
      <c r="EB7" s="39"/>
      <c r="EC7" s="39"/>
      <c r="ED7" s="39"/>
      <c r="EE7" s="39"/>
      <c r="EF7" s="39"/>
      <c r="EG7" s="39"/>
      <c r="EH7" s="39"/>
      <c r="EI7" s="39"/>
      <c r="EJ7" s="39"/>
      <c r="EK7" s="39"/>
      <c r="EL7" s="39"/>
      <c r="EM7" s="39"/>
      <c r="EN7" s="39"/>
      <c r="EO7" s="39"/>
      <c r="EP7" s="39"/>
      <c r="EQ7" s="39"/>
      <c r="ER7" s="39"/>
      <c r="ES7" s="39"/>
      <c r="ET7" s="39"/>
      <c r="EU7" s="39"/>
      <c r="EV7" s="39"/>
      <c r="EW7" s="39"/>
      <c r="EX7" s="39"/>
      <c r="EY7" s="39"/>
      <c r="EZ7" s="39"/>
      <c r="FA7" s="39"/>
      <c r="FB7" s="39"/>
      <c r="FC7" s="39"/>
      <c r="FD7" s="39"/>
      <c r="FE7" s="39"/>
      <c r="FF7" s="39"/>
    </row>
    <row r="8" spans="1:162" s="46" customFormat="1" ht="30" customHeight="1" thickBot="1" x14ac:dyDescent="0.3">
      <c r="A8" s="14"/>
      <c r="B8" s="40" t="s">
        <v>145</v>
      </c>
      <c r="C8" s="41"/>
      <c r="D8" s="42"/>
      <c r="E8" s="43"/>
      <c r="F8" s="44"/>
      <c r="G8" s="17"/>
      <c r="H8" s="5" t="str">
        <f t="shared" ref="H8:H54" si="78">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row>
    <row r="9" spans="1:162" s="46" customFormat="1" ht="30" customHeight="1" thickBot="1" x14ac:dyDescent="0.3">
      <c r="A9" s="14"/>
      <c r="B9" s="47" t="s">
        <v>153</v>
      </c>
      <c r="C9" s="52" t="s">
        <v>106</v>
      </c>
      <c r="D9" s="48">
        <v>0</v>
      </c>
      <c r="E9" s="49">
        <f t="shared" ref="E9:E14" si="79">Project_Start</f>
        <v>45579</v>
      </c>
      <c r="F9" s="49">
        <f>E9+3</f>
        <v>45582</v>
      </c>
      <c r="G9" s="17"/>
      <c r="H9" s="5">
        <f t="shared" si="78"/>
        <v>4</v>
      </c>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c r="CF9" s="50"/>
      <c r="CG9" s="50"/>
      <c r="CH9" s="50"/>
      <c r="CI9" s="50"/>
      <c r="CJ9" s="50"/>
      <c r="CK9" s="50"/>
      <c r="CL9" s="50"/>
      <c r="CM9" s="50"/>
      <c r="CN9" s="50"/>
      <c r="CO9" s="50"/>
      <c r="CP9" s="50"/>
      <c r="CQ9" s="50"/>
      <c r="CR9" s="50"/>
      <c r="CS9" s="50"/>
      <c r="CT9" s="50"/>
      <c r="CU9" s="50"/>
      <c r="CV9" s="50"/>
      <c r="CW9" s="50"/>
      <c r="CX9" s="50"/>
      <c r="CY9" s="50"/>
      <c r="CZ9" s="50"/>
      <c r="DA9" s="50"/>
      <c r="DB9" s="50"/>
      <c r="DC9" s="50"/>
      <c r="DD9" s="50"/>
      <c r="DE9" s="50"/>
      <c r="DF9" s="50"/>
      <c r="DG9" s="50"/>
      <c r="DH9" s="50"/>
      <c r="DI9" s="50"/>
      <c r="DJ9" s="50"/>
      <c r="DK9" s="50"/>
      <c r="DL9" s="50"/>
      <c r="DM9" s="50"/>
      <c r="DN9" s="50"/>
      <c r="DO9" s="50"/>
      <c r="DP9" s="50"/>
      <c r="DQ9" s="50"/>
      <c r="DR9" s="50"/>
      <c r="DS9" s="50"/>
      <c r="DT9" s="50"/>
      <c r="DU9" s="50"/>
      <c r="DV9" s="50"/>
      <c r="DW9" s="50"/>
      <c r="DX9" s="50"/>
      <c r="DY9" s="50"/>
      <c r="DZ9" s="50"/>
      <c r="EA9" s="50"/>
      <c r="EB9" s="50"/>
      <c r="EC9" s="50"/>
      <c r="ED9" s="50"/>
      <c r="EE9" s="50"/>
      <c r="EF9" s="50"/>
      <c r="EG9" s="50"/>
      <c r="EH9" s="50"/>
      <c r="EI9" s="50"/>
      <c r="EJ9" s="50"/>
      <c r="EK9" s="50"/>
      <c r="EL9" s="50"/>
      <c r="EM9" s="50"/>
      <c r="EN9" s="50"/>
      <c r="EO9" s="50"/>
      <c r="EP9" s="50"/>
      <c r="EQ9" s="50"/>
      <c r="ER9" s="50"/>
      <c r="ES9" s="50"/>
      <c r="ET9" s="50"/>
      <c r="EU9" s="50"/>
      <c r="EV9" s="50"/>
      <c r="EW9" s="50"/>
      <c r="EX9" s="50"/>
      <c r="EY9" s="50"/>
      <c r="EZ9" s="50"/>
      <c r="FA9" s="50"/>
      <c r="FB9" s="50"/>
      <c r="FC9" s="50"/>
      <c r="FD9" s="50"/>
      <c r="FE9" s="50"/>
      <c r="FF9" s="50"/>
    </row>
    <row r="10" spans="1:162" s="46" customFormat="1" ht="30" customHeight="1" thickBot="1" x14ac:dyDescent="0.3">
      <c r="A10" s="14"/>
      <c r="B10" s="47" t="s">
        <v>157</v>
      </c>
      <c r="C10" s="52" t="s">
        <v>107</v>
      </c>
      <c r="D10" s="48">
        <v>0</v>
      </c>
      <c r="E10" s="49">
        <f t="shared" si="79"/>
        <v>45579</v>
      </c>
      <c r="F10" s="49">
        <f>E10+3*3</f>
        <v>45588</v>
      </c>
      <c r="G10" s="17"/>
      <c r="H10" s="5">
        <f t="shared" si="78"/>
        <v>10</v>
      </c>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c r="CP10" s="50"/>
      <c r="CQ10" s="50"/>
      <c r="CR10" s="50"/>
      <c r="CS10" s="50"/>
      <c r="CT10" s="50"/>
      <c r="CU10" s="50"/>
      <c r="CV10" s="50"/>
      <c r="CW10" s="50"/>
      <c r="CX10" s="50"/>
      <c r="CY10" s="50"/>
      <c r="CZ10" s="50"/>
      <c r="DA10" s="50"/>
      <c r="DB10" s="50"/>
      <c r="DC10" s="50"/>
      <c r="DD10" s="50"/>
      <c r="DE10" s="50"/>
      <c r="DF10" s="50"/>
      <c r="DG10" s="50"/>
      <c r="DH10" s="50"/>
      <c r="DI10" s="50"/>
      <c r="DJ10" s="50"/>
      <c r="DK10" s="50"/>
      <c r="DL10" s="50"/>
      <c r="DM10" s="50"/>
      <c r="DN10" s="50"/>
      <c r="DO10" s="50"/>
      <c r="DP10" s="50"/>
      <c r="DQ10" s="50"/>
      <c r="DR10" s="50"/>
      <c r="DS10" s="50"/>
      <c r="DT10" s="50"/>
      <c r="DU10" s="50"/>
      <c r="DV10" s="50"/>
      <c r="DW10" s="50"/>
      <c r="DX10" s="50"/>
      <c r="DY10" s="50"/>
      <c r="DZ10" s="50"/>
      <c r="EA10" s="50"/>
      <c r="EB10" s="50"/>
      <c r="EC10" s="50"/>
      <c r="ED10" s="50"/>
      <c r="EE10" s="50"/>
      <c r="EF10" s="50"/>
      <c r="EG10" s="50"/>
      <c r="EH10" s="50"/>
      <c r="EI10" s="50"/>
      <c r="EJ10" s="50"/>
      <c r="EK10" s="50"/>
      <c r="EL10" s="50"/>
      <c r="EM10" s="50"/>
      <c r="EN10" s="50"/>
      <c r="EO10" s="50"/>
      <c r="EP10" s="50"/>
      <c r="EQ10" s="50"/>
      <c r="ER10" s="50"/>
      <c r="ES10" s="50"/>
      <c r="ET10" s="50"/>
      <c r="EU10" s="50"/>
      <c r="EV10" s="50"/>
      <c r="EW10" s="50"/>
      <c r="EX10" s="50"/>
      <c r="EY10" s="50"/>
      <c r="EZ10" s="50"/>
      <c r="FA10" s="50"/>
      <c r="FB10" s="50"/>
      <c r="FC10" s="50"/>
      <c r="FD10" s="50"/>
      <c r="FE10" s="50"/>
      <c r="FF10" s="50"/>
    </row>
    <row r="11" spans="1:162" s="46" customFormat="1" ht="30" customHeight="1" thickBot="1" x14ac:dyDescent="0.3">
      <c r="A11" s="14"/>
      <c r="B11" s="47" t="s">
        <v>154</v>
      </c>
      <c r="C11" s="52" t="s">
        <v>108</v>
      </c>
      <c r="D11" s="48">
        <v>0</v>
      </c>
      <c r="E11" s="49">
        <f t="shared" si="79"/>
        <v>45579</v>
      </c>
      <c r="F11" s="49">
        <f>E11+1*3</f>
        <v>45582</v>
      </c>
      <c r="G11" s="17"/>
      <c r="H11" s="5">
        <f t="shared" si="78"/>
        <v>4</v>
      </c>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50"/>
      <c r="CJ11" s="50"/>
      <c r="CK11" s="50"/>
      <c r="CL11" s="50"/>
      <c r="CM11" s="50"/>
      <c r="CN11" s="50"/>
      <c r="CO11" s="50"/>
      <c r="CP11" s="50"/>
      <c r="CQ11" s="50"/>
      <c r="CR11" s="50"/>
      <c r="CS11" s="50"/>
      <c r="CT11" s="50"/>
      <c r="CU11" s="50"/>
      <c r="CV11" s="50"/>
      <c r="CW11" s="50"/>
      <c r="CX11" s="50"/>
      <c r="CY11" s="50"/>
      <c r="CZ11" s="50"/>
      <c r="DA11" s="50"/>
      <c r="DB11" s="50"/>
      <c r="DC11" s="50"/>
      <c r="DD11" s="50"/>
      <c r="DE11" s="50"/>
      <c r="DF11" s="50"/>
      <c r="DG11" s="50"/>
      <c r="DH11" s="50"/>
      <c r="DI11" s="50"/>
      <c r="DJ11" s="50"/>
      <c r="DK11" s="50"/>
      <c r="DL11" s="50"/>
      <c r="DM11" s="50"/>
      <c r="DN11" s="50"/>
      <c r="DO11" s="50"/>
      <c r="DP11" s="50"/>
      <c r="DQ11" s="50"/>
      <c r="DR11" s="50"/>
      <c r="DS11" s="50"/>
      <c r="DT11" s="50"/>
      <c r="DU11" s="50"/>
      <c r="DV11" s="50"/>
      <c r="DW11" s="50"/>
      <c r="DX11" s="50"/>
      <c r="DY11" s="50"/>
      <c r="DZ11" s="50"/>
      <c r="EA11" s="50"/>
      <c r="EB11" s="50"/>
      <c r="EC11" s="50"/>
      <c r="ED11" s="50"/>
      <c r="EE11" s="50"/>
      <c r="EF11" s="50"/>
      <c r="EG11" s="50"/>
      <c r="EH11" s="50"/>
      <c r="EI11" s="50"/>
      <c r="EJ11" s="50"/>
      <c r="EK11" s="50"/>
      <c r="EL11" s="50"/>
      <c r="EM11" s="50"/>
      <c r="EN11" s="50"/>
      <c r="EO11" s="50"/>
      <c r="EP11" s="50"/>
      <c r="EQ11" s="50"/>
      <c r="ER11" s="50"/>
      <c r="ES11" s="50"/>
      <c r="ET11" s="50"/>
      <c r="EU11" s="50"/>
      <c r="EV11" s="50"/>
      <c r="EW11" s="50"/>
      <c r="EX11" s="50"/>
      <c r="EY11" s="50"/>
      <c r="EZ11" s="50"/>
      <c r="FA11" s="50"/>
      <c r="FB11" s="50"/>
      <c r="FC11" s="50"/>
      <c r="FD11" s="50"/>
      <c r="FE11" s="50"/>
      <c r="FF11" s="50"/>
    </row>
    <row r="12" spans="1:162" s="46" customFormat="1" ht="30" customHeight="1" thickBot="1" x14ac:dyDescent="0.3">
      <c r="A12" s="14"/>
      <c r="B12" s="47" t="s">
        <v>155</v>
      </c>
      <c r="C12" s="52" t="s">
        <v>109</v>
      </c>
      <c r="D12" s="48">
        <v>0</v>
      </c>
      <c r="E12" s="49">
        <f t="shared" si="79"/>
        <v>45579</v>
      </c>
      <c r="F12" s="49">
        <f>E12+9</f>
        <v>45588</v>
      </c>
      <c r="G12" s="17"/>
      <c r="H12" s="5">
        <f t="shared" si="78"/>
        <v>10</v>
      </c>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c r="CK12" s="50"/>
      <c r="CL12" s="50"/>
      <c r="CM12" s="50"/>
      <c r="CN12" s="50"/>
      <c r="CO12" s="50"/>
      <c r="CP12" s="50"/>
      <c r="CQ12" s="50"/>
      <c r="CR12" s="50"/>
      <c r="CS12" s="50"/>
      <c r="CT12" s="50"/>
      <c r="CU12" s="50"/>
      <c r="CV12" s="50"/>
      <c r="CW12" s="50"/>
      <c r="CX12" s="50"/>
      <c r="CY12" s="50"/>
      <c r="CZ12" s="50"/>
      <c r="DA12" s="50"/>
      <c r="DB12" s="50"/>
      <c r="DC12" s="50"/>
      <c r="DD12" s="50"/>
      <c r="DE12" s="50"/>
      <c r="DF12" s="50"/>
      <c r="DG12" s="50"/>
      <c r="DH12" s="50"/>
      <c r="DI12" s="50"/>
      <c r="DJ12" s="50"/>
      <c r="DK12" s="50"/>
      <c r="DL12" s="50"/>
      <c r="DM12" s="50"/>
      <c r="DN12" s="50"/>
      <c r="DO12" s="50"/>
      <c r="DP12" s="50"/>
      <c r="DQ12" s="50"/>
      <c r="DR12" s="50"/>
      <c r="DS12" s="50"/>
      <c r="DT12" s="50"/>
      <c r="DU12" s="50"/>
      <c r="DV12" s="50"/>
      <c r="DW12" s="50"/>
      <c r="DX12" s="50"/>
      <c r="DY12" s="50"/>
      <c r="DZ12" s="50"/>
      <c r="EA12" s="50"/>
      <c r="EB12" s="50"/>
      <c r="EC12" s="50"/>
      <c r="ED12" s="50"/>
      <c r="EE12" s="50"/>
      <c r="EF12" s="50"/>
      <c r="EG12" s="50"/>
      <c r="EH12" s="50"/>
      <c r="EI12" s="50"/>
      <c r="EJ12" s="50"/>
      <c r="EK12" s="50"/>
      <c r="EL12" s="50"/>
      <c r="EM12" s="50"/>
      <c r="EN12" s="50"/>
      <c r="EO12" s="50"/>
      <c r="EP12" s="50"/>
      <c r="EQ12" s="50"/>
      <c r="ER12" s="50"/>
      <c r="ES12" s="50"/>
      <c r="ET12" s="50"/>
      <c r="EU12" s="50"/>
      <c r="EV12" s="50"/>
      <c r="EW12" s="50"/>
      <c r="EX12" s="50"/>
      <c r="EY12" s="50"/>
      <c r="EZ12" s="50"/>
      <c r="FA12" s="50"/>
      <c r="FB12" s="50"/>
      <c r="FC12" s="50"/>
      <c r="FD12" s="50"/>
      <c r="FE12" s="50"/>
      <c r="FF12" s="50"/>
    </row>
    <row r="13" spans="1:162" s="46" customFormat="1" ht="30" customHeight="1" thickBot="1" x14ac:dyDescent="0.3">
      <c r="A13" s="13"/>
      <c r="B13" s="47" t="s">
        <v>135</v>
      </c>
      <c r="C13" s="52" t="s">
        <v>29</v>
      </c>
      <c r="D13" s="48">
        <v>0</v>
      </c>
      <c r="E13" s="49">
        <f t="shared" si="79"/>
        <v>45579</v>
      </c>
      <c r="F13" s="49">
        <f>E13+8</f>
        <v>45587</v>
      </c>
      <c r="G13" s="17"/>
      <c r="H13" s="5">
        <f t="shared" si="78"/>
        <v>9</v>
      </c>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c r="CK13" s="50"/>
      <c r="CL13" s="50"/>
      <c r="CM13" s="50"/>
      <c r="CN13" s="50"/>
      <c r="CO13" s="50"/>
      <c r="CP13" s="50"/>
      <c r="CQ13" s="50"/>
      <c r="CR13" s="50"/>
      <c r="CS13" s="50"/>
      <c r="CT13" s="50"/>
      <c r="CU13" s="50"/>
      <c r="CV13" s="50"/>
      <c r="CW13" s="50"/>
      <c r="CX13" s="50"/>
      <c r="CY13" s="50"/>
      <c r="CZ13" s="50"/>
      <c r="DA13" s="50"/>
      <c r="DB13" s="50"/>
      <c r="DC13" s="50"/>
      <c r="DD13" s="50"/>
      <c r="DE13" s="50"/>
      <c r="DF13" s="50"/>
      <c r="DG13" s="50"/>
      <c r="DH13" s="50"/>
      <c r="DI13" s="50"/>
      <c r="DJ13" s="50"/>
      <c r="DK13" s="50"/>
      <c r="DL13" s="50"/>
      <c r="DM13" s="50"/>
      <c r="DN13" s="50"/>
      <c r="DO13" s="50"/>
      <c r="DP13" s="50"/>
      <c r="DQ13" s="50"/>
      <c r="DR13" s="50"/>
      <c r="DS13" s="50"/>
      <c r="DT13" s="50"/>
      <c r="DU13" s="50"/>
      <c r="DV13" s="50"/>
      <c r="DW13" s="50"/>
      <c r="DX13" s="50"/>
      <c r="DY13" s="50"/>
      <c r="DZ13" s="50"/>
      <c r="EA13" s="50"/>
      <c r="EB13" s="50"/>
      <c r="EC13" s="50"/>
      <c r="ED13" s="50"/>
      <c r="EE13" s="50"/>
      <c r="EF13" s="50"/>
      <c r="EG13" s="50"/>
      <c r="EH13" s="50"/>
      <c r="EI13" s="50"/>
      <c r="EJ13" s="50"/>
      <c r="EK13" s="50"/>
      <c r="EL13" s="50"/>
      <c r="EM13" s="50"/>
      <c r="EN13" s="50"/>
      <c r="EO13" s="50"/>
      <c r="EP13" s="50"/>
      <c r="EQ13" s="50"/>
      <c r="ER13" s="50"/>
      <c r="ES13" s="50"/>
      <c r="ET13" s="50"/>
      <c r="EU13" s="50"/>
      <c r="EV13" s="50"/>
      <c r="EW13" s="50"/>
      <c r="EX13" s="50"/>
      <c r="EY13" s="50"/>
      <c r="EZ13" s="50"/>
      <c r="FA13" s="50"/>
      <c r="FB13" s="50"/>
      <c r="FC13" s="50"/>
      <c r="FD13" s="50"/>
      <c r="FE13" s="50"/>
      <c r="FF13" s="50"/>
    </row>
    <row r="14" spans="1:162" s="46" customFormat="1" ht="30" customHeight="1" thickBot="1" x14ac:dyDescent="0.3">
      <c r="A14" s="13"/>
      <c r="B14" s="51" t="s">
        <v>136</v>
      </c>
      <c r="C14" s="52" t="s">
        <v>29</v>
      </c>
      <c r="D14" s="48">
        <v>0</v>
      </c>
      <c r="E14" s="54">
        <f t="shared" si="79"/>
        <v>45579</v>
      </c>
      <c r="F14" s="54">
        <f>E14+3*3</f>
        <v>45588</v>
      </c>
      <c r="G14" s="17"/>
      <c r="H14" s="5">
        <f t="shared" si="78"/>
        <v>10</v>
      </c>
      <c r="I14" s="50"/>
      <c r="J14" s="50"/>
      <c r="K14" s="50"/>
      <c r="L14" s="50"/>
      <c r="M14" s="50"/>
      <c r="N14" s="50"/>
      <c r="O14" s="50"/>
      <c r="P14" s="50"/>
      <c r="Q14" s="50"/>
      <c r="R14" s="50"/>
      <c r="S14" s="50"/>
      <c r="T14" s="50"/>
      <c r="U14" s="50"/>
      <c r="V14" s="50"/>
      <c r="W14" s="50"/>
      <c r="X14" s="50"/>
      <c r="Y14" s="55"/>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c r="CP14" s="50"/>
      <c r="CQ14" s="50"/>
      <c r="CR14" s="50"/>
      <c r="CS14" s="50"/>
      <c r="CT14" s="50"/>
      <c r="CU14" s="50"/>
      <c r="CV14" s="50"/>
      <c r="CW14" s="50"/>
      <c r="CX14" s="50"/>
      <c r="CY14" s="50"/>
      <c r="CZ14" s="50"/>
      <c r="DA14" s="50"/>
      <c r="DB14" s="50"/>
      <c r="DC14" s="50"/>
      <c r="DD14" s="50"/>
      <c r="DE14" s="50"/>
      <c r="DF14" s="50"/>
      <c r="DG14" s="50"/>
      <c r="DH14" s="50"/>
      <c r="DI14" s="50"/>
      <c r="DJ14" s="50"/>
      <c r="DK14" s="50"/>
      <c r="DL14" s="50"/>
      <c r="DM14" s="50"/>
      <c r="DN14" s="50"/>
      <c r="DO14" s="50"/>
      <c r="DP14" s="50"/>
      <c r="DQ14" s="50"/>
      <c r="DR14" s="50"/>
      <c r="DS14" s="50"/>
      <c r="DT14" s="50"/>
      <c r="DU14" s="50"/>
      <c r="DV14" s="50"/>
      <c r="DW14" s="50"/>
      <c r="DX14" s="50"/>
      <c r="DY14" s="50"/>
      <c r="DZ14" s="50"/>
      <c r="EA14" s="50"/>
      <c r="EB14" s="50"/>
      <c r="EC14" s="50"/>
      <c r="ED14" s="50"/>
      <c r="EE14" s="50"/>
      <c r="EF14" s="50"/>
      <c r="EG14" s="50"/>
      <c r="EH14" s="50"/>
      <c r="EI14" s="50"/>
      <c r="EJ14" s="50"/>
      <c r="EK14" s="50"/>
      <c r="EL14" s="50"/>
      <c r="EM14" s="50"/>
      <c r="EN14" s="50"/>
      <c r="EO14" s="50"/>
      <c r="EP14" s="50"/>
      <c r="EQ14" s="50"/>
      <c r="ER14" s="50"/>
      <c r="ES14" s="50"/>
      <c r="ET14" s="50"/>
      <c r="EU14" s="50"/>
      <c r="EV14" s="50"/>
      <c r="EW14" s="50"/>
      <c r="EX14" s="50"/>
      <c r="EY14" s="50"/>
      <c r="EZ14" s="50"/>
      <c r="FA14" s="50"/>
      <c r="FB14" s="50"/>
      <c r="FC14" s="50"/>
      <c r="FD14" s="50"/>
      <c r="FE14" s="50"/>
      <c r="FF14" s="50"/>
    </row>
    <row r="15" spans="1:162" s="46" customFormat="1" ht="30" customHeight="1" thickBot="1" x14ac:dyDescent="0.3">
      <c r="A15" s="13"/>
      <c r="B15" s="51" t="s">
        <v>100</v>
      </c>
      <c r="C15" s="52" t="s">
        <v>29</v>
      </c>
      <c r="D15" s="48">
        <v>0</v>
      </c>
      <c r="E15" s="54">
        <f>F14+1</f>
        <v>45589</v>
      </c>
      <c r="F15" s="54">
        <f>E15+9*3-2</f>
        <v>45614</v>
      </c>
      <c r="G15" s="17"/>
      <c r="H15" s="5">
        <f t="shared" si="78"/>
        <v>26</v>
      </c>
      <c r="I15" s="50"/>
      <c r="J15" s="50"/>
      <c r="K15" s="50"/>
      <c r="L15" s="50"/>
      <c r="M15" s="50"/>
      <c r="N15" s="50"/>
      <c r="O15" s="50"/>
      <c r="P15" s="50"/>
      <c r="Q15" s="50"/>
      <c r="R15" s="50"/>
      <c r="S15" s="50"/>
      <c r="T15" s="50"/>
      <c r="U15" s="50"/>
      <c r="V15" s="50"/>
      <c r="W15" s="50"/>
      <c r="X15" s="50"/>
      <c r="Y15" s="55"/>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c r="CK15" s="50"/>
      <c r="CL15" s="50"/>
      <c r="CM15" s="50"/>
      <c r="CN15" s="50"/>
      <c r="CO15" s="50"/>
      <c r="CP15" s="50"/>
      <c r="CQ15" s="50"/>
      <c r="CR15" s="50"/>
      <c r="CS15" s="50"/>
      <c r="CT15" s="50"/>
      <c r="CU15" s="50"/>
      <c r="CV15" s="50"/>
      <c r="CW15" s="50"/>
      <c r="CX15" s="50"/>
      <c r="CY15" s="50"/>
      <c r="CZ15" s="50"/>
      <c r="DA15" s="50"/>
      <c r="DB15" s="50"/>
      <c r="DC15" s="50"/>
      <c r="DD15" s="50"/>
      <c r="DE15" s="50"/>
      <c r="DF15" s="50"/>
      <c r="DG15" s="50"/>
      <c r="DH15" s="50"/>
      <c r="DI15" s="50"/>
      <c r="DJ15" s="50"/>
      <c r="DK15" s="50"/>
      <c r="DL15" s="50"/>
      <c r="DM15" s="50"/>
      <c r="DN15" s="50"/>
      <c r="DO15" s="50"/>
      <c r="DP15" s="50"/>
      <c r="DQ15" s="50"/>
      <c r="DR15" s="50"/>
      <c r="DS15" s="50"/>
      <c r="DT15" s="50"/>
      <c r="DU15" s="50"/>
      <c r="DV15" s="50"/>
      <c r="DW15" s="50"/>
      <c r="DX15" s="50"/>
      <c r="DY15" s="50"/>
      <c r="DZ15" s="50"/>
      <c r="EA15" s="50"/>
      <c r="EB15" s="50"/>
      <c r="EC15" s="50"/>
      <c r="ED15" s="50"/>
      <c r="EE15" s="50"/>
      <c r="EF15" s="50"/>
      <c r="EG15" s="50"/>
      <c r="EH15" s="50"/>
      <c r="EI15" s="50"/>
      <c r="EJ15" s="50"/>
      <c r="EK15" s="50"/>
      <c r="EL15" s="50"/>
      <c r="EM15" s="50"/>
      <c r="EN15" s="50"/>
      <c r="EO15" s="50"/>
      <c r="EP15" s="50"/>
      <c r="EQ15" s="50"/>
      <c r="ER15" s="50"/>
      <c r="ES15" s="50"/>
      <c r="ET15" s="50"/>
      <c r="EU15" s="50"/>
      <c r="EV15" s="50"/>
      <c r="EW15" s="50"/>
      <c r="EX15" s="50"/>
      <c r="EY15" s="50"/>
      <c r="EZ15" s="50"/>
      <c r="FA15" s="50"/>
      <c r="FB15" s="50"/>
      <c r="FC15" s="50"/>
      <c r="FD15" s="50"/>
      <c r="FE15" s="50"/>
      <c r="FF15" s="50"/>
    </row>
    <row r="16" spans="1:162" s="46" customFormat="1" ht="30" customHeight="1" thickBot="1" x14ac:dyDescent="0.3">
      <c r="A16" s="13"/>
      <c r="B16" s="51" t="s">
        <v>146</v>
      </c>
      <c r="C16" s="52" t="s">
        <v>29</v>
      </c>
      <c r="D16" s="48">
        <v>0</v>
      </c>
      <c r="E16" s="54">
        <f>F15+1</f>
        <v>45615</v>
      </c>
      <c r="F16" s="54">
        <f>E16+2*3</f>
        <v>45621</v>
      </c>
      <c r="G16" s="17"/>
      <c r="H16" s="5">
        <f t="shared" si="78"/>
        <v>7</v>
      </c>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c r="CJ16" s="50"/>
      <c r="CK16" s="50"/>
      <c r="CL16" s="50"/>
      <c r="CM16" s="50"/>
      <c r="CN16" s="50"/>
      <c r="CO16" s="50"/>
      <c r="CP16" s="50"/>
      <c r="CQ16" s="50"/>
      <c r="CR16" s="50"/>
      <c r="CS16" s="50"/>
      <c r="CT16" s="50"/>
      <c r="CU16" s="50"/>
      <c r="CV16" s="50"/>
      <c r="CW16" s="50"/>
      <c r="CX16" s="50"/>
      <c r="CY16" s="50"/>
      <c r="CZ16" s="50"/>
      <c r="DA16" s="50"/>
      <c r="DB16" s="50"/>
      <c r="DC16" s="50"/>
      <c r="DD16" s="50"/>
      <c r="DE16" s="50"/>
      <c r="DF16" s="50"/>
      <c r="DG16" s="50"/>
      <c r="DH16" s="50"/>
      <c r="DI16" s="50"/>
      <c r="DJ16" s="50"/>
      <c r="DK16" s="50"/>
      <c r="DL16" s="50"/>
      <c r="DM16" s="50"/>
      <c r="DN16" s="50"/>
      <c r="DO16" s="50"/>
      <c r="DP16" s="50"/>
      <c r="DQ16" s="50"/>
      <c r="DR16" s="50"/>
      <c r="DS16" s="50"/>
      <c r="DT16" s="50"/>
      <c r="DU16" s="50"/>
      <c r="DV16" s="50"/>
      <c r="DW16" s="50"/>
      <c r="DX16" s="50"/>
      <c r="DY16" s="50"/>
      <c r="DZ16" s="50"/>
      <c r="EA16" s="50"/>
      <c r="EB16" s="50"/>
      <c r="EC16" s="50"/>
      <c r="ED16" s="50"/>
      <c r="EE16" s="50"/>
      <c r="EF16" s="50"/>
      <c r="EG16" s="50"/>
      <c r="EH16" s="50"/>
      <c r="EI16" s="50"/>
      <c r="EJ16" s="50"/>
      <c r="EK16" s="50"/>
      <c r="EL16" s="50"/>
      <c r="EM16" s="50"/>
      <c r="EN16" s="50"/>
      <c r="EO16" s="50"/>
      <c r="EP16" s="50"/>
      <c r="EQ16" s="50"/>
      <c r="ER16" s="50"/>
      <c r="ES16" s="50"/>
      <c r="ET16" s="50"/>
      <c r="EU16" s="50"/>
      <c r="EV16" s="50"/>
      <c r="EW16" s="50"/>
      <c r="EX16" s="50"/>
      <c r="EY16" s="50"/>
      <c r="EZ16" s="50"/>
      <c r="FA16" s="50"/>
      <c r="FB16" s="50"/>
      <c r="FC16" s="50"/>
      <c r="FD16" s="50"/>
      <c r="FE16" s="50"/>
      <c r="FF16" s="50"/>
    </row>
    <row r="17" spans="1:162" s="46" customFormat="1" ht="30" customHeight="1" thickBot="1" x14ac:dyDescent="0.3">
      <c r="A17" s="13"/>
      <c r="B17" s="51" t="s">
        <v>147</v>
      </c>
      <c r="C17" s="52" t="s">
        <v>29</v>
      </c>
      <c r="D17" s="48">
        <v>0</v>
      </c>
      <c r="E17" s="54">
        <f>F16+1</f>
        <v>45622</v>
      </c>
      <c r="F17" s="54">
        <f>E17+6</f>
        <v>45628</v>
      </c>
      <c r="G17" s="17"/>
      <c r="H17" s="5">
        <f t="shared" si="78"/>
        <v>7</v>
      </c>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50"/>
      <c r="CJ17" s="50"/>
      <c r="CK17" s="50"/>
      <c r="CL17" s="50"/>
      <c r="CM17" s="50"/>
      <c r="CN17" s="50"/>
      <c r="CO17" s="50"/>
      <c r="CP17" s="50"/>
      <c r="CQ17" s="50"/>
      <c r="CR17" s="50"/>
      <c r="CS17" s="50"/>
      <c r="CT17" s="50"/>
      <c r="CU17" s="50"/>
      <c r="CV17" s="50"/>
      <c r="CW17" s="50"/>
      <c r="CX17" s="50"/>
      <c r="CY17" s="50"/>
      <c r="CZ17" s="50"/>
      <c r="DA17" s="50"/>
      <c r="DB17" s="50"/>
      <c r="DC17" s="50"/>
      <c r="DD17" s="50"/>
      <c r="DE17" s="50"/>
      <c r="DF17" s="50"/>
      <c r="DG17" s="50"/>
      <c r="DH17" s="50"/>
      <c r="DI17" s="50"/>
      <c r="DJ17" s="50"/>
      <c r="DK17" s="50"/>
      <c r="DL17" s="50"/>
      <c r="DM17" s="50"/>
      <c r="DN17" s="50"/>
      <c r="DO17" s="50"/>
      <c r="DP17" s="50"/>
      <c r="DQ17" s="50"/>
      <c r="DR17" s="50"/>
      <c r="DS17" s="50"/>
      <c r="DT17" s="50"/>
      <c r="DU17" s="50"/>
      <c r="DV17" s="50"/>
      <c r="DW17" s="50"/>
      <c r="DX17" s="50"/>
      <c r="DY17" s="50"/>
      <c r="DZ17" s="50"/>
      <c r="EA17" s="50"/>
      <c r="EB17" s="50"/>
      <c r="EC17" s="50"/>
      <c r="ED17" s="50"/>
      <c r="EE17" s="50"/>
      <c r="EF17" s="50"/>
      <c r="EG17" s="50"/>
      <c r="EH17" s="50"/>
      <c r="EI17" s="50"/>
      <c r="EJ17" s="50"/>
      <c r="EK17" s="50"/>
      <c r="EL17" s="50"/>
      <c r="EM17" s="50"/>
      <c r="EN17" s="50"/>
      <c r="EO17" s="50"/>
      <c r="EP17" s="50"/>
      <c r="EQ17" s="50"/>
      <c r="ER17" s="50"/>
      <c r="ES17" s="50"/>
      <c r="ET17" s="50"/>
      <c r="EU17" s="50"/>
      <c r="EV17" s="50"/>
      <c r="EW17" s="50"/>
      <c r="EX17" s="50"/>
      <c r="EY17" s="50"/>
      <c r="EZ17" s="50"/>
      <c r="FA17" s="50"/>
      <c r="FB17" s="50"/>
      <c r="FC17" s="50"/>
      <c r="FD17" s="50"/>
      <c r="FE17" s="50"/>
      <c r="FF17" s="50"/>
    </row>
    <row r="18" spans="1:162" s="46" customFormat="1" ht="30" customHeight="1" thickBot="1" x14ac:dyDescent="0.3">
      <c r="A18" s="13"/>
      <c r="B18" s="51" t="s">
        <v>104</v>
      </c>
      <c r="C18" s="52" t="s">
        <v>29</v>
      </c>
      <c r="D18" s="48">
        <v>0</v>
      </c>
      <c r="E18" s="54">
        <f>E17</f>
        <v>45622</v>
      </c>
      <c r="F18" s="54">
        <f>E18+6</f>
        <v>45628</v>
      </c>
      <c r="G18" s="17"/>
      <c r="H18" s="5"/>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c r="CL18" s="50"/>
      <c r="CM18" s="50"/>
      <c r="CN18" s="50"/>
      <c r="CO18" s="50"/>
      <c r="CP18" s="50"/>
      <c r="CQ18" s="50"/>
      <c r="CR18" s="50"/>
      <c r="CS18" s="50"/>
      <c r="CT18" s="50"/>
      <c r="CU18" s="50"/>
      <c r="CV18" s="50"/>
      <c r="CW18" s="50"/>
      <c r="CX18" s="50"/>
      <c r="CY18" s="50"/>
      <c r="CZ18" s="50"/>
      <c r="DA18" s="50"/>
      <c r="DB18" s="50"/>
      <c r="DC18" s="50"/>
      <c r="DD18" s="50"/>
      <c r="DE18" s="50"/>
      <c r="DF18" s="50"/>
      <c r="DG18" s="50"/>
      <c r="DH18" s="50"/>
      <c r="DI18" s="50"/>
      <c r="DJ18" s="50"/>
      <c r="DK18" s="50"/>
      <c r="DL18" s="50"/>
      <c r="DM18" s="50"/>
      <c r="DN18" s="50"/>
      <c r="DO18" s="50"/>
      <c r="DP18" s="50"/>
      <c r="DQ18" s="50"/>
      <c r="DR18" s="50"/>
      <c r="DS18" s="50"/>
      <c r="DT18" s="50"/>
      <c r="DU18" s="50"/>
      <c r="DV18" s="50"/>
      <c r="DW18" s="50"/>
      <c r="DX18" s="50"/>
      <c r="DY18" s="50"/>
      <c r="DZ18" s="50"/>
      <c r="EA18" s="50"/>
      <c r="EB18" s="50"/>
      <c r="EC18" s="50"/>
      <c r="ED18" s="50"/>
      <c r="EE18" s="50"/>
      <c r="EF18" s="50"/>
      <c r="EG18" s="50"/>
      <c r="EH18" s="50"/>
      <c r="EI18" s="50"/>
      <c r="EJ18" s="50"/>
      <c r="EK18" s="50"/>
      <c r="EL18" s="50"/>
      <c r="EM18" s="50"/>
      <c r="EN18" s="50"/>
      <c r="EO18" s="50"/>
      <c r="EP18" s="50"/>
      <c r="EQ18" s="50"/>
      <c r="ER18" s="50"/>
      <c r="ES18" s="50"/>
      <c r="ET18" s="50"/>
      <c r="EU18" s="50"/>
      <c r="EV18" s="50"/>
      <c r="EW18" s="50"/>
      <c r="EX18" s="50"/>
      <c r="EY18" s="50"/>
      <c r="EZ18" s="50"/>
      <c r="FA18" s="50"/>
      <c r="FB18" s="50"/>
      <c r="FC18" s="50"/>
      <c r="FD18" s="50"/>
      <c r="FE18" s="50"/>
      <c r="FF18" s="50"/>
    </row>
    <row r="19" spans="1:162" s="46" customFormat="1" ht="30" customHeight="1" thickBot="1" x14ac:dyDescent="0.3">
      <c r="A19" s="13"/>
      <c r="B19" s="51" t="s">
        <v>148</v>
      </c>
      <c r="C19" s="52" t="s">
        <v>29</v>
      </c>
      <c r="D19" s="48">
        <v>0</v>
      </c>
      <c r="E19" s="54">
        <f>F18+1</f>
        <v>45629</v>
      </c>
      <c r="F19" s="54">
        <f>E19+2</f>
        <v>45631</v>
      </c>
      <c r="G19" s="17"/>
      <c r="H19" s="5">
        <f t="shared" si="78"/>
        <v>3</v>
      </c>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c r="CJ19" s="50"/>
      <c r="CK19" s="50"/>
      <c r="CL19" s="50"/>
      <c r="CM19" s="50"/>
      <c r="CN19" s="50"/>
      <c r="CO19" s="50"/>
      <c r="CP19" s="50"/>
      <c r="CQ19" s="50"/>
      <c r="CR19" s="50"/>
      <c r="CS19" s="50"/>
      <c r="CT19" s="50"/>
      <c r="CU19" s="50"/>
      <c r="CV19" s="50"/>
      <c r="CW19" s="50"/>
      <c r="CX19" s="50"/>
      <c r="CY19" s="50"/>
      <c r="CZ19" s="50"/>
      <c r="DA19" s="50"/>
      <c r="DB19" s="50"/>
      <c r="DC19" s="50"/>
      <c r="DD19" s="50"/>
      <c r="DE19" s="50"/>
      <c r="DF19" s="50"/>
      <c r="DG19" s="50"/>
      <c r="DH19" s="50"/>
      <c r="DI19" s="50"/>
      <c r="DJ19" s="50"/>
      <c r="DK19" s="50"/>
      <c r="DL19" s="50"/>
      <c r="DM19" s="50"/>
      <c r="DN19" s="50"/>
      <c r="DO19" s="50"/>
      <c r="DP19" s="50"/>
      <c r="DQ19" s="50"/>
      <c r="DR19" s="50"/>
      <c r="DS19" s="50"/>
      <c r="DT19" s="50"/>
      <c r="DU19" s="50"/>
      <c r="DV19" s="50"/>
      <c r="DW19" s="50"/>
      <c r="DX19" s="50"/>
      <c r="DY19" s="50"/>
      <c r="DZ19" s="50"/>
      <c r="EA19" s="50"/>
      <c r="EB19" s="50"/>
      <c r="EC19" s="50"/>
      <c r="ED19" s="50"/>
      <c r="EE19" s="50"/>
      <c r="EF19" s="50"/>
      <c r="EG19" s="50"/>
      <c r="EH19" s="50"/>
      <c r="EI19" s="50"/>
      <c r="EJ19" s="50"/>
      <c r="EK19" s="50"/>
      <c r="EL19" s="50"/>
      <c r="EM19" s="50"/>
      <c r="EN19" s="50"/>
      <c r="EO19" s="50"/>
      <c r="EP19" s="50"/>
      <c r="EQ19" s="50"/>
      <c r="ER19" s="50"/>
      <c r="ES19" s="50"/>
      <c r="ET19" s="50"/>
      <c r="EU19" s="50"/>
      <c r="EV19" s="50"/>
      <c r="EW19" s="50"/>
      <c r="EX19" s="50"/>
      <c r="EY19" s="50"/>
      <c r="EZ19" s="50"/>
      <c r="FA19" s="50"/>
      <c r="FB19" s="50"/>
      <c r="FC19" s="50"/>
      <c r="FD19" s="50"/>
      <c r="FE19" s="50"/>
      <c r="FF19" s="50"/>
    </row>
    <row r="20" spans="1:162" s="46" customFormat="1" ht="30" customHeight="1" thickBot="1" x14ac:dyDescent="0.3">
      <c r="A20" s="13"/>
      <c r="B20" s="51" t="s">
        <v>149</v>
      </c>
      <c r="C20" s="52" t="s">
        <v>110</v>
      </c>
      <c r="D20" s="48">
        <v>0</v>
      </c>
      <c r="E20" s="54">
        <f>E19</f>
        <v>45629</v>
      </c>
      <c r="F20" s="54">
        <f>E20+2*3</f>
        <v>45635</v>
      </c>
      <c r="G20" s="17"/>
      <c r="H20" s="5">
        <f t="shared" si="78"/>
        <v>7</v>
      </c>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row>
    <row r="21" spans="1:162" s="46" customFormat="1" ht="30" customHeight="1" thickBot="1" x14ac:dyDescent="0.3">
      <c r="A21" s="13"/>
      <c r="B21" s="51" t="s">
        <v>150</v>
      </c>
      <c r="C21" s="52" t="s">
        <v>111</v>
      </c>
      <c r="D21" s="48">
        <v>0</v>
      </c>
      <c r="E21" s="54">
        <f>E20</f>
        <v>45629</v>
      </c>
      <c r="F21" s="54">
        <f>E21+1</f>
        <v>45630</v>
      </c>
      <c r="G21" s="17"/>
      <c r="H21" s="5">
        <f t="shared" si="78"/>
        <v>2</v>
      </c>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c r="CJ21" s="50"/>
      <c r="CK21" s="50"/>
      <c r="CL21" s="50"/>
      <c r="CM21" s="50"/>
      <c r="CN21" s="50"/>
      <c r="CO21" s="50"/>
      <c r="CP21" s="50"/>
      <c r="CQ21" s="50"/>
      <c r="CR21" s="50"/>
      <c r="CS21" s="50"/>
      <c r="CT21" s="50"/>
      <c r="CU21" s="50"/>
      <c r="CV21" s="50"/>
      <c r="CW21" s="50"/>
      <c r="CX21" s="50"/>
      <c r="CY21" s="50"/>
      <c r="CZ21" s="50"/>
      <c r="DA21" s="50"/>
      <c r="DB21" s="50"/>
      <c r="DC21" s="50"/>
      <c r="DD21" s="50"/>
      <c r="DE21" s="50"/>
      <c r="DF21" s="50"/>
      <c r="DG21" s="50"/>
      <c r="DH21" s="50"/>
      <c r="DI21" s="50"/>
      <c r="DJ21" s="50"/>
      <c r="DK21" s="50"/>
      <c r="DL21" s="50"/>
      <c r="DM21" s="50"/>
      <c r="DN21" s="50"/>
      <c r="DO21" s="50"/>
      <c r="DP21" s="50"/>
      <c r="DQ21" s="50"/>
      <c r="DR21" s="50"/>
      <c r="DS21" s="50"/>
      <c r="DT21" s="50"/>
      <c r="DU21" s="50"/>
      <c r="DV21" s="50"/>
      <c r="DW21" s="50"/>
      <c r="DX21" s="50"/>
      <c r="DY21" s="50"/>
      <c r="DZ21" s="50"/>
      <c r="EA21" s="50"/>
      <c r="EB21" s="50"/>
      <c r="EC21" s="50"/>
      <c r="ED21" s="50"/>
      <c r="EE21" s="50"/>
      <c r="EF21" s="50"/>
      <c r="EG21" s="50"/>
      <c r="EH21" s="50"/>
      <c r="EI21" s="50"/>
      <c r="EJ21" s="50"/>
      <c r="EK21" s="50"/>
      <c r="EL21" s="50"/>
      <c r="EM21" s="50"/>
      <c r="EN21" s="50"/>
      <c r="EO21" s="50"/>
      <c r="EP21" s="50"/>
      <c r="EQ21" s="50"/>
      <c r="ER21" s="50"/>
      <c r="ES21" s="50"/>
      <c r="ET21" s="50"/>
      <c r="EU21" s="50"/>
      <c r="EV21" s="50"/>
      <c r="EW21" s="50"/>
      <c r="EX21" s="50"/>
      <c r="EY21" s="50"/>
      <c r="EZ21" s="50"/>
      <c r="FA21" s="50"/>
      <c r="FB21" s="50"/>
      <c r="FC21" s="50"/>
      <c r="FD21" s="50"/>
      <c r="FE21" s="50"/>
      <c r="FF21" s="50"/>
    </row>
    <row r="22" spans="1:162" s="46" customFormat="1" ht="30" customHeight="1" thickBot="1" x14ac:dyDescent="0.3">
      <c r="A22" s="13"/>
      <c r="B22" s="51" t="s">
        <v>105</v>
      </c>
      <c r="C22" s="52" t="s">
        <v>127</v>
      </c>
      <c r="D22" s="48">
        <v>0</v>
      </c>
      <c r="E22" s="54">
        <f>F20+1</f>
        <v>45636</v>
      </c>
      <c r="F22" s="54">
        <f>E22+2</f>
        <v>45638</v>
      </c>
      <c r="G22" s="17"/>
      <c r="H22" s="5"/>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0"/>
      <c r="DL22" s="50"/>
      <c r="DM22" s="50"/>
      <c r="DN22" s="50"/>
      <c r="DO22" s="50"/>
      <c r="DP22" s="50"/>
      <c r="DQ22" s="50"/>
      <c r="DR22" s="50"/>
      <c r="DS22" s="50"/>
      <c r="DT22" s="50"/>
      <c r="DU22" s="50"/>
      <c r="DV22" s="50"/>
      <c r="DW22" s="50"/>
      <c r="DX22" s="50"/>
      <c r="DY22" s="50"/>
      <c r="DZ22" s="50"/>
      <c r="EA22" s="50"/>
      <c r="EB22" s="50"/>
      <c r="EC22" s="50"/>
      <c r="ED22" s="50"/>
      <c r="EE22" s="50"/>
      <c r="EF22" s="50"/>
      <c r="EG22" s="50"/>
      <c r="EH22" s="50"/>
      <c r="EI22" s="50"/>
      <c r="EJ22" s="50"/>
      <c r="EK22" s="50"/>
      <c r="EL22" s="50"/>
      <c r="EM22" s="50"/>
      <c r="EN22" s="50"/>
      <c r="EO22" s="50"/>
      <c r="EP22" s="50"/>
      <c r="EQ22" s="50"/>
      <c r="ER22" s="50"/>
      <c r="ES22" s="50"/>
      <c r="ET22" s="50"/>
      <c r="EU22" s="50"/>
      <c r="EV22" s="50"/>
      <c r="EW22" s="50"/>
      <c r="EX22" s="50"/>
      <c r="EY22" s="50"/>
      <c r="EZ22" s="50"/>
      <c r="FA22" s="50"/>
      <c r="FB22" s="50"/>
      <c r="FC22" s="50"/>
      <c r="FD22" s="50"/>
      <c r="FE22" s="50"/>
      <c r="FF22" s="50"/>
    </row>
    <row r="23" spans="1:162" s="46" customFormat="1" ht="30" customHeight="1" thickBot="1" x14ac:dyDescent="0.3">
      <c r="A23" s="13"/>
      <c r="B23" s="51" t="s">
        <v>35</v>
      </c>
      <c r="C23" s="52" t="s">
        <v>29</v>
      </c>
      <c r="D23" s="48">
        <v>0</v>
      </c>
      <c r="E23" s="54">
        <f>F22+1</f>
        <v>45639</v>
      </c>
      <c r="F23" s="54">
        <f>E23+6</f>
        <v>45645</v>
      </c>
      <c r="G23" s="17"/>
      <c r="H23" s="5">
        <f t="shared" si="78"/>
        <v>7</v>
      </c>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c r="CL23" s="50"/>
      <c r="CM23" s="50"/>
      <c r="CN23" s="50"/>
      <c r="CO23" s="50"/>
      <c r="CP23" s="50"/>
      <c r="CQ23" s="50"/>
      <c r="CR23" s="50"/>
      <c r="CS23" s="50"/>
      <c r="CT23" s="50"/>
      <c r="CU23" s="50"/>
      <c r="CV23" s="50"/>
      <c r="CW23" s="50"/>
      <c r="CX23" s="50"/>
      <c r="CY23" s="50"/>
      <c r="CZ23" s="50"/>
      <c r="DA23" s="50"/>
      <c r="DB23" s="50"/>
      <c r="DC23" s="50"/>
      <c r="DD23" s="50"/>
      <c r="DE23" s="50"/>
      <c r="DF23" s="50"/>
      <c r="DG23" s="50"/>
      <c r="DH23" s="50"/>
      <c r="DI23" s="50"/>
      <c r="DJ23" s="50"/>
      <c r="DK23" s="50"/>
      <c r="DL23" s="50"/>
      <c r="DM23" s="50"/>
      <c r="DN23" s="50"/>
      <c r="DO23" s="50"/>
      <c r="DP23" s="50"/>
      <c r="DQ23" s="50"/>
      <c r="DR23" s="50"/>
      <c r="DS23" s="50"/>
      <c r="DT23" s="50"/>
      <c r="DU23" s="50"/>
      <c r="DV23" s="50"/>
      <c r="DW23" s="50"/>
      <c r="DX23" s="50"/>
      <c r="DY23" s="50"/>
      <c r="DZ23" s="50"/>
      <c r="EA23" s="50"/>
      <c r="EB23" s="50"/>
      <c r="EC23" s="50"/>
      <c r="ED23" s="50"/>
      <c r="EE23" s="50"/>
      <c r="EF23" s="50"/>
      <c r="EG23" s="50"/>
      <c r="EH23" s="50"/>
      <c r="EI23" s="50"/>
      <c r="EJ23" s="50"/>
      <c r="EK23" s="50"/>
      <c r="EL23" s="50"/>
      <c r="EM23" s="50"/>
      <c r="EN23" s="50"/>
      <c r="EO23" s="50"/>
      <c r="EP23" s="50"/>
      <c r="EQ23" s="50"/>
      <c r="ER23" s="50"/>
      <c r="ES23" s="50"/>
      <c r="ET23" s="50"/>
      <c r="EU23" s="50"/>
      <c r="EV23" s="50"/>
      <c r="EW23" s="50"/>
      <c r="EX23" s="50"/>
      <c r="EY23" s="50"/>
      <c r="EZ23" s="50"/>
      <c r="FA23" s="50"/>
      <c r="FB23" s="50"/>
      <c r="FC23" s="50"/>
      <c r="FD23" s="50"/>
      <c r="FE23" s="50"/>
      <c r="FF23" s="50"/>
    </row>
    <row r="24" spans="1:162" s="46" customFormat="1" ht="30" customHeight="1" thickBot="1" x14ac:dyDescent="0.3">
      <c r="A24" s="14"/>
      <c r="B24" s="51" t="s">
        <v>31</v>
      </c>
      <c r="C24" s="52" t="s">
        <v>29</v>
      </c>
      <c r="D24" s="53">
        <f>AVERAGE(D8:D23)</f>
        <v>0</v>
      </c>
      <c r="E24" s="54">
        <f>Project_Start</f>
        <v>45579</v>
      </c>
      <c r="F24" s="54">
        <f>F23</f>
        <v>45645</v>
      </c>
      <c r="G24" s="17"/>
      <c r="H24" s="5">
        <f t="shared" si="78"/>
        <v>67</v>
      </c>
    </row>
    <row r="25" spans="1:162" s="46" customFormat="1" ht="30" customHeight="1" thickBot="1" x14ac:dyDescent="0.3">
      <c r="A25" s="14"/>
      <c r="B25" s="56" t="s">
        <v>144</v>
      </c>
      <c r="C25" s="57"/>
      <c r="D25" s="58"/>
      <c r="E25" s="59"/>
      <c r="F25" s="60"/>
      <c r="G25" s="17"/>
      <c r="H25" s="5" t="str">
        <f t="shared" ref="H25:H36" si="80">IF(OR(ISBLANK(task_start),ISBLANK(task_end)),"",task_end-task_start+1)</f>
        <v/>
      </c>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50"/>
      <c r="CJ25" s="50"/>
      <c r="CK25" s="50"/>
      <c r="CL25" s="50"/>
      <c r="CM25" s="50"/>
      <c r="CN25" s="50"/>
      <c r="CO25" s="50"/>
      <c r="CP25" s="50"/>
      <c r="CQ25" s="50"/>
      <c r="CR25" s="50"/>
      <c r="CS25" s="50"/>
      <c r="CT25" s="50"/>
      <c r="CU25" s="50"/>
      <c r="CV25" s="50"/>
      <c r="CW25" s="50"/>
      <c r="CX25" s="50"/>
      <c r="CY25" s="50"/>
      <c r="CZ25" s="50"/>
      <c r="DA25" s="50"/>
      <c r="DB25" s="50"/>
      <c r="DC25" s="50"/>
      <c r="DD25" s="50"/>
      <c r="DE25" s="50"/>
      <c r="DF25" s="50"/>
      <c r="DG25" s="50"/>
      <c r="DH25" s="50"/>
      <c r="DI25" s="50"/>
      <c r="DJ25" s="50"/>
      <c r="DK25" s="50"/>
      <c r="DL25" s="50"/>
      <c r="DM25" s="50"/>
      <c r="DN25" s="50"/>
      <c r="DO25" s="50"/>
      <c r="DP25" s="50"/>
      <c r="DQ25" s="50"/>
      <c r="DR25" s="50"/>
      <c r="DS25" s="50"/>
      <c r="DT25" s="50"/>
      <c r="DU25" s="50"/>
      <c r="DV25" s="50"/>
      <c r="DW25" s="50"/>
      <c r="DX25" s="50"/>
      <c r="DY25" s="50"/>
      <c r="DZ25" s="50"/>
      <c r="EA25" s="50"/>
      <c r="EB25" s="50"/>
      <c r="EC25" s="50"/>
      <c r="ED25" s="50"/>
      <c r="EE25" s="50"/>
      <c r="EF25" s="50"/>
      <c r="EG25" s="50"/>
      <c r="EH25" s="50"/>
      <c r="EI25" s="50"/>
      <c r="EJ25" s="50"/>
      <c r="EK25" s="50"/>
      <c r="EL25" s="50"/>
      <c r="EM25" s="50"/>
      <c r="EN25" s="50"/>
      <c r="EO25" s="50"/>
      <c r="EP25" s="50"/>
      <c r="EQ25" s="50"/>
      <c r="ER25" s="50"/>
      <c r="ES25" s="50"/>
      <c r="ET25" s="50"/>
      <c r="EU25" s="50"/>
      <c r="EV25" s="50"/>
      <c r="EW25" s="50"/>
      <c r="EX25" s="50"/>
      <c r="EY25" s="50"/>
      <c r="EZ25" s="50"/>
      <c r="FA25" s="50"/>
      <c r="FB25" s="50"/>
      <c r="FC25" s="50"/>
      <c r="FD25" s="50"/>
      <c r="FE25" s="50"/>
      <c r="FF25" s="50"/>
    </row>
    <row r="26" spans="1:162" s="46" customFormat="1" ht="30" customHeight="1" thickBot="1" x14ac:dyDescent="0.3">
      <c r="A26" s="13"/>
      <c r="B26" s="61" t="s">
        <v>152</v>
      </c>
      <c r="C26" s="62" t="s">
        <v>112</v>
      </c>
      <c r="D26" s="63">
        <v>0</v>
      </c>
      <c r="E26" s="64">
        <f>F24+1</f>
        <v>45646</v>
      </c>
      <c r="F26" s="64">
        <f>E26+5</f>
        <v>45651</v>
      </c>
      <c r="G26" s="17"/>
      <c r="H26" s="5">
        <f t="shared" si="80"/>
        <v>6</v>
      </c>
      <c r="I26" s="50"/>
      <c r="J26" s="50"/>
      <c r="K26" s="50"/>
      <c r="L26" s="50"/>
      <c r="M26" s="50"/>
      <c r="N26" s="50"/>
      <c r="O26" s="50"/>
      <c r="P26" s="50"/>
      <c r="Q26" s="50"/>
      <c r="R26" s="50"/>
      <c r="S26" s="50"/>
      <c r="T26" s="50"/>
      <c r="U26" s="55"/>
      <c r="V26" s="55"/>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c r="CJ26" s="50"/>
      <c r="CK26" s="50"/>
      <c r="CL26" s="50"/>
      <c r="CM26" s="50"/>
      <c r="CN26" s="50"/>
      <c r="CO26" s="50"/>
      <c r="CP26" s="50"/>
      <c r="CQ26" s="50"/>
      <c r="CR26" s="50"/>
      <c r="CS26" s="50"/>
      <c r="CT26" s="50"/>
      <c r="CU26" s="50"/>
      <c r="CV26" s="50"/>
      <c r="CW26" s="50"/>
      <c r="CX26" s="50"/>
      <c r="CY26" s="50"/>
      <c r="CZ26" s="50"/>
      <c r="DA26" s="50"/>
      <c r="DB26" s="50"/>
      <c r="DC26" s="50"/>
      <c r="DD26" s="50"/>
      <c r="DE26" s="50"/>
      <c r="DF26" s="50"/>
      <c r="DG26" s="50"/>
      <c r="DH26" s="50"/>
      <c r="DI26" s="50"/>
      <c r="DJ26" s="50"/>
      <c r="DK26" s="50"/>
      <c r="DL26" s="50"/>
      <c r="DM26" s="50"/>
      <c r="DN26" s="50"/>
      <c r="DO26" s="50"/>
      <c r="DP26" s="50"/>
      <c r="DQ26" s="50"/>
      <c r="DR26" s="50"/>
      <c r="DS26" s="50"/>
      <c r="DT26" s="50"/>
      <c r="DU26" s="50"/>
      <c r="DV26" s="50"/>
      <c r="DW26" s="50"/>
      <c r="DX26" s="50"/>
      <c r="DY26" s="50"/>
      <c r="DZ26" s="50"/>
      <c r="EA26" s="50"/>
      <c r="EB26" s="50"/>
      <c r="EC26" s="50"/>
      <c r="ED26" s="50"/>
      <c r="EE26" s="50"/>
      <c r="EF26" s="50"/>
      <c r="EG26" s="50"/>
      <c r="EH26" s="50"/>
      <c r="EI26" s="50"/>
      <c r="EJ26" s="50"/>
      <c r="EK26" s="50"/>
      <c r="EL26" s="50"/>
      <c r="EM26" s="50"/>
      <c r="EN26" s="50"/>
      <c r="EO26" s="50"/>
      <c r="EP26" s="50"/>
      <c r="EQ26" s="50"/>
      <c r="ER26" s="50"/>
      <c r="ES26" s="50"/>
      <c r="ET26" s="50"/>
      <c r="EU26" s="50"/>
      <c r="EV26" s="50"/>
      <c r="EW26" s="50"/>
      <c r="EX26" s="50"/>
      <c r="EY26" s="50"/>
      <c r="EZ26" s="50"/>
      <c r="FA26" s="50"/>
      <c r="FB26" s="50"/>
      <c r="FC26" s="50"/>
      <c r="FD26" s="50"/>
      <c r="FE26" s="50"/>
      <c r="FF26" s="50"/>
    </row>
    <row r="27" spans="1:162" s="46" customFormat="1" ht="30" customHeight="1" thickBot="1" x14ac:dyDescent="0.3">
      <c r="A27" s="13"/>
      <c r="B27" s="61" t="s">
        <v>126</v>
      </c>
      <c r="C27" s="62" t="s">
        <v>29</v>
      </c>
      <c r="D27" s="63">
        <v>0</v>
      </c>
      <c r="E27" s="64">
        <f>E26</f>
        <v>45646</v>
      </c>
      <c r="F27" s="64">
        <f>E27+3*3+2</f>
        <v>45657</v>
      </c>
      <c r="G27" s="17"/>
      <c r="H27" s="5">
        <f t="shared" si="80"/>
        <v>12</v>
      </c>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50"/>
      <c r="CJ27" s="50"/>
      <c r="CK27" s="50"/>
      <c r="CL27" s="50"/>
      <c r="CM27" s="50"/>
      <c r="CN27" s="50"/>
      <c r="CO27" s="50"/>
      <c r="CP27" s="50"/>
      <c r="CQ27" s="50"/>
      <c r="CR27" s="50"/>
      <c r="CS27" s="50"/>
      <c r="CT27" s="50"/>
      <c r="CU27" s="50"/>
      <c r="CV27" s="50"/>
      <c r="CW27" s="50"/>
      <c r="CX27" s="50"/>
      <c r="CY27" s="50"/>
      <c r="CZ27" s="50"/>
      <c r="DA27" s="50"/>
      <c r="DB27" s="50"/>
      <c r="DC27" s="50"/>
      <c r="DD27" s="50"/>
      <c r="DE27" s="50"/>
      <c r="DF27" s="50"/>
      <c r="DG27" s="50"/>
      <c r="DH27" s="50"/>
      <c r="DI27" s="50"/>
      <c r="DJ27" s="50"/>
      <c r="DK27" s="50"/>
      <c r="DL27" s="50"/>
      <c r="DM27" s="50"/>
      <c r="DN27" s="50"/>
      <c r="DO27" s="50"/>
      <c r="DP27" s="50"/>
      <c r="DQ27" s="50"/>
      <c r="DR27" s="50"/>
      <c r="DS27" s="50"/>
      <c r="DT27" s="50"/>
      <c r="DU27" s="50"/>
      <c r="DV27" s="50"/>
      <c r="DW27" s="50"/>
      <c r="DX27" s="50"/>
      <c r="DY27" s="50"/>
      <c r="DZ27" s="50"/>
      <c r="EA27" s="50"/>
      <c r="EB27" s="50"/>
      <c r="EC27" s="50"/>
      <c r="ED27" s="50"/>
      <c r="EE27" s="50"/>
      <c r="EF27" s="50"/>
      <c r="EG27" s="50"/>
      <c r="EH27" s="50"/>
      <c r="EI27" s="50"/>
      <c r="EJ27" s="50"/>
      <c r="EK27" s="50"/>
      <c r="EL27" s="50"/>
      <c r="EM27" s="50"/>
      <c r="EN27" s="50"/>
      <c r="EO27" s="50"/>
      <c r="EP27" s="50"/>
      <c r="EQ27" s="50"/>
      <c r="ER27" s="50"/>
      <c r="ES27" s="50"/>
      <c r="ET27" s="50"/>
      <c r="EU27" s="50"/>
      <c r="EV27" s="50"/>
      <c r="EW27" s="50"/>
      <c r="EX27" s="50"/>
      <c r="EY27" s="50"/>
      <c r="EZ27" s="50"/>
      <c r="FA27" s="50"/>
      <c r="FB27" s="50"/>
      <c r="FC27" s="50"/>
      <c r="FD27" s="50"/>
      <c r="FE27" s="50"/>
      <c r="FF27" s="50"/>
    </row>
    <row r="28" spans="1:162" s="46" customFormat="1" ht="30" customHeight="1" thickBot="1" x14ac:dyDescent="0.3">
      <c r="A28" s="13"/>
      <c r="B28" s="61" t="s">
        <v>125</v>
      </c>
      <c r="C28" s="62" t="s">
        <v>29</v>
      </c>
      <c r="D28" s="63">
        <v>0</v>
      </c>
      <c r="E28" s="64">
        <f>E27</f>
        <v>45646</v>
      </c>
      <c r="F28" s="64">
        <f>E26+3*3+2</f>
        <v>45657</v>
      </c>
      <c r="G28" s="17"/>
      <c r="H28" s="5"/>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50"/>
      <c r="DL28" s="50"/>
      <c r="DM28" s="50"/>
      <c r="DN28" s="50"/>
      <c r="DO28" s="50"/>
      <c r="DP28" s="50"/>
      <c r="DQ28" s="50"/>
      <c r="DR28" s="50"/>
      <c r="DS28" s="50"/>
      <c r="DT28" s="50"/>
      <c r="DU28" s="50"/>
      <c r="DV28" s="50"/>
      <c r="DW28" s="50"/>
      <c r="DX28" s="50"/>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0"/>
      <c r="EW28" s="50"/>
      <c r="EX28" s="50"/>
      <c r="EY28" s="50"/>
      <c r="EZ28" s="50"/>
      <c r="FA28" s="50"/>
      <c r="FB28" s="50"/>
      <c r="FC28" s="50"/>
      <c r="FD28" s="50"/>
      <c r="FE28" s="50"/>
      <c r="FF28" s="50"/>
    </row>
    <row r="29" spans="1:162" s="46" customFormat="1" ht="30" customHeight="1" thickBot="1" x14ac:dyDescent="0.3">
      <c r="A29" s="13"/>
      <c r="B29" s="61" t="s">
        <v>151</v>
      </c>
      <c r="C29" s="62" t="s">
        <v>113</v>
      </c>
      <c r="D29" s="63">
        <v>0</v>
      </c>
      <c r="E29" s="64">
        <f>F27+1</f>
        <v>45658</v>
      </c>
      <c r="F29" s="64">
        <f>E29+7</f>
        <v>45665</v>
      </c>
      <c r="G29" s="17"/>
      <c r="H29" s="5">
        <f t="shared" si="80"/>
        <v>8</v>
      </c>
      <c r="I29" s="50"/>
      <c r="J29" s="50"/>
      <c r="K29" s="50"/>
      <c r="L29" s="50"/>
      <c r="M29" s="50"/>
      <c r="N29" s="50"/>
      <c r="O29" s="50"/>
      <c r="P29" s="50"/>
      <c r="Q29" s="50"/>
      <c r="R29" s="50"/>
      <c r="S29" s="50"/>
      <c r="T29" s="50"/>
      <c r="U29" s="50"/>
      <c r="V29" s="50"/>
      <c r="W29" s="50"/>
      <c r="X29" s="50"/>
      <c r="Y29" s="55"/>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50"/>
      <c r="DL29" s="50"/>
      <c r="DM29" s="50"/>
      <c r="DN29" s="50"/>
      <c r="DO29" s="50"/>
      <c r="DP29" s="50"/>
      <c r="DQ29" s="50"/>
      <c r="DR29" s="50"/>
      <c r="DS29" s="50"/>
      <c r="DT29" s="50"/>
      <c r="DU29" s="50"/>
      <c r="DV29" s="50"/>
      <c r="DW29" s="50"/>
      <c r="DX29" s="50"/>
      <c r="DY29" s="50"/>
      <c r="DZ29" s="50"/>
      <c r="EA29" s="50"/>
      <c r="EB29" s="50"/>
      <c r="EC29" s="50"/>
      <c r="ED29" s="50"/>
      <c r="EE29" s="50"/>
      <c r="EF29" s="50"/>
      <c r="EG29" s="50"/>
      <c r="EH29" s="50"/>
      <c r="EI29" s="50"/>
      <c r="EJ29" s="50"/>
      <c r="EK29" s="50"/>
      <c r="EL29" s="50"/>
      <c r="EM29" s="50"/>
      <c r="EN29" s="50"/>
      <c r="EO29" s="50"/>
      <c r="EP29" s="50"/>
      <c r="EQ29" s="50"/>
      <c r="ER29" s="50"/>
      <c r="ES29" s="50"/>
      <c r="ET29" s="50"/>
      <c r="EU29" s="50"/>
      <c r="EV29" s="50"/>
      <c r="EW29" s="50"/>
      <c r="EX29" s="50"/>
      <c r="EY29" s="50"/>
      <c r="EZ29" s="50"/>
      <c r="FA29" s="50"/>
      <c r="FB29" s="50"/>
      <c r="FC29" s="50"/>
      <c r="FD29" s="50"/>
      <c r="FE29" s="50"/>
      <c r="FF29" s="50"/>
    </row>
    <row r="30" spans="1:162" s="46" customFormat="1" ht="30" customHeight="1" thickBot="1" x14ac:dyDescent="0.3">
      <c r="A30" s="13"/>
      <c r="B30" s="61" t="s">
        <v>137</v>
      </c>
      <c r="C30" s="62" t="s">
        <v>114</v>
      </c>
      <c r="D30" s="63">
        <v>0</v>
      </c>
      <c r="E30" s="64">
        <f>E29</f>
        <v>45658</v>
      </c>
      <c r="F30" s="64">
        <f>E30+7</f>
        <v>45665</v>
      </c>
      <c r="G30" s="17"/>
      <c r="H30" s="5"/>
      <c r="I30" s="50"/>
      <c r="J30" s="50"/>
      <c r="K30" s="50"/>
      <c r="L30" s="50"/>
      <c r="M30" s="50"/>
      <c r="N30" s="50"/>
      <c r="O30" s="50"/>
      <c r="P30" s="50"/>
      <c r="Q30" s="50"/>
      <c r="R30" s="50"/>
      <c r="S30" s="50"/>
      <c r="T30" s="50"/>
      <c r="U30" s="50"/>
      <c r="V30" s="50"/>
      <c r="W30" s="50"/>
      <c r="X30" s="50"/>
      <c r="Y30" s="55"/>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c r="CJ30" s="50"/>
      <c r="CK30" s="50"/>
      <c r="CL30" s="50"/>
      <c r="CM30" s="50"/>
      <c r="CN30" s="50"/>
      <c r="CO30" s="50"/>
      <c r="CP30" s="50"/>
      <c r="CQ30" s="50"/>
      <c r="CR30" s="50"/>
      <c r="CS30" s="50"/>
      <c r="CT30" s="50"/>
      <c r="CU30" s="50"/>
      <c r="CV30" s="50"/>
      <c r="CW30" s="50"/>
      <c r="CX30" s="50"/>
      <c r="CY30" s="50"/>
      <c r="CZ30" s="50"/>
      <c r="DA30" s="50"/>
      <c r="DB30" s="50"/>
      <c r="DC30" s="50"/>
      <c r="DD30" s="50"/>
      <c r="DE30" s="50"/>
      <c r="DF30" s="50"/>
      <c r="DG30" s="50"/>
      <c r="DH30" s="50"/>
      <c r="DI30" s="50"/>
      <c r="DJ30" s="50"/>
      <c r="DK30" s="50"/>
      <c r="DL30" s="50"/>
      <c r="DM30" s="50"/>
      <c r="DN30" s="50"/>
      <c r="DO30" s="50"/>
      <c r="DP30" s="50"/>
      <c r="DQ30" s="50"/>
      <c r="DR30" s="50"/>
      <c r="DS30" s="50"/>
      <c r="DT30" s="50"/>
      <c r="DU30" s="50"/>
      <c r="DV30" s="50"/>
      <c r="DW30" s="50"/>
      <c r="DX30" s="50"/>
      <c r="DY30" s="50"/>
      <c r="DZ30" s="50"/>
      <c r="EA30" s="50"/>
      <c r="EB30" s="50"/>
      <c r="EC30" s="50"/>
      <c r="ED30" s="50"/>
      <c r="EE30" s="50"/>
      <c r="EF30" s="50"/>
      <c r="EG30" s="50"/>
      <c r="EH30" s="50"/>
      <c r="EI30" s="50"/>
      <c r="EJ30" s="50"/>
      <c r="EK30" s="50"/>
      <c r="EL30" s="50"/>
      <c r="EM30" s="50"/>
      <c r="EN30" s="50"/>
      <c r="EO30" s="50"/>
      <c r="EP30" s="50"/>
      <c r="EQ30" s="50"/>
      <c r="ER30" s="50"/>
      <c r="ES30" s="50"/>
      <c r="ET30" s="50"/>
      <c r="EU30" s="50"/>
      <c r="EV30" s="50"/>
      <c r="EW30" s="50"/>
      <c r="EX30" s="50"/>
      <c r="EY30" s="50"/>
      <c r="EZ30" s="50"/>
      <c r="FA30" s="50"/>
      <c r="FB30" s="50"/>
      <c r="FC30" s="50"/>
      <c r="FD30" s="50"/>
      <c r="FE30" s="50"/>
      <c r="FF30" s="50"/>
    </row>
    <row r="31" spans="1:162" s="46" customFormat="1" ht="30" customHeight="1" thickBot="1" x14ac:dyDescent="0.3">
      <c r="A31" s="13"/>
      <c r="B31" s="61" t="s">
        <v>138</v>
      </c>
      <c r="C31" s="62" t="s">
        <v>115</v>
      </c>
      <c r="D31" s="63">
        <v>0</v>
      </c>
      <c r="E31" s="64">
        <f>E30</f>
        <v>45658</v>
      </c>
      <c r="F31" s="64">
        <f>E31+7</f>
        <v>45665</v>
      </c>
      <c r="G31" s="17"/>
      <c r="H31" s="5"/>
      <c r="I31" s="50"/>
      <c r="J31" s="50"/>
      <c r="K31" s="50"/>
      <c r="L31" s="50"/>
      <c r="M31" s="50"/>
      <c r="N31" s="50"/>
      <c r="O31" s="50"/>
      <c r="P31" s="50"/>
      <c r="Q31" s="50"/>
      <c r="R31" s="50"/>
      <c r="S31" s="50"/>
      <c r="T31" s="50"/>
      <c r="U31" s="50"/>
      <c r="V31" s="50"/>
      <c r="W31" s="50"/>
      <c r="X31" s="50"/>
      <c r="Y31" s="55"/>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c r="CN31" s="50"/>
      <c r="CO31" s="50"/>
      <c r="CP31" s="50"/>
      <c r="CQ31" s="50"/>
      <c r="CR31" s="50"/>
      <c r="CS31" s="50"/>
      <c r="CT31" s="50"/>
      <c r="CU31" s="50"/>
      <c r="CV31" s="50"/>
      <c r="CW31" s="50"/>
      <c r="CX31" s="50"/>
      <c r="CY31" s="50"/>
      <c r="CZ31" s="50"/>
      <c r="DA31" s="50"/>
      <c r="DB31" s="50"/>
      <c r="DC31" s="50"/>
      <c r="DD31" s="50"/>
      <c r="DE31" s="50"/>
      <c r="DF31" s="50"/>
      <c r="DG31" s="50"/>
      <c r="DH31" s="50"/>
      <c r="DI31" s="50"/>
      <c r="DJ31" s="50"/>
      <c r="DK31" s="50"/>
      <c r="DL31" s="50"/>
      <c r="DM31" s="50"/>
      <c r="DN31" s="50"/>
      <c r="DO31" s="50"/>
      <c r="DP31" s="50"/>
      <c r="DQ31" s="50"/>
      <c r="DR31" s="50"/>
      <c r="DS31" s="50"/>
      <c r="DT31" s="50"/>
      <c r="DU31" s="50"/>
      <c r="DV31" s="50"/>
      <c r="DW31" s="50"/>
      <c r="DX31" s="50"/>
      <c r="DY31" s="50"/>
      <c r="DZ31" s="50"/>
      <c r="EA31" s="50"/>
      <c r="EB31" s="50"/>
      <c r="EC31" s="50"/>
      <c r="ED31" s="50"/>
      <c r="EE31" s="50"/>
      <c r="EF31" s="50"/>
      <c r="EG31" s="50"/>
      <c r="EH31" s="50"/>
      <c r="EI31" s="50"/>
      <c r="EJ31" s="50"/>
      <c r="EK31" s="50"/>
      <c r="EL31" s="50"/>
      <c r="EM31" s="50"/>
      <c r="EN31" s="50"/>
      <c r="EO31" s="50"/>
      <c r="EP31" s="50"/>
      <c r="EQ31" s="50"/>
      <c r="ER31" s="50"/>
      <c r="ES31" s="50"/>
      <c r="ET31" s="50"/>
      <c r="EU31" s="50"/>
      <c r="EV31" s="50"/>
      <c r="EW31" s="50"/>
      <c r="EX31" s="50"/>
      <c r="EY31" s="50"/>
      <c r="EZ31" s="50"/>
      <c r="FA31" s="50"/>
      <c r="FB31" s="50"/>
      <c r="FC31" s="50"/>
      <c r="FD31" s="50"/>
      <c r="FE31" s="50"/>
      <c r="FF31" s="50"/>
    </row>
    <row r="32" spans="1:162" s="46" customFormat="1" ht="30" customHeight="1" thickBot="1" x14ac:dyDescent="0.3">
      <c r="A32" s="13"/>
      <c r="B32" s="61" t="s">
        <v>139</v>
      </c>
      <c r="C32" s="62" t="s">
        <v>116</v>
      </c>
      <c r="D32" s="63">
        <v>0</v>
      </c>
      <c r="E32" s="64">
        <f>E29</f>
        <v>45658</v>
      </c>
      <c r="F32" s="64">
        <f>E32+7</f>
        <v>45665</v>
      </c>
      <c r="G32" s="17"/>
      <c r="H32" s="5"/>
      <c r="I32" s="50"/>
      <c r="J32" s="50"/>
      <c r="K32" s="50"/>
      <c r="L32" s="50"/>
      <c r="M32" s="50"/>
      <c r="N32" s="50"/>
      <c r="O32" s="50"/>
      <c r="P32" s="50"/>
      <c r="Q32" s="50"/>
      <c r="R32" s="50"/>
      <c r="S32" s="50"/>
      <c r="T32" s="50"/>
      <c r="U32" s="50"/>
      <c r="V32" s="50"/>
      <c r="W32" s="50"/>
      <c r="X32" s="50"/>
      <c r="Y32" s="55"/>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c r="CJ32" s="50"/>
      <c r="CK32" s="50"/>
      <c r="CL32" s="50"/>
      <c r="CM32" s="50"/>
      <c r="CN32" s="50"/>
      <c r="CO32" s="50"/>
      <c r="CP32" s="50"/>
      <c r="CQ32" s="50"/>
      <c r="CR32" s="50"/>
      <c r="CS32" s="50"/>
      <c r="CT32" s="50"/>
      <c r="CU32" s="50"/>
      <c r="CV32" s="50"/>
      <c r="CW32" s="50"/>
      <c r="CX32" s="50"/>
      <c r="CY32" s="50"/>
      <c r="CZ32" s="50"/>
      <c r="DA32" s="50"/>
      <c r="DB32" s="50"/>
      <c r="DC32" s="50"/>
      <c r="DD32" s="50"/>
      <c r="DE32" s="50"/>
      <c r="DF32" s="50"/>
      <c r="DG32" s="50"/>
      <c r="DH32" s="50"/>
      <c r="DI32" s="50"/>
      <c r="DJ32" s="50"/>
      <c r="DK32" s="50"/>
      <c r="DL32" s="50"/>
      <c r="DM32" s="50"/>
      <c r="DN32" s="50"/>
      <c r="DO32" s="50"/>
      <c r="DP32" s="50"/>
      <c r="DQ32" s="50"/>
      <c r="DR32" s="50"/>
      <c r="DS32" s="50"/>
      <c r="DT32" s="50"/>
      <c r="DU32" s="50"/>
      <c r="DV32" s="50"/>
      <c r="DW32" s="50"/>
      <c r="DX32" s="50"/>
      <c r="DY32" s="50"/>
      <c r="DZ32" s="50"/>
      <c r="EA32" s="50"/>
      <c r="EB32" s="50"/>
      <c r="EC32" s="50"/>
      <c r="ED32" s="50"/>
      <c r="EE32" s="50"/>
      <c r="EF32" s="50"/>
      <c r="EG32" s="50"/>
      <c r="EH32" s="50"/>
      <c r="EI32" s="50"/>
      <c r="EJ32" s="50"/>
      <c r="EK32" s="50"/>
      <c r="EL32" s="50"/>
      <c r="EM32" s="50"/>
      <c r="EN32" s="50"/>
      <c r="EO32" s="50"/>
      <c r="EP32" s="50"/>
      <c r="EQ32" s="50"/>
      <c r="ER32" s="50"/>
      <c r="ES32" s="50"/>
      <c r="ET32" s="50"/>
      <c r="EU32" s="50"/>
      <c r="EV32" s="50"/>
      <c r="EW32" s="50"/>
      <c r="EX32" s="50"/>
      <c r="EY32" s="50"/>
      <c r="EZ32" s="50"/>
      <c r="FA32" s="50"/>
      <c r="FB32" s="50"/>
      <c r="FC32" s="50"/>
      <c r="FD32" s="50"/>
      <c r="FE32" s="50"/>
      <c r="FF32" s="50"/>
    </row>
    <row r="33" spans="1:162" s="46" customFormat="1" ht="30" customHeight="1" thickBot="1" x14ac:dyDescent="0.3">
      <c r="A33" s="13"/>
      <c r="B33" s="56" t="s">
        <v>143</v>
      </c>
      <c r="C33" s="57"/>
      <c r="D33" s="58"/>
      <c r="E33" s="59"/>
      <c r="F33" s="60"/>
      <c r="G33" s="17"/>
      <c r="H33" s="5"/>
      <c r="I33" s="50"/>
      <c r="J33" s="50"/>
      <c r="K33" s="50"/>
      <c r="L33" s="50"/>
      <c r="M33" s="50"/>
      <c r="N33" s="50"/>
      <c r="O33" s="50"/>
      <c r="P33" s="50"/>
      <c r="Q33" s="50"/>
      <c r="R33" s="50"/>
      <c r="S33" s="50"/>
      <c r="T33" s="50"/>
      <c r="U33" s="50"/>
      <c r="V33" s="50"/>
      <c r="W33" s="50"/>
      <c r="X33" s="50"/>
      <c r="Y33" s="55"/>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50"/>
      <c r="DL33" s="50"/>
      <c r="DM33" s="50"/>
      <c r="DN33" s="50"/>
      <c r="DO33" s="50"/>
      <c r="DP33" s="50"/>
      <c r="DQ33" s="50"/>
      <c r="DR33" s="50"/>
      <c r="DS33" s="50"/>
      <c r="DT33" s="50"/>
      <c r="DU33" s="50"/>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0"/>
      <c r="EW33" s="50"/>
      <c r="EX33" s="50"/>
      <c r="EY33" s="50"/>
      <c r="EZ33" s="50"/>
      <c r="FA33" s="50"/>
      <c r="FB33" s="50"/>
      <c r="FC33" s="50"/>
      <c r="FD33" s="50"/>
      <c r="FE33" s="50"/>
      <c r="FF33" s="50"/>
    </row>
    <row r="34" spans="1:162" s="46" customFormat="1" ht="30" customHeight="1" thickBot="1" x14ac:dyDescent="0.3">
      <c r="A34" s="13"/>
      <c r="B34" s="61" t="s">
        <v>156</v>
      </c>
      <c r="C34" s="62" t="s">
        <v>112</v>
      </c>
      <c r="D34" s="63">
        <v>0</v>
      </c>
      <c r="E34" s="64">
        <f>E26</f>
        <v>45646</v>
      </c>
      <c r="F34" s="64">
        <f>E34+1*3</f>
        <v>45649</v>
      </c>
      <c r="G34" s="17"/>
      <c r="H34" s="5"/>
      <c r="I34" s="50"/>
      <c r="J34" s="50"/>
      <c r="K34" s="50"/>
      <c r="L34" s="50"/>
      <c r="M34" s="50"/>
      <c r="N34" s="50"/>
      <c r="O34" s="50"/>
      <c r="P34" s="50"/>
      <c r="Q34" s="50"/>
      <c r="R34" s="50"/>
      <c r="S34" s="50"/>
      <c r="T34" s="50"/>
      <c r="U34" s="50"/>
      <c r="V34" s="50"/>
      <c r="W34" s="50"/>
      <c r="X34" s="50"/>
      <c r="Y34" s="55"/>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50"/>
      <c r="ED34" s="50"/>
      <c r="EE34" s="50"/>
      <c r="EF34" s="50"/>
      <c r="EG34" s="50"/>
      <c r="EH34" s="50"/>
      <c r="EI34" s="50"/>
      <c r="EJ34" s="50"/>
      <c r="EK34" s="50"/>
      <c r="EL34" s="50"/>
      <c r="EM34" s="50"/>
      <c r="EN34" s="50"/>
      <c r="EO34" s="50"/>
      <c r="EP34" s="50"/>
      <c r="EQ34" s="50"/>
      <c r="ER34" s="50"/>
      <c r="ES34" s="50"/>
      <c r="ET34" s="50"/>
      <c r="EU34" s="50"/>
      <c r="EV34" s="50"/>
      <c r="EW34" s="50"/>
      <c r="EX34" s="50"/>
      <c r="EY34" s="50"/>
      <c r="EZ34" s="50"/>
      <c r="FA34" s="50"/>
      <c r="FB34" s="50"/>
      <c r="FC34" s="50"/>
      <c r="FD34" s="50"/>
      <c r="FE34" s="50"/>
      <c r="FF34" s="50"/>
    </row>
    <row r="35" spans="1:162" s="46" customFormat="1" ht="30" customHeight="1" thickBot="1" x14ac:dyDescent="0.3">
      <c r="A35" s="13"/>
      <c r="B35" s="104" t="s">
        <v>37</v>
      </c>
      <c r="C35" s="62" t="s">
        <v>29</v>
      </c>
      <c r="D35" s="63">
        <v>0</v>
      </c>
      <c r="E35" s="105">
        <f>E34</f>
        <v>45646</v>
      </c>
      <c r="F35" s="105">
        <f>E35+1*3+2</f>
        <v>45651</v>
      </c>
      <c r="G35" s="17"/>
      <c r="H35" s="5">
        <f t="shared" si="80"/>
        <v>6</v>
      </c>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c r="DM35" s="50"/>
      <c r="DN35" s="50"/>
      <c r="DO35" s="50"/>
      <c r="DP35" s="50"/>
      <c r="DQ35" s="50"/>
      <c r="DR35" s="50"/>
      <c r="DS35" s="50"/>
      <c r="DT35" s="50"/>
      <c r="DU35" s="50"/>
      <c r="DV35" s="50"/>
      <c r="DW35" s="50"/>
      <c r="DX35" s="50"/>
      <c r="DY35" s="50"/>
      <c r="DZ35" s="50"/>
      <c r="EA35" s="50"/>
      <c r="EB35" s="50"/>
      <c r="EC35" s="50"/>
      <c r="ED35" s="50"/>
      <c r="EE35" s="50"/>
      <c r="EF35" s="50"/>
      <c r="EG35" s="50"/>
      <c r="EH35" s="50"/>
      <c r="EI35" s="50"/>
      <c r="EJ35" s="50"/>
      <c r="EK35" s="50"/>
      <c r="EL35" s="50"/>
      <c r="EM35" s="50"/>
      <c r="EN35" s="50"/>
      <c r="EO35" s="50"/>
      <c r="EP35" s="50"/>
      <c r="EQ35" s="50"/>
      <c r="ER35" s="50"/>
      <c r="ES35" s="50"/>
      <c r="ET35" s="50"/>
      <c r="EU35" s="50"/>
      <c r="EV35" s="50"/>
      <c r="EW35" s="50"/>
      <c r="EX35" s="50"/>
      <c r="EY35" s="50"/>
      <c r="EZ35" s="50"/>
      <c r="FA35" s="50"/>
      <c r="FB35" s="50"/>
      <c r="FC35" s="50"/>
      <c r="FD35" s="50"/>
      <c r="FE35" s="50"/>
      <c r="FF35" s="50"/>
    </row>
    <row r="36" spans="1:162" s="46" customFormat="1" ht="30" customHeight="1" thickBot="1" x14ac:dyDescent="0.3">
      <c r="A36" s="13"/>
      <c r="B36" s="61" t="s">
        <v>117</v>
      </c>
      <c r="C36" s="62" t="s">
        <v>29</v>
      </c>
      <c r="D36" s="63">
        <v>0</v>
      </c>
      <c r="E36" s="105">
        <f>F32+1</f>
        <v>45666</v>
      </c>
      <c r="F36" s="105">
        <f>E36+1</f>
        <v>45667</v>
      </c>
      <c r="G36" s="17"/>
      <c r="H36" s="5">
        <f t="shared" si="80"/>
        <v>2</v>
      </c>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c r="DM36" s="50"/>
      <c r="DN36" s="50"/>
      <c r="DO36" s="50"/>
      <c r="DP36" s="50"/>
      <c r="DQ36" s="50"/>
      <c r="DR36" s="50"/>
      <c r="DS36" s="50"/>
      <c r="DT36" s="50"/>
      <c r="DU36" s="50"/>
      <c r="DV36" s="50"/>
      <c r="DW36" s="50"/>
      <c r="DX36" s="50"/>
      <c r="DY36" s="50"/>
      <c r="DZ36" s="50"/>
      <c r="EA36" s="50"/>
      <c r="EB36" s="50"/>
      <c r="EC36" s="50"/>
      <c r="ED36" s="50"/>
      <c r="EE36" s="50"/>
      <c r="EF36" s="50"/>
      <c r="EG36" s="50"/>
      <c r="EH36" s="50"/>
      <c r="EI36" s="50"/>
      <c r="EJ36" s="50"/>
      <c r="EK36" s="50"/>
      <c r="EL36" s="50"/>
      <c r="EM36" s="50"/>
      <c r="EN36" s="50"/>
      <c r="EO36" s="50"/>
      <c r="EP36" s="50"/>
      <c r="EQ36" s="50"/>
      <c r="ER36" s="50"/>
      <c r="ES36" s="50"/>
      <c r="ET36" s="50"/>
      <c r="EU36" s="50"/>
      <c r="EV36" s="50"/>
      <c r="EW36" s="50"/>
      <c r="EX36" s="50"/>
      <c r="EY36" s="50"/>
      <c r="EZ36" s="50"/>
      <c r="FA36" s="50"/>
      <c r="FB36" s="50"/>
      <c r="FC36" s="50"/>
      <c r="FD36" s="50"/>
      <c r="FE36" s="50"/>
      <c r="FF36" s="50"/>
    </row>
    <row r="37" spans="1:162" s="46" customFormat="1" ht="30" customHeight="1" thickBot="1" x14ac:dyDescent="0.3">
      <c r="A37" s="13"/>
      <c r="B37" s="104" t="s">
        <v>142</v>
      </c>
      <c r="C37" s="106" t="s">
        <v>29</v>
      </c>
      <c r="D37" s="107">
        <f>AVERAGE(D26:D36)</f>
        <v>0</v>
      </c>
      <c r="E37" s="105">
        <f>E26</f>
        <v>45646</v>
      </c>
      <c r="F37" s="105">
        <f>F36</f>
        <v>45667</v>
      </c>
      <c r="G37" s="17"/>
      <c r="H37" s="5">
        <f t="shared" si="78"/>
        <v>22</v>
      </c>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c r="CN37" s="50"/>
      <c r="CO37" s="50"/>
      <c r="CP37" s="50"/>
      <c r="CQ37" s="50"/>
      <c r="CR37" s="50"/>
      <c r="CS37" s="50"/>
      <c r="CT37" s="50"/>
      <c r="CU37" s="50"/>
      <c r="CV37" s="50"/>
      <c r="CW37" s="50"/>
      <c r="CX37" s="50"/>
      <c r="CY37" s="50"/>
      <c r="CZ37" s="50"/>
      <c r="DA37" s="50"/>
      <c r="DB37" s="50"/>
      <c r="DC37" s="50"/>
      <c r="DD37" s="50"/>
      <c r="DE37" s="50"/>
      <c r="DF37" s="50"/>
      <c r="DG37" s="50"/>
      <c r="DH37" s="50"/>
      <c r="DI37" s="50"/>
      <c r="DJ37" s="50"/>
      <c r="DK37" s="50"/>
      <c r="DL37" s="50"/>
      <c r="DM37" s="50"/>
      <c r="DN37" s="50"/>
      <c r="DO37" s="50"/>
      <c r="DP37" s="50"/>
      <c r="DQ37" s="50"/>
      <c r="DR37" s="50"/>
      <c r="DS37" s="50"/>
      <c r="DT37" s="50"/>
      <c r="DU37" s="50"/>
      <c r="DV37" s="50"/>
      <c r="DW37" s="50"/>
      <c r="DX37" s="50"/>
      <c r="DY37" s="50"/>
      <c r="DZ37" s="50"/>
      <c r="EA37" s="50"/>
      <c r="EB37" s="50"/>
      <c r="EC37" s="50"/>
      <c r="ED37" s="50"/>
      <c r="EE37" s="50"/>
      <c r="EF37" s="50"/>
      <c r="EG37" s="50"/>
      <c r="EH37" s="50"/>
      <c r="EI37" s="50"/>
      <c r="EJ37" s="50"/>
      <c r="EK37" s="50"/>
      <c r="EL37" s="50"/>
      <c r="EM37" s="50"/>
      <c r="EN37" s="50"/>
      <c r="EO37" s="50"/>
      <c r="EP37" s="50"/>
      <c r="EQ37" s="50"/>
      <c r="ER37" s="50"/>
      <c r="ES37" s="50"/>
      <c r="ET37" s="50"/>
      <c r="EU37" s="50"/>
      <c r="EV37" s="50"/>
      <c r="EW37" s="50"/>
      <c r="EX37" s="50"/>
      <c r="EY37" s="50"/>
      <c r="EZ37" s="50"/>
      <c r="FA37" s="50"/>
      <c r="FB37" s="50"/>
      <c r="FC37" s="50"/>
      <c r="FD37" s="50"/>
      <c r="FE37" s="50"/>
      <c r="FF37" s="50"/>
    </row>
    <row r="38" spans="1:162" s="46" customFormat="1" ht="30" customHeight="1" thickBot="1" x14ac:dyDescent="0.3">
      <c r="A38" s="13"/>
      <c r="B38" s="65" t="s">
        <v>33</v>
      </c>
      <c r="C38" s="66"/>
      <c r="D38" s="67"/>
      <c r="E38" s="68"/>
      <c r="F38" s="69"/>
      <c r="G38" s="17"/>
      <c r="H38" s="5" t="str">
        <f t="shared" si="78"/>
        <v/>
      </c>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c r="CN38" s="50"/>
      <c r="CO38" s="50"/>
      <c r="CP38" s="50"/>
      <c r="CQ38" s="50"/>
      <c r="CR38" s="50"/>
      <c r="CS38" s="50"/>
      <c r="CT38" s="50"/>
      <c r="CU38" s="50"/>
      <c r="CV38" s="50"/>
      <c r="CW38" s="50"/>
      <c r="CX38" s="50"/>
      <c r="CY38" s="50"/>
      <c r="CZ38" s="50"/>
      <c r="DA38" s="50"/>
      <c r="DB38" s="50"/>
      <c r="DC38" s="50"/>
      <c r="DD38" s="50"/>
      <c r="DE38" s="50"/>
      <c r="DF38" s="50"/>
      <c r="DG38" s="50"/>
      <c r="DH38" s="50"/>
      <c r="DI38" s="50"/>
      <c r="DJ38" s="50"/>
      <c r="DK38" s="50"/>
      <c r="DL38" s="50"/>
      <c r="DM38" s="50"/>
      <c r="DN38" s="50"/>
      <c r="DO38" s="50"/>
      <c r="DP38" s="50"/>
      <c r="DQ38" s="50"/>
      <c r="DR38" s="50"/>
      <c r="DS38" s="50"/>
      <c r="DT38" s="50"/>
      <c r="DU38" s="50"/>
      <c r="DV38" s="50"/>
      <c r="DW38" s="50"/>
      <c r="DX38" s="50"/>
      <c r="DY38" s="50"/>
      <c r="DZ38" s="50"/>
      <c r="EA38" s="50"/>
      <c r="EB38" s="50"/>
      <c r="EC38" s="50"/>
      <c r="ED38" s="50"/>
      <c r="EE38" s="50"/>
      <c r="EF38" s="50"/>
      <c r="EG38" s="50"/>
      <c r="EH38" s="50"/>
      <c r="EI38" s="50"/>
      <c r="EJ38" s="50"/>
      <c r="EK38" s="50"/>
      <c r="EL38" s="50"/>
      <c r="EM38" s="50"/>
      <c r="EN38" s="50"/>
      <c r="EO38" s="50"/>
      <c r="EP38" s="50"/>
      <c r="EQ38" s="50"/>
      <c r="ER38" s="50"/>
      <c r="ES38" s="50"/>
      <c r="ET38" s="50"/>
      <c r="EU38" s="50"/>
      <c r="EV38" s="50"/>
      <c r="EW38" s="50"/>
      <c r="EX38" s="50"/>
      <c r="EY38" s="50"/>
      <c r="EZ38" s="50"/>
      <c r="FA38" s="50"/>
      <c r="FB38" s="50"/>
      <c r="FC38" s="50"/>
      <c r="FD38" s="50"/>
      <c r="FE38" s="50"/>
      <c r="FF38" s="50"/>
    </row>
    <row r="39" spans="1:162" s="46" customFormat="1" ht="30" customHeight="1" thickBot="1" x14ac:dyDescent="0.3">
      <c r="A39" s="13"/>
      <c r="B39" s="70" t="s">
        <v>81</v>
      </c>
      <c r="C39" s="71" t="s">
        <v>132</v>
      </c>
      <c r="D39" s="72">
        <v>0</v>
      </c>
      <c r="E39" s="73">
        <f>F36+2</f>
        <v>45669</v>
      </c>
      <c r="F39" s="73">
        <f>E39+7*3-2</f>
        <v>45688</v>
      </c>
      <c r="G39" s="17"/>
      <c r="H39" s="5">
        <f t="shared" si="78"/>
        <v>20</v>
      </c>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0"/>
      <c r="CM39" s="50"/>
      <c r="CN39" s="50"/>
      <c r="CO39" s="50"/>
      <c r="CP39" s="50"/>
      <c r="CQ39" s="50"/>
      <c r="CR39" s="50"/>
      <c r="CS39" s="50"/>
      <c r="CT39" s="50"/>
      <c r="CU39" s="50"/>
      <c r="CV39" s="50"/>
      <c r="CW39" s="50"/>
      <c r="CX39" s="50"/>
      <c r="CY39" s="50"/>
      <c r="CZ39" s="50"/>
      <c r="DA39" s="50"/>
      <c r="DB39" s="50"/>
      <c r="DC39" s="50"/>
      <c r="DD39" s="50"/>
      <c r="DE39" s="50"/>
      <c r="DF39" s="50"/>
      <c r="DG39" s="50"/>
      <c r="DH39" s="50"/>
      <c r="DI39" s="50"/>
      <c r="DJ39" s="50"/>
      <c r="DK39" s="50"/>
      <c r="DL39" s="50"/>
      <c r="DM39" s="50"/>
      <c r="DN39" s="50"/>
      <c r="DO39" s="50"/>
      <c r="DP39" s="50"/>
      <c r="DQ39" s="50"/>
      <c r="DR39" s="50"/>
      <c r="DS39" s="50"/>
      <c r="DT39" s="50"/>
      <c r="DU39" s="50"/>
      <c r="DV39" s="50"/>
      <c r="DW39" s="50"/>
      <c r="DX39" s="50"/>
      <c r="DY39" s="50"/>
      <c r="DZ39" s="50"/>
      <c r="EA39" s="50"/>
      <c r="EB39" s="50"/>
      <c r="EC39" s="50"/>
      <c r="ED39" s="50"/>
      <c r="EE39" s="50"/>
      <c r="EF39" s="50"/>
      <c r="EG39" s="50"/>
      <c r="EH39" s="50"/>
      <c r="EI39" s="50"/>
      <c r="EJ39" s="50"/>
      <c r="EK39" s="50"/>
      <c r="EL39" s="50"/>
      <c r="EM39" s="50"/>
      <c r="EN39" s="50"/>
      <c r="EO39" s="50"/>
      <c r="EP39" s="50"/>
      <c r="EQ39" s="50"/>
      <c r="ER39" s="50"/>
      <c r="ES39" s="50"/>
      <c r="ET39" s="50"/>
      <c r="EU39" s="50"/>
      <c r="EV39" s="50"/>
      <c r="EW39" s="50"/>
      <c r="EX39" s="50"/>
      <c r="EY39" s="50"/>
      <c r="EZ39" s="50"/>
      <c r="FA39" s="50"/>
      <c r="FB39" s="50"/>
      <c r="FC39" s="50"/>
      <c r="FD39" s="50"/>
      <c r="FE39" s="50"/>
      <c r="FF39" s="50"/>
    </row>
    <row r="40" spans="1:162" s="46" customFormat="1" ht="30" customHeight="1" thickBot="1" x14ac:dyDescent="0.3">
      <c r="A40" s="13"/>
      <c r="B40" s="70" t="s">
        <v>124</v>
      </c>
      <c r="C40" s="71" t="s">
        <v>29</v>
      </c>
      <c r="D40" s="72">
        <v>0</v>
      </c>
      <c r="E40" s="73">
        <f>F37+2</f>
        <v>45669</v>
      </c>
      <c r="F40" s="73">
        <f>E40+7*3-2</f>
        <v>45688</v>
      </c>
      <c r="G40" s="17"/>
      <c r="H40" s="5">
        <f t="shared" si="78"/>
        <v>20</v>
      </c>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50"/>
      <c r="DU40" s="50"/>
      <c r="DV40" s="50"/>
      <c r="DW40" s="50"/>
      <c r="DX40" s="50"/>
      <c r="DY40" s="50"/>
      <c r="DZ40" s="50"/>
      <c r="EA40" s="50"/>
      <c r="EB40" s="50"/>
      <c r="EC40" s="50"/>
      <c r="ED40" s="50"/>
      <c r="EE40" s="50"/>
      <c r="EF40" s="50"/>
      <c r="EG40" s="50"/>
      <c r="EH40" s="50"/>
      <c r="EI40" s="50"/>
      <c r="EJ40" s="50"/>
      <c r="EK40" s="50"/>
      <c r="EL40" s="50"/>
      <c r="EM40" s="50"/>
      <c r="EN40" s="50"/>
      <c r="EO40" s="50"/>
      <c r="EP40" s="50"/>
      <c r="EQ40" s="50"/>
      <c r="ER40" s="50"/>
      <c r="ES40" s="50"/>
      <c r="ET40" s="50"/>
      <c r="EU40" s="50"/>
      <c r="EV40" s="50"/>
      <c r="EW40" s="50"/>
      <c r="EX40" s="50"/>
      <c r="EY40" s="50"/>
      <c r="EZ40" s="50"/>
      <c r="FA40" s="50"/>
      <c r="FB40" s="50"/>
      <c r="FC40" s="50"/>
      <c r="FD40" s="50"/>
      <c r="FE40" s="50"/>
      <c r="FF40" s="50"/>
    </row>
    <row r="41" spans="1:162" s="46" customFormat="1" ht="30" customHeight="1" thickBot="1" x14ac:dyDescent="0.3">
      <c r="A41" s="13"/>
      <c r="B41" s="70" t="s">
        <v>128</v>
      </c>
      <c r="C41" s="71" t="s">
        <v>29</v>
      </c>
      <c r="D41" s="72">
        <v>0</v>
      </c>
      <c r="E41" s="73">
        <f>F39+3</f>
        <v>45691</v>
      </c>
      <c r="F41" s="73">
        <f>E41+3*3-1</f>
        <v>45699</v>
      </c>
      <c r="G41" s="17"/>
      <c r="H41" s="5">
        <f t="shared" si="78"/>
        <v>9</v>
      </c>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c r="CP41" s="50"/>
      <c r="CQ41" s="50"/>
      <c r="CR41" s="50"/>
      <c r="CS41" s="50"/>
      <c r="CT41" s="50"/>
      <c r="CU41" s="50"/>
      <c r="CV41" s="50"/>
      <c r="CW41" s="50"/>
      <c r="CX41" s="50"/>
      <c r="CY41" s="50"/>
      <c r="CZ41" s="50"/>
      <c r="DA41" s="50"/>
      <c r="DB41" s="50"/>
      <c r="DC41" s="50"/>
      <c r="DD41" s="50"/>
      <c r="DE41" s="50"/>
      <c r="DF41" s="50"/>
      <c r="DG41" s="50"/>
      <c r="DH41" s="50"/>
      <c r="DI41" s="50"/>
      <c r="DJ41" s="50"/>
      <c r="DK41" s="50"/>
      <c r="DL41" s="50"/>
      <c r="DM41" s="50"/>
      <c r="DN41" s="50"/>
      <c r="DO41" s="50"/>
      <c r="DP41" s="50"/>
      <c r="DQ41" s="50"/>
      <c r="DR41" s="50"/>
      <c r="DS41" s="50"/>
      <c r="DT41" s="50"/>
      <c r="DU41" s="50"/>
      <c r="DV41" s="50"/>
      <c r="DW41" s="50"/>
      <c r="DX41" s="50"/>
      <c r="DY41" s="50"/>
      <c r="DZ41" s="50"/>
      <c r="EA41" s="50"/>
      <c r="EB41" s="50"/>
      <c r="EC41" s="50"/>
      <c r="ED41" s="50"/>
      <c r="EE41" s="50"/>
      <c r="EF41" s="50"/>
      <c r="EG41" s="50"/>
      <c r="EH41" s="50"/>
      <c r="EI41" s="50"/>
      <c r="EJ41" s="50"/>
      <c r="EK41" s="50"/>
      <c r="EL41" s="50"/>
      <c r="EM41" s="50"/>
      <c r="EN41" s="50"/>
      <c r="EO41" s="50"/>
      <c r="EP41" s="50"/>
      <c r="EQ41" s="50"/>
      <c r="ER41" s="50"/>
      <c r="ES41" s="50"/>
      <c r="ET41" s="50"/>
      <c r="EU41" s="50"/>
      <c r="EV41" s="50"/>
      <c r="EW41" s="50"/>
      <c r="EX41" s="50"/>
      <c r="EY41" s="50"/>
      <c r="EZ41" s="50"/>
      <c r="FA41" s="50"/>
      <c r="FB41" s="50"/>
      <c r="FC41" s="50"/>
      <c r="FD41" s="50"/>
      <c r="FE41" s="50"/>
      <c r="FF41" s="50"/>
    </row>
    <row r="42" spans="1:162" s="46" customFormat="1" ht="30" customHeight="1" thickBot="1" x14ac:dyDescent="0.3">
      <c r="A42" s="13"/>
      <c r="B42" s="70" t="s">
        <v>129</v>
      </c>
      <c r="C42" s="71" t="s">
        <v>29</v>
      </c>
      <c r="D42" s="72">
        <v>0</v>
      </c>
      <c r="E42" s="73">
        <f>F41+1</f>
        <v>45700</v>
      </c>
      <c r="F42" s="73">
        <f>E42+3*3</f>
        <v>45709</v>
      </c>
      <c r="G42" s="17"/>
      <c r="H42" s="5">
        <f t="shared" si="78"/>
        <v>10</v>
      </c>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c r="EF42" s="50"/>
      <c r="EG42" s="50"/>
      <c r="EH42" s="50"/>
      <c r="EI42" s="50"/>
      <c r="EJ42" s="50"/>
      <c r="EK42" s="50"/>
      <c r="EL42" s="50"/>
      <c r="EM42" s="50"/>
      <c r="EN42" s="50"/>
      <c r="EO42" s="50"/>
      <c r="EP42" s="50"/>
      <c r="EQ42" s="50"/>
      <c r="ER42" s="50"/>
      <c r="ES42" s="50"/>
      <c r="ET42" s="50"/>
      <c r="EU42" s="50"/>
      <c r="EV42" s="50"/>
      <c r="EW42" s="50"/>
      <c r="EX42" s="50"/>
      <c r="EY42" s="50"/>
      <c r="EZ42" s="50"/>
      <c r="FA42" s="50"/>
      <c r="FB42" s="50"/>
      <c r="FC42" s="50"/>
      <c r="FD42" s="50"/>
      <c r="FE42" s="50"/>
      <c r="FF42" s="50"/>
    </row>
    <row r="43" spans="1:162" s="46" customFormat="1" ht="30" customHeight="1" thickBot="1" x14ac:dyDescent="0.3">
      <c r="A43" s="13"/>
      <c r="B43" s="70" t="s">
        <v>130</v>
      </c>
      <c r="C43" s="71" t="s">
        <v>29</v>
      </c>
      <c r="D43" s="72">
        <v>0</v>
      </c>
      <c r="E43" s="73">
        <f>F42+1</f>
        <v>45710</v>
      </c>
      <c r="F43" s="73">
        <f>E43+3*3-3</f>
        <v>45716</v>
      </c>
      <c r="G43" s="17"/>
      <c r="H43" s="5">
        <f t="shared" si="78"/>
        <v>7</v>
      </c>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50"/>
      <c r="DU43" s="50"/>
      <c r="DV43" s="50"/>
      <c r="DW43" s="50"/>
      <c r="DX43" s="50"/>
      <c r="DY43" s="50"/>
      <c r="DZ43" s="50"/>
      <c r="EA43" s="50"/>
      <c r="EB43" s="50"/>
      <c r="EC43" s="50"/>
      <c r="ED43" s="50"/>
      <c r="EE43" s="50"/>
      <c r="EF43" s="50"/>
      <c r="EG43" s="50"/>
      <c r="EH43" s="50"/>
      <c r="EI43" s="50"/>
      <c r="EJ43" s="50"/>
      <c r="EK43" s="50"/>
      <c r="EL43" s="50"/>
      <c r="EM43" s="50"/>
      <c r="EN43" s="50"/>
      <c r="EO43" s="50"/>
      <c r="EP43" s="50"/>
      <c r="EQ43" s="50"/>
      <c r="ER43" s="50"/>
      <c r="ES43" s="50"/>
      <c r="ET43" s="50"/>
      <c r="EU43" s="50"/>
      <c r="EV43" s="50"/>
      <c r="EW43" s="50"/>
      <c r="EX43" s="50"/>
      <c r="EY43" s="50"/>
      <c r="EZ43" s="50"/>
      <c r="FA43" s="50"/>
      <c r="FB43" s="50"/>
      <c r="FC43" s="50"/>
      <c r="FD43" s="50"/>
      <c r="FE43" s="50"/>
      <c r="FF43" s="50"/>
    </row>
    <row r="44" spans="1:162" s="46" customFormat="1" ht="30" customHeight="1" thickBot="1" x14ac:dyDescent="0.3">
      <c r="A44" s="13"/>
      <c r="B44" s="70" t="s">
        <v>131</v>
      </c>
      <c r="C44" s="71" t="s">
        <v>29</v>
      </c>
      <c r="D44" s="72">
        <v>0</v>
      </c>
      <c r="E44" s="73">
        <f>F43+2</f>
        <v>45718</v>
      </c>
      <c r="F44" s="73">
        <f>E44+3*3</f>
        <v>45727</v>
      </c>
      <c r="G44" s="17"/>
      <c r="H44" s="5">
        <f t="shared" si="78"/>
        <v>10</v>
      </c>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0"/>
      <c r="DS44" s="50"/>
      <c r="DT44" s="50"/>
      <c r="DU44" s="50"/>
      <c r="DV44" s="50"/>
      <c r="DW44" s="50"/>
      <c r="DX44" s="50"/>
      <c r="DY44" s="50"/>
      <c r="DZ44" s="50"/>
      <c r="EA44" s="50"/>
      <c r="EB44" s="50"/>
      <c r="EC44" s="50"/>
      <c r="ED44" s="50"/>
      <c r="EE44" s="50"/>
      <c r="EF44" s="50"/>
      <c r="EG44" s="50"/>
      <c r="EH44" s="50"/>
      <c r="EI44" s="50"/>
      <c r="EJ44" s="50"/>
      <c r="EK44" s="50"/>
      <c r="EL44" s="50"/>
      <c r="EM44" s="50"/>
      <c r="EN44" s="50"/>
      <c r="EO44" s="50"/>
      <c r="EP44" s="50"/>
      <c r="EQ44" s="50"/>
      <c r="ER44" s="50"/>
      <c r="ES44" s="50"/>
      <c r="ET44" s="50"/>
      <c r="EU44" s="50"/>
      <c r="EV44" s="50"/>
      <c r="EW44" s="50"/>
      <c r="EX44" s="50"/>
      <c r="EY44" s="50"/>
      <c r="EZ44" s="50"/>
      <c r="FA44" s="50"/>
      <c r="FB44" s="50"/>
      <c r="FC44" s="50"/>
      <c r="FD44" s="50"/>
      <c r="FE44" s="50"/>
      <c r="FF44" s="50"/>
    </row>
    <row r="45" spans="1:162" s="46" customFormat="1" ht="30" customHeight="1" thickBot="1" x14ac:dyDescent="0.3">
      <c r="A45" s="13"/>
      <c r="B45" s="108" t="s">
        <v>39</v>
      </c>
      <c r="C45" s="71" t="s">
        <v>29</v>
      </c>
      <c r="D45" s="109">
        <f>AVERAGE(D39:D44)</f>
        <v>0</v>
      </c>
      <c r="E45" s="110">
        <f>E39</f>
        <v>45669</v>
      </c>
      <c r="F45" s="110">
        <f>F44</f>
        <v>45727</v>
      </c>
      <c r="G45" s="17"/>
      <c r="H45" s="5">
        <f t="shared" si="78"/>
        <v>59</v>
      </c>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50"/>
      <c r="DL45" s="50"/>
      <c r="DM45" s="50"/>
      <c r="DN45" s="50"/>
      <c r="DO45" s="50"/>
      <c r="DP45" s="50"/>
      <c r="DQ45" s="50"/>
      <c r="DR45" s="50"/>
      <c r="DS45" s="50"/>
      <c r="DT45" s="50"/>
      <c r="DU45" s="50"/>
      <c r="DV45" s="50"/>
      <c r="DW45" s="50"/>
      <c r="DX45" s="50"/>
      <c r="DY45" s="50"/>
      <c r="DZ45" s="50"/>
      <c r="EA45" s="50"/>
      <c r="EB45" s="50"/>
      <c r="EC45" s="50"/>
      <c r="ED45" s="50"/>
      <c r="EE45" s="50"/>
      <c r="EF45" s="50"/>
      <c r="EG45" s="50"/>
      <c r="EH45" s="50"/>
      <c r="EI45" s="50"/>
      <c r="EJ45" s="50"/>
      <c r="EK45" s="50"/>
      <c r="EL45" s="50"/>
      <c r="EM45" s="50"/>
      <c r="EN45" s="50"/>
      <c r="EO45" s="50"/>
      <c r="EP45" s="50"/>
      <c r="EQ45" s="50"/>
      <c r="ER45" s="50"/>
      <c r="ES45" s="50"/>
      <c r="ET45" s="50"/>
      <c r="EU45" s="50"/>
      <c r="EV45" s="50"/>
      <c r="EW45" s="50"/>
      <c r="EX45" s="50"/>
      <c r="EY45" s="50"/>
      <c r="EZ45" s="50"/>
      <c r="FA45" s="50"/>
      <c r="FB45" s="50"/>
      <c r="FC45" s="50"/>
      <c r="FD45" s="50"/>
      <c r="FE45" s="50"/>
      <c r="FF45" s="50"/>
    </row>
    <row r="46" spans="1:162" s="46" customFormat="1" ht="30" customHeight="1" thickBot="1" x14ac:dyDescent="0.3">
      <c r="A46" s="13"/>
      <c r="B46" s="74" t="s">
        <v>40</v>
      </c>
      <c r="C46" s="75"/>
      <c r="D46" s="76"/>
      <c r="E46" s="77"/>
      <c r="F46" s="78"/>
      <c r="G46" s="17"/>
      <c r="H46" s="5" t="str">
        <f t="shared" si="78"/>
        <v/>
      </c>
      <c r="I46" s="79"/>
      <c r="J46" s="79"/>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c r="BV46" s="79"/>
      <c r="BW46" s="79"/>
      <c r="BX46" s="79"/>
      <c r="BY46" s="79"/>
      <c r="BZ46" s="79"/>
      <c r="CA46" s="79"/>
      <c r="CB46" s="79"/>
      <c r="CC46" s="79"/>
      <c r="CD46" s="79"/>
      <c r="CE46" s="79"/>
      <c r="CF46" s="79"/>
      <c r="CG46" s="79"/>
      <c r="CH46" s="79"/>
      <c r="CI46" s="79"/>
      <c r="CJ46" s="79"/>
      <c r="CK46" s="79"/>
      <c r="CL46" s="79"/>
      <c r="CM46" s="79"/>
      <c r="CN46" s="79"/>
      <c r="CO46" s="79"/>
      <c r="CP46" s="79"/>
      <c r="CQ46" s="79"/>
      <c r="CR46" s="79"/>
      <c r="CS46" s="79"/>
      <c r="CT46" s="79"/>
      <c r="CU46" s="79"/>
      <c r="CV46" s="79"/>
      <c r="CW46" s="79"/>
      <c r="CX46" s="79"/>
      <c r="CY46" s="79"/>
      <c r="CZ46" s="79"/>
      <c r="DA46" s="79"/>
      <c r="DB46" s="79"/>
      <c r="DC46" s="79"/>
      <c r="DD46" s="79"/>
      <c r="DE46" s="79"/>
      <c r="DF46" s="79"/>
      <c r="DG46" s="79"/>
      <c r="DH46" s="79"/>
      <c r="DI46" s="79"/>
      <c r="DJ46" s="79"/>
      <c r="DK46" s="79"/>
      <c r="DL46" s="79"/>
      <c r="DM46" s="79"/>
      <c r="DN46" s="79"/>
      <c r="DO46" s="79"/>
      <c r="DP46" s="79"/>
      <c r="DQ46" s="79"/>
      <c r="DR46" s="79"/>
      <c r="DS46" s="79"/>
      <c r="DT46" s="79"/>
      <c r="DU46" s="79"/>
      <c r="DV46" s="79"/>
      <c r="DW46" s="79"/>
      <c r="DX46" s="79"/>
      <c r="DY46" s="79"/>
      <c r="DZ46" s="79"/>
      <c r="EA46" s="79"/>
      <c r="EB46" s="79"/>
      <c r="EC46" s="79"/>
      <c r="ED46" s="79"/>
      <c r="EE46" s="79"/>
      <c r="EF46" s="79"/>
      <c r="EG46" s="79"/>
      <c r="EH46" s="79"/>
      <c r="EI46" s="79"/>
      <c r="EJ46" s="79"/>
      <c r="EK46" s="79"/>
      <c r="EL46" s="79"/>
      <c r="EM46" s="79"/>
      <c r="EN46" s="79"/>
      <c r="EO46" s="79"/>
      <c r="EP46" s="79"/>
      <c r="EQ46" s="79"/>
      <c r="ER46" s="79"/>
      <c r="ES46" s="79"/>
      <c r="ET46" s="79"/>
      <c r="EU46" s="79"/>
      <c r="EV46" s="79"/>
      <c r="EW46" s="79"/>
      <c r="EX46" s="79"/>
      <c r="EY46" s="79"/>
      <c r="EZ46" s="79"/>
      <c r="FA46" s="79"/>
      <c r="FB46" s="79"/>
      <c r="FC46" s="79"/>
      <c r="FD46" s="79"/>
      <c r="FE46" s="79"/>
      <c r="FF46" s="79"/>
    </row>
    <row r="47" spans="1:162" s="46" customFormat="1" ht="30" customHeight="1" thickBot="1" x14ac:dyDescent="0.3">
      <c r="A47" s="13"/>
      <c r="B47" s="80" t="s">
        <v>95</v>
      </c>
      <c r="C47" s="81" t="s">
        <v>29</v>
      </c>
      <c r="D47" s="82">
        <v>0</v>
      </c>
      <c r="E47" s="83">
        <f>F44+1</f>
        <v>45728</v>
      </c>
      <c r="F47" s="83">
        <f>E47+2</f>
        <v>45730</v>
      </c>
      <c r="G47" s="17"/>
      <c r="H47" s="5">
        <f t="shared" si="78"/>
        <v>3</v>
      </c>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c r="DM47" s="50"/>
      <c r="DN47" s="50"/>
      <c r="DO47" s="50"/>
      <c r="DP47" s="50"/>
      <c r="DQ47" s="50"/>
      <c r="DR47" s="50"/>
      <c r="DS47" s="50"/>
      <c r="DT47" s="50"/>
      <c r="DU47" s="50"/>
      <c r="DV47" s="50"/>
      <c r="DW47" s="50"/>
      <c r="DX47" s="50"/>
      <c r="DY47" s="50"/>
      <c r="DZ47" s="50"/>
      <c r="EA47" s="50"/>
      <c r="EB47" s="50"/>
      <c r="EC47" s="50"/>
      <c r="ED47" s="50"/>
      <c r="EE47" s="50"/>
      <c r="EF47" s="50"/>
      <c r="EG47" s="50"/>
      <c r="EH47" s="50"/>
      <c r="EI47" s="50"/>
      <c r="EJ47" s="50"/>
      <c r="EK47" s="50"/>
      <c r="EL47" s="50"/>
      <c r="EM47" s="50"/>
      <c r="EN47" s="50"/>
      <c r="EO47" s="50"/>
      <c r="EP47" s="50"/>
      <c r="EQ47" s="50"/>
      <c r="ER47" s="50"/>
      <c r="ES47" s="50"/>
      <c r="ET47" s="50"/>
      <c r="EU47" s="50"/>
      <c r="EV47" s="50"/>
      <c r="EW47" s="50"/>
      <c r="EX47" s="50"/>
      <c r="EY47" s="50"/>
      <c r="EZ47" s="50"/>
      <c r="FA47" s="50"/>
      <c r="FB47" s="50"/>
      <c r="FC47" s="50"/>
      <c r="FD47" s="50"/>
      <c r="FE47" s="50"/>
      <c r="FF47" s="50"/>
    </row>
    <row r="48" spans="1:162" s="46" customFormat="1" ht="30" customHeight="1" thickBot="1" x14ac:dyDescent="0.3">
      <c r="A48" s="13"/>
      <c r="B48" s="111" t="s">
        <v>34</v>
      </c>
      <c r="C48" s="81" t="s">
        <v>29</v>
      </c>
      <c r="D48" s="82">
        <v>0</v>
      </c>
      <c r="E48" s="112">
        <f>F47+3</f>
        <v>45733</v>
      </c>
      <c r="F48" s="112">
        <f>E48+1</f>
        <v>45734</v>
      </c>
      <c r="G48" s="17"/>
      <c r="H48" s="5"/>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50"/>
      <c r="DL48" s="50"/>
      <c r="DM48" s="50"/>
      <c r="DN48" s="50"/>
      <c r="DO48" s="50"/>
      <c r="DP48" s="50"/>
      <c r="DQ48" s="50"/>
      <c r="DR48" s="50"/>
      <c r="DS48" s="50"/>
      <c r="DT48" s="50"/>
      <c r="DU48" s="50"/>
      <c r="DV48" s="50"/>
      <c r="DW48" s="50"/>
      <c r="DX48" s="50"/>
      <c r="DY48" s="50"/>
      <c r="DZ48" s="50"/>
      <c r="EA48" s="50"/>
      <c r="EB48" s="50"/>
      <c r="EC48" s="50"/>
      <c r="ED48" s="50"/>
      <c r="EE48" s="50"/>
      <c r="EF48" s="50"/>
      <c r="EG48" s="50"/>
      <c r="EH48" s="50"/>
      <c r="EI48" s="50"/>
      <c r="EJ48" s="50"/>
      <c r="EK48" s="50"/>
      <c r="EL48" s="50"/>
      <c r="EM48" s="50"/>
      <c r="EN48" s="50"/>
      <c r="EO48" s="50"/>
      <c r="EP48" s="50"/>
      <c r="EQ48" s="50"/>
      <c r="ER48" s="50"/>
      <c r="ES48" s="50"/>
      <c r="ET48" s="50"/>
      <c r="EU48" s="50"/>
      <c r="EV48" s="50"/>
      <c r="EW48" s="50"/>
      <c r="EX48" s="50"/>
      <c r="EY48" s="50"/>
      <c r="EZ48" s="50"/>
      <c r="FA48" s="50"/>
      <c r="FB48" s="50"/>
      <c r="FC48" s="50"/>
      <c r="FD48" s="50"/>
      <c r="FE48" s="50"/>
      <c r="FF48" s="50"/>
    </row>
    <row r="49" spans="1:162" s="46" customFormat="1" ht="30" customHeight="1" thickBot="1" x14ac:dyDescent="0.3">
      <c r="A49" s="13"/>
      <c r="B49" s="111" t="s">
        <v>94</v>
      </c>
      <c r="C49" s="81" t="s">
        <v>29</v>
      </c>
      <c r="D49" s="82">
        <v>0</v>
      </c>
      <c r="E49" s="112">
        <f>F47+3</f>
        <v>45733</v>
      </c>
      <c r="F49" s="112">
        <f>E49+1</f>
        <v>45734</v>
      </c>
      <c r="G49" s="17"/>
      <c r="H49" s="5"/>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row>
    <row r="50" spans="1:162" s="46" customFormat="1" ht="30" customHeight="1" thickBot="1" x14ac:dyDescent="0.3">
      <c r="A50" s="13"/>
      <c r="B50" s="111" t="s">
        <v>96</v>
      </c>
      <c r="C50" s="81" t="s">
        <v>29</v>
      </c>
      <c r="D50" s="82">
        <v>0</v>
      </c>
      <c r="E50" s="112">
        <f>F47+3</f>
        <v>45733</v>
      </c>
      <c r="F50" s="112">
        <f>E50+1</f>
        <v>45734</v>
      </c>
      <c r="G50" s="17"/>
      <c r="H50" s="5"/>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50"/>
      <c r="DL50" s="50"/>
      <c r="DM50" s="50"/>
      <c r="DN50" s="50"/>
      <c r="DO50" s="50"/>
      <c r="DP50" s="50"/>
      <c r="DQ50" s="50"/>
      <c r="DR50" s="50"/>
      <c r="DS50" s="50"/>
      <c r="DT50" s="50"/>
      <c r="DU50" s="50"/>
      <c r="DV50" s="50"/>
      <c r="DW50" s="50"/>
      <c r="DX50" s="50"/>
      <c r="DY50" s="50"/>
      <c r="DZ50" s="50"/>
      <c r="EA50" s="50"/>
      <c r="EB50" s="50"/>
      <c r="EC50" s="50"/>
      <c r="ED50" s="50"/>
      <c r="EE50" s="50"/>
      <c r="EF50" s="50"/>
      <c r="EG50" s="50"/>
      <c r="EH50" s="50"/>
      <c r="EI50" s="50"/>
      <c r="EJ50" s="50"/>
      <c r="EK50" s="50"/>
      <c r="EL50" s="50"/>
      <c r="EM50" s="50"/>
      <c r="EN50" s="50"/>
      <c r="EO50" s="50"/>
      <c r="EP50" s="50"/>
      <c r="EQ50" s="50"/>
      <c r="ER50" s="50"/>
      <c r="ES50" s="50"/>
      <c r="ET50" s="50"/>
      <c r="EU50" s="50"/>
      <c r="EV50" s="50"/>
      <c r="EW50" s="50"/>
      <c r="EX50" s="50"/>
      <c r="EY50" s="50"/>
      <c r="EZ50" s="50"/>
      <c r="FA50" s="50"/>
      <c r="FB50" s="50"/>
      <c r="FC50" s="50"/>
      <c r="FD50" s="50"/>
      <c r="FE50" s="50"/>
      <c r="FF50" s="50"/>
    </row>
    <row r="51" spans="1:162" s="46" customFormat="1" ht="30" customHeight="1" thickBot="1" x14ac:dyDescent="0.3">
      <c r="A51" s="13"/>
      <c r="B51" s="111" t="s">
        <v>158</v>
      </c>
      <c r="C51" s="81" t="s">
        <v>29</v>
      </c>
      <c r="D51" s="82">
        <v>0</v>
      </c>
      <c r="E51" s="112">
        <f>F50</f>
        <v>45734</v>
      </c>
      <c r="F51" s="112">
        <f>E51+2</f>
        <v>45736</v>
      </c>
      <c r="G51" s="17"/>
      <c r="H51" s="5"/>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c r="CJ51" s="50"/>
      <c r="CK51" s="50"/>
      <c r="CL51" s="50"/>
      <c r="CM51" s="50"/>
      <c r="CN51" s="50"/>
      <c r="CO51" s="50"/>
      <c r="CP51" s="50"/>
      <c r="CQ51" s="50"/>
      <c r="CR51" s="50"/>
      <c r="CS51" s="50"/>
      <c r="CT51" s="50"/>
      <c r="CU51" s="50"/>
      <c r="CV51" s="50"/>
      <c r="CW51" s="50"/>
      <c r="CX51" s="50"/>
      <c r="CY51" s="50"/>
      <c r="CZ51" s="50"/>
      <c r="DA51" s="50"/>
      <c r="DB51" s="50"/>
      <c r="DC51" s="50"/>
      <c r="DD51" s="50"/>
      <c r="DE51" s="50"/>
      <c r="DF51" s="50"/>
      <c r="DG51" s="50"/>
      <c r="DH51" s="50"/>
      <c r="DI51" s="50"/>
      <c r="DJ51" s="50"/>
      <c r="DK51" s="50"/>
      <c r="DL51" s="50"/>
      <c r="DM51" s="50"/>
      <c r="DN51" s="50"/>
      <c r="DO51" s="50"/>
      <c r="DP51" s="50"/>
      <c r="DQ51" s="50"/>
      <c r="DR51" s="50"/>
      <c r="DS51" s="50"/>
      <c r="DT51" s="50"/>
      <c r="DU51" s="50"/>
      <c r="DV51" s="50"/>
      <c r="DW51" s="50"/>
      <c r="DX51" s="50"/>
      <c r="DY51" s="50"/>
      <c r="DZ51" s="50"/>
      <c r="EA51" s="50"/>
      <c r="EB51" s="50"/>
      <c r="EC51" s="50"/>
      <c r="ED51" s="50"/>
      <c r="EE51" s="50"/>
      <c r="EF51" s="50"/>
      <c r="EG51" s="50"/>
      <c r="EH51" s="50"/>
      <c r="EI51" s="50"/>
      <c r="EJ51" s="50"/>
      <c r="EK51" s="50"/>
      <c r="EL51" s="50"/>
      <c r="EM51" s="50"/>
      <c r="EN51" s="50"/>
      <c r="EO51" s="50"/>
      <c r="EP51" s="50"/>
      <c r="EQ51" s="50"/>
      <c r="ER51" s="50"/>
      <c r="ES51" s="50"/>
      <c r="ET51" s="50"/>
      <c r="EU51" s="50"/>
      <c r="EV51" s="50"/>
      <c r="EW51" s="50"/>
      <c r="EX51" s="50"/>
      <c r="EY51" s="50"/>
      <c r="EZ51" s="50"/>
      <c r="FA51" s="50"/>
      <c r="FB51" s="50"/>
      <c r="FC51" s="50"/>
      <c r="FD51" s="50"/>
      <c r="FE51" s="50"/>
      <c r="FF51" s="50"/>
    </row>
    <row r="52" spans="1:162" s="46" customFormat="1" ht="30" customHeight="1" thickBot="1" x14ac:dyDescent="0.3">
      <c r="A52" s="13"/>
      <c r="B52" s="111" t="s">
        <v>41</v>
      </c>
      <c r="C52" s="81" t="s">
        <v>29</v>
      </c>
      <c r="D52" s="82">
        <f>AVERAGE(D47:D51)</f>
        <v>0</v>
      </c>
      <c r="E52" s="112">
        <f>E47</f>
        <v>45728</v>
      </c>
      <c r="F52" s="112">
        <f>F51</f>
        <v>45736</v>
      </c>
      <c r="G52" s="17"/>
      <c r="H52" s="5">
        <f t="shared" si="78"/>
        <v>9</v>
      </c>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50"/>
      <c r="DL52" s="50"/>
      <c r="DM52" s="50"/>
      <c r="DN52" s="50"/>
      <c r="DO52" s="50"/>
      <c r="DP52" s="50"/>
      <c r="DQ52" s="50"/>
      <c r="DR52" s="50"/>
      <c r="DS52" s="50"/>
      <c r="DT52" s="50"/>
      <c r="DU52" s="50"/>
      <c r="DV52" s="50"/>
      <c r="DW52" s="50"/>
      <c r="DX52" s="50"/>
      <c r="DY52" s="50"/>
      <c r="DZ52" s="50"/>
      <c r="EA52" s="50"/>
      <c r="EB52" s="50"/>
      <c r="EC52" s="50"/>
      <c r="ED52" s="50"/>
      <c r="EE52" s="50"/>
      <c r="EF52" s="50"/>
      <c r="EG52" s="50"/>
      <c r="EH52" s="50"/>
      <c r="EI52" s="50"/>
      <c r="EJ52" s="50"/>
      <c r="EK52" s="50"/>
      <c r="EL52" s="50"/>
      <c r="EM52" s="50"/>
      <c r="EN52" s="50"/>
      <c r="EO52" s="50"/>
      <c r="EP52" s="50"/>
      <c r="EQ52" s="50"/>
      <c r="ER52" s="50"/>
      <c r="ES52" s="50"/>
      <c r="ET52" s="50"/>
      <c r="EU52" s="50"/>
      <c r="EV52" s="50"/>
      <c r="EW52" s="50"/>
      <c r="EX52" s="50"/>
      <c r="EY52" s="50"/>
      <c r="EZ52" s="50"/>
      <c r="FA52" s="50"/>
      <c r="FB52" s="50"/>
      <c r="FC52" s="50"/>
      <c r="FD52" s="50"/>
      <c r="FE52" s="50"/>
      <c r="FF52" s="50"/>
    </row>
    <row r="53" spans="1:162" s="46" customFormat="1" ht="30" customHeight="1" thickBot="1" x14ac:dyDescent="0.3">
      <c r="A53" s="13"/>
      <c r="B53" s="84"/>
      <c r="C53" s="85"/>
      <c r="D53" s="86"/>
      <c r="E53" s="87"/>
      <c r="F53" s="87"/>
      <c r="G53" s="17"/>
      <c r="H53" s="5" t="str">
        <f t="shared" si="78"/>
        <v/>
      </c>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row>
    <row r="54" spans="1:162" s="46" customFormat="1" ht="30" customHeight="1" thickBot="1" x14ac:dyDescent="0.3">
      <c r="A54" s="14"/>
      <c r="B54" s="88" t="s">
        <v>0</v>
      </c>
      <c r="C54" s="89"/>
      <c r="D54" s="90"/>
      <c r="E54" s="91"/>
      <c r="F54" s="92"/>
      <c r="G54" s="17"/>
      <c r="H54" s="6" t="str">
        <f t="shared" si="78"/>
        <v/>
      </c>
      <c r="I54" s="93"/>
      <c r="J54" s="93"/>
      <c r="K54" s="93"/>
      <c r="L54" s="93"/>
      <c r="M54" s="93"/>
      <c r="N54" s="93"/>
      <c r="O54" s="93"/>
      <c r="P54" s="93"/>
      <c r="Q54" s="93"/>
      <c r="R54" s="93"/>
      <c r="S54" s="93"/>
      <c r="T54" s="93"/>
      <c r="U54" s="93"/>
      <c r="V54" s="93"/>
      <c r="W54" s="93"/>
      <c r="X54" s="93"/>
      <c r="Y54" s="93"/>
      <c r="Z54" s="93"/>
      <c r="AA54" s="93"/>
      <c r="AB54" s="93"/>
      <c r="AC54" s="93"/>
      <c r="AD54" s="93"/>
      <c r="AE54" s="93"/>
      <c r="AF54" s="93"/>
      <c r="AG54" s="93"/>
      <c r="AH54" s="93"/>
      <c r="AI54" s="93"/>
      <c r="AJ54" s="93"/>
      <c r="AK54" s="93"/>
      <c r="AL54" s="93"/>
      <c r="AM54" s="93"/>
      <c r="AN54" s="93"/>
      <c r="AO54" s="93"/>
      <c r="AP54" s="93"/>
      <c r="AQ54" s="93"/>
      <c r="AR54" s="93"/>
      <c r="AS54" s="93"/>
      <c r="AT54" s="93"/>
      <c r="AU54" s="93"/>
      <c r="AV54" s="93"/>
      <c r="AW54" s="93"/>
      <c r="AX54" s="93"/>
      <c r="AY54" s="93"/>
      <c r="AZ54" s="93"/>
      <c r="BA54" s="93"/>
      <c r="BB54" s="93"/>
      <c r="BC54" s="93"/>
      <c r="BD54" s="93"/>
      <c r="BE54" s="93"/>
      <c r="BF54" s="93"/>
      <c r="BG54" s="93"/>
      <c r="BH54" s="93"/>
      <c r="BI54" s="93"/>
      <c r="BJ54" s="93"/>
      <c r="BK54" s="93"/>
      <c r="BL54" s="93"/>
    </row>
    <row r="55" spans="1:162" ht="30" customHeight="1" x14ac:dyDescent="0.25">
      <c r="G55" s="3"/>
    </row>
    <row r="56" spans="1:162" ht="30" customHeight="1" x14ac:dyDescent="0.25">
      <c r="C56" s="16"/>
      <c r="F56" s="15"/>
    </row>
    <row r="57" spans="1:162" ht="30" customHeight="1" x14ac:dyDescent="0.25">
      <c r="C57" s="4"/>
    </row>
  </sheetData>
  <mergeCells count="32">
    <mergeCell ref="ES4:EY4"/>
    <mergeCell ref="EZ4:FF4"/>
    <mergeCell ref="DJ4:DP4"/>
    <mergeCell ref="DQ4:DW4"/>
    <mergeCell ref="DX4:ED4"/>
    <mergeCell ref="EE4:EK4"/>
    <mergeCell ref="EL4:ER4"/>
    <mergeCell ref="CA4:CG4"/>
    <mergeCell ref="CH4:CN4"/>
    <mergeCell ref="CO4:CU4"/>
    <mergeCell ref="CV4:DB4"/>
    <mergeCell ref="DC4:DI4"/>
    <mergeCell ref="Q2:Z2"/>
    <mergeCell ref="Q1:Z1"/>
    <mergeCell ref="I1:O1"/>
    <mergeCell ref="I2:O2"/>
    <mergeCell ref="BF4:BL4"/>
    <mergeCell ref="I4:O4"/>
    <mergeCell ref="P4:V4"/>
    <mergeCell ref="W4:AC4"/>
    <mergeCell ref="AD4:AJ4"/>
    <mergeCell ref="AK4:AQ4"/>
    <mergeCell ref="AR4:AX4"/>
    <mergeCell ref="AY4:BE4"/>
    <mergeCell ref="BM4:BS4"/>
    <mergeCell ref="BT4:BZ4"/>
    <mergeCell ref="A5:A6"/>
    <mergeCell ref="B5:B6"/>
    <mergeCell ref="C5:C6"/>
    <mergeCell ref="D5:D6"/>
    <mergeCell ref="E5:E6"/>
    <mergeCell ref="F5:F6"/>
  </mergeCells>
  <conditionalFormatting sqref="D8:D52">
    <cfRule type="dataBar" priority="5">
      <dataBar>
        <cfvo type="num" val="0"/>
        <cfvo type="num" val="1"/>
        <color theme="0"/>
      </dataBar>
      <extLst>
        <ext xmlns:x14="http://schemas.microsoft.com/office/spreadsheetml/2009/9/main" uri="{B025F937-C7B1-47D3-B67F-A62EFF666E3E}">
          <x14:id>{74435C28-FDD1-4C6B-8C51-073FE898129E}</x14:id>
        </ext>
      </extLst>
    </cfRule>
  </conditionalFormatting>
  <conditionalFormatting sqref="D53:D54 D7">
    <cfRule type="dataBar" priority="196">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FF52">
    <cfRule type="expression" dxfId="10" priority="6">
      <formula>AND(TODAY()&gt;=I$5, TODAY()&lt;J$5)</formula>
    </cfRule>
  </conditionalFormatting>
  <conditionalFormatting sqref="I9:FF23">
    <cfRule type="expression" dxfId="9" priority="14">
      <formula>AND(task_start&lt;=I$5,ROUNDDOWN((task_end-task_start+1)*task_progress,0)+task_start-1&gt;=I$5)</formula>
    </cfRule>
    <cfRule type="expression" dxfId="8" priority="15" stopIfTrue="1">
      <formula>AND(task_end&gt;=I$5,task_start&lt;J$5)</formula>
    </cfRule>
  </conditionalFormatting>
  <conditionalFormatting sqref="I25:FF36">
    <cfRule type="expression" dxfId="7" priority="7">
      <formula>AND(task_start&lt;=I$5,ROUNDDOWN((task_end-task_start+1)*task_progress,0)+task_start-1&gt;=I$5)</formula>
    </cfRule>
    <cfRule type="expression" dxfId="6" priority="8" stopIfTrue="1">
      <formula>AND(task_end&gt;=I$5,task_start&lt;J$5)</formula>
    </cfRule>
  </conditionalFormatting>
  <conditionalFormatting sqref="I37:FF38">
    <cfRule type="expression" dxfId="5" priority="10" stopIfTrue="1">
      <formula>AND(task_end&gt;=I$5,task_start&lt;J$5)</formula>
    </cfRule>
  </conditionalFormatting>
  <conditionalFormatting sqref="I37:FF45">
    <cfRule type="expression" dxfId="4" priority="1">
      <formula>AND(task_start&lt;=I$5,ROUNDDOWN((task_end-task_start+1)*task_progress,0)+task_start-1&gt;=I$5)</formula>
    </cfRule>
  </conditionalFormatting>
  <conditionalFormatting sqref="I39:FF40">
    <cfRule type="expression" dxfId="3" priority="2" stopIfTrue="1">
      <formula>AND(task_end&gt;=I$5,task_start&lt;J$5)</formula>
    </cfRule>
  </conditionalFormatting>
  <conditionalFormatting sqref="I41:FF45">
    <cfRule type="expression" dxfId="2" priority="13" stopIfTrue="1">
      <formula>AND(task_end&gt;=I$5,task_start&lt;J$5)</formula>
    </cfRule>
  </conditionalFormatting>
  <conditionalFormatting sqref="I47:FF52">
    <cfRule type="expression" dxfId="1" priority="16">
      <formula>AND(task_start&lt;=I$5,ROUNDDOWN((task_end-task_start+1)*task_progress,0)+task_start-1&gt;=I$5)</formula>
    </cfRule>
    <cfRule type="expression" dxfId="0" priority="17" stopIfTrue="1">
      <formula>AND(task_end&gt;=I$5,task_start&lt;J$5)</formula>
    </cfRule>
  </conditionalFormatting>
  <dataValidations count="12">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A11"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2"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24" xr:uid="{4F48FC41-E335-47F1-87AA-3333A52AD81C}"/>
    <dataValidation allowBlank="1" showInputMessage="1" showErrorMessage="1" prompt="Phase 4's sample block starts in cell B26." sqref="A4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54"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74435C28-FDD1-4C6B-8C51-073FE898129E}">
            <x14:dataBar minLength="0" maxLength="100" gradient="0">
              <x14:cfvo type="num">
                <xm:f>0</xm:f>
              </x14:cfvo>
              <x14:cfvo type="num">
                <xm:f>1</xm:f>
              </x14:cfvo>
              <x14:negativeFillColor rgb="FFFF0000"/>
              <x14:axisColor rgb="FF000000"/>
            </x14:dataBar>
          </x14:cfRule>
          <xm:sqref>D8:D52</xm:sqref>
        </x14:conditionalFormatting>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D53:D54 D7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A47DB-E613-408F-84A7-C57154A23B0F}">
  <dimension ref="A1:BW36"/>
  <sheetViews>
    <sheetView topLeftCell="F1" zoomScale="69" zoomScaleNormal="68" workbookViewId="0">
      <selection activeCell="BR35" sqref="BR35"/>
    </sheetView>
  </sheetViews>
  <sheetFormatPr defaultRowHeight="13.8" x14ac:dyDescent="0.25"/>
  <cols>
    <col min="1" max="1" width="23.8984375" customWidth="1"/>
    <col min="4" max="4" width="13.5" customWidth="1"/>
    <col min="5" max="5" width="11.19921875" customWidth="1"/>
    <col min="6" max="6" width="12.8984375" customWidth="1"/>
    <col min="7" max="7" width="15.09765625" customWidth="1"/>
    <col min="8" max="8" width="17.5" customWidth="1"/>
    <col min="9" max="9" width="15.8984375" customWidth="1"/>
    <col min="10" max="10" width="13.3984375" customWidth="1"/>
    <col min="11" max="11" width="11.69921875" customWidth="1"/>
    <col min="12" max="12" width="15.19921875" customWidth="1"/>
    <col min="15" max="15" width="13.8984375" customWidth="1"/>
    <col min="17" max="17" width="14" customWidth="1"/>
    <col min="18" max="18" width="14.09765625" customWidth="1"/>
    <col min="21" max="21" width="12.69921875" customWidth="1"/>
    <col min="23" max="23" width="17.59765625" customWidth="1"/>
    <col min="24" max="24" width="11.69921875" customWidth="1"/>
    <col min="26" max="26" width="14.59765625" customWidth="1"/>
    <col min="27" max="28" width="8.8984375" bestFit="1" customWidth="1"/>
    <col min="29" max="29" width="11.59765625" customWidth="1"/>
    <col min="31" max="31" width="13.19921875" customWidth="1"/>
    <col min="33" max="33" width="12.3984375" customWidth="1"/>
    <col min="34" max="34" width="12.19921875" customWidth="1"/>
    <col min="36" max="36" width="13.09765625" customWidth="1"/>
    <col min="38" max="38" width="9.8984375" customWidth="1"/>
    <col min="39" max="39" width="12.3984375" customWidth="1"/>
    <col min="41" max="41" width="12" customWidth="1"/>
    <col min="44" max="44" width="13.09765625" customWidth="1"/>
    <col min="46" max="46" width="12.8984375" customWidth="1"/>
    <col min="49" max="49" width="12.5" customWidth="1"/>
    <col min="51" max="51" width="16.19921875" customWidth="1"/>
    <col min="54" max="54" width="13.3984375" customWidth="1"/>
    <col min="56" max="56" width="12.19921875" customWidth="1"/>
    <col min="59" max="59" width="14.09765625" customWidth="1"/>
    <col min="61" max="61" width="13.5" customWidth="1"/>
    <col min="62" max="62" width="11.19921875" customWidth="1"/>
    <col min="64" max="64" width="16.69921875" customWidth="1"/>
    <col min="65" max="65" width="17.3984375" customWidth="1"/>
    <col min="66" max="66" width="12.19921875" customWidth="1"/>
    <col min="67" max="67" width="13.3984375" customWidth="1"/>
    <col min="69" max="69" width="14" customWidth="1"/>
    <col min="70" max="70" width="13.09765625" customWidth="1"/>
    <col min="72" max="72" width="13.09765625" customWidth="1"/>
    <col min="75" max="75" width="13.69921875" customWidth="1"/>
  </cols>
  <sheetData>
    <row r="1" spans="1:75" x14ac:dyDescent="0.25">
      <c r="A1" t="s">
        <v>53</v>
      </c>
      <c r="D1" t="s">
        <v>51</v>
      </c>
      <c r="I1" t="s">
        <v>52</v>
      </c>
      <c r="O1" t="s">
        <v>55</v>
      </c>
      <c r="Q1" t="s">
        <v>58</v>
      </c>
      <c r="R1">
        <f>SUM(Q7,Q13,Q19)</f>
        <v>1488</v>
      </c>
      <c r="U1" t="s">
        <v>59</v>
      </c>
      <c r="W1" t="s">
        <v>58</v>
      </c>
      <c r="X1">
        <f>SUM(Tabella161215[[#Totals],[Totale ore]],Tabella16121316[[#Totals],[Totale ore]],Tabella1612131417[[#Totals],[Totale ore]],Tabella161213141718[[#Totals],[Totale ore]],Tabella16121314171819[[#Totals],[Totale ore]])</f>
        <v>864</v>
      </c>
      <c r="Z1" t="s">
        <v>65</v>
      </c>
      <c r="AB1" t="s">
        <v>58</v>
      </c>
      <c r="AC1">
        <f>SUM(Tabella16121520[[#Totals],[Totale ore]],Tabella1612131621[[#Totals],[Totale ore]])</f>
        <v>464</v>
      </c>
      <c r="AE1" t="s">
        <v>118</v>
      </c>
      <c r="AG1" t="s">
        <v>58</v>
      </c>
      <c r="AH1">
        <f>SUM(AG7,AG13)</f>
        <v>160</v>
      </c>
      <c r="AJ1" t="s">
        <v>119</v>
      </c>
      <c r="AL1" t="s">
        <v>58</v>
      </c>
      <c r="AM1">
        <f>SUM(AL7,AL13,Tabella1612131417182368[[#Totals],[Totale ore]],Tabella161213141718236870[[#Totals],[Totale ore]])</f>
        <v>304</v>
      </c>
      <c r="AO1" t="s">
        <v>69</v>
      </c>
      <c r="AQ1" t="s">
        <v>58</v>
      </c>
      <c r="AR1">
        <f>SUM(AQ7,AQ13,AQ19,AQ25)</f>
        <v>576</v>
      </c>
      <c r="AT1" t="s">
        <v>73</v>
      </c>
      <c r="AV1" t="s">
        <v>58</v>
      </c>
      <c r="AW1">
        <f>SUM(AV7,AV13)</f>
        <v>256</v>
      </c>
      <c r="AY1" t="s">
        <v>76</v>
      </c>
      <c r="BA1" t="s">
        <v>58</v>
      </c>
      <c r="BB1">
        <f>SUM(BA7,BA13,BA19,BA25)</f>
        <v>192</v>
      </c>
      <c r="BD1" t="s">
        <v>80</v>
      </c>
      <c r="BF1" t="s">
        <v>58</v>
      </c>
      <c r="BG1">
        <f>SUM(BF7,BF13)</f>
        <v>1344</v>
      </c>
      <c r="BI1" t="s">
        <v>82</v>
      </c>
      <c r="BK1" t="s">
        <v>58</v>
      </c>
      <c r="BL1">
        <f>SUM(BK7,BK13,Tabella16121316212640244345[[#Totals],[Totale ore]])</f>
        <v>240</v>
      </c>
      <c r="BN1" t="s">
        <v>87</v>
      </c>
      <c r="BP1" t="s">
        <v>58</v>
      </c>
      <c r="BQ1">
        <f>SUM(Tabella161215202539113746[[#Totals],[Totale ore]],Tabella16121316212640244347[[#Totals],[Totale ore]],Tabella1612131621264024434549[[#Totals],[Totale ore]],Tabella161213162126402443454951[[#Totals],[Totale ore]],Tabella16121316212640244345495152[[#Totals],[Totale ore]])</f>
        <v>1104</v>
      </c>
      <c r="BT1" t="s">
        <v>88</v>
      </c>
      <c r="BV1" t="s">
        <v>58</v>
      </c>
      <c r="BW1">
        <f>SUM(BV7,Tabella16121520253911373554[[#Totals],[Totale ore]],Tabella1612131621264024435055[[#Totals],[Totale ore]],Tabella1612152025391137355460[[#Totals],[Totale ore]],Tabella161213162126402443505559[[#Totals],[Totale ore]])</f>
        <v>144</v>
      </c>
    </row>
    <row r="2" spans="1:75" x14ac:dyDescent="0.25">
      <c r="A2" s="113">
        <f>SUM(Tabella963[Totale Costo:],Tabella964[Totale Costo:])</f>
        <v>73660</v>
      </c>
    </row>
    <row r="3" spans="1:75" x14ac:dyDescent="0.25">
      <c r="D3" s="115" t="s">
        <v>46</v>
      </c>
      <c r="E3" s="115"/>
      <c r="F3" s="115" t="s">
        <v>48</v>
      </c>
      <c r="G3" s="115">
        <f>SUM(R3,R9,R15)</f>
        <v>186</v>
      </c>
      <c r="I3" s="115" t="s">
        <v>46</v>
      </c>
      <c r="J3" s="115"/>
      <c r="K3" s="115" t="s">
        <v>48</v>
      </c>
      <c r="L3" s="115">
        <f>SUM(R3,R9,R15)</f>
        <v>186</v>
      </c>
      <c r="O3" s="115" t="s">
        <v>54</v>
      </c>
      <c r="P3" s="115"/>
      <c r="Q3" s="115" t="s">
        <v>48</v>
      </c>
      <c r="R3" s="115">
        <f>SUM(X3,X9,X15,X21,X27)</f>
        <v>108</v>
      </c>
      <c r="U3" s="115" t="s">
        <v>60</v>
      </c>
      <c r="V3" s="115"/>
      <c r="W3" s="115" t="s">
        <v>48</v>
      </c>
      <c r="X3" s="115">
        <f>_xlfn.FLOOR.MATH(NETWORKDAYS('Project schedule'!E9,'Project schedule'!F12)*4/6)</f>
        <v>5</v>
      </c>
      <c r="Z3" s="115" t="s">
        <v>118</v>
      </c>
      <c r="AA3" s="115"/>
      <c r="AB3" s="115" t="s">
        <v>48</v>
      </c>
      <c r="AC3" s="115">
        <f>SUM(AH3,AH9)</f>
        <v>20</v>
      </c>
      <c r="AE3" s="115" t="s">
        <v>120</v>
      </c>
      <c r="AF3" s="115"/>
      <c r="AG3" s="115" t="s">
        <v>48</v>
      </c>
      <c r="AH3" s="115">
        <f>NETWORKDAYS('Project schedule'!E18,'Project schedule'!F18)/2*4</f>
        <v>10</v>
      </c>
      <c r="AJ3" s="115" t="s">
        <v>66</v>
      </c>
      <c r="AK3" s="115"/>
      <c r="AL3" s="115" t="s">
        <v>48</v>
      </c>
      <c r="AM3" s="115">
        <f>NETWORKDAYS('Project schedule'!E19,'Project schedule'!F19)*4</f>
        <v>12</v>
      </c>
      <c r="AO3" s="115" t="s">
        <v>70</v>
      </c>
      <c r="AP3" s="115"/>
      <c r="AQ3" s="115" t="s">
        <v>48</v>
      </c>
      <c r="AR3" s="115">
        <f>SUM(AW3,AW9)</f>
        <v>32</v>
      </c>
      <c r="AT3" s="115" t="s">
        <v>74</v>
      </c>
      <c r="AU3" s="115"/>
      <c r="AV3" s="115" t="s">
        <v>48</v>
      </c>
      <c r="AW3" s="115">
        <f>NETWORKDAYS('Project schedule'!E26,'Project schedule'!F27)/2*4</f>
        <v>16</v>
      </c>
      <c r="AY3" s="115" t="s">
        <v>77</v>
      </c>
      <c r="AZ3" s="115"/>
      <c r="BA3" s="115" t="s">
        <v>48</v>
      </c>
      <c r="BB3" s="115">
        <f>_xlfn.CEILING.MATH(NETWORKDAYS('Project schedule'!E29,'Project schedule'!F30)/3*4)</f>
        <v>8</v>
      </c>
      <c r="BD3" s="115" t="s">
        <v>81</v>
      </c>
      <c r="BE3" s="115"/>
      <c r="BF3" s="115" t="s">
        <v>48</v>
      </c>
      <c r="BG3" s="115">
        <f>SUM(BL3,BL9,BL15)</f>
        <v>30</v>
      </c>
      <c r="BI3" s="115" t="s">
        <v>83</v>
      </c>
      <c r="BJ3" s="115"/>
      <c r="BK3" s="115" t="s">
        <v>48</v>
      </c>
      <c r="BL3" s="115">
        <f>_xlfn.CEILING.MATH(NETWORKDAYS('Project schedule'!E39,'Project schedule'!F39)/6*4)</f>
        <v>10</v>
      </c>
      <c r="BN3" s="115" t="s">
        <v>86</v>
      </c>
      <c r="BO3" s="115"/>
      <c r="BP3" s="115" t="s">
        <v>48</v>
      </c>
      <c r="BQ3" s="115">
        <f>NETWORKDAYS('Project schedule'!E40,'Project schedule'!F40)/2*4</f>
        <v>30</v>
      </c>
      <c r="BT3" s="115" t="s">
        <v>89</v>
      </c>
      <c r="BU3" s="115"/>
      <c r="BV3" s="115" t="s">
        <v>48</v>
      </c>
      <c r="BW3" s="115">
        <f>NETWORKDAYS('Project schedule'!E47,'Project schedule'!F47)/4*4</f>
        <v>3</v>
      </c>
    </row>
    <row r="4" spans="1:75" x14ac:dyDescent="0.25">
      <c r="A4" t="s">
        <v>98</v>
      </c>
      <c r="D4" t="s">
        <v>42</v>
      </c>
      <c r="E4" t="s">
        <v>43</v>
      </c>
      <c r="F4" t="s">
        <v>45</v>
      </c>
      <c r="G4" t="s">
        <v>44</v>
      </c>
      <c r="I4" t="s">
        <v>42</v>
      </c>
      <c r="J4" t="s">
        <v>43</v>
      </c>
      <c r="K4" t="s">
        <v>45</v>
      </c>
      <c r="L4" t="s">
        <v>44</v>
      </c>
      <c r="O4" t="s">
        <v>42</v>
      </c>
      <c r="P4" t="s">
        <v>43</v>
      </c>
      <c r="Q4" t="s">
        <v>45</v>
      </c>
      <c r="R4" t="s">
        <v>44</v>
      </c>
      <c r="U4" t="s">
        <v>42</v>
      </c>
      <c r="V4" t="s">
        <v>43</v>
      </c>
      <c r="W4" t="s">
        <v>45</v>
      </c>
      <c r="X4" t="s">
        <v>44</v>
      </c>
      <c r="Z4" t="s">
        <v>42</v>
      </c>
      <c r="AA4" t="s">
        <v>43</v>
      </c>
      <c r="AB4" t="s">
        <v>45</v>
      </c>
      <c r="AC4" t="s">
        <v>44</v>
      </c>
      <c r="AE4" t="s">
        <v>42</v>
      </c>
      <c r="AF4" t="s">
        <v>43</v>
      </c>
      <c r="AG4" t="s">
        <v>45</v>
      </c>
      <c r="AH4" t="s">
        <v>44</v>
      </c>
      <c r="AJ4" t="s">
        <v>42</v>
      </c>
      <c r="AK4" t="s">
        <v>43</v>
      </c>
      <c r="AL4" t="s">
        <v>45</v>
      </c>
      <c r="AM4" t="s">
        <v>44</v>
      </c>
      <c r="AO4" t="s">
        <v>42</v>
      </c>
      <c r="AP4" t="s">
        <v>43</v>
      </c>
      <c r="AQ4" t="s">
        <v>45</v>
      </c>
      <c r="AR4" t="s">
        <v>44</v>
      </c>
      <c r="AT4" t="s">
        <v>42</v>
      </c>
      <c r="AU4" t="s">
        <v>43</v>
      </c>
      <c r="AV4" t="s">
        <v>45</v>
      </c>
      <c r="AW4" t="s">
        <v>44</v>
      </c>
      <c r="AY4" t="s">
        <v>42</v>
      </c>
      <c r="AZ4" t="s">
        <v>43</v>
      </c>
      <c r="BA4" t="s">
        <v>45</v>
      </c>
      <c r="BB4" t="s">
        <v>44</v>
      </c>
      <c r="BD4" t="s">
        <v>42</v>
      </c>
      <c r="BE4" t="s">
        <v>43</v>
      </c>
      <c r="BF4" t="s">
        <v>45</v>
      </c>
      <c r="BG4" t="s">
        <v>44</v>
      </c>
      <c r="BI4" t="s">
        <v>42</v>
      </c>
      <c r="BJ4" t="s">
        <v>43</v>
      </c>
      <c r="BK4" t="s">
        <v>45</v>
      </c>
      <c r="BL4" t="s">
        <v>44</v>
      </c>
      <c r="BN4" t="s">
        <v>42</v>
      </c>
      <c r="BO4" t="s">
        <v>43</v>
      </c>
      <c r="BP4" t="s">
        <v>45</v>
      </c>
      <c r="BQ4" t="s">
        <v>44</v>
      </c>
      <c r="BT4" t="s">
        <v>42</v>
      </c>
      <c r="BU4" t="s">
        <v>43</v>
      </c>
      <c r="BV4" t="s">
        <v>45</v>
      </c>
      <c r="BW4" t="s">
        <v>44</v>
      </c>
    </row>
    <row r="5" spans="1:75" x14ac:dyDescent="0.25">
      <c r="A5" s="113">
        <f>SUM(Tabella1[[#This Row],[Totale]],G11,G18,G25)</f>
        <v>46620</v>
      </c>
      <c r="D5" s="114">
        <v>15</v>
      </c>
      <c r="E5">
        <v>7</v>
      </c>
      <c r="F5">
        <f>Tabella1[[#This Row],['#Membri]]*G3</f>
        <v>1302</v>
      </c>
      <c r="G5" s="114">
        <f>Tabella1[[#This Row],['#Membri]]*Tabella1[[#This Row],[Paga oraria]]*G3</f>
        <v>19530</v>
      </c>
      <c r="I5" s="114">
        <v>20</v>
      </c>
      <c r="J5">
        <v>2</v>
      </c>
      <c r="K5">
        <f>Tabella16[[#This Row],['#Membri]]*L3</f>
        <v>372</v>
      </c>
      <c r="L5" s="114">
        <f>Tabella16[[#This Row],['#Membri]]*Tabella16[[#This Row],[Paga oraria]]*L3</f>
        <v>7440</v>
      </c>
      <c r="O5" s="114">
        <v>15</v>
      </c>
      <c r="P5">
        <v>7</v>
      </c>
      <c r="Q5">
        <f>Tabella1612[[#This Row],['#Membri]]*R3</f>
        <v>756</v>
      </c>
      <c r="R5" s="114">
        <f>Tabella1612[[#This Row],['#Membri]]*Tabella1612[[#This Row],[Paga oraria]]*R3</f>
        <v>11340</v>
      </c>
      <c r="U5" s="114">
        <v>15</v>
      </c>
      <c r="V5">
        <v>7</v>
      </c>
      <c r="W5">
        <f>Tabella161215[[#This Row],['#Membri]]*X3</f>
        <v>35</v>
      </c>
      <c r="X5" s="114">
        <f>Tabella161215[[#This Row],['#Membri]]*Tabella161215[[#This Row],[Paga oraria]]*X3</f>
        <v>525</v>
      </c>
      <c r="Z5" s="114">
        <v>15</v>
      </c>
      <c r="AA5">
        <v>7</v>
      </c>
      <c r="AB5">
        <f>Tabella16121520[[#This Row],['#Membri]]*AC3</f>
        <v>140</v>
      </c>
      <c r="AC5" s="114">
        <f>Tabella16121520[[#This Row],['#Membri]]*Tabella16121520[[#This Row],[Paga oraria]]*AC3</f>
        <v>2100</v>
      </c>
      <c r="AE5" s="114">
        <v>15</v>
      </c>
      <c r="AF5">
        <v>7</v>
      </c>
      <c r="AG5">
        <f>Tabella16121520253350[[#This Row],['#Membri]]*AH3</f>
        <v>70</v>
      </c>
      <c r="AH5" s="114">
        <f>Tabella16121520253350[[#This Row],['#Membri]]*Tabella16121520253350[[#This Row],[Paga oraria]]*AH3</f>
        <v>1050</v>
      </c>
      <c r="AJ5" s="114">
        <v>15</v>
      </c>
      <c r="AK5">
        <v>7</v>
      </c>
      <c r="AL5">
        <f>Tabella161213162167[[#This Row],['#Membri]]*AM3</f>
        <v>84</v>
      </c>
      <c r="AM5" s="114">
        <f>Tabella161213162167[[#This Row],['#Membri]]*Tabella161213162167[[#This Row],[Paga oraria]]*AM3</f>
        <v>1260</v>
      </c>
      <c r="AO5" s="114">
        <v>15</v>
      </c>
      <c r="AP5">
        <v>7</v>
      </c>
      <c r="AQ5">
        <f>Tabella1612152025[[#This Row],['#Membri]]*AR3</f>
        <v>224</v>
      </c>
      <c r="AR5" s="114">
        <f>Tabella1612152025[[#This Row],['#Membri]]*Tabella1612152025[[#This Row],[Paga oraria]]*AR3</f>
        <v>3360</v>
      </c>
      <c r="AT5" s="114">
        <v>15</v>
      </c>
      <c r="AU5">
        <v>7</v>
      </c>
      <c r="AV5">
        <f>Tabella161215202533[[#This Row],['#Membri]]*AW3</f>
        <v>112</v>
      </c>
      <c r="AW5" s="114">
        <f>Tabella161215202533[[#This Row],['#Membri]]*Tabella161215202533[[#This Row],[Paga oraria]]*AW3</f>
        <v>1680</v>
      </c>
      <c r="AY5" s="114">
        <v>15</v>
      </c>
      <c r="AZ5">
        <v>7</v>
      </c>
      <c r="BA5">
        <f>Tabella161215202539[[#This Row],['#Membri]]*BB3</f>
        <v>56</v>
      </c>
      <c r="BB5" s="114">
        <f>Tabella161215202539[[#This Row],['#Membri]]*Tabella161215202539[[#This Row],[Paga oraria]]*BB3</f>
        <v>840</v>
      </c>
      <c r="BD5" s="114">
        <v>15</v>
      </c>
      <c r="BE5">
        <v>7</v>
      </c>
      <c r="BF5">
        <f>Tabella16121520253911[[#This Row],['#Membri]]*BG3</f>
        <v>210</v>
      </c>
      <c r="BG5" s="114">
        <f>Tabella16121520253911[[#This Row],['#Membri]]*Tabella16121520253911[[#This Row],[Paga oraria]]*BG3</f>
        <v>3150</v>
      </c>
      <c r="BI5" s="114">
        <v>15</v>
      </c>
      <c r="BJ5">
        <v>7</v>
      </c>
      <c r="BK5">
        <f>Tabella1612152025391137[[#This Row],['#Membri]]*BL3</f>
        <v>70</v>
      </c>
      <c r="BL5" s="114">
        <f>Tabella1612152025391137[[#This Row],['#Membri]]*Tabella1612152025391137[[#This Row],[Paga oraria]]*BL3</f>
        <v>1050</v>
      </c>
      <c r="BN5" s="114">
        <v>15</v>
      </c>
      <c r="BO5">
        <v>7</v>
      </c>
      <c r="BP5">
        <f>Tabella161215202539113746[[#This Row],['#Membri]]*BQ3</f>
        <v>210</v>
      </c>
      <c r="BQ5" s="114">
        <f>Tabella161215202539113746[[#This Row],['#Membri]]*Tabella161215202539113746[[#This Row],[Paga oraria]]*BQ3</f>
        <v>3150</v>
      </c>
      <c r="BT5" s="114">
        <v>15</v>
      </c>
      <c r="BU5">
        <v>7</v>
      </c>
      <c r="BV5">
        <f>Tabella161215202539113735[[#This Row],['#Membri]]*BW3</f>
        <v>21</v>
      </c>
      <c r="BW5" s="114">
        <f>Tabella161215202539113735[[#This Row],['#Membri]]*Tabella161215202539113735[[#This Row],[Paga oraria]]*BW3</f>
        <v>315</v>
      </c>
    </row>
    <row r="6" spans="1:75" x14ac:dyDescent="0.25">
      <c r="D6" s="114">
        <v>20</v>
      </c>
      <c r="E6">
        <v>1</v>
      </c>
      <c r="F6">
        <f>Tabella1[[#This Row],['#Membri]]*G3</f>
        <v>186</v>
      </c>
      <c r="G6" s="114">
        <f>Tabella1[[#This Row],['#Membri]]*Tabella1[[#This Row],[Paga oraria]]*G3</f>
        <v>3720</v>
      </c>
      <c r="O6" s="114">
        <v>20</v>
      </c>
      <c r="P6">
        <v>1</v>
      </c>
      <c r="Q6">
        <f>Tabella1612[[#This Row],['#Membri]]*R3</f>
        <v>108</v>
      </c>
      <c r="R6" s="114">
        <f>Tabella1612[[#This Row],['#Membri]]*Tabella1612[[#This Row],[Paga oraria]]*R3</f>
        <v>2160</v>
      </c>
      <c r="U6" s="114">
        <v>20</v>
      </c>
      <c r="V6">
        <v>1</v>
      </c>
      <c r="W6">
        <f>Tabella161215[[#This Row],['#Membri]]*X3</f>
        <v>5</v>
      </c>
      <c r="X6" s="114">
        <f>Tabella161215[[#This Row],['#Membri]]*Tabella161215[[#This Row],[Paga oraria]]*X3</f>
        <v>100</v>
      </c>
      <c r="Z6" s="114">
        <v>20</v>
      </c>
      <c r="AA6">
        <v>1</v>
      </c>
      <c r="AB6">
        <f>Tabella16121520[[#This Row],['#Membri]]*AC3</f>
        <v>20</v>
      </c>
      <c r="AC6" s="114">
        <f>Tabella16121520[[#This Row],['#Membri]]*Tabella16121520[[#This Row],[Paga oraria]]*AC3</f>
        <v>400</v>
      </c>
      <c r="AE6" s="114">
        <v>20</v>
      </c>
      <c r="AF6">
        <v>1</v>
      </c>
      <c r="AG6">
        <f>Tabella16121520253350[[#This Row],['#Membri]]*AH3</f>
        <v>10</v>
      </c>
      <c r="AH6" s="114">
        <f>Tabella16121520253350[[#This Row],['#Membri]]*Tabella16121520253350[[#This Row],[Paga oraria]]*AH3</f>
        <v>200</v>
      </c>
      <c r="AJ6" s="114">
        <v>20</v>
      </c>
      <c r="AK6">
        <v>1</v>
      </c>
      <c r="AL6">
        <f>Tabella161213162167[[#This Row],['#Membri]]*AM3</f>
        <v>12</v>
      </c>
      <c r="AM6" s="114">
        <f>Tabella161213162167[[#This Row],['#Membri]]*Tabella161213162167[[#This Row],[Paga oraria]]*AM3</f>
        <v>240</v>
      </c>
      <c r="AO6" s="114">
        <v>20</v>
      </c>
      <c r="AP6">
        <v>1</v>
      </c>
      <c r="AQ6">
        <f>Tabella1612152025[[#This Row],['#Membri]]*AR3</f>
        <v>32</v>
      </c>
      <c r="AR6" s="114">
        <f>Tabella1612152025[[#This Row],['#Membri]]*Tabella1612152025[[#This Row],[Paga oraria]]*AR3</f>
        <v>640</v>
      </c>
      <c r="AT6" s="114">
        <v>20</v>
      </c>
      <c r="AU6">
        <v>1</v>
      </c>
      <c r="AV6">
        <f>Tabella161215202533[[#This Row],['#Membri]]*AW3</f>
        <v>16</v>
      </c>
      <c r="AW6" s="114">
        <f>Tabella161215202533[[#This Row],['#Membri]]*Tabella161215202533[[#This Row],[Paga oraria]]*AW3</f>
        <v>320</v>
      </c>
      <c r="AY6" s="114">
        <v>20</v>
      </c>
      <c r="AZ6">
        <v>1</v>
      </c>
      <c r="BA6">
        <f>Tabella161215202539[[#This Row],['#Membri]]*BB3</f>
        <v>8</v>
      </c>
      <c r="BB6" s="114">
        <f>Tabella161215202539[[#This Row],['#Membri]]*Tabella161215202539[[#This Row],[Paga oraria]]*BB3</f>
        <v>160</v>
      </c>
      <c r="BD6" s="114">
        <v>20</v>
      </c>
      <c r="BE6">
        <v>1</v>
      </c>
      <c r="BF6">
        <f>Tabella16121520253911[[#This Row],['#Membri]]*BG3</f>
        <v>30</v>
      </c>
      <c r="BG6" s="114">
        <f>Tabella16121520253911[[#This Row],['#Membri]]*Tabella16121520253911[[#This Row],[Paga oraria]]*BG3</f>
        <v>600</v>
      </c>
      <c r="BI6" s="114">
        <v>20</v>
      </c>
      <c r="BJ6">
        <v>1</v>
      </c>
      <c r="BK6">
        <f>Tabella1612152025391137[[#This Row],['#Membri]]*BL3</f>
        <v>10</v>
      </c>
      <c r="BL6" s="114">
        <f>Tabella1612152025391137[[#This Row],['#Membri]]*Tabella1612152025391137[[#This Row],[Paga oraria]]*BL3</f>
        <v>200</v>
      </c>
      <c r="BN6" s="114">
        <v>20</v>
      </c>
      <c r="BO6">
        <v>1</v>
      </c>
      <c r="BP6">
        <f>Tabella161215202539113746[[#This Row],['#Membri]]*BQ3</f>
        <v>30</v>
      </c>
      <c r="BQ6" s="114">
        <f>Tabella161215202539113746[[#This Row],['#Membri]]*Tabella161215202539113746[[#This Row],[Paga oraria]]*BQ3</f>
        <v>600</v>
      </c>
      <c r="BT6" s="114">
        <v>20</v>
      </c>
      <c r="BU6">
        <v>1</v>
      </c>
      <c r="BV6">
        <f>Tabella161215202539113735[[#This Row],['#Membri]]*BW3</f>
        <v>3</v>
      </c>
      <c r="BW6" s="114">
        <f>Tabella161215202539113735[[#This Row],['#Membri]]*Tabella161215202539113735[[#This Row],[Paga oraria]]*BW3</f>
        <v>60</v>
      </c>
    </row>
    <row r="7" spans="1:75" x14ac:dyDescent="0.25">
      <c r="A7" t="s">
        <v>99</v>
      </c>
      <c r="D7" s="114"/>
      <c r="F7">
        <f>F5+F6</f>
        <v>1488</v>
      </c>
      <c r="G7" s="114">
        <f>G5+G6</f>
        <v>23250</v>
      </c>
      <c r="I7" s="115" t="s">
        <v>47</v>
      </c>
      <c r="J7" s="115"/>
      <c r="K7" s="115" t="s">
        <v>48</v>
      </c>
      <c r="L7" s="115">
        <f>SUM(AR3,AR9,AR15,AR21)</f>
        <v>72</v>
      </c>
      <c r="O7" s="114"/>
      <c r="Q7">
        <f>SUM(Tabella1612[Totale ore])</f>
        <v>864</v>
      </c>
      <c r="R7" s="114">
        <f>SUM(Tabella1612[Totale])</f>
        <v>13500</v>
      </c>
      <c r="U7" s="114"/>
      <c r="W7">
        <f>SUM(Tabella161215[Totale ore])</f>
        <v>40</v>
      </c>
      <c r="X7" s="114">
        <f>SUM(Tabella161215[Totale])</f>
        <v>625</v>
      </c>
      <c r="Z7" s="114"/>
      <c r="AB7">
        <f>SUM(Tabella16121520[Totale ore])</f>
        <v>160</v>
      </c>
      <c r="AC7" s="114">
        <f>SUM(Tabella16121520[Totale])</f>
        <v>2500</v>
      </c>
      <c r="AE7" s="114"/>
      <c r="AG7">
        <f>SUM(Tabella16121520253350[Totale ore])</f>
        <v>80</v>
      </c>
      <c r="AH7" s="114">
        <f>SUM(Tabella16121520253350[Totale])</f>
        <v>1250</v>
      </c>
      <c r="AJ7" s="114"/>
      <c r="AL7">
        <f>SUM(Tabella161213162167[Totale ore])</f>
        <v>96</v>
      </c>
      <c r="AM7" s="114">
        <f>SUM(Tabella161213162167[Totale])</f>
        <v>1500</v>
      </c>
      <c r="AO7" s="114"/>
      <c r="AQ7">
        <f>SUM(Tabella1612152025[Totale ore])</f>
        <v>256</v>
      </c>
      <c r="AR7" s="114">
        <f>SUM(Tabella1612152025[Totale])</f>
        <v>4000</v>
      </c>
      <c r="AT7" s="114"/>
      <c r="AV7">
        <f>SUM(Tabella161215202533[Totale ore])</f>
        <v>128</v>
      </c>
      <c r="AW7" s="114">
        <f>SUM(Tabella161215202533[Totale])</f>
        <v>2000</v>
      </c>
      <c r="AY7" s="114"/>
      <c r="BA7">
        <f>SUM(Tabella161215202539[Totale ore])</f>
        <v>64</v>
      </c>
      <c r="BB7" s="114">
        <f>SUM(Tabella161215202539[Totale])</f>
        <v>1000</v>
      </c>
      <c r="BD7" s="114"/>
      <c r="BF7">
        <f>SUM(Tabella16121520253911[Totale ore])</f>
        <v>240</v>
      </c>
      <c r="BG7" s="114">
        <f>SUM(Tabella16121520253911[Totale])</f>
        <v>3750</v>
      </c>
      <c r="BI7" s="114"/>
      <c r="BK7">
        <f>SUM(Tabella1612152025391137[Totale ore])</f>
        <v>80</v>
      </c>
      <c r="BL7" s="114">
        <f>SUM(Tabella1612152025391137[Totale])</f>
        <v>1250</v>
      </c>
      <c r="BN7" s="114"/>
      <c r="BP7">
        <f>SUM(Tabella161215202539113746[Totale ore])</f>
        <v>240</v>
      </c>
      <c r="BQ7" s="114">
        <f>SUM(Tabella161215202539113746[Totale])</f>
        <v>3750</v>
      </c>
      <c r="BT7" s="114"/>
      <c r="BV7">
        <f>SUM(Tabella161215202539113735[Totale ore])</f>
        <v>24</v>
      </c>
      <c r="BW7" s="114">
        <f>SUM(Tabella161215202539113735[Totale])</f>
        <v>375</v>
      </c>
    </row>
    <row r="8" spans="1:75" x14ac:dyDescent="0.25">
      <c r="A8" s="113">
        <f>SUM(G6,G12,G19,G26,Tabella964[Totale Costo:])</f>
        <v>27040</v>
      </c>
      <c r="I8" t="s">
        <v>42</v>
      </c>
      <c r="J8" t="s">
        <v>43</v>
      </c>
      <c r="K8" t="s">
        <v>45</v>
      </c>
      <c r="L8" t="s">
        <v>44</v>
      </c>
    </row>
    <row r="9" spans="1:75" x14ac:dyDescent="0.25">
      <c r="D9" s="115" t="s">
        <v>47</v>
      </c>
      <c r="E9" s="115"/>
      <c r="F9" s="115" t="s">
        <v>48</v>
      </c>
      <c r="G9" s="115">
        <f>SUM(AR3,AR9,AR15,AR21)</f>
        <v>72</v>
      </c>
      <c r="I9" s="114">
        <v>20</v>
      </c>
      <c r="J9">
        <v>2</v>
      </c>
      <c r="K9">
        <f>Tabella137[[#This Row],['#Membri]]*L7</f>
        <v>144</v>
      </c>
      <c r="L9" s="114">
        <f>Tabella137[[#This Row],['#Membri]]*Tabella137[[#This Row],[Paga oraria]]*L7</f>
        <v>2880</v>
      </c>
      <c r="O9" s="115" t="s">
        <v>56</v>
      </c>
      <c r="P9" s="115"/>
      <c r="Q9" s="115" t="s">
        <v>48</v>
      </c>
      <c r="R9" s="115">
        <f>SUM(AC3,AC9)</f>
        <v>58</v>
      </c>
      <c r="U9" s="115" t="s">
        <v>61</v>
      </c>
      <c r="V9" s="115"/>
      <c r="W9" s="115" t="s">
        <v>48</v>
      </c>
      <c r="X9" s="115">
        <f>_xlfn.CEILING.MATH(NETWORKDAYS('Project schedule'!E13,'Project schedule'!F13)/6*4)</f>
        <v>5</v>
      </c>
      <c r="Z9" s="115" t="s">
        <v>119</v>
      </c>
      <c r="AA9" s="115"/>
      <c r="AB9" s="115" t="s">
        <v>48</v>
      </c>
      <c r="AC9" s="115">
        <f>SUM(AM3,AM9,AM15,AM21)</f>
        <v>38</v>
      </c>
      <c r="AE9" s="115" t="s">
        <v>121</v>
      </c>
      <c r="AF9" s="115"/>
      <c r="AG9" s="115" t="s">
        <v>48</v>
      </c>
      <c r="AH9" s="115">
        <f>NETWORKDAYS('Project schedule'!E17,'Project schedule'!F17)/2*4</f>
        <v>10</v>
      </c>
      <c r="AJ9" s="115" t="s">
        <v>67</v>
      </c>
      <c r="AK9" s="115"/>
      <c r="AL9" s="115" t="s">
        <v>48</v>
      </c>
      <c r="AM9" s="115">
        <f>NETWORKDAYS('Project schedule'!E20,'Project schedule'!F20)*4/2</f>
        <v>10</v>
      </c>
      <c r="AO9" s="115" t="s">
        <v>71</v>
      </c>
      <c r="AP9" s="115"/>
      <c r="AQ9" s="115" t="s">
        <v>48</v>
      </c>
      <c r="AR9" s="115">
        <f>SUM(BB3,BB9,BB15)</f>
        <v>24</v>
      </c>
      <c r="AT9" s="115" t="s">
        <v>75</v>
      </c>
      <c r="AU9" s="115"/>
      <c r="AV9" s="115" t="s">
        <v>48</v>
      </c>
      <c r="AW9" s="115">
        <f>NETWORKDAYS('Project schedule'!E28,'Project schedule'!F28)/2*4</f>
        <v>16</v>
      </c>
      <c r="AY9" s="115" t="s">
        <v>78</v>
      </c>
      <c r="AZ9" s="115"/>
      <c r="BA9" s="115" t="s">
        <v>48</v>
      </c>
      <c r="BB9" s="115">
        <f>_xlfn.FLOOR.MATH(NETWORKDAYS('Project schedule'!E31,'Project schedule'!F31)/3*4)</f>
        <v>8</v>
      </c>
      <c r="BD9" s="115" t="s">
        <v>33</v>
      </c>
      <c r="BE9" s="115"/>
      <c r="BF9" s="115" t="s">
        <v>48</v>
      </c>
      <c r="BG9" s="115">
        <f>SUM(BQ3,BQ9,BQ15,BQ21,BQ27)</f>
        <v>138</v>
      </c>
      <c r="BI9" s="115" t="s">
        <v>84</v>
      </c>
      <c r="BJ9" s="115"/>
      <c r="BK9" s="115" t="s">
        <v>48</v>
      </c>
      <c r="BL9" s="115">
        <f>_xlfn.CEILING.MATH(NETWORKDAYS('Project schedule'!E39,'Project schedule'!F39)/6*4)</f>
        <v>10</v>
      </c>
      <c r="BN9" s="115" t="s">
        <v>128</v>
      </c>
      <c r="BO9" s="115"/>
      <c r="BP9" s="115" t="s">
        <v>48</v>
      </c>
      <c r="BQ9" s="115">
        <f>NETWORKDAYS('Project schedule'!E41,'Project schedule'!F41)*4</f>
        <v>28</v>
      </c>
      <c r="BT9" s="115" t="s">
        <v>94</v>
      </c>
      <c r="BU9" s="115"/>
      <c r="BV9" s="115" t="s">
        <v>48</v>
      </c>
      <c r="BW9" s="115">
        <f>NETWORKDAYS('Project schedule'!E48,'Project schedule'!F48)/4*4</f>
        <v>2</v>
      </c>
    </row>
    <row r="10" spans="1:75" x14ac:dyDescent="0.25">
      <c r="A10" t="s">
        <v>140</v>
      </c>
      <c r="D10" t="s">
        <v>42</v>
      </c>
      <c r="E10" t="s">
        <v>43</v>
      </c>
      <c r="F10" t="s">
        <v>45</v>
      </c>
      <c r="G10" t="s">
        <v>44</v>
      </c>
      <c r="O10" t="s">
        <v>42</v>
      </c>
      <c r="P10" t="s">
        <v>43</v>
      </c>
      <c r="Q10" t="s">
        <v>45</v>
      </c>
      <c r="R10" t="s">
        <v>44</v>
      </c>
      <c r="U10" t="s">
        <v>42</v>
      </c>
      <c r="V10" t="s">
        <v>43</v>
      </c>
      <c r="W10" t="s">
        <v>45</v>
      </c>
      <c r="X10" t="s">
        <v>44</v>
      </c>
      <c r="Z10" t="s">
        <v>42</v>
      </c>
      <c r="AA10" t="s">
        <v>43</v>
      </c>
      <c r="AB10" t="s">
        <v>45</v>
      </c>
      <c r="AC10" t="s">
        <v>44</v>
      </c>
      <c r="AE10" t="s">
        <v>42</v>
      </c>
      <c r="AF10" t="s">
        <v>43</v>
      </c>
      <c r="AG10" t="s">
        <v>45</v>
      </c>
      <c r="AH10" t="s">
        <v>44</v>
      </c>
      <c r="AJ10" t="s">
        <v>42</v>
      </c>
      <c r="AK10" t="s">
        <v>43</v>
      </c>
      <c r="AL10" t="s">
        <v>45</v>
      </c>
      <c r="AM10" t="s">
        <v>44</v>
      </c>
      <c r="AO10" t="s">
        <v>42</v>
      </c>
      <c r="AP10" t="s">
        <v>43</v>
      </c>
      <c r="AQ10" t="s">
        <v>45</v>
      </c>
      <c r="AR10" t="s">
        <v>44</v>
      </c>
      <c r="AT10" t="s">
        <v>42</v>
      </c>
      <c r="AU10" t="s">
        <v>43</v>
      </c>
      <c r="AV10" t="s">
        <v>45</v>
      </c>
      <c r="AW10" t="s">
        <v>44</v>
      </c>
      <c r="AY10" t="s">
        <v>42</v>
      </c>
      <c r="AZ10" t="s">
        <v>43</v>
      </c>
      <c r="BA10" t="s">
        <v>45</v>
      </c>
      <c r="BB10" t="s">
        <v>44</v>
      </c>
      <c r="BD10" t="s">
        <v>42</v>
      </c>
      <c r="BE10" t="s">
        <v>43</v>
      </c>
      <c r="BF10" t="s">
        <v>45</v>
      </c>
      <c r="BG10" t="s">
        <v>44</v>
      </c>
      <c r="BI10" t="s">
        <v>42</v>
      </c>
      <c r="BJ10" t="s">
        <v>43</v>
      </c>
      <c r="BK10" t="s">
        <v>45</v>
      </c>
      <c r="BL10" t="s">
        <v>44</v>
      </c>
      <c r="BN10" t="s">
        <v>42</v>
      </c>
      <c r="BO10" t="s">
        <v>43</v>
      </c>
      <c r="BP10" t="s">
        <v>45</v>
      </c>
      <c r="BQ10" t="s">
        <v>44</v>
      </c>
      <c r="BT10" t="s">
        <v>42</v>
      </c>
      <c r="BU10" t="s">
        <v>43</v>
      </c>
      <c r="BV10" t="s">
        <v>45</v>
      </c>
      <c r="BW10" t="s">
        <v>44</v>
      </c>
    </row>
    <row r="11" spans="1:75" x14ac:dyDescent="0.25">
      <c r="A11" s="113">
        <v>8300</v>
      </c>
      <c r="D11" s="114">
        <v>15</v>
      </c>
      <c r="E11">
        <v>7</v>
      </c>
      <c r="F11">
        <f>Tabella13[[#This Row],['#Membri]]*G9</f>
        <v>504</v>
      </c>
      <c r="G11" s="114">
        <f>Tabella13[[#This Row],['#Membri]]*Tabella13[[#This Row],[Paga oraria]]*G9</f>
        <v>7560</v>
      </c>
      <c r="O11" s="114">
        <v>15</v>
      </c>
      <c r="P11">
        <v>7</v>
      </c>
      <c r="Q11">
        <f>Tabella161213[[#This Row],['#Membri]]*R9</f>
        <v>406</v>
      </c>
      <c r="R11" s="114">
        <f>Tabella161213[[#This Row],['#Membri]]*Tabella161213[[#This Row],[Paga oraria]]*R9</f>
        <v>6090</v>
      </c>
      <c r="U11" s="114">
        <v>15</v>
      </c>
      <c r="V11">
        <v>7</v>
      </c>
      <c r="W11">
        <f>Tabella16121316[[#This Row],['#Membri]]*X9</f>
        <v>35</v>
      </c>
      <c r="X11" s="114">
        <f>Tabella16121316[[#This Row],['#Membri]]*Tabella16121316[[#This Row],[Paga oraria]]*X9</f>
        <v>525</v>
      </c>
      <c r="Z11" s="114">
        <v>15</v>
      </c>
      <c r="AA11">
        <v>7</v>
      </c>
      <c r="AB11">
        <f>Tabella1612131621[[#This Row],['#Membri]]*AC9</f>
        <v>266</v>
      </c>
      <c r="AC11" s="114">
        <f>Tabella1612131621[[#This Row],['#Membri]]*Tabella1612131621[[#This Row],[Paga oraria]]*AC9</f>
        <v>3990</v>
      </c>
      <c r="AE11" s="114">
        <v>15</v>
      </c>
      <c r="AF11">
        <v>7</v>
      </c>
      <c r="AG11">
        <f>Tabella1612131621263456[[#This Row],['#Membri]]*AH9</f>
        <v>70</v>
      </c>
      <c r="AH11" s="114">
        <f>Tabella1612131621263456[[#This Row],['#Membri]]*Tabella1612131621263456[[#This Row],[Paga oraria]]*AH9</f>
        <v>1050</v>
      </c>
      <c r="AJ11" s="114">
        <v>15</v>
      </c>
      <c r="AK11">
        <v>7</v>
      </c>
      <c r="AL11">
        <f>Tabella16121314172269[[#This Row],['#Membri]]*AM9</f>
        <v>70</v>
      </c>
      <c r="AM11" s="114">
        <f>Tabella16121314172269[[#This Row],['#Membri]]*Tabella16121314172269[[#This Row],[Paga oraria]]*AM9</f>
        <v>1050</v>
      </c>
      <c r="AO11" s="114">
        <v>15</v>
      </c>
      <c r="AP11">
        <v>7</v>
      </c>
      <c r="AQ11">
        <f>Tabella161213162126[[#This Row],['#Membri]]*AR9</f>
        <v>168</v>
      </c>
      <c r="AR11" s="114">
        <f>Tabella161213162126[[#This Row],['#Membri]]*Tabella161213162126[[#This Row],[Paga oraria]]*AR9</f>
        <v>2520</v>
      </c>
      <c r="AT11" s="114">
        <v>15</v>
      </c>
      <c r="AU11">
        <v>7</v>
      </c>
      <c r="AV11">
        <f>Tabella16121316212634[[#This Row],['#Membri]]*AW9</f>
        <v>112</v>
      </c>
      <c r="AW11" s="114">
        <f>Tabella16121316212634[[#This Row],['#Membri]]*Tabella16121316212634[[#This Row],[Paga oraria]]*AW9</f>
        <v>1680</v>
      </c>
      <c r="AY11" s="114">
        <v>15</v>
      </c>
      <c r="AZ11">
        <v>7</v>
      </c>
      <c r="BA11">
        <f>Tabella16121316212640[[#This Row],['#Membri]]*BB9</f>
        <v>56</v>
      </c>
      <c r="BB11" s="114">
        <f>Tabella16121316212640[[#This Row],['#Membri]]*Tabella16121316212640[[#This Row],[Paga oraria]]*BB9</f>
        <v>840</v>
      </c>
      <c r="BD11" s="114">
        <v>15</v>
      </c>
      <c r="BE11">
        <v>7</v>
      </c>
      <c r="BF11">
        <f>Tabella1612131621264024[[#This Row],['#Membri]]*BG9</f>
        <v>966</v>
      </c>
      <c r="BG11" s="114">
        <f>Tabella1612131621264024[[#This Row],['#Membri]]*Tabella1612131621264024[[#This Row],[Paga oraria]]*BG9</f>
        <v>14490</v>
      </c>
      <c r="BI11" s="114">
        <v>15</v>
      </c>
      <c r="BJ11">
        <v>7</v>
      </c>
      <c r="BK11">
        <f>Tabella161213162126402443[[#This Row],['#Membri]]*BL9</f>
        <v>70</v>
      </c>
      <c r="BL11" s="114">
        <f>Tabella161213162126402443[[#This Row],['#Membri]]*Tabella161213162126402443[[#This Row],[Paga oraria]]*BL9</f>
        <v>1050</v>
      </c>
      <c r="BN11" s="114">
        <v>15</v>
      </c>
      <c r="BO11">
        <v>7</v>
      </c>
      <c r="BP11">
        <f>Tabella16121316212640244347[[#This Row],['#Membri]]*BQ9</f>
        <v>196</v>
      </c>
      <c r="BQ11" s="114">
        <f>Tabella16121316212640244347[[#This Row],['#Membri]]*Tabella16121316212640244347[[#This Row],[Paga oraria]]*BQ9</f>
        <v>2940</v>
      </c>
      <c r="BT11" s="114">
        <v>15</v>
      </c>
      <c r="BU11">
        <v>7</v>
      </c>
      <c r="BV11">
        <f>Tabella16121520253911373554[[#This Row],['#Membri]]*BW9</f>
        <v>14</v>
      </c>
      <c r="BW11" s="114">
        <f>Tabella16121520253911373554[[#This Row],['#Membri]]*Tabella16121520253911373554[[#This Row],[Paga oraria]]*BW9</f>
        <v>210</v>
      </c>
    </row>
    <row r="12" spans="1:75" x14ac:dyDescent="0.25">
      <c r="D12" s="114">
        <v>20</v>
      </c>
      <c r="E12">
        <v>1</v>
      </c>
      <c r="F12">
        <f>Tabella13[[#This Row],['#Membri]]*G9</f>
        <v>72</v>
      </c>
      <c r="G12" s="114">
        <f>Tabella13[[#This Row],['#Membri]]*Tabella13[[#This Row],[Paga oraria]]*G9</f>
        <v>1440</v>
      </c>
      <c r="I12" s="115" t="s">
        <v>49</v>
      </c>
      <c r="J12" s="115"/>
      <c r="K12" s="115" t="s">
        <v>48</v>
      </c>
      <c r="L12" s="115">
        <f>NETWORKDAYS('Project schedule'!E45,'Project schedule'!F45)*4</f>
        <v>168</v>
      </c>
      <c r="O12" s="114">
        <v>20</v>
      </c>
      <c r="P12">
        <v>1</v>
      </c>
      <c r="Q12">
        <f>Tabella161213[[#This Row],['#Membri]]*R9</f>
        <v>58</v>
      </c>
      <c r="R12" s="114">
        <f>Tabella161213[[#This Row],['#Membri]]*Tabella161213[[#This Row],[Paga oraria]]*R9</f>
        <v>1160</v>
      </c>
      <c r="U12" s="114">
        <v>20</v>
      </c>
      <c r="V12">
        <v>1</v>
      </c>
      <c r="W12">
        <f>Tabella16121316[[#This Row],['#Membri]]*X9</f>
        <v>5</v>
      </c>
      <c r="X12" s="114">
        <f>Tabella16121316[[#This Row],['#Membri]]*Tabella16121316[[#This Row],[Paga oraria]]*X9</f>
        <v>100</v>
      </c>
      <c r="Z12" s="114">
        <v>20</v>
      </c>
      <c r="AA12">
        <v>1</v>
      </c>
      <c r="AB12">
        <f>Tabella1612131621[[#This Row],['#Membri]]*AC9</f>
        <v>38</v>
      </c>
      <c r="AC12" s="114">
        <f>Tabella1612131621[[#This Row],['#Membri]]*Tabella1612131621[[#This Row],[Paga oraria]]*AC9</f>
        <v>760</v>
      </c>
      <c r="AE12" s="114">
        <v>20</v>
      </c>
      <c r="AF12">
        <v>1</v>
      </c>
      <c r="AG12">
        <f>Tabella1612131621263456[[#This Row],['#Membri]]*AH9</f>
        <v>10</v>
      </c>
      <c r="AH12" s="114">
        <f>Tabella1612131621263456[[#This Row],['#Membri]]*Tabella1612131621263456[[#This Row],[Paga oraria]]*AH9</f>
        <v>200</v>
      </c>
      <c r="AJ12" s="114">
        <v>20</v>
      </c>
      <c r="AK12">
        <v>1</v>
      </c>
      <c r="AL12">
        <f>Tabella16121314172269[[#This Row],['#Membri]]*AM9</f>
        <v>10</v>
      </c>
      <c r="AM12" s="114">
        <f>Tabella16121314172269[[#This Row],[Paga oraria]]*Tabella16121314172269[[#This Row],['#Membri]]*AM9</f>
        <v>200</v>
      </c>
      <c r="AO12" s="114">
        <v>20</v>
      </c>
      <c r="AP12">
        <v>1</v>
      </c>
      <c r="AQ12">
        <f>Tabella161213162126[[#This Row],['#Membri]]*AR9</f>
        <v>24</v>
      </c>
      <c r="AR12" s="114">
        <f>Tabella161213162126[[#This Row],['#Membri]]*Tabella161213162126[[#This Row],[Paga oraria]]*AR9</f>
        <v>480</v>
      </c>
      <c r="AT12" s="114">
        <v>20</v>
      </c>
      <c r="AU12">
        <v>1</v>
      </c>
      <c r="AV12">
        <f>Tabella16121316212634[[#This Row],['#Membri]]*AW9</f>
        <v>16</v>
      </c>
      <c r="AW12" s="114">
        <f>Tabella16121316212634[[#This Row],['#Membri]]*Tabella16121316212634[[#This Row],[Paga oraria]]*AW9</f>
        <v>320</v>
      </c>
      <c r="AY12" s="114">
        <v>20</v>
      </c>
      <c r="AZ12">
        <v>1</v>
      </c>
      <c r="BA12">
        <f>Tabella16121316212640[[#This Row],['#Membri]]*BB9</f>
        <v>8</v>
      </c>
      <c r="BB12" s="114">
        <f>Tabella16121316212640[[#This Row],['#Membri]]*Tabella16121316212640[[#This Row],[Paga oraria]]*BB9</f>
        <v>160</v>
      </c>
      <c r="BD12" s="114">
        <v>20</v>
      </c>
      <c r="BE12">
        <v>1</v>
      </c>
      <c r="BF12">
        <f>Tabella1612131621264024[[#This Row],['#Membri]]*BG9</f>
        <v>138</v>
      </c>
      <c r="BG12" s="114">
        <f>Tabella1612131621264024[[#This Row],['#Membri]]*Tabella1612131621264024[[#This Row],[Paga oraria]]*BG9</f>
        <v>2760</v>
      </c>
      <c r="BI12" s="114">
        <v>20</v>
      </c>
      <c r="BJ12">
        <v>1</v>
      </c>
      <c r="BK12">
        <f>Tabella161213162126402443[[#This Row],['#Membri]]*BL9</f>
        <v>10</v>
      </c>
      <c r="BL12" s="114">
        <f>Tabella161213162126402443[[#This Row],['#Membri]]*Tabella161213162126402443[[#This Row],[Paga oraria]]*BL9</f>
        <v>200</v>
      </c>
      <c r="BN12" s="114">
        <v>20</v>
      </c>
      <c r="BO12">
        <v>1</v>
      </c>
      <c r="BP12">
        <f>Tabella16121316212640244347[[#This Row],['#Membri]]*BQ9</f>
        <v>28</v>
      </c>
      <c r="BQ12" s="114">
        <f>Tabella16121316212640244347[[#This Row],['#Membri]]*Tabella16121316212640244347[[#This Row],[Paga oraria]]*BQ9</f>
        <v>560</v>
      </c>
      <c r="BT12" s="114">
        <v>20</v>
      </c>
      <c r="BU12">
        <v>1</v>
      </c>
      <c r="BV12">
        <f>Tabella16121520253911373554[[#This Row],['#Membri]]*BW9</f>
        <v>2</v>
      </c>
      <c r="BW12" s="114">
        <f>Tabella16121520253911373554[[#This Row],['#Membri]]*Tabella16121520253911373554[[#This Row],[Paga oraria]]*BW9</f>
        <v>40</v>
      </c>
    </row>
    <row r="13" spans="1:75" x14ac:dyDescent="0.25">
      <c r="A13" t="s">
        <v>133</v>
      </c>
      <c r="D13" s="114"/>
      <c r="F13">
        <f>F11+F12</f>
        <v>576</v>
      </c>
      <c r="G13" s="114">
        <f>G11+G12</f>
        <v>9000</v>
      </c>
      <c r="I13" t="s">
        <v>42</v>
      </c>
      <c r="J13" t="s">
        <v>43</v>
      </c>
      <c r="K13" t="s">
        <v>45</v>
      </c>
      <c r="L13" t="s">
        <v>44</v>
      </c>
      <c r="O13" s="114"/>
      <c r="Q13">
        <f>SUM(Tabella161213[Totale ore])</f>
        <v>464</v>
      </c>
      <c r="R13" s="114">
        <f>SUM(Tabella161213[Totale])</f>
        <v>7250</v>
      </c>
      <c r="U13" s="114"/>
      <c r="W13">
        <f>SUM(Tabella16121316[Totale ore])</f>
        <v>40</v>
      </c>
      <c r="X13" s="114">
        <f>SUM(Tabella16121316[Totale])</f>
        <v>625</v>
      </c>
      <c r="Z13" s="114"/>
      <c r="AB13">
        <f>SUM(Tabella1612131621[Totale ore])</f>
        <v>304</v>
      </c>
      <c r="AC13" s="114">
        <f>SUM(Tabella1612131621[Totale])</f>
        <v>4750</v>
      </c>
      <c r="AE13" s="113"/>
      <c r="AG13">
        <f>SUM(Tabella1612131621263456[Totale ore])</f>
        <v>80</v>
      </c>
      <c r="AH13" s="113">
        <f>SUM(Tabella1612131621263456[Totale])</f>
        <v>1250</v>
      </c>
      <c r="AJ13" s="113"/>
      <c r="AL13">
        <f>SUM(Tabella16121314172269[Totale ore])</f>
        <v>80</v>
      </c>
      <c r="AM13" s="113">
        <f>SUM(Tabella16121314172269[Totale])</f>
        <v>1250</v>
      </c>
      <c r="AO13" s="114"/>
      <c r="AQ13">
        <f>SUM(Tabella161213162126[Totale ore])</f>
        <v>192</v>
      </c>
      <c r="AR13" s="114">
        <f>SUM(Tabella161213162126[Totale])</f>
        <v>3000</v>
      </c>
      <c r="AT13" s="114"/>
      <c r="AV13">
        <f>SUM(Tabella16121316212634[Totale ore])</f>
        <v>128</v>
      </c>
      <c r="AW13" s="114">
        <f>SUM(Tabella16121316212634[Totale])</f>
        <v>2000</v>
      </c>
      <c r="AY13" s="114"/>
      <c r="BA13">
        <f>SUM(Tabella16121316212640[Totale ore])</f>
        <v>64</v>
      </c>
      <c r="BB13" s="114">
        <f>SUM(Tabella16121316212640[Totale])</f>
        <v>1000</v>
      </c>
      <c r="BD13" s="114"/>
      <c r="BF13">
        <f>SUM(Tabella1612131621264024[Totale ore])</f>
        <v>1104</v>
      </c>
      <c r="BG13" s="114">
        <f>SUM(Tabella1612131621264024[Totale])</f>
        <v>17250</v>
      </c>
      <c r="BI13" s="114"/>
      <c r="BK13">
        <f>SUM(Tabella161213162126402443[Totale ore])</f>
        <v>80</v>
      </c>
      <c r="BL13" s="114">
        <f>SUM(Tabella161213162126402443[Totale])</f>
        <v>1250</v>
      </c>
      <c r="BN13" s="114"/>
      <c r="BP13">
        <f>SUM(Tabella16121316212640244347[Totale ore])</f>
        <v>224</v>
      </c>
      <c r="BQ13" s="114">
        <f>SUM(Tabella16121316212640244347[Totale])</f>
        <v>3500</v>
      </c>
      <c r="BT13" s="114"/>
      <c r="BV13">
        <f>SUM(Tabella16121520253911373554[Totale ore])</f>
        <v>16</v>
      </c>
      <c r="BW13" s="114">
        <f>SUM(Tabella16121520253911373554[Totale])</f>
        <v>250</v>
      </c>
    </row>
    <row r="14" spans="1:75" x14ac:dyDescent="0.25">
      <c r="A14" s="113">
        <f>0.1*79200</f>
        <v>7920</v>
      </c>
      <c r="I14" s="114">
        <v>20</v>
      </c>
      <c r="J14">
        <v>2</v>
      </c>
      <c r="K14">
        <f>Tabella1348[[#This Row],['#Membri]]*L12</f>
        <v>336</v>
      </c>
      <c r="L14" s="114">
        <f>Tabella1348[[#This Row],['#Membri]]*Tabella1348[[#This Row],[Paga oraria]]*L12</f>
        <v>6720</v>
      </c>
    </row>
    <row r="15" spans="1:75" x14ac:dyDescent="0.25">
      <c r="O15" s="115" t="s">
        <v>57</v>
      </c>
      <c r="P15" s="115"/>
      <c r="Q15" s="115" t="s">
        <v>48</v>
      </c>
      <c r="R15" s="115">
        <f>NETWORKDAYS('Project schedule'!E23,'Project schedule'!F23)*4</f>
        <v>20</v>
      </c>
      <c r="U15" s="115" t="s">
        <v>62</v>
      </c>
      <c r="V15" s="115"/>
      <c r="W15" s="115" t="s">
        <v>48</v>
      </c>
      <c r="X15" s="115">
        <f>_xlfn.CEILING.MATH(NETWORKDAYS('Project schedule'!E14,'Project schedule'!F14)/6*4)</f>
        <v>6</v>
      </c>
      <c r="AJ15" s="115" t="s">
        <v>68</v>
      </c>
      <c r="AK15" s="115"/>
      <c r="AL15" s="115" t="s">
        <v>48</v>
      </c>
      <c r="AM15" s="115">
        <f>NETWORKDAYS('Project schedule'!E21,'Project schedule'!F21)*4/2</f>
        <v>4</v>
      </c>
      <c r="AO15" s="115" t="s">
        <v>72</v>
      </c>
      <c r="AP15" s="115"/>
      <c r="AQ15" s="115" t="s">
        <v>48</v>
      </c>
      <c r="AR15" s="115">
        <f>NETWORKDAYS('Project schedule'!E34,'Project schedule'!F35)*4-4*2</f>
        <v>8</v>
      </c>
      <c r="AY15" s="115" t="s">
        <v>79</v>
      </c>
      <c r="AZ15" s="115"/>
      <c r="BA15" s="115" t="s">
        <v>48</v>
      </c>
      <c r="BB15" s="115">
        <f>_xlfn.FLOOR.MATH(NETWORKDAYS('Project schedule'!E32,'Project schedule'!F32)/3*4)</f>
        <v>8</v>
      </c>
      <c r="BI15" s="115" t="s">
        <v>85</v>
      </c>
      <c r="BJ15" s="115"/>
      <c r="BK15" s="115" t="s">
        <v>48</v>
      </c>
      <c r="BL15" s="115">
        <f>_xlfn.FLOOR.MATH(NETWORKDAYS('Project schedule'!E39,'Project schedule'!F39)/6*4)</f>
        <v>10</v>
      </c>
      <c r="BN15" s="115" t="s">
        <v>129</v>
      </c>
      <c r="BO15" s="115"/>
      <c r="BP15" s="115" t="s">
        <v>48</v>
      </c>
      <c r="BQ15" s="115">
        <f>NETWORKDAYS('Project schedule'!E42,'Project schedule'!F42)*4</f>
        <v>32</v>
      </c>
      <c r="BT15" s="115" t="s">
        <v>95</v>
      </c>
      <c r="BU15" s="115"/>
      <c r="BV15" s="115" t="s">
        <v>48</v>
      </c>
      <c r="BW15" s="115">
        <f>NETWORKDAYS('Project schedule'!E49,'Project schedule'!F49)*4</f>
        <v>8</v>
      </c>
    </row>
    <row r="16" spans="1:75" x14ac:dyDescent="0.25">
      <c r="D16" s="115" t="s">
        <v>49</v>
      </c>
      <c r="E16" s="115"/>
      <c r="F16" s="115" t="s">
        <v>48</v>
      </c>
      <c r="G16" s="115">
        <f>SUM(BG3,BG9)</f>
        <v>168</v>
      </c>
      <c r="O16" t="s">
        <v>42</v>
      </c>
      <c r="P16" t="s">
        <v>43</v>
      </c>
      <c r="Q16" t="s">
        <v>45</v>
      </c>
      <c r="R16" t="s">
        <v>44</v>
      </c>
      <c r="U16" t="s">
        <v>42</v>
      </c>
      <c r="V16" t="s">
        <v>43</v>
      </c>
      <c r="W16" t="s">
        <v>45</v>
      </c>
      <c r="X16" t="s">
        <v>44</v>
      </c>
      <c r="Z16" t="s">
        <v>53</v>
      </c>
      <c r="AE16" t="s">
        <v>53</v>
      </c>
      <c r="AJ16" t="s">
        <v>42</v>
      </c>
      <c r="AK16" t="s">
        <v>43</v>
      </c>
      <c r="AL16" t="s">
        <v>45</v>
      </c>
      <c r="AM16" t="s">
        <v>44</v>
      </c>
      <c r="AO16" t="s">
        <v>42</v>
      </c>
      <c r="AP16" t="s">
        <v>43</v>
      </c>
      <c r="AQ16" t="s">
        <v>45</v>
      </c>
      <c r="AR16" t="s">
        <v>44</v>
      </c>
      <c r="AT16" t="s">
        <v>53</v>
      </c>
      <c r="AY16" t="s">
        <v>42</v>
      </c>
      <c r="AZ16" t="s">
        <v>43</v>
      </c>
      <c r="BA16" t="s">
        <v>45</v>
      </c>
      <c r="BB16" t="s">
        <v>44</v>
      </c>
      <c r="BD16" t="s">
        <v>53</v>
      </c>
      <c r="BI16" t="s">
        <v>42</v>
      </c>
      <c r="BJ16" t="s">
        <v>43</v>
      </c>
      <c r="BK16" t="s">
        <v>45</v>
      </c>
      <c r="BL16" t="s">
        <v>44</v>
      </c>
      <c r="BN16" t="s">
        <v>42</v>
      </c>
      <c r="BO16" t="s">
        <v>43</v>
      </c>
      <c r="BP16" t="s">
        <v>45</v>
      </c>
      <c r="BQ16" t="s">
        <v>44</v>
      </c>
      <c r="BT16" t="s">
        <v>42</v>
      </c>
      <c r="BU16" t="s">
        <v>43</v>
      </c>
      <c r="BV16" t="s">
        <v>45</v>
      </c>
      <c r="BW16" t="s">
        <v>44</v>
      </c>
    </row>
    <row r="17" spans="4:75" x14ac:dyDescent="0.25">
      <c r="D17" t="s">
        <v>42</v>
      </c>
      <c r="E17" t="s">
        <v>43</v>
      </c>
      <c r="F17" t="s">
        <v>45</v>
      </c>
      <c r="G17" t="s">
        <v>44</v>
      </c>
      <c r="I17" s="115" t="s">
        <v>50</v>
      </c>
      <c r="J17" s="115"/>
      <c r="K17" s="115" t="s">
        <v>48</v>
      </c>
      <c r="L17" s="115">
        <f>NETWORKDAYS('Project schedule'!E52,'Project schedule'!F52)*4</f>
        <v>28</v>
      </c>
      <c r="O17" s="114">
        <v>15</v>
      </c>
      <c r="P17">
        <v>7</v>
      </c>
      <c r="Q17">
        <f>Tabella16121314[[#This Row],['#Membri]]*R15</f>
        <v>140</v>
      </c>
      <c r="R17" s="114">
        <f>Tabella16121314[[#This Row],['#Membri]]*Tabella16121314[[#This Row],[Paga oraria]]*R15</f>
        <v>2100</v>
      </c>
      <c r="U17" s="114">
        <v>15</v>
      </c>
      <c r="V17">
        <v>7</v>
      </c>
      <c r="W17">
        <f>Tabella1612131417[[#This Row],['#Membri]]*X15</f>
        <v>42</v>
      </c>
      <c r="X17" s="114">
        <f>Tabella1612131417[[#This Row],['#Membri]]*Tabella1612131417[[#This Row],[Paga oraria]]*X15</f>
        <v>630</v>
      </c>
      <c r="Z17" s="113">
        <f>SUM(Tabella16121520[[#Totals],[Totale]],Tabella1612131621[[#Totals],[Totale]])</f>
        <v>7250</v>
      </c>
      <c r="AE17" s="113">
        <f>SUM(Tabella16121520253350[[#Totals],[Totale]],Tabella1612131621263456[[#Totals],[Totale]])</f>
        <v>2500</v>
      </c>
      <c r="AJ17" s="114">
        <v>15</v>
      </c>
      <c r="AK17">
        <v>7</v>
      </c>
      <c r="AL17">
        <f>Tabella1612131417182368[[#This Row],['#Membri]]*AM15</f>
        <v>28</v>
      </c>
      <c r="AM17" s="114">
        <f>Tabella1612131417182368[[#This Row],['#Membri]]*Tabella1612131417182368[[#This Row],[Paga oraria]]*AM15</f>
        <v>420</v>
      </c>
      <c r="AO17" s="114">
        <v>15</v>
      </c>
      <c r="AP17">
        <v>7</v>
      </c>
      <c r="AQ17">
        <f>Tabella16121314172228[[#This Row],['#Membri]]*AR15</f>
        <v>56</v>
      </c>
      <c r="AR17" s="114">
        <f>Tabella16121314172228[[#This Row],['#Membri]]*Tabella16121314172228[[#This Row],[Paga oraria]]*AR15</f>
        <v>840</v>
      </c>
      <c r="AT17" s="113">
        <f>SUM(Tabella161215202533[[#Totals],[Totale]],Tabella16121316212634[[#Totals],[Totale]])</f>
        <v>4000</v>
      </c>
      <c r="AY17" s="114">
        <v>15</v>
      </c>
      <c r="AZ17">
        <v>7</v>
      </c>
      <c r="BA17">
        <f>Tabella1612131417222841[[#This Row],['#Membri]]*BB15</f>
        <v>56</v>
      </c>
      <c r="BB17" s="114">
        <f>Tabella1612131417222841[[#This Row],['#Membri]]*Tabella1612131417222841[[#This Row],[Paga oraria]]*BB15</f>
        <v>840</v>
      </c>
      <c r="BD17" s="113">
        <f>SUM(Tabella16121520253911[[#Totals],[Totale]],Tabella1612131621264024[[#Totals],[Totale]])</f>
        <v>21000</v>
      </c>
      <c r="BI17" s="114">
        <v>15</v>
      </c>
      <c r="BJ17">
        <v>7</v>
      </c>
      <c r="BK17">
        <f>Tabella16121316212640244345[[#This Row],['#Membri]]*BL15</f>
        <v>70</v>
      </c>
      <c r="BL17" s="114">
        <f>Tabella16121316212640244345[[#This Row],['#Membri]]*Tabella16121316212640244345[[#This Row],[Paga oraria]]*BL15</f>
        <v>1050</v>
      </c>
      <c r="BN17" s="114">
        <v>15</v>
      </c>
      <c r="BO17">
        <v>7</v>
      </c>
      <c r="BP17">
        <f>Tabella1612131621264024434549[[#This Row],['#Membri]]*BQ15</f>
        <v>224</v>
      </c>
      <c r="BQ17" s="114">
        <f>Tabella1612131621264024434549[[#This Row],['#Membri]]*Tabella1612131621264024434549[[#This Row],[Paga oraria]]*BQ15</f>
        <v>3360</v>
      </c>
      <c r="BT17" s="114">
        <v>15</v>
      </c>
      <c r="BU17">
        <v>7</v>
      </c>
      <c r="BV17">
        <f>Tabella1612131621264024435055[[#This Row],['#Membri]]*BW15</f>
        <v>56</v>
      </c>
      <c r="BW17" s="114">
        <f>Tabella1612131621264024435055[[#This Row],['#Membri]]*Tabella1612131621264024435055[[#This Row],[Paga oraria]]*BW15</f>
        <v>840</v>
      </c>
    </row>
    <row r="18" spans="4:75" x14ac:dyDescent="0.25">
      <c r="D18" s="114">
        <v>15</v>
      </c>
      <c r="E18">
        <v>7</v>
      </c>
      <c r="F18">
        <f>Tabella134[[#This Row],['#Membri]]*G16</f>
        <v>1176</v>
      </c>
      <c r="G18" s="114">
        <f>Tabella134[[#This Row],['#Membri]]*Tabella134[[#This Row],[Paga oraria]]*G16</f>
        <v>17640</v>
      </c>
      <c r="I18" t="s">
        <v>42</v>
      </c>
      <c r="J18" t="s">
        <v>43</v>
      </c>
      <c r="K18" t="s">
        <v>45</v>
      </c>
      <c r="L18" t="s">
        <v>44</v>
      </c>
      <c r="O18" s="114">
        <v>20</v>
      </c>
      <c r="P18">
        <v>1</v>
      </c>
      <c r="Q18">
        <f>Tabella16121314[[#This Row],['#Membri]]*R15</f>
        <v>20</v>
      </c>
      <c r="R18" s="114">
        <f>Tabella16121314[[#This Row],['#Membri]]*Tabella16121314[[#This Row],[Paga oraria]]*R15</f>
        <v>400</v>
      </c>
      <c r="U18" s="114">
        <v>20</v>
      </c>
      <c r="V18">
        <v>1</v>
      </c>
      <c r="W18">
        <f>Tabella1612131417[[#This Row],['#Membri]]*X15</f>
        <v>6</v>
      </c>
      <c r="X18" s="114">
        <f>Tabella1612131417[[#This Row],['#Membri]]*Tabella1612131417[[#This Row],[Paga oraria]]*X15</f>
        <v>120</v>
      </c>
      <c r="AJ18" s="114">
        <v>20</v>
      </c>
      <c r="AK18">
        <v>1</v>
      </c>
      <c r="AL18">
        <f>Tabella1612131417182368[[#This Row],['#Membri]]*AM15</f>
        <v>4</v>
      </c>
      <c r="AM18" s="114">
        <f>Tabella1612131417182368[[#This Row],['#Membri]]*Tabella1612131417182368[[#This Row],[Paga oraria]]*AM15</f>
        <v>80</v>
      </c>
      <c r="AO18" s="114">
        <v>20</v>
      </c>
      <c r="AP18">
        <v>1</v>
      </c>
      <c r="AQ18">
        <f>Tabella16121314172228[[#This Row],['#Membri]]*AR15</f>
        <v>8</v>
      </c>
      <c r="AR18" s="114">
        <f>Tabella16121314172228[[#This Row],['#Membri]]*Tabella16121314172228[[#This Row],[Paga oraria]]*AR15</f>
        <v>160</v>
      </c>
      <c r="AY18" s="114">
        <v>20</v>
      </c>
      <c r="AZ18">
        <v>1</v>
      </c>
      <c r="BA18">
        <f>Tabella1612131417222841[[#This Row],['#Membri]]*BB15</f>
        <v>8</v>
      </c>
      <c r="BB18" s="114">
        <f>Tabella1612131417222841[[#This Row],['#Membri]]*Tabella1612131417222841[[#This Row],[Paga oraria]]*BB15</f>
        <v>160</v>
      </c>
      <c r="BI18" s="114">
        <v>20</v>
      </c>
      <c r="BJ18">
        <v>1</v>
      </c>
      <c r="BK18">
        <f>Tabella16121316212640244345[[#This Row],['#Membri]]*BL15</f>
        <v>10</v>
      </c>
      <c r="BL18" s="114">
        <f>Tabella16121316212640244345[[#This Row],['#Membri]]*Tabella16121316212640244345[[#This Row],[Paga oraria]]*BL15</f>
        <v>200</v>
      </c>
      <c r="BN18" s="114">
        <v>20</v>
      </c>
      <c r="BO18">
        <v>1</v>
      </c>
      <c r="BP18">
        <f>Tabella1612131621264024434549[[#This Row],['#Membri]]*BQ15</f>
        <v>32</v>
      </c>
      <c r="BQ18" s="114">
        <f>Tabella1612131621264024434549[[#This Row],['#Membri]]*Tabella1612131621264024434549[[#This Row],[Paga oraria]]*BQ15</f>
        <v>640</v>
      </c>
      <c r="BT18" s="114">
        <v>20</v>
      </c>
      <c r="BU18">
        <v>1</v>
      </c>
      <c r="BV18">
        <f>Tabella1612131621264024435055[[#This Row],['#Membri]]*BW15</f>
        <v>8</v>
      </c>
      <c r="BW18" s="114">
        <f>Tabella1612131621264024435055[[#This Row],['#Membri]]*Tabella1612131621264024435055[[#This Row],[Paga oraria]]*BW15</f>
        <v>160</v>
      </c>
    </row>
    <row r="19" spans="4:75" x14ac:dyDescent="0.25">
      <c r="D19" s="114">
        <v>20</v>
      </c>
      <c r="E19">
        <v>1</v>
      </c>
      <c r="F19">
        <f>Tabella134[[#This Row],['#Membri]]*G16</f>
        <v>168</v>
      </c>
      <c r="G19" s="114">
        <f>Tabella134[[#This Row],['#Membri]]*Tabella134[[#This Row],[Paga oraria]]*G16</f>
        <v>3360</v>
      </c>
      <c r="I19" s="114">
        <v>20</v>
      </c>
      <c r="J19">
        <v>2</v>
      </c>
      <c r="K19">
        <f>Tabella13459[[#This Row],['#Membri]]*L17</f>
        <v>56</v>
      </c>
      <c r="L19" s="114">
        <f>Tabella13459[[#This Row],['#Membri]]*Tabella13459[[#This Row],[Paga oraria]]*L17</f>
        <v>1120</v>
      </c>
      <c r="O19" s="114"/>
      <c r="Q19">
        <f>SUM(Tabella16121314[Totale ore])</f>
        <v>160</v>
      </c>
      <c r="R19" s="114">
        <f>SUM(Tabella16121314[Totale])</f>
        <v>2500</v>
      </c>
      <c r="U19" s="114"/>
      <c r="W19">
        <f>SUM(Tabella1612131417[Totale ore])</f>
        <v>48</v>
      </c>
      <c r="X19" s="114">
        <f>SUM(Tabella1612131417[Totale])</f>
        <v>750</v>
      </c>
      <c r="AJ19" s="114"/>
      <c r="AL19">
        <f>SUM(Tabella1612131417182368[Totale ore])</f>
        <v>32</v>
      </c>
      <c r="AM19" s="114">
        <f>SUM(Tabella1612131417182368[Totale])</f>
        <v>500</v>
      </c>
      <c r="AO19" s="114"/>
      <c r="AQ19">
        <f>SUM(Tabella16121314172228[Totale ore])</f>
        <v>64</v>
      </c>
      <c r="AR19" s="114">
        <f>SUM(Tabella16121314172228[Totale])</f>
        <v>1000</v>
      </c>
      <c r="AY19" s="114"/>
      <c r="BA19">
        <f>SUM(Tabella1612131417222841[Totale ore])</f>
        <v>64</v>
      </c>
      <c r="BB19" s="114">
        <f>SUM(Tabella1612131417222841[Totale])</f>
        <v>1000</v>
      </c>
      <c r="BI19" s="114"/>
      <c r="BK19">
        <f>SUM(Tabella16121316212640244345[Totale ore])</f>
        <v>80</v>
      </c>
      <c r="BL19" s="114">
        <f>SUM(Tabella16121316212640244345[Totale])</f>
        <v>1250</v>
      </c>
      <c r="BN19" s="114"/>
      <c r="BP19">
        <f>SUM(Tabella1612131621264024434549[Totale ore])</f>
        <v>256</v>
      </c>
      <c r="BQ19" s="114">
        <f>SUM(Tabella1612131621264024434549[Totale])</f>
        <v>4000</v>
      </c>
      <c r="BT19" s="114"/>
      <c r="BV19">
        <f>SUM(Tabella1612131621264024435055[Totale ore])</f>
        <v>64</v>
      </c>
      <c r="BW19" s="114">
        <f>SUM(Tabella1612131621264024435055[Totale])</f>
        <v>1000</v>
      </c>
    </row>
    <row r="20" spans="4:75" x14ac:dyDescent="0.25">
      <c r="D20" s="114"/>
      <c r="F20">
        <f>F18+F19</f>
        <v>1344</v>
      </c>
      <c r="G20" s="114">
        <f>G18+G19</f>
        <v>21000</v>
      </c>
    </row>
    <row r="21" spans="4:75" x14ac:dyDescent="0.25">
      <c r="U21" s="115" t="s">
        <v>63</v>
      </c>
      <c r="V21" s="115"/>
      <c r="W21" s="115" t="s">
        <v>48</v>
      </c>
      <c r="X21" s="115">
        <f>NETWORKDAYS('Project schedule'!E15,'Project schedule'!F15)*4</f>
        <v>72</v>
      </c>
      <c r="AJ21" s="115" t="s">
        <v>122</v>
      </c>
      <c r="AK21" s="115"/>
      <c r="AL21" s="115" t="s">
        <v>48</v>
      </c>
      <c r="AM21" s="115">
        <f>NETWORKDAYS('Project schedule'!E22,'Project schedule'!F22)*4</f>
        <v>12</v>
      </c>
      <c r="AO21" s="115" t="s">
        <v>57</v>
      </c>
      <c r="AP21" s="115"/>
      <c r="AQ21" s="115" t="s">
        <v>48</v>
      </c>
      <c r="AR21" s="115">
        <f>NETWORKDAYS('Project schedule'!E36,'Project schedule'!F36)*4</f>
        <v>8</v>
      </c>
      <c r="BN21" s="115" t="s">
        <v>130</v>
      </c>
      <c r="BO21" s="115"/>
      <c r="BP21" s="115" t="s">
        <v>48</v>
      </c>
      <c r="BQ21" s="115">
        <f>NETWORKDAYS('Project schedule'!E43,'Project schedule'!F43)*4</f>
        <v>20</v>
      </c>
      <c r="BT21" s="115" t="s">
        <v>96</v>
      </c>
      <c r="BU21" s="115"/>
      <c r="BV21" s="115" t="s">
        <v>48</v>
      </c>
      <c r="BW21" s="115">
        <f>NETWORKDAYS('Project schedule'!E50,'Project schedule'!F50)/4*4</f>
        <v>2</v>
      </c>
    </row>
    <row r="22" spans="4:75" x14ac:dyDescent="0.25">
      <c r="O22" t="s">
        <v>53</v>
      </c>
      <c r="U22" t="s">
        <v>42</v>
      </c>
      <c r="V22" t="s">
        <v>43</v>
      </c>
      <c r="W22" t="s">
        <v>45</v>
      </c>
      <c r="X22" t="s">
        <v>44</v>
      </c>
      <c r="AJ22" t="s">
        <v>42</v>
      </c>
      <c r="AK22" t="s">
        <v>43</v>
      </c>
      <c r="AL22" t="s">
        <v>45</v>
      </c>
      <c r="AM22" t="s">
        <v>44</v>
      </c>
      <c r="AO22" t="s">
        <v>42</v>
      </c>
      <c r="AP22" t="s">
        <v>43</v>
      </c>
      <c r="AQ22" t="s">
        <v>45</v>
      </c>
      <c r="AR22" t="s">
        <v>44</v>
      </c>
      <c r="AY22" t="s">
        <v>53</v>
      </c>
      <c r="BN22" t="s">
        <v>42</v>
      </c>
      <c r="BO22" t="s">
        <v>43</v>
      </c>
      <c r="BP22" t="s">
        <v>45</v>
      </c>
      <c r="BQ22" t="s">
        <v>44</v>
      </c>
      <c r="BT22" t="s">
        <v>42</v>
      </c>
      <c r="BU22" t="s">
        <v>43</v>
      </c>
      <c r="BV22" t="s">
        <v>45</v>
      </c>
      <c r="BW22" t="s">
        <v>44</v>
      </c>
    </row>
    <row r="23" spans="4:75" x14ac:dyDescent="0.25">
      <c r="D23" s="115" t="s">
        <v>50</v>
      </c>
      <c r="E23" s="115"/>
      <c r="F23" s="115" t="s">
        <v>48</v>
      </c>
      <c r="G23" s="115">
        <f>SUM(BW3,BW9,BW15,BW21,BW27)</f>
        <v>18</v>
      </c>
      <c r="I23" t="s">
        <v>53</v>
      </c>
      <c r="O23" s="113">
        <f>SUM(Tabella1612[[#Totals],[Totale]],Tabella161213[[#Totals],[Totale]],Tabella16121314[[#Totals],[Totale]])</f>
        <v>23250</v>
      </c>
      <c r="U23" s="114">
        <v>15</v>
      </c>
      <c r="V23">
        <v>7</v>
      </c>
      <c r="W23">
        <f>Tabella161213141718[[#This Row],['#Membri]]*X21</f>
        <v>504</v>
      </c>
      <c r="X23" s="114">
        <f>Tabella161213141718[[#This Row],['#Membri]]*Tabella161213141718[[#This Row],[Paga oraria]]*X21</f>
        <v>7560</v>
      </c>
      <c r="AJ23" s="114">
        <v>15</v>
      </c>
      <c r="AK23">
        <v>7</v>
      </c>
      <c r="AL23">
        <f>Tabella161213141718236870[[#This Row],['#Membri]]*AM21</f>
        <v>84</v>
      </c>
      <c r="AM23" s="114">
        <f>Tabella161213141718236870[[#This Row],['#Membri]]*Tabella161213141718236870[[#This Row],[Paga oraria]]*AM21</f>
        <v>1260</v>
      </c>
      <c r="AO23" s="114">
        <v>15</v>
      </c>
      <c r="AP23">
        <v>7</v>
      </c>
      <c r="AQ23">
        <f>Tabella1612131417182327[[#This Row],['#Membri]]*AR21</f>
        <v>56</v>
      </c>
      <c r="AR23" s="114">
        <f>Tabella1612131417182327[[#This Row],['#Membri]]*Tabella1612131417182327[[#This Row],[Paga oraria]]*AR21</f>
        <v>840</v>
      </c>
      <c r="AY23" s="113">
        <f>SUM(Tabella161215202539[[#Totals],[Totale]],Tabella16121316212640[[#Totals],[Totale]],Tabella1612131417222841[[#Totals],[Totale]])</f>
        <v>3000</v>
      </c>
      <c r="BI23" t="s">
        <v>53</v>
      </c>
      <c r="BN23" s="114">
        <v>15</v>
      </c>
      <c r="BO23">
        <v>7</v>
      </c>
      <c r="BP23">
        <f>Tabella161213162126402443454951[[#This Row],['#Membri]]*BQ21</f>
        <v>140</v>
      </c>
      <c r="BQ23" s="114">
        <f>Tabella161213162126402443454951[[#This Row],['#Membri]]*Tabella161213162126402443454951[[#This Row],[Paga oraria]]*BQ21</f>
        <v>2100</v>
      </c>
      <c r="BT23" s="114">
        <v>15</v>
      </c>
      <c r="BU23">
        <v>7</v>
      </c>
      <c r="BV23">
        <f>Tabella1612152025391137355460[[#This Row],['#Membri]]*BW21</f>
        <v>14</v>
      </c>
      <c r="BW23" s="114">
        <f>Tabella1612152025391137355460[[#This Row],['#Membri]]*Tabella1612152025391137355460[[#This Row],[Paga oraria]]*BW21</f>
        <v>210</v>
      </c>
    </row>
    <row r="24" spans="4:75" x14ac:dyDescent="0.25">
      <c r="D24" t="s">
        <v>42</v>
      </c>
      <c r="E24" t="s">
        <v>43</v>
      </c>
      <c r="F24" t="s">
        <v>45</v>
      </c>
      <c r="G24" t="s">
        <v>44</v>
      </c>
      <c r="I24" s="113">
        <f>SUM(Tabella16[Totale],Tabella137[Totale],Tabella1348[Totale],Tabella13459[Totale])</f>
        <v>18160</v>
      </c>
      <c r="U24" s="114">
        <v>20</v>
      </c>
      <c r="V24">
        <v>1</v>
      </c>
      <c r="W24">
        <f>Tabella161213141718[[#This Row],['#Membri]]*X21</f>
        <v>72</v>
      </c>
      <c r="X24" s="114">
        <f>Tabella161213141718[[#This Row],['#Membri]]*Tabella161213141718[[#This Row],[Paga oraria]]*X21</f>
        <v>1440</v>
      </c>
      <c r="AJ24" s="114">
        <v>20</v>
      </c>
      <c r="AK24">
        <v>1</v>
      </c>
      <c r="AL24">
        <f>Tabella161213141718236870[[#This Row],['#Membri]]*AM21</f>
        <v>12</v>
      </c>
      <c r="AM24" s="114">
        <f>Tabella161213141718236870[[#This Row],['#Membri]]*Tabella161213141718236870[[#This Row],[Paga oraria]]*AM21</f>
        <v>240</v>
      </c>
      <c r="AO24" s="114">
        <v>20</v>
      </c>
      <c r="AP24">
        <v>1</v>
      </c>
      <c r="AQ24">
        <f>Tabella1612131417182327[[#This Row],['#Membri]]*AR21</f>
        <v>8</v>
      </c>
      <c r="AR24" s="114">
        <f>Tabella1612131417182327[[#This Row],['#Membri]]*Tabella1612131417182327[[#This Row],[Paga oraria]]*AR21</f>
        <v>160</v>
      </c>
      <c r="BI24" s="113">
        <f>SUM(Tabella1612152025391137[[#Totals],[Totale]],Tabella161213162126402443[[#Totals],[Totale]],Tabella16121316212640244345[[#Totals],[Totale]])</f>
        <v>3750</v>
      </c>
      <c r="BN24" s="114">
        <v>20</v>
      </c>
      <c r="BO24">
        <v>1</v>
      </c>
      <c r="BP24">
        <f>Tabella161213162126402443454951[[#This Row],['#Membri]]*BQ21</f>
        <v>20</v>
      </c>
      <c r="BQ24" s="114">
        <f>Tabella161213162126402443454951[[#This Row],['#Membri]]*Tabella161213162126402443454951[[#This Row],[Paga oraria]]*BQ21</f>
        <v>400</v>
      </c>
      <c r="BT24" s="114">
        <v>20</v>
      </c>
      <c r="BU24">
        <v>1</v>
      </c>
      <c r="BV24">
        <f>Tabella1612152025391137355460[[#This Row],['#Membri]]*BW21</f>
        <v>2</v>
      </c>
      <c r="BW24" s="114">
        <f>Tabella1612152025391137355460[[#This Row],['#Membri]]*Tabella1612152025391137355460[[#This Row],[Paga oraria]]*BW21</f>
        <v>40</v>
      </c>
    </row>
    <row r="25" spans="4:75" x14ac:dyDescent="0.25">
      <c r="D25" s="114">
        <v>15</v>
      </c>
      <c r="E25">
        <v>7</v>
      </c>
      <c r="F25">
        <f>Tabella1345[[#This Row],['#Membri]]*G23</f>
        <v>126</v>
      </c>
      <c r="G25" s="114">
        <f>Tabella1345[[#This Row],['#Membri]]*Tabella1345[[#This Row],[Paga oraria]]*G23</f>
        <v>1890</v>
      </c>
      <c r="U25" s="114"/>
      <c r="W25">
        <f>SUM(Tabella161213141718[Totale ore])</f>
        <v>576</v>
      </c>
      <c r="X25" s="114">
        <f>SUM(Tabella161213141718[Totale])</f>
        <v>9000</v>
      </c>
      <c r="AJ25" s="116"/>
      <c r="AL25">
        <f>SUM(Tabella161213141718236870[Totale ore])</f>
        <v>96</v>
      </c>
      <c r="AM25" s="116">
        <f>SUM(Tabella161213141718236870[Totale])</f>
        <v>1500</v>
      </c>
      <c r="AO25" s="114"/>
      <c r="AQ25">
        <f>SUM(Tabella1612131417182327[Totale ore])</f>
        <v>64</v>
      </c>
      <c r="AR25" s="114">
        <f>SUM(Tabella1612131417182327[Totale])</f>
        <v>1000</v>
      </c>
      <c r="BN25" s="114"/>
      <c r="BP25">
        <f>SUM(Tabella161213162126402443454951[Totale ore])</f>
        <v>160</v>
      </c>
      <c r="BQ25" s="114">
        <f>SUM(Tabella161213162126402443454951[Totale])</f>
        <v>2500</v>
      </c>
      <c r="BT25" s="114"/>
      <c r="BV25">
        <f>SUM(Tabella1612152025391137355460[Totale ore])</f>
        <v>16</v>
      </c>
      <c r="BW25" s="114">
        <f>SUM(Tabella1612152025391137355460[Totale])</f>
        <v>250</v>
      </c>
    </row>
    <row r="26" spans="4:75" x14ac:dyDescent="0.25">
      <c r="D26" s="114">
        <v>20</v>
      </c>
      <c r="E26">
        <v>1</v>
      </c>
      <c r="F26">
        <f>Tabella1345[[#This Row],['#Membri]]*G23</f>
        <v>18</v>
      </c>
      <c r="G26" s="114">
        <f>Tabella1345[[#This Row],['#Membri]]*Tabella1345[[#This Row],[Paga oraria]]*G23</f>
        <v>360</v>
      </c>
    </row>
    <row r="27" spans="4:75" x14ac:dyDescent="0.25">
      <c r="D27" s="114"/>
      <c r="F27">
        <f>F25+F26</f>
        <v>144</v>
      </c>
      <c r="G27" s="114">
        <f>G25+G26</f>
        <v>2250</v>
      </c>
      <c r="U27" s="115" t="s">
        <v>64</v>
      </c>
      <c r="V27" s="115"/>
      <c r="W27" s="115" t="s">
        <v>48</v>
      </c>
      <c r="X27" s="115">
        <f>NETWORKDAYS('Project schedule'!E16,'Project schedule'!F16)*4</f>
        <v>20</v>
      </c>
      <c r="AJ27" t="s">
        <v>53</v>
      </c>
      <c r="BN27" s="115" t="s">
        <v>131</v>
      </c>
      <c r="BO27" s="115"/>
      <c r="BP27" s="115" t="s">
        <v>48</v>
      </c>
      <c r="BQ27" s="115">
        <f>NETWORKDAYS('Project schedule'!E44,'Project schedule'!F44)*4</f>
        <v>28</v>
      </c>
      <c r="BT27" s="115" t="s">
        <v>97</v>
      </c>
      <c r="BU27" s="115"/>
      <c r="BV27" s="115" t="s">
        <v>48</v>
      </c>
      <c r="BW27" s="115">
        <f>NETWORKDAYS('Project schedule'!E51,'Project schedule'!F51)/4*4</f>
        <v>3</v>
      </c>
    </row>
    <row r="28" spans="4:75" x14ac:dyDescent="0.25">
      <c r="U28" t="s">
        <v>42</v>
      </c>
      <c r="V28" t="s">
        <v>43</v>
      </c>
      <c r="W28" t="s">
        <v>45</v>
      </c>
      <c r="X28" t="s">
        <v>44</v>
      </c>
      <c r="AJ28" s="113">
        <f>SUM(Tabella161213162167[[#Totals],[Totale]],Tabella16121314172269[[#Totals],[Totale]],Tabella1612131417182368[[#Totals],[Totale]],Tabella161213141718236870[[#Totals],[Totale]])</f>
        <v>4750</v>
      </c>
      <c r="AO28" t="s">
        <v>53</v>
      </c>
      <c r="BN28" t="s">
        <v>42</v>
      </c>
      <c r="BO28" t="s">
        <v>43</v>
      </c>
      <c r="BP28" t="s">
        <v>45</v>
      </c>
      <c r="BQ28" t="s">
        <v>44</v>
      </c>
      <c r="BT28" t="s">
        <v>42</v>
      </c>
      <c r="BU28" t="s">
        <v>43</v>
      </c>
      <c r="BV28" t="s">
        <v>45</v>
      </c>
      <c r="BW28" t="s">
        <v>44</v>
      </c>
    </row>
    <row r="29" spans="4:75" x14ac:dyDescent="0.25">
      <c r="U29" s="114">
        <v>15</v>
      </c>
      <c r="V29">
        <v>7</v>
      </c>
      <c r="W29">
        <f>Tabella16121314171819[[#This Row],['#Membri]]*X27</f>
        <v>140</v>
      </c>
      <c r="X29" s="114">
        <f>Tabella16121314171819[[#This Row],['#Membri]]*Tabella16121314171819[[#This Row],[Paga oraria]]*X27</f>
        <v>2100</v>
      </c>
      <c r="AO29" s="113">
        <f>SUM(Tabella1612152025[[#Totals],[Totale]],Tabella161213162126[[#Totals],[Totale]],Tabella16121314172228[[#Totals],[Totale]],Tabella1612131417182327[[#Totals],[Totale]])</f>
        <v>9000</v>
      </c>
      <c r="BN29" s="114">
        <v>15</v>
      </c>
      <c r="BO29">
        <v>7</v>
      </c>
      <c r="BP29">
        <f>Tabella16121316212640244345495152[[#This Row],['#Membri]]*BQ27</f>
        <v>196</v>
      </c>
      <c r="BQ29" s="114">
        <f>Tabella16121316212640244345495152[[#This Row],['#Membri]]*Tabella16121316212640244345495152[[#This Row],[Paga oraria]]*BQ27</f>
        <v>2940</v>
      </c>
      <c r="BT29" s="114">
        <v>15</v>
      </c>
      <c r="BU29">
        <v>7</v>
      </c>
      <c r="BV29">
        <f>Tabella161213162126402443505559[[#This Row],['#Membri]]*BW27</f>
        <v>21</v>
      </c>
      <c r="BW29" s="114">
        <f>Tabella161213162126402443505559[[#This Row],['#Membri]]*Tabella161213162126402443505559[[#This Row],[Paga oraria]]*BW27</f>
        <v>315</v>
      </c>
    </row>
    <row r="30" spans="4:75" x14ac:dyDescent="0.25">
      <c r="D30" t="s">
        <v>53</v>
      </c>
      <c r="U30" s="114">
        <v>20</v>
      </c>
      <c r="V30">
        <v>1</v>
      </c>
      <c r="W30">
        <f>Tabella16121314171819[[#This Row],['#Membri]]*X27</f>
        <v>20</v>
      </c>
      <c r="X30" s="114">
        <f>Tabella16121314171819[[#This Row],['#Membri]]*Tabella16121314171819[[#This Row],[Paga oraria]]*X27</f>
        <v>400</v>
      </c>
      <c r="BN30" s="114">
        <v>20</v>
      </c>
      <c r="BO30">
        <v>1</v>
      </c>
      <c r="BP30">
        <f>Tabella16121316212640244345495152[[#This Row],['#Membri]]*BQ27</f>
        <v>28</v>
      </c>
      <c r="BQ30" s="114">
        <f>Tabella16121316212640244345495152[[#This Row],['#Membri]]*Tabella16121316212640244345495152[[#This Row],[Paga oraria]]*BQ27</f>
        <v>560</v>
      </c>
      <c r="BT30" s="114">
        <v>20</v>
      </c>
      <c r="BU30">
        <v>1</v>
      </c>
      <c r="BV30">
        <f>Tabella161213162126402443505559[[#This Row],['#Membri]]*BW27</f>
        <v>3</v>
      </c>
      <c r="BW30" s="114">
        <f>Tabella161213162126402443505559[[#This Row],['#Membri]]*Tabella161213162126402443505559[[#This Row],[Paga oraria]]*BW27</f>
        <v>60</v>
      </c>
    </row>
    <row r="31" spans="4:75" x14ac:dyDescent="0.25">
      <c r="D31" s="113">
        <f>SUM(Tabella1[[#Totals],[Totale]],Tabella13[[#Totals],[Totale]],Tabella134[[#Totals],[Totale]],Tabella1345[[#Totals],[Totale]])</f>
        <v>55500</v>
      </c>
      <c r="U31" s="114"/>
      <c r="W31">
        <f>SUM(Tabella16121314171819[Totale ore])</f>
        <v>160</v>
      </c>
      <c r="X31" s="114">
        <f>SUM(Tabella16121314171819[Totale])</f>
        <v>2500</v>
      </c>
      <c r="BN31" s="114"/>
      <c r="BP31">
        <f>SUM(Tabella16121316212640244345495152[Totale ore])</f>
        <v>224</v>
      </c>
      <c r="BQ31" s="114">
        <f>SUM(Tabella16121316212640244345495152[Totale])</f>
        <v>3500</v>
      </c>
      <c r="BT31" s="114"/>
      <c r="BV31">
        <f>SUM(Tabella161213162126402443505559[Totale ore])</f>
        <v>24</v>
      </c>
      <c r="BW31" s="114">
        <f>SUM(Tabella161213162126402443505559[Totale])</f>
        <v>375</v>
      </c>
    </row>
    <row r="34" spans="21:72" x14ac:dyDescent="0.25">
      <c r="U34" t="s">
        <v>53</v>
      </c>
      <c r="BT34" t="s">
        <v>53</v>
      </c>
    </row>
    <row r="35" spans="21:72" x14ac:dyDescent="0.25">
      <c r="U35" s="113">
        <f>SUM(Tabella161215[[#Totals],[Totale]],Tabella16121316[[#Totals],[Totale]],Tabella1612131417[[#Totals],[Totale]],Tabella161213141718[[#Totals],[Totale]],Tabella16121314171819[[#Totals],[Totale]])</f>
        <v>13500</v>
      </c>
      <c r="BN35" t="s">
        <v>53</v>
      </c>
      <c r="BT35" s="113">
        <f>SUM(Tabella161215202539113735[[#Totals],[Totale]],Tabella16121520253911373554[[#Totals],[Totale]],Tabella1612131621264024435055[[#Totals],[Totale]],Tabella1612152025391137355460[[#Totals],[Totale]],Tabella161213162126402443505559[[#Totals],[Totale]])</f>
        <v>2250</v>
      </c>
    </row>
    <row r="36" spans="21:72" x14ac:dyDescent="0.25">
      <c r="BN36" s="113">
        <f>SUM(Tabella161215202539113746[[#Totals],[Totale]],Tabella16121316212640244347[[#Totals],[Totale]],Tabella1612131621264024434549[[#Totals],[Totale]],Tabella161213162126402443454951[[#Totals],[Totale]],Tabella16121316212640244345495152[[#Totals],[Totale]])</f>
        <v>17250</v>
      </c>
    </row>
  </sheetData>
  <pageMargins left="0.7" right="0.7" top="0.75" bottom="0.75" header="0.3" footer="0.3"/>
  <tableParts count="67">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7FB4-44CC-4EF7-8E51-55B5CAA620A0}">
  <dimension ref="A18:B63"/>
  <sheetViews>
    <sheetView topLeftCell="A21" zoomScale="91" workbookViewId="0">
      <selection activeCell="A25" sqref="A25"/>
    </sheetView>
  </sheetViews>
  <sheetFormatPr defaultRowHeight="13.8" x14ac:dyDescent="0.25"/>
  <cols>
    <col min="1" max="1" width="46.69921875" customWidth="1"/>
    <col min="2" max="2" width="41.19921875" customWidth="1"/>
  </cols>
  <sheetData>
    <row r="18" spans="1:2" x14ac:dyDescent="0.25">
      <c r="A18" s="129" t="s">
        <v>5</v>
      </c>
      <c r="B18" s="131" t="s">
        <v>134</v>
      </c>
    </row>
    <row r="19" spans="1:2" x14ac:dyDescent="0.25">
      <c r="A19" s="130"/>
      <c r="B19" s="132"/>
    </row>
    <row r="20" spans="1:2" x14ac:dyDescent="0.25">
      <c r="A20" s="37"/>
      <c r="B20" s="38"/>
    </row>
    <row r="21" spans="1:2" ht="15.6" x14ac:dyDescent="0.25">
      <c r="A21" s="40" t="s">
        <v>27</v>
      </c>
      <c r="B21" s="41"/>
    </row>
    <row r="22" spans="1:2" x14ac:dyDescent="0.25">
      <c r="A22" s="47" t="s">
        <v>60</v>
      </c>
      <c r="B22" s="117">
        <f>Tabella161215[[#Totals],[Totale]]</f>
        <v>625</v>
      </c>
    </row>
    <row r="23" spans="1:2" x14ac:dyDescent="0.25">
      <c r="A23" s="47" t="s">
        <v>135</v>
      </c>
      <c r="B23" s="117">
        <f>Tabella16121316[[#Totals],[Totale]]</f>
        <v>625</v>
      </c>
    </row>
    <row r="24" spans="1:2" x14ac:dyDescent="0.25">
      <c r="A24" s="51" t="s">
        <v>136</v>
      </c>
      <c r="B24" s="117">
        <f>Tabella1612131417[[#Totals],[Totale]]</f>
        <v>750</v>
      </c>
    </row>
    <row r="25" spans="1:2" x14ac:dyDescent="0.25">
      <c r="A25" s="51" t="s">
        <v>100</v>
      </c>
      <c r="B25" s="117">
        <f>Tabella161213141718[[#Totals],[Totale]]</f>
        <v>9000</v>
      </c>
    </row>
    <row r="26" spans="1:2" x14ac:dyDescent="0.25">
      <c r="A26" s="51" t="s">
        <v>101</v>
      </c>
      <c r="B26" s="117">
        <f>Tabella16121314171819[[#Totals],[Totale]]</f>
        <v>2500</v>
      </c>
    </row>
    <row r="27" spans="1:2" x14ac:dyDescent="0.25">
      <c r="A27" s="51" t="s">
        <v>30</v>
      </c>
      <c r="B27" s="117">
        <f>Tabella1612131621263456[[#Totals],[Totale]]</f>
        <v>1250</v>
      </c>
    </row>
    <row r="28" spans="1:2" x14ac:dyDescent="0.25">
      <c r="A28" s="51" t="s">
        <v>104</v>
      </c>
      <c r="B28" s="117">
        <f>Tabella16121520253350[[#Totals],[Totale]]</f>
        <v>1250</v>
      </c>
    </row>
    <row r="29" spans="1:2" x14ac:dyDescent="0.25">
      <c r="A29" s="51" t="s">
        <v>102</v>
      </c>
      <c r="B29" s="117">
        <f>Tabella161213162167[[#Totals],[Totale]]</f>
        <v>1500</v>
      </c>
    </row>
    <row r="30" spans="1:2" x14ac:dyDescent="0.25">
      <c r="A30" s="51" t="s">
        <v>123</v>
      </c>
      <c r="B30" s="117">
        <f>Tabella16121314172269[[#Totals],[Totale]]</f>
        <v>1250</v>
      </c>
    </row>
    <row r="31" spans="1:2" x14ac:dyDescent="0.25">
      <c r="A31" s="51" t="s">
        <v>103</v>
      </c>
      <c r="B31" s="117">
        <f>Tabella1612131417182368[[#Totals],[Totale]]</f>
        <v>500</v>
      </c>
    </row>
    <row r="32" spans="1:2" x14ac:dyDescent="0.25">
      <c r="A32" s="51" t="s">
        <v>105</v>
      </c>
      <c r="B32" s="117">
        <f>Tabella161213141718236870[[#Totals],[Totale]]</f>
        <v>1500</v>
      </c>
    </row>
    <row r="33" spans="1:2" x14ac:dyDescent="0.25">
      <c r="A33" s="51" t="s">
        <v>35</v>
      </c>
      <c r="B33" s="117">
        <f>Tabella16121314[[#Totals],[Totale]]</f>
        <v>2500</v>
      </c>
    </row>
    <row r="34" spans="1:2" x14ac:dyDescent="0.25">
      <c r="A34" s="51" t="s">
        <v>31</v>
      </c>
      <c r="B34" s="117">
        <v>0</v>
      </c>
    </row>
    <row r="35" spans="1:2" ht="15.6" x14ac:dyDescent="0.25">
      <c r="A35" s="56" t="s">
        <v>32</v>
      </c>
      <c r="B35" s="57"/>
    </row>
    <row r="36" spans="1:2" x14ac:dyDescent="0.25">
      <c r="A36" s="61" t="s">
        <v>126</v>
      </c>
      <c r="B36" s="118">
        <f>Tabella161215202533[[#Totals],[Totale]]</f>
        <v>2000</v>
      </c>
    </row>
    <row r="37" spans="1:2" x14ac:dyDescent="0.25">
      <c r="A37" s="61" t="s">
        <v>125</v>
      </c>
      <c r="B37" s="118">
        <f>Tabella16121316212634[[#Totals],[Totale]]</f>
        <v>2000</v>
      </c>
    </row>
    <row r="38" spans="1:2" x14ac:dyDescent="0.25">
      <c r="A38" s="61" t="s">
        <v>137</v>
      </c>
      <c r="B38" s="118">
        <f>Tabella161215202539[[#Totals],[Totale]]</f>
        <v>1000</v>
      </c>
    </row>
    <row r="39" spans="1:2" x14ac:dyDescent="0.25">
      <c r="A39" s="61" t="s">
        <v>138</v>
      </c>
      <c r="B39" s="118">
        <f>Tabella16121316212640[[#Totals],[Totale]]</f>
        <v>1000</v>
      </c>
    </row>
    <row r="40" spans="1:2" x14ac:dyDescent="0.25">
      <c r="A40" s="61" t="s">
        <v>139</v>
      </c>
      <c r="B40" s="118">
        <f>Tabella1612131417222841[[#Totals],[Totale]]</f>
        <v>1000</v>
      </c>
    </row>
    <row r="41" spans="1:2" ht="15.6" x14ac:dyDescent="0.25">
      <c r="A41" s="56" t="s">
        <v>36</v>
      </c>
      <c r="B41" s="57"/>
    </row>
    <row r="42" spans="1:2" x14ac:dyDescent="0.25">
      <c r="A42" s="104" t="s">
        <v>37</v>
      </c>
      <c r="B42" s="118">
        <f>Tabella16121314172228[[#Totals],[Totale]]</f>
        <v>1000</v>
      </c>
    </row>
    <row r="43" spans="1:2" x14ac:dyDescent="0.25">
      <c r="A43" s="61" t="s">
        <v>117</v>
      </c>
      <c r="B43" s="118">
        <f>Tabella1612131417182327[[#Totals],[Totale]]</f>
        <v>1000</v>
      </c>
    </row>
    <row r="44" spans="1:2" x14ac:dyDescent="0.25">
      <c r="A44" s="104" t="s">
        <v>38</v>
      </c>
      <c r="B44" s="119">
        <v>0</v>
      </c>
    </row>
    <row r="45" spans="1:2" ht="15.6" x14ac:dyDescent="0.25">
      <c r="A45" s="65" t="s">
        <v>33</v>
      </c>
      <c r="B45" s="66"/>
    </row>
    <row r="46" spans="1:2" x14ac:dyDescent="0.25">
      <c r="A46" s="70" t="s">
        <v>81</v>
      </c>
      <c r="B46" s="120">
        <f>Tabella16121520253911[[#Totals],[Totale]]</f>
        <v>3750</v>
      </c>
    </row>
    <row r="47" spans="1:2" x14ac:dyDescent="0.25">
      <c r="A47" s="70" t="s">
        <v>124</v>
      </c>
      <c r="B47" s="120">
        <f>Tabella161215202539113746[[#Totals],[Totale]]</f>
        <v>3750</v>
      </c>
    </row>
    <row r="48" spans="1:2" x14ac:dyDescent="0.25">
      <c r="A48" s="70" t="s">
        <v>128</v>
      </c>
      <c r="B48" s="120">
        <f>Tabella16121316212640244347[[#Totals],[Totale]]</f>
        <v>3500</v>
      </c>
    </row>
    <row r="49" spans="1:2" x14ac:dyDescent="0.25">
      <c r="A49" s="70" t="s">
        <v>129</v>
      </c>
      <c r="B49" s="120">
        <f>Tabella1612131621264024434549[[#Totals],[Totale]]</f>
        <v>4000</v>
      </c>
    </row>
    <row r="50" spans="1:2" x14ac:dyDescent="0.25">
      <c r="A50" s="70" t="s">
        <v>130</v>
      </c>
      <c r="B50" s="120">
        <f>Tabella161213162126402443454951[[#Totals],[Totale]]</f>
        <v>2500</v>
      </c>
    </row>
    <row r="51" spans="1:2" x14ac:dyDescent="0.25">
      <c r="A51" s="70" t="s">
        <v>131</v>
      </c>
      <c r="B51" s="120">
        <f>Tabella16121316212640244345495152[[#Totals],[Totale]]</f>
        <v>3500</v>
      </c>
    </row>
    <row r="52" spans="1:2" x14ac:dyDescent="0.25">
      <c r="A52" s="108" t="s">
        <v>39</v>
      </c>
      <c r="B52" s="120">
        <v>0</v>
      </c>
    </row>
    <row r="53" spans="1:2" ht="15.6" x14ac:dyDescent="0.25">
      <c r="A53" s="74" t="s">
        <v>40</v>
      </c>
      <c r="B53" s="75"/>
    </row>
    <row r="54" spans="1:2" x14ac:dyDescent="0.25">
      <c r="A54" s="80" t="s">
        <v>93</v>
      </c>
      <c r="B54" s="121">
        <f>Tabella1612131621264024435055[[#Totals],[Totale]]</f>
        <v>1000</v>
      </c>
    </row>
    <row r="55" spans="1:2" x14ac:dyDescent="0.25">
      <c r="A55" s="111" t="s">
        <v>34</v>
      </c>
      <c r="B55" s="121">
        <f>Tabella161215202539113735[[#Totals],[Totale]]</f>
        <v>375</v>
      </c>
    </row>
    <row r="56" spans="1:2" x14ac:dyDescent="0.25">
      <c r="A56" s="111" t="s">
        <v>90</v>
      </c>
      <c r="B56" s="121">
        <f>Tabella16121520253911373554[[#Totals],[Totale]]</f>
        <v>250</v>
      </c>
    </row>
    <row r="57" spans="1:2" x14ac:dyDescent="0.25">
      <c r="A57" s="111" t="s">
        <v>91</v>
      </c>
      <c r="B57" s="121">
        <f>Tabella1612152025391137355460[[#Totals],[Totale]]</f>
        <v>250</v>
      </c>
    </row>
    <row r="58" spans="1:2" x14ac:dyDescent="0.25">
      <c r="A58" s="111" t="s">
        <v>92</v>
      </c>
      <c r="B58" s="121">
        <f>Tabella161213162126402443505559[[#Totals],[Totale]]</f>
        <v>375</v>
      </c>
    </row>
    <row r="59" spans="1:2" ht="16.95" customHeight="1" x14ac:dyDescent="0.25">
      <c r="A59" s="111" t="s">
        <v>41</v>
      </c>
      <c r="B59" s="121">
        <v>0</v>
      </c>
    </row>
    <row r="60" spans="1:2" x14ac:dyDescent="0.25">
      <c r="A60" s="124" t="s">
        <v>141</v>
      </c>
      <c r="B60" s="125" cm="1">
        <f t="array" ref="B60">Tabella964[Totale Costo:]</f>
        <v>18160</v>
      </c>
    </row>
    <row r="61" spans="1:2" x14ac:dyDescent="0.25">
      <c r="A61" s="124" t="s">
        <v>140</v>
      </c>
      <c r="B61" s="125" cm="1">
        <f t="array" ref="B61">Tabella2123[Management Reserve]</f>
        <v>8300</v>
      </c>
    </row>
    <row r="62" spans="1:2" x14ac:dyDescent="0.25">
      <c r="A62" s="124" t="s">
        <v>133</v>
      </c>
      <c r="B62" s="125" cm="1">
        <f t="array" ref="B62">Tabella212358[Contingency Reserve]</f>
        <v>7920</v>
      </c>
    </row>
    <row r="63" spans="1:2" ht="15.6" x14ac:dyDescent="0.25">
      <c r="A63" s="122" t="s">
        <v>44</v>
      </c>
      <c r="B63" s="123">
        <f>SUM(B22:B62)</f>
        <v>89880</v>
      </c>
    </row>
  </sheetData>
  <mergeCells count="2">
    <mergeCell ref="A18:A19"/>
    <mergeCell ref="B18:B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election activeCell="A7" sqref="A7"/>
    </sheetView>
  </sheetViews>
  <sheetFormatPr defaultColWidth="9" defaultRowHeight="13.2" x14ac:dyDescent="0.25"/>
  <cols>
    <col min="1" max="1" width="87" style="7" customWidth="1"/>
    <col min="2" max="16384" width="9" style="1"/>
  </cols>
  <sheetData>
    <row r="1" spans="1:2" ht="46.5" customHeight="1" x14ac:dyDescent="0.25"/>
    <row r="2" spans="1:2" s="9" customFormat="1" ht="15.6" x14ac:dyDescent="0.25">
      <c r="A2" s="97" t="s">
        <v>8</v>
      </c>
      <c r="B2" s="8"/>
    </row>
    <row r="3" spans="1:2" s="11" customFormat="1" ht="27" customHeight="1" x14ac:dyDescent="0.25">
      <c r="A3" s="98"/>
      <c r="B3" s="12"/>
    </row>
    <row r="4" spans="1:2" s="10" customFormat="1" ht="30" x14ac:dyDescent="0.7">
      <c r="A4" s="99" t="s">
        <v>7</v>
      </c>
    </row>
    <row r="5" spans="1:2" ht="74.25" customHeight="1" x14ac:dyDescent="0.25">
      <c r="A5" s="100" t="s">
        <v>16</v>
      </c>
    </row>
    <row r="6" spans="1:2" ht="26.25" customHeight="1" x14ac:dyDescent="0.25">
      <c r="A6" s="99" t="s">
        <v>19</v>
      </c>
    </row>
    <row r="7" spans="1:2" s="7" customFormat="1" ht="205.2" customHeight="1" x14ac:dyDescent="0.25">
      <c r="A7" s="101" t="s">
        <v>18</v>
      </c>
    </row>
    <row r="8" spans="1:2" s="10" customFormat="1" ht="30" x14ac:dyDescent="0.7">
      <c r="A8" s="99" t="s">
        <v>9</v>
      </c>
    </row>
    <row r="9" spans="1:2" ht="41.4" x14ac:dyDescent="0.25">
      <c r="A9" s="100" t="s">
        <v>17</v>
      </c>
    </row>
    <row r="10" spans="1:2" s="7" customFormat="1" ht="28.2" customHeight="1" x14ac:dyDescent="0.25">
      <c r="A10" s="102" t="s">
        <v>15</v>
      </c>
    </row>
    <row r="11" spans="1:2" s="10" customFormat="1" ht="30" x14ac:dyDescent="0.7">
      <c r="A11" s="99" t="s">
        <v>6</v>
      </c>
    </row>
    <row r="12" spans="1:2" ht="27.6" x14ac:dyDescent="0.25">
      <c r="A12" s="100" t="s">
        <v>14</v>
      </c>
    </row>
    <row r="13" spans="1:2" s="7" customFormat="1" ht="28.2" customHeight="1" x14ac:dyDescent="0.25">
      <c r="A13" s="102" t="s">
        <v>2</v>
      </c>
    </row>
    <row r="14" spans="1:2" s="10" customFormat="1" ht="30" x14ac:dyDescent="0.7">
      <c r="A14" s="99" t="s">
        <v>10</v>
      </c>
    </row>
    <row r="15" spans="1:2" ht="75" customHeight="1" x14ac:dyDescent="0.25">
      <c r="A15" s="100" t="s">
        <v>11</v>
      </c>
    </row>
    <row r="16" spans="1:2" ht="69" x14ac:dyDescent="0.25">
      <c r="A16" s="100" t="s">
        <v>12</v>
      </c>
    </row>
    <row r="17" spans="1:1" x14ac:dyDescent="0.25">
      <c r="A17" s="103"/>
    </row>
    <row r="18" spans="1:1" x14ac:dyDescent="0.25">
      <c r="A18" s="103"/>
    </row>
    <row r="19" spans="1:1" x14ac:dyDescent="0.25">
      <c r="A19" s="103"/>
    </row>
    <row r="20" spans="1:1" x14ac:dyDescent="0.25">
      <c r="A20" s="103"/>
    </row>
    <row r="21" spans="1:1" x14ac:dyDescent="0.25">
      <c r="A21" s="103"/>
    </row>
    <row r="22" spans="1:1" x14ac:dyDescent="0.25">
      <c r="A22" s="103"/>
    </row>
    <row r="23" spans="1:1" x14ac:dyDescent="0.25">
      <c r="A23" s="103"/>
    </row>
    <row r="24" spans="1:1" x14ac:dyDescent="0.25">
      <c r="A24" s="103"/>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6</vt:i4>
      </vt:variant>
    </vt:vector>
  </HeadingPairs>
  <TitlesOfParts>
    <vt:vector size="10" baseType="lpstr">
      <vt:lpstr>Project schedule</vt:lpstr>
      <vt:lpstr>Costi e ore</vt:lpstr>
      <vt:lpstr>Project Budget</vt:lpstr>
      <vt:lpstr>About</vt:lpstr>
      <vt:lpstr>Display_Week</vt:lpstr>
      <vt:lpstr>Project_Start</vt:lpstr>
      <vt:lpstr>'Project schedule'!task_end</vt:lpstr>
      <vt:lpstr>'Project schedule'!task_progress</vt:lpstr>
      <vt:lpstr>'Project schedule'!task_start</vt:lpstr>
      <vt:lpstr>'Project schedule'!Titoli_stampa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LUIGI BACCO</cp:lastModifiedBy>
  <dcterms:created xsi:type="dcterms:W3CDTF">2022-03-11T22:41:12Z</dcterms:created>
  <dcterms:modified xsi:type="dcterms:W3CDTF">2024-12-17T09:29:49Z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