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prollecto bambu\"/>
    </mc:Choice>
  </mc:AlternateContent>
  <xr:revisionPtr revIDLastSave="0" documentId="13_ncr:1_{29ACF2A6-D727-475A-B17F-E4DDE595800C}" xr6:coauthVersionLast="47" xr6:coauthVersionMax="47" xr10:uidLastSave="{00000000-0000-0000-0000-000000000000}"/>
  <bookViews>
    <workbookView xWindow="-120" yWindow="-120" windowWidth="20730" windowHeight="11760" xr2:uid="{0C687C17-93F7-4710-BD69-A514ACBFD54B}"/>
  </bookViews>
  <sheets>
    <sheet name="Parametros" sheetId="2" r:id="rId1"/>
    <sheet name="Ingresos" sheetId="1" r:id="rId2"/>
    <sheet name="Costos" sheetId="4" r:id="rId3"/>
    <sheet name="Inversiones" sheetId="5" r:id="rId4"/>
    <sheet name="Flujo de caj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4" l="1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C8" i="4"/>
  <c r="D8" i="4"/>
  <c r="E8" i="4"/>
  <c r="F8" i="4"/>
  <c r="G8" i="4"/>
  <c r="H8" i="4"/>
  <c r="I8" i="4"/>
  <c r="J8" i="4"/>
  <c r="K8" i="4"/>
  <c r="L8" i="4"/>
  <c r="M8" i="4"/>
  <c r="N8" i="4"/>
  <c r="O8" i="4" s="1"/>
  <c r="P8" i="4" s="1"/>
  <c r="Q8" i="4" s="1"/>
  <c r="R8" i="4" s="1"/>
  <c r="S8" i="4" s="1"/>
  <c r="D3" i="4"/>
  <c r="E3" i="4"/>
  <c r="F3" i="4"/>
  <c r="G3" i="4"/>
  <c r="H3" i="4"/>
  <c r="I3" i="4"/>
  <c r="J3" i="4"/>
  <c r="K3" i="4"/>
  <c r="L3" i="4"/>
  <c r="M3" i="4"/>
  <c r="N3" i="4"/>
  <c r="O3" i="4" s="1"/>
  <c r="P3" i="4" s="1"/>
  <c r="Q3" i="4" s="1"/>
  <c r="R3" i="4" s="1"/>
  <c r="S3" i="4" s="1"/>
  <c r="C3" i="4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D16" i="1"/>
  <c r="E16" i="1"/>
  <c r="F16" i="1"/>
  <c r="G16" i="1"/>
  <c r="H16" i="1"/>
  <c r="I16" i="1"/>
  <c r="J16" i="1"/>
  <c r="K16" i="1"/>
  <c r="L16" i="1"/>
  <c r="M16" i="1"/>
  <c r="N16" i="1"/>
  <c r="C16" i="1"/>
  <c r="D14" i="1"/>
  <c r="E14" i="1"/>
  <c r="F14" i="1"/>
  <c r="G14" i="1"/>
  <c r="H14" i="1"/>
  <c r="I14" i="1"/>
  <c r="J14" i="1"/>
  <c r="K14" i="1"/>
  <c r="L14" i="1"/>
  <c r="M14" i="1"/>
  <c r="N14" i="1"/>
  <c r="C14" i="1"/>
  <c r="D12" i="1"/>
  <c r="E12" i="1"/>
  <c r="F12" i="1"/>
  <c r="G12" i="1"/>
  <c r="H12" i="1"/>
  <c r="I12" i="1"/>
  <c r="J12" i="1"/>
  <c r="K12" i="1"/>
  <c r="L12" i="1"/>
  <c r="M12" i="1"/>
  <c r="N12" i="1"/>
  <c r="C12" i="1"/>
  <c r="D10" i="1"/>
  <c r="E10" i="1"/>
  <c r="F10" i="1"/>
  <c r="G10" i="1"/>
  <c r="H10" i="1"/>
  <c r="I10" i="1"/>
  <c r="J10" i="1"/>
  <c r="K10" i="1"/>
  <c r="L10" i="1"/>
  <c r="M10" i="1"/>
  <c r="N10" i="1"/>
  <c r="C10" i="1"/>
  <c r="C5" i="4"/>
  <c r="D5" i="4" s="1"/>
  <c r="E5" i="4" s="1"/>
  <c r="C26" i="2"/>
  <c r="C58" i="2" s="1"/>
  <c r="C2" i="4" s="1"/>
  <c r="D6" i="1"/>
  <c r="E6" i="1"/>
  <c r="F6" i="1"/>
  <c r="G6" i="1"/>
  <c r="H6" i="1"/>
  <c r="I6" i="1"/>
  <c r="J6" i="1"/>
  <c r="K6" i="1"/>
  <c r="L6" i="1"/>
  <c r="M6" i="1"/>
  <c r="N6" i="1"/>
  <c r="C6" i="1"/>
  <c r="D8" i="1"/>
  <c r="E8" i="1"/>
  <c r="F8" i="1"/>
  <c r="G8" i="1"/>
  <c r="H8" i="1"/>
  <c r="I8" i="1"/>
  <c r="J8" i="1"/>
  <c r="K8" i="1"/>
  <c r="L8" i="1"/>
  <c r="M8" i="1"/>
  <c r="N8" i="1"/>
  <c r="C8" i="1"/>
  <c r="D6" i="4"/>
  <c r="E6" i="4"/>
  <c r="F6" i="4"/>
  <c r="G6" i="4"/>
  <c r="H6" i="4"/>
  <c r="I6" i="4"/>
  <c r="J6" i="4"/>
  <c r="K6" i="4"/>
  <c r="L6" i="4"/>
  <c r="M6" i="4"/>
  <c r="N6" i="4"/>
  <c r="C6" i="4"/>
  <c r="D7" i="4"/>
  <c r="E7" i="4"/>
  <c r="F7" i="4"/>
  <c r="G7" i="4"/>
  <c r="H7" i="4"/>
  <c r="I7" i="4"/>
  <c r="J7" i="4"/>
  <c r="K7" i="4"/>
  <c r="L7" i="4"/>
  <c r="M7" i="4"/>
  <c r="N7" i="4"/>
  <c r="C7" i="4"/>
  <c r="C24" i="2"/>
  <c r="C68" i="2"/>
  <c r="C67" i="2"/>
  <c r="C66" i="2"/>
  <c r="C65" i="2"/>
  <c r="C20" i="2"/>
  <c r="C17" i="2"/>
  <c r="O18" i="1"/>
  <c r="P18" i="1" s="1"/>
  <c r="Q18" i="1" s="1"/>
  <c r="R18" i="1" s="1"/>
  <c r="S18" i="1" s="1"/>
  <c r="E18" i="1"/>
  <c r="F18" i="1"/>
  <c r="G18" i="1"/>
  <c r="H18" i="1"/>
  <c r="I18" i="1"/>
  <c r="J18" i="1"/>
  <c r="K18" i="1"/>
  <c r="L18" i="1"/>
  <c r="M18" i="1"/>
  <c r="N18" i="1"/>
  <c r="D18" i="1"/>
  <c r="C18" i="1"/>
  <c r="D4" i="1"/>
  <c r="E4" i="1"/>
  <c r="F4" i="1"/>
  <c r="G4" i="1"/>
  <c r="H4" i="1"/>
  <c r="I4" i="1"/>
  <c r="J4" i="1"/>
  <c r="K4" i="1"/>
  <c r="L4" i="1"/>
  <c r="M4" i="1"/>
  <c r="N4" i="1"/>
  <c r="D4" i="5"/>
  <c r="D7" i="3" s="1"/>
  <c r="E4" i="5"/>
  <c r="E7" i="3" s="1"/>
  <c r="F4" i="5"/>
  <c r="F7" i="3" s="1"/>
  <c r="G4" i="5"/>
  <c r="G7" i="3" s="1"/>
  <c r="H4" i="5"/>
  <c r="H7" i="3" s="1"/>
  <c r="C4" i="1"/>
  <c r="O14" i="1" l="1"/>
  <c r="O12" i="1"/>
  <c r="P12" i="1" s="1"/>
  <c r="Q12" i="1" s="1"/>
  <c r="R12" i="1" s="1"/>
  <c r="S12" i="1" s="1"/>
  <c r="O4" i="1"/>
  <c r="P4" i="1" s="1"/>
  <c r="Q4" i="1" s="1"/>
  <c r="R4" i="1" s="1"/>
  <c r="S4" i="1" s="1"/>
  <c r="C52" i="2"/>
  <c r="C53" i="2"/>
  <c r="C13" i="1" s="1"/>
  <c r="D13" i="1" s="1"/>
  <c r="C54" i="2"/>
  <c r="O10" i="1"/>
  <c r="P10" i="1" s="1"/>
  <c r="Q10" i="1" s="1"/>
  <c r="R10" i="1" s="1"/>
  <c r="S10" i="1" s="1"/>
  <c r="O16" i="1"/>
  <c r="P16" i="1" s="1"/>
  <c r="Q16" i="1" s="1"/>
  <c r="R16" i="1" s="1"/>
  <c r="S16" i="1" s="1"/>
  <c r="C49" i="2"/>
  <c r="C9" i="1" s="1"/>
  <c r="C50" i="2"/>
  <c r="C15" i="1" s="1"/>
  <c r="C51" i="2"/>
  <c r="C11" i="1" s="1"/>
  <c r="C70" i="2"/>
  <c r="C3" i="5" s="1"/>
  <c r="O8" i="1"/>
  <c r="P8" i="1" s="1"/>
  <c r="Q8" i="1" s="1"/>
  <c r="R8" i="1" s="1"/>
  <c r="S8" i="1" s="1"/>
  <c r="O6" i="1"/>
  <c r="P6" i="1" s="1"/>
  <c r="Q6" i="1" s="1"/>
  <c r="R6" i="1" s="1"/>
  <c r="S6" i="1" s="1"/>
  <c r="C56" i="2"/>
  <c r="C7" i="1" s="1"/>
  <c r="C55" i="2"/>
  <c r="C5" i="1" s="1"/>
  <c r="O6" i="4"/>
  <c r="P6" i="4" s="1"/>
  <c r="Q6" i="4" s="1"/>
  <c r="O7" i="4"/>
  <c r="P7" i="4" s="1"/>
  <c r="Q7" i="4" s="1"/>
  <c r="R7" i="4" s="1"/>
  <c r="S7" i="4" s="1"/>
  <c r="H5" i="4"/>
  <c r="I5" i="4" s="1"/>
  <c r="C22" i="2"/>
  <c r="E2" i="4" s="1"/>
  <c r="L5" i="4"/>
  <c r="M5" i="4" s="1"/>
  <c r="J5" i="4"/>
  <c r="K5" i="4" s="1"/>
  <c r="F5" i="4"/>
  <c r="G5" i="4" s="1"/>
  <c r="N5" i="4"/>
  <c r="C57" i="2"/>
  <c r="C17" i="1" s="1"/>
  <c r="C3" i="1"/>
  <c r="P14" i="1" l="1"/>
  <c r="Q14" i="1" s="1"/>
  <c r="R14" i="1" s="1"/>
  <c r="S14" i="1" s="1"/>
  <c r="F13" i="1"/>
  <c r="I13" i="1" s="1"/>
  <c r="L13" i="1" s="1"/>
  <c r="O13" i="1" s="1"/>
  <c r="R13" i="1" s="1"/>
  <c r="L5" i="1"/>
  <c r="J5" i="1"/>
  <c r="K5" i="1" s="1"/>
  <c r="F5" i="1"/>
  <c r="N5" i="1"/>
  <c r="H5" i="1"/>
  <c r="I5" i="1" s="1"/>
  <c r="H7" i="1"/>
  <c r="I7" i="1" s="1"/>
  <c r="N7" i="1"/>
  <c r="L7" i="1"/>
  <c r="M7" i="1" s="1"/>
  <c r="J7" i="1"/>
  <c r="F7" i="1"/>
  <c r="G7" i="1" s="1"/>
  <c r="F11" i="1"/>
  <c r="I11" i="1" s="1"/>
  <c r="L11" i="1" s="1"/>
  <c r="D11" i="1"/>
  <c r="D15" i="1"/>
  <c r="F15" i="1"/>
  <c r="I15" i="1" s="1"/>
  <c r="L15" i="1" s="1"/>
  <c r="J9" i="1"/>
  <c r="K9" i="1" s="1"/>
  <c r="E9" i="1"/>
  <c r="N9" i="1"/>
  <c r="H9" i="1"/>
  <c r="I9" i="1" s="1"/>
  <c r="F9" i="1"/>
  <c r="G9" i="1" s="1"/>
  <c r="D9" i="1"/>
  <c r="L9" i="1"/>
  <c r="M9" i="1" s="1"/>
  <c r="E13" i="1"/>
  <c r="H13" i="1" s="1"/>
  <c r="K13" i="1" s="1"/>
  <c r="N13" i="1" s="1"/>
  <c r="Q13" i="1" s="1"/>
  <c r="G13" i="1"/>
  <c r="J13" i="1" s="1"/>
  <c r="M13" i="1" s="1"/>
  <c r="P13" i="1" s="1"/>
  <c r="S13" i="1" s="1"/>
  <c r="D5" i="1"/>
  <c r="D7" i="1"/>
  <c r="E7" i="1" s="1"/>
  <c r="R6" i="4"/>
  <c r="S6" i="4"/>
  <c r="H2" i="4"/>
  <c r="O5" i="4"/>
  <c r="P5" i="4" s="1"/>
  <c r="Q5" i="4" s="1"/>
  <c r="R5" i="4" s="1"/>
  <c r="S5" i="4" s="1"/>
  <c r="I2" i="4"/>
  <c r="M2" i="4"/>
  <c r="J2" i="4"/>
  <c r="F2" i="4"/>
  <c r="N2" i="4"/>
  <c r="D2" i="4"/>
  <c r="L2" i="4"/>
  <c r="G2" i="4"/>
  <c r="K2" i="4"/>
  <c r="C4" i="5"/>
  <c r="C7" i="3" s="1"/>
  <c r="C8" i="3" s="1"/>
  <c r="C19" i="1"/>
  <c r="D17" i="1"/>
  <c r="L3" i="1"/>
  <c r="M3" i="1" s="1"/>
  <c r="J3" i="1"/>
  <c r="K3" i="1" s="1"/>
  <c r="H3" i="1"/>
  <c r="N3" i="1"/>
  <c r="F3" i="1"/>
  <c r="D3" i="1"/>
  <c r="M5" i="1" l="1"/>
  <c r="K7" i="1"/>
  <c r="O9" i="1"/>
  <c r="P9" i="1" s="1"/>
  <c r="Q9" i="1" s="1"/>
  <c r="R9" i="1" s="1"/>
  <c r="S9" i="1" s="1"/>
  <c r="G15" i="1"/>
  <c r="J15" i="1" s="1"/>
  <c r="M15" i="1" s="1"/>
  <c r="E15" i="1"/>
  <c r="H15" i="1" s="1"/>
  <c r="K15" i="1" s="1"/>
  <c r="N15" i="1" s="1"/>
  <c r="E5" i="1"/>
  <c r="G11" i="1"/>
  <c r="J11" i="1" s="1"/>
  <c r="M11" i="1" s="1"/>
  <c r="E11" i="1"/>
  <c r="G5" i="1"/>
  <c r="E17" i="1"/>
  <c r="D19" i="1"/>
  <c r="O2" i="4"/>
  <c r="P2" i="4" s="1"/>
  <c r="Q2" i="4" s="1"/>
  <c r="R2" i="4" s="1"/>
  <c r="S2" i="4" s="1"/>
  <c r="C9" i="3"/>
  <c r="E3" i="1"/>
  <c r="I3" i="1"/>
  <c r="G3" i="1"/>
  <c r="O5" i="1" l="1"/>
  <c r="P5" i="1" s="1"/>
  <c r="Q5" i="1" s="1"/>
  <c r="H11" i="1"/>
  <c r="K11" i="1" s="1"/>
  <c r="N11" i="1" s="1"/>
  <c r="O15" i="1"/>
  <c r="P15" i="1" s="1"/>
  <c r="Q15" i="1" s="1"/>
  <c r="O7" i="1"/>
  <c r="P7" i="1" s="1"/>
  <c r="Q7" i="1" s="1"/>
  <c r="R7" i="1" s="1"/>
  <c r="S7" i="1" s="1"/>
  <c r="E19" i="1"/>
  <c r="F17" i="1"/>
  <c r="O3" i="1"/>
  <c r="P3" i="1" s="1"/>
  <c r="R15" i="1" l="1"/>
  <c r="S15" i="1" s="1"/>
  <c r="R5" i="1"/>
  <c r="S5" i="1" s="1"/>
  <c r="O11" i="1"/>
  <c r="P11" i="1" s="1"/>
  <c r="Q11" i="1" s="1"/>
  <c r="R11" i="1" s="1"/>
  <c r="S11" i="1" s="1"/>
  <c r="G17" i="1"/>
  <c r="F19" i="1"/>
  <c r="H17" i="1" l="1"/>
  <c r="G19" i="1"/>
  <c r="Q3" i="1"/>
  <c r="I17" i="1" l="1"/>
  <c r="H19" i="1"/>
  <c r="E4" i="3"/>
  <c r="D4" i="3"/>
  <c r="R3" i="1"/>
  <c r="F4" i="3"/>
  <c r="J17" i="1" l="1"/>
  <c r="I19" i="1"/>
  <c r="S3" i="1"/>
  <c r="H4" i="3"/>
  <c r="G4" i="3"/>
  <c r="K17" i="1" l="1"/>
  <c r="J19" i="1"/>
  <c r="L17" i="1" l="1"/>
  <c r="K19" i="1"/>
  <c r="M17" i="1" l="1"/>
  <c r="L19" i="1"/>
  <c r="N17" i="1" l="1"/>
  <c r="M19" i="1"/>
  <c r="N19" i="1" l="1"/>
  <c r="O17" i="1"/>
  <c r="O19" i="1" l="1"/>
  <c r="D3" i="3" s="1"/>
  <c r="D5" i="3" s="1"/>
  <c r="D8" i="3" s="1"/>
  <c r="D9" i="3" s="1"/>
  <c r="P17" i="1"/>
  <c r="P19" i="1" l="1"/>
  <c r="E3" i="3" s="1"/>
  <c r="E5" i="3" s="1"/>
  <c r="E8" i="3" s="1"/>
  <c r="E9" i="3" s="1"/>
  <c r="Q17" i="1"/>
  <c r="Q19" i="1" s="1"/>
  <c r="F3" i="3" s="1"/>
  <c r="F5" i="3" s="1"/>
  <c r="F8" i="3" s="1"/>
  <c r="F9" i="3" l="1"/>
  <c r="R17" i="1"/>
  <c r="S17" i="1" l="1"/>
  <c r="S19" i="1" s="1"/>
  <c r="H3" i="3" s="1"/>
  <c r="H5" i="3" s="1"/>
  <c r="H8" i="3" s="1"/>
  <c r="R19" i="1"/>
  <c r="G3" i="3" s="1"/>
  <c r="G5" i="3" s="1"/>
  <c r="G8" i="3" s="1"/>
  <c r="C12" i="3" l="1"/>
  <c r="G9" i="3"/>
  <c r="C11" i="3" l="1"/>
  <c r="H9" i="3"/>
</calcChain>
</file>

<file path=xl/sharedStrings.xml><?xml version="1.0" encoding="utf-8"?>
<sst xmlns="http://schemas.openxmlformats.org/spreadsheetml/2006/main" count="150" uniqueCount="122">
  <si>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</si>
  <si>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</si>
  <si>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</si>
  <si>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</si>
  <si>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</si>
  <si>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</si>
  <si>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</si>
  <si>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</si>
  <si>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</si>
  <si>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</si>
  <si>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</si>
  <si>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</si>
  <si>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1</t>
  </si>
  <si>
    <t>Ingresos (Ventas en alquiler de consoldas)</t>
  </si>
  <si>
    <t>Año 2</t>
  </si>
  <si>
    <t>Año 3</t>
  </si>
  <si>
    <t>Año 4</t>
  </si>
  <si>
    <t>Año 5</t>
  </si>
  <si>
    <t>Flujo de caja proyectado</t>
  </si>
  <si>
    <t>Año 0</t>
  </si>
  <si>
    <t>Ingresos</t>
  </si>
  <si>
    <t>(-) Costos</t>
  </si>
  <si>
    <t>Personal</t>
  </si>
  <si>
    <t>IPC</t>
  </si>
  <si>
    <t>Flujo de caja libre</t>
  </si>
  <si>
    <t>Payback</t>
  </si>
  <si>
    <t>TIR</t>
  </si>
  <si>
    <t>Flujo de caja/Ganancia acumulada</t>
  </si>
  <si>
    <t>( Ingresos - Costos)</t>
  </si>
  <si>
    <t>(-) Inversiones</t>
  </si>
  <si>
    <t>Precio de venta camiseta (bambu)</t>
  </si>
  <si>
    <t>Cantidad de camisetas</t>
  </si>
  <si>
    <t>Precio unitario de cada camiseta</t>
  </si>
  <si>
    <t>Kilogranos de cada royo de tela (fibra de bambu)</t>
  </si>
  <si>
    <t>Total kilogramos por cada royo</t>
  </si>
  <si>
    <t>Gramos gastados por cada camiseta</t>
  </si>
  <si>
    <t>% del royo para pantalones</t>
  </si>
  <si>
    <t>% del royo para camisetas</t>
  </si>
  <si>
    <t>Cantidad de camisetas por royo</t>
  </si>
  <si>
    <t>Gramos por pantalones</t>
  </si>
  <si>
    <t>Precio de venta pantalon (bambu)</t>
  </si>
  <si>
    <t>Cantidad de pantalones</t>
  </si>
  <si>
    <t>Precio unitario de cada pantalon</t>
  </si>
  <si>
    <t>% de incremento de ventas por año</t>
  </si>
  <si>
    <t>Cantidad de maquinistas</t>
  </si>
  <si>
    <t>Salario de maquinistas</t>
  </si>
  <si>
    <t>Total salarios</t>
  </si>
  <si>
    <t>Cantidad de vendedores</t>
  </si>
  <si>
    <t>Total vendedores</t>
  </si>
  <si>
    <t>Total Salario vendedores</t>
  </si>
  <si>
    <t>Salario administrador</t>
  </si>
  <si>
    <t>Total salario mensual</t>
  </si>
  <si>
    <t>Precio de cada royo</t>
  </si>
  <si>
    <t>Gasto en royos de Bambu</t>
  </si>
  <si>
    <t>Fileteadora</t>
  </si>
  <si>
    <t>Fusionadora</t>
  </si>
  <si>
    <t>Ojaladora</t>
  </si>
  <si>
    <t>Equipo de planchado</t>
  </si>
  <si>
    <t>Total maquinaria</t>
  </si>
  <si>
    <t>Maquinaria y equipo</t>
  </si>
  <si>
    <t>costo de arriendo (local)</t>
  </si>
  <si>
    <t>Cobro de lus de las maquinas</t>
  </si>
  <si>
    <t>Costo de arriendo (local)</t>
  </si>
  <si>
    <t>Costo de luz</t>
  </si>
  <si>
    <t>Costo de agua</t>
  </si>
  <si>
    <t>Cobro de agua</t>
  </si>
  <si>
    <t>Precio unitario de gorra</t>
  </si>
  <si>
    <t>Cantidad de gorras</t>
  </si>
  <si>
    <t>Precio de venta gorra ( bambu)</t>
  </si>
  <si>
    <t>precio de venta de camisa(bambu)</t>
  </si>
  <si>
    <t>Cantidad de camisas</t>
  </si>
  <si>
    <t>Cantidad de camisas por rollo</t>
  </si>
  <si>
    <t>Cantidad de gorras por rollo</t>
  </si>
  <si>
    <t>Gramos gastados por cada camisa</t>
  </si>
  <si>
    <t>% de royo para camisas</t>
  </si>
  <si>
    <t>% de royo para gorra</t>
  </si>
  <si>
    <t>Cantidad de pantalones por royo</t>
  </si>
  <si>
    <t>unidad peltre negro (filtros para la ropa)</t>
  </si>
  <si>
    <t>Gramos gastados por cada gorra</t>
  </si>
  <si>
    <t xml:space="preserve">% de royo para </t>
  </si>
  <si>
    <t>Precio unitario de cada</t>
  </si>
  <si>
    <t>Precio unitario de cada camisa</t>
  </si>
  <si>
    <t>Precio de venta  traje de baño diseño 1 (bambu)</t>
  </si>
  <si>
    <t>Precio de venta traje de baño diseño 2 (bambu)</t>
  </si>
  <si>
    <t>Precio de venta sombero (bambu)</t>
  </si>
  <si>
    <t>Precio de venta bolso (bamu)</t>
  </si>
  <si>
    <t>Precio de venta toalla (bambu)</t>
  </si>
  <si>
    <t>Precio de venta camisa casual (bambu)</t>
  </si>
  <si>
    <t>Cantidad de traje de baño diseño 1</t>
  </si>
  <si>
    <t>% de royo para traje de baño diseño 1</t>
  </si>
  <si>
    <t>% de royo para traje de baño diseño 2</t>
  </si>
  <si>
    <t>Cantidad de traje de baño diseño 2</t>
  </si>
  <si>
    <t>% de royo para sombero</t>
  </si>
  <si>
    <t xml:space="preserve">% de royo para toalla </t>
  </si>
  <si>
    <t>Cantidad de toalla</t>
  </si>
  <si>
    <t>% de royo para camisa casual</t>
  </si>
  <si>
    <t>Cantidad de camisa casual</t>
  </si>
  <si>
    <t>Gramos gastados por cada traje de baño diseño 1</t>
  </si>
  <si>
    <t>Gramos gastados por cada traje de baño diseño 2</t>
  </si>
  <si>
    <t>Gramos gastados por cada toalla</t>
  </si>
  <si>
    <t>Gramos gastados por cada camisa casual</t>
  </si>
  <si>
    <t>cantidad de traje de baño diseño 1</t>
  </si>
  <si>
    <t>cantidad de traje de baño diseño 2</t>
  </si>
  <si>
    <t>% de royo para vestido</t>
  </si>
  <si>
    <t>Precio de venta vestido (bambu)</t>
  </si>
  <si>
    <t>Gramos gastados por cada vestido</t>
  </si>
  <si>
    <t>precio unitario de cada vestido</t>
  </si>
  <si>
    <t>Precio de venta manta (bambu)</t>
  </si>
  <si>
    <t>% de royo para manta</t>
  </si>
  <si>
    <t>Gramos gastados por cada manta</t>
  </si>
  <si>
    <t>Cantidad de vestido</t>
  </si>
  <si>
    <t>Cantidad de manta</t>
  </si>
  <si>
    <t>cantidad de vestido</t>
  </si>
  <si>
    <t>Precio unitario de cada taje de baño diseño 1</t>
  </si>
  <si>
    <t>cantidad de mantas</t>
  </si>
  <si>
    <t>precio unitario de manta</t>
  </si>
  <si>
    <t>zest</t>
  </si>
  <si>
    <t>grisi</t>
  </si>
  <si>
    <t>filtros para la ropa</t>
  </si>
  <si>
    <t>jabones (neutro)</t>
  </si>
  <si>
    <t>axepcia</t>
  </si>
  <si>
    <t>Gastos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</si>
</sst>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&quot;XDR&quot;* #,##0.00_-;\-&quot;XDR&quot;* #,##0.00_-;_-&quot;XDR&quot;* &quot;-&quot;??_-;_-@_-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_);[Red]\(0\)"/>
    <numFmt numFmtId="168" formatCode="_-* #,##0.0_-;\-* #,##0.0_-;_-* &quot;-&quot;??_-;_-@_-"/>
    <numFmt numFmtId="169" formatCode="_(* #,##0.00_);_(* \(#,##0.00\);_(* &quot;-&quot;??_);_(@_)"/>
    <numFmt numFmtId="170" formatCode="_(* #,##0_);_(* \(#,##0\);_(* &quot;-&quot;??_);_(@_)"/>
    <numFmt numFmtId="171" formatCode="_-[$$-240A]\ * #,##0.00_-;\-[$$-240A]\ * #,##0.00_-;_-[$$-240A]\ * &quot;-&quot;??_-;_-@_-"/>
    <numFmt numFmtId="172" formatCode="_-[$$-240A]\ * #,##0_-;\-[$$-240A]\ * #,##0_-;_-[$$-240A]\ * &quot;-&quot;??_-;_-@_-"/>
    <numFmt numFmtId="173" formatCode="_-[$$-240A]\ * #,##0.000_-;\-[$$-240A]\ * #,##0.000_-;_-[$$-240A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entury Gothic"/>
      <family val="2"/>
    </font>
    <font>
      <sz val="10"/>
      <color rgb="FF555555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BEBED"/>
        <bgColor indexed="2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</cellStyleXfs>
  <cellXfs count="69">
    <xf numFmtId="0" fontId="0" fillId="0" borderId="0" xfId="0"/>
    <xf numFmtId="166" fontId="0" fillId="0" borderId="0" xfId="0" applyNumberFormat="1"/>
    <xf numFmtId="9" fontId="0" fillId="0" borderId="0" xfId="3" applyFont="1"/>
    <xf numFmtId="43" fontId="0" fillId="0" borderId="0" xfId="1" applyFont="1"/>
    <xf numFmtId="167" fontId="4" fillId="2" borderId="1" xfId="4" applyNumberFormat="1" applyFont="1" applyFill="1" applyBorder="1" applyAlignment="1">
      <alignment vertical="center" wrapText="1"/>
    </xf>
    <xf numFmtId="167" fontId="4" fillId="2" borderId="1" xfId="4" applyNumberFormat="1" applyFont="1" applyFill="1" applyBorder="1" applyAlignment="1">
      <alignment horizontal="center" vertical="center" wrapText="1"/>
    </xf>
    <xf numFmtId="0" fontId="0" fillId="0" borderId="1" xfId="0" applyBorder="1"/>
    <xf numFmtId="166" fontId="0" fillId="0" borderId="1" xfId="0" applyNumberFormat="1" applyBorder="1"/>
    <xf numFmtId="9" fontId="0" fillId="3" borderId="1" xfId="0" applyNumberFormat="1" applyFill="1" applyBorder="1"/>
    <xf numFmtId="0" fontId="0" fillId="3" borderId="1" xfId="0" applyFill="1" applyBorder="1"/>
    <xf numFmtId="166" fontId="0" fillId="3" borderId="1" xfId="0" applyNumberFormat="1" applyFill="1" applyBorder="1"/>
    <xf numFmtId="165" fontId="0" fillId="3" borderId="1" xfId="0" applyNumberFormat="1" applyFill="1" applyBorder="1"/>
    <xf numFmtId="170" fontId="1" fillId="3" borderId="1" xfId="5" applyNumberFormat="1" applyFont="1" applyFill="1" applyBorder="1" applyAlignment="1">
      <alignment horizontal="center" vertical="center"/>
    </xf>
    <xf numFmtId="170" fontId="0" fillId="3" borderId="1" xfId="0" applyNumberFormat="1" applyFill="1" applyBorder="1"/>
    <xf numFmtId="168" fontId="0" fillId="3" borderId="1" xfId="1" applyNumberFormat="1" applyFont="1" applyFill="1" applyBorder="1"/>
    <xf numFmtId="171" fontId="0" fillId="3" borderId="1" xfId="2" applyNumberFormat="1" applyFont="1" applyFill="1" applyBorder="1"/>
    <xf numFmtId="171" fontId="0" fillId="3" borderId="1" xfId="0" applyNumberFormat="1" applyFill="1" applyBorder="1"/>
    <xf numFmtId="1" fontId="0" fillId="3" borderId="1" xfId="0" applyNumberFormat="1" applyFill="1" applyBorder="1"/>
    <xf numFmtId="1" fontId="0" fillId="3" borderId="2" xfId="0" applyNumberFormat="1" applyFill="1" applyBorder="1"/>
    <xf numFmtId="171" fontId="0" fillId="0" borderId="0" xfId="0" applyNumberFormat="1"/>
    <xf numFmtId="171" fontId="0" fillId="0" borderId="1" xfId="0" applyNumberFormat="1" applyBorder="1"/>
    <xf numFmtId="166" fontId="0" fillId="0" borderId="1" xfId="0" applyNumberFormat="1" applyBorder="1" applyAlignment="1">
      <alignment horizontal="left"/>
    </xf>
    <xf numFmtId="0" fontId="0" fillId="0" borderId="3" xfId="0" applyBorder="1"/>
    <xf numFmtId="9" fontId="0" fillId="3" borderId="4" xfId="0" applyNumberFormat="1" applyFill="1" applyBorder="1"/>
    <xf numFmtId="0" fontId="0" fillId="0" borderId="5" xfId="0" applyBorder="1"/>
    <xf numFmtId="1" fontId="0" fillId="0" borderId="6" xfId="0" applyNumberFormat="1" applyBorder="1"/>
    <xf numFmtId="172" fontId="0" fillId="3" borderId="1" xfId="0" applyNumberFormat="1" applyFill="1" applyBorder="1"/>
    <xf numFmtId="173" fontId="0" fillId="3" borderId="1" xfId="2" applyNumberFormat="1" applyFont="1" applyFill="1" applyBorder="1"/>
    <xf numFmtId="173" fontId="0" fillId="3" borderId="1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3" borderId="1" xfId="2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0" fillId="0" borderId="17" xfId="0" applyNumberFormat="1" applyBorder="1"/>
    <xf numFmtId="172" fontId="0" fillId="0" borderId="9" xfId="2" applyNumberFormat="1" applyFont="1" applyBorder="1"/>
    <xf numFmtId="172" fontId="0" fillId="0" borderId="10" xfId="2" applyNumberFormat="1" applyFont="1" applyBorder="1"/>
    <xf numFmtId="172" fontId="0" fillId="0" borderId="16" xfId="2" applyNumberFormat="1" applyFont="1" applyBorder="1"/>
    <xf numFmtId="171" fontId="0" fillId="0" borderId="11" xfId="2" applyNumberFormat="1" applyFont="1" applyBorder="1"/>
    <xf numFmtId="166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9" fontId="0" fillId="0" borderId="10" xfId="0" applyNumberFormat="1" applyBorder="1"/>
    <xf numFmtId="9" fontId="0" fillId="0" borderId="10" xfId="3" applyFont="1" applyBorder="1"/>
    <xf numFmtId="9" fontId="0" fillId="0" borderId="11" xfId="3" applyFont="1" applyBorder="1"/>
    <xf numFmtId="1" fontId="0" fillId="0" borderId="18" xfId="0" applyNumberFormat="1" applyBorder="1"/>
    <xf numFmtId="171" fontId="0" fillId="0" borderId="12" xfId="2" applyNumberFormat="1" applyFont="1" applyBorder="1"/>
    <xf numFmtId="173" fontId="0" fillId="0" borderId="13" xfId="2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71" fontId="0" fillId="0" borderId="9" xfId="0" applyNumberFormat="1" applyBorder="1"/>
    <xf numFmtId="171" fontId="0" fillId="0" borderId="10" xfId="2" applyNumberFormat="1" applyFont="1" applyBorder="1"/>
    <xf numFmtId="165" fontId="0" fillId="0" borderId="11" xfId="2" applyNumberFormat="1" applyFont="1" applyBorder="1"/>
    <xf numFmtId="1" fontId="0" fillId="0" borderId="10" xfId="3" applyNumberFormat="1" applyFont="1" applyBorder="1"/>
    <xf numFmtId="1" fontId="0" fillId="0" borderId="9" xfId="3" applyNumberFormat="1" applyFont="1" applyBorder="1"/>
    <xf numFmtId="172" fontId="5" fillId="0" borderId="13" xfId="2" applyNumberFormat="1" applyFont="1" applyBorder="1"/>
    <xf numFmtId="172" fontId="5" fillId="0" borderId="9" xfId="2" applyNumberFormat="1" applyFont="1" applyBorder="1"/>
    <xf numFmtId="172" fontId="0" fillId="3" borderId="10" xfId="2" applyNumberFormat="1" applyFont="1" applyFill="1" applyBorder="1"/>
    <xf numFmtId="172" fontId="0" fillId="0" borderId="10" xfId="2" applyNumberFormat="1" applyFont="1" applyFill="1" applyBorder="1"/>
    <xf numFmtId="0" fontId="0" fillId="0" borderId="20" xfId="0" applyFill="1" applyBorder="1"/>
    <xf numFmtId="0" fontId="0" fillId="0" borderId="21" xfId="0" applyFill="1" applyBorder="1"/>
    <xf numFmtId="171" fontId="0" fillId="0" borderId="10" xfId="2" applyNumberFormat="1" applyFont="1" applyFill="1" applyBorder="1"/>
  </cellXfs>
  <cellStyles count="6">
    <cellStyle name="Comma 2" xfId="5" xr:uid="{4EDF1F22-FE05-4B2D-A1E5-9484AA5F00FD}"/>
    <cellStyle name="Millares" xfId="1" builtinId="3"/>
    <cellStyle name="Moneda" xfId="2" builtinId="4"/>
    <cellStyle name="Normal" xfId="0" builtinId="0"/>
    <cellStyle name="Normal 3" xfId="4" xr:uid="{1C9FA760-4569-4120-BF25-2C658CCA5687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Proyección</a:t>
            </a:r>
            <a:r>
              <a:rPr lang="es-CO" baseline="0"/>
              <a:t> de ventas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v>Años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8.3333333333334356E-3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B4-42F0-AD49-4C32582351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Ingresos!$O$2:$S$2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Ingresos!$O$19:$S$19</c:f>
              <c:numCache>
                <c:formatCode>_-[$$-409]* #,##0_ ;_-[$$-409]* \-#,##0\ ;_-[$$-409]* "-"??_ ;_-@_ </c:formatCode>
                <c:ptCount val="5"/>
                <c:pt idx="0">
                  <c:v>764760000</c:v>
                </c:pt>
                <c:pt idx="1">
                  <c:v>1533243600</c:v>
                </c:pt>
                <c:pt idx="2">
                  <c:v>3135615840</c:v>
                </c:pt>
                <c:pt idx="3">
                  <c:v>6487197141.6000004</c:v>
                </c:pt>
                <c:pt idx="4">
                  <c:v>13509655337.808002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4-42F0-AD49-4C325823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72272"/>
        <c:axId val="50166977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Años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Ingresos!$O$2:$S$2</c15:sqref>
                        </c15:formulaRef>
                      </c:ext>
                    </c:extLst>
                    <c:strCache>
                      <c:ptCount val="5"/>
                      <c:pt idx="0">
                        <c:v>Año 1</c:v>
                      </c:pt>
                      <c:pt idx="1">
                        <c:v>Año 2</c:v>
                      </c:pt>
                      <c:pt idx="2">
                        <c:v>Año 3</c:v>
                      </c:pt>
                      <c:pt idx="3">
                        <c:v>Año 4</c:v>
                      </c:pt>
                      <c:pt idx="4">
                        <c:v>Año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Ingresos!$O$4:$S$4</c15:sqref>
                        </c15:formulaRef>
                      </c:ext>
                    </c:extLst>
                    <c:numCache>
                      <c:formatCode>_-[$$-240A]\ * #,##0.00_-;\-[$$-240A]\ * #,##0.00_-;_-[$$-240A]\ * "-"??_-;_-@_-</c:formatCode>
                      <c:ptCount val="5"/>
                      <c:pt idx="0" formatCode="_-[$$-240A]\ * #,##0.000_-;\-[$$-240A]\ * #,##0.000_-;_-[$$-240A]\ * &quot;-&quot;??_-;_-@_-">
                        <c:v>1200000</c:v>
                      </c:pt>
                      <c:pt idx="1">
                        <c:v>1260000</c:v>
                      </c:pt>
                      <c:pt idx="2">
                        <c:v>1323000</c:v>
                      </c:pt>
                      <c:pt idx="3">
                        <c:v>1389150</c:v>
                      </c:pt>
                      <c:pt idx="4">
                        <c:v>1458607.5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B4-42F0-AD49-4C325823516F}"/>
                  </c:ext>
                </c:extLst>
              </c15:ser>
            </c15:filteredLineSeries>
          </c:ext>
        </c:extLst>
      </c:lineChart>
      <c:catAx>
        <c:axId val="5016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1669776"/>
        <c:crosses val="autoZero"/>
        <c:auto val="1"/>
        <c:lblAlgn val="ctr"/>
        <c:lblOffset val="100"/>
        <c:noMultiLvlLbl val="0"/>
      </c:catAx>
      <c:valAx>
        <c:axId val="5016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16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Proyección de 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Costos!$O$1:$S$1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  <c:extLst xmlns:c15="http://schemas.microsoft.com/office/drawing/2012/chart"/>
            </c:strRef>
          </c:cat>
          <c:val>
            <c:numRef>
              <c:f>Costos!$O$2:$S$2</c:f>
              <c:numCache>
                <c:formatCode>_-[$$-409]* #,##0_ ;_-[$$-409]* \-#,##0\ ;_-[$$-409]* "-"??_ ;_-@_ </c:formatCode>
                <c:ptCount val="5"/>
                <c:pt idx="0">
                  <c:v>154000001.33333334</c:v>
                </c:pt>
                <c:pt idx="1">
                  <c:v>161700001.40000001</c:v>
                </c:pt>
                <c:pt idx="2">
                  <c:v>169785001.47</c:v>
                </c:pt>
                <c:pt idx="3">
                  <c:v>178274251.54350001</c:v>
                </c:pt>
                <c:pt idx="4">
                  <c:v>187187964.12067503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DD-4D11-9FA1-2A2AD72A9A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Costos!$O$1:$S$1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  <c:extLst xmlns:c15="http://schemas.microsoft.com/office/drawing/2012/chart"/>
            </c:strRef>
          </c:cat>
          <c:val>
            <c:numRef>
              <c:f>Costos!$O$5:$S$5</c:f>
              <c:numCache>
                <c:formatCode>_-[$$-240A]\ * #,##0.00_-;\-[$$-240A]\ * #,##0.00_-;_-[$$-240A]\ * "-"??_-;_-@_-</c:formatCode>
                <c:ptCount val="5"/>
                <c:pt idx="0">
                  <c:v>201400000</c:v>
                </c:pt>
                <c:pt idx="1">
                  <c:v>211470000</c:v>
                </c:pt>
                <c:pt idx="2">
                  <c:v>222043500</c:v>
                </c:pt>
                <c:pt idx="3">
                  <c:v>233145675</c:v>
                </c:pt>
                <c:pt idx="4">
                  <c:v>244802958.75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BDD-4D11-9FA1-2A2AD72A9A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Costos!$O$1:$S$1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  <c:extLst xmlns:c15="http://schemas.microsoft.com/office/drawing/2012/chart"/>
            </c:strRef>
          </c:cat>
          <c:val>
            <c:numRef>
              <c:f>Costos!#REF!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BDD-4D11-9FA1-2A2AD72A9A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Costos!$O$1:$S$1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  <c:extLst xmlns:c15="http://schemas.microsoft.com/office/drawing/2012/chart"/>
            </c:strRef>
          </c:cat>
          <c:val>
            <c:numRef>
              <c:f>Costos!#REF!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BDD-4D11-9FA1-2A2AD72A9AD5}"/>
            </c:ext>
          </c:extLst>
        </c:ser>
        <c:ser>
          <c:idx val="4"/>
          <c:order val="4"/>
          <c:tx>
            <c:v>Gastos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388888888888899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DD-4D11-9FA1-2A2AD72A9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Costos!$O$1:$S$1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Costos!$O$8:$S$8</c:f>
              <c:numCache>
                <c:formatCode>_-[$$-409]* #,##0_ ;_-[$$-409]* \-#,##0\ ;_-[$$-409]* "-"??_ ;_-@_ </c:formatCode>
                <c:ptCount val="5"/>
                <c:pt idx="0" formatCode="_-[$$-240A]\ * #,##0.00_-;\-[$$-240A]\ * #,##0.00_-;_-[$$-240A]\ * &quot;-&quot;??_-;_-@_-">
                  <c:v>3800000</c:v>
                </c:pt>
                <c:pt idx="1">
                  <c:v>3990000</c:v>
                </c:pt>
                <c:pt idx="2">
                  <c:v>3990000</c:v>
                </c:pt>
                <c:pt idx="3">
                  <c:v>3990000</c:v>
                </c:pt>
                <c:pt idx="4">
                  <c:v>3990000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D-4D11-9FA1-2A2AD72A9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061968"/>
        <c:axId val="660063216"/>
        <c:extLst/>
      </c:lineChart>
      <c:catAx>
        <c:axId val="6600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0063216"/>
        <c:crosses val="autoZero"/>
        <c:auto val="1"/>
        <c:lblAlgn val="ctr"/>
        <c:lblOffset val="100"/>
        <c:noMultiLvlLbl val="0"/>
      </c:catAx>
      <c:valAx>
        <c:axId val="6600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00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Proyección</a:t>
            </a:r>
            <a:r>
              <a:rPr lang="es-CO" baseline="0"/>
              <a:t> de inversiones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Inversiones!$B$3</c:f>
              <c:strCache>
                <c:ptCount val="1"/>
                <c:pt idx="0">
                  <c:v>Maquinaria y equipo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Inversiones!$C$2:$H$2</c:f>
              <c:strCache>
                <c:ptCount val="6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</c:strCache>
            </c:strRef>
          </c:cat>
          <c:val>
            <c:numRef>
              <c:f>Inversiones!$C$3:$H$3</c:f>
              <c:numCache>
                <c:formatCode>_-[$$-409]* #,##0.00_ ;_-[$$-409]* \-#,##0.00\ ;_-[$$-409]* "-"??_ ;_-@_ </c:formatCode>
                <c:ptCount val="6"/>
                <c:pt idx="0">
                  <c:v>120079900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B-4530-A727-5DD2E7E02F2C}"/>
            </c:ext>
          </c:extLst>
        </c:ser>
        <c:ser>
          <c:idx val="1"/>
          <c:order val="1"/>
          <c:tx>
            <c:strRef>
              <c:f>Inversiones!#REF!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Inversiones!$C$2:$H$2</c:f>
              <c:strCache>
                <c:ptCount val="6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</c:strCache>
            </c:strRef>
          </c:cat>
          <c:val>
            <c:numRef>
              <c:f>Inversiones!#REF!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B-4530-A727-5DD2E7E0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168384"/>
        <c:axId val="507168800"/>
      </c:barChart>
      <c:catAx>
        <c:axId val="5071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168800"/>
        <c:crosses val="autoZero"/>
        <c:auto val="1"/>
        <c:lblAlgn val="ctr"/>
        <c:lblOffset val="100"/>
        <c:noMultiLvlLbl val="0"/>
      </c:catAx>
      <c:valAx>
        <c:axId val="5071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1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Flujo de caja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'Flujo de caja'!$B$5</c:f>
              <c:strCache>
                <c:ptCount val="1"/>
                <c:pt idx="0">
                  <c:v>( Ingresos - Costos)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Lbl>
              <c:idx val="5"/>
              <c:layout>
                <c:manualLayout>
                  <c:x val="5.1168346600036468E-2"/>
                  <c:y val="-2.046811272181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FD-4F8A-BE6D-A8050DDDE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'Flujo de caja'!$C$2:$H$2</c:f>
              <c:strCache>
                <c:ptCount val="6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</c:strCache>
            </c:strRef>
          </c:cat>
          <c:val>
            <c:numRef>
              <c:f>'Flujo de caja'!$C$5:$H$5</c:f>
              <c:numCache>
                <c:formatCode>_-[$$-409]* #,##0_ ;_-[$$-409]* \-#,##0\ ;_-[$$-409]* "-"??_ ;_-@_ </c:formatCode>
                <c:ptCount val="6"/>
                <c:pt idx="0" formatCode="General">
                  <c:v>0</c:v>
                </c:pt>
                <c:pt idx="1">
                  <c:v>760960000</c:v>
                </c:pt>
                <c:pt idx="2">
                  <c:v>1529253600</c:v>
                </c:pt>
                <c:pt idx="3">
                  <c:v>3131625840</c:v>
                </c:pt>
                <c:pt idx="4">
                  <c:v>6483207141.6000004</c:v>
                </c:pt>
                <c:pt idx="5">
                  <c:v>13505665337.808002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9-4720-9539-652865321438}"/>
            </c:ext>
          </c:extLst>
        </c:ser>
        <c:ser>
          <c:idx val="4"/>
          <c:order val="4"/>
          <c:tx>
            <c:strRef>
              <c:f>'Flujo de caja'!$B$7</c:f>
              <c:strCache>
                <c:ptCount val="1"/>
                <c:pt idx="0">
                  <c:v>(-) Inversiones</c:v>
                </c:pt>
              </c:strCache>
            </c:strRef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'Flujo de caja'!$C$2:$H$2</c:f>
              <c:strCache>
                <c:ptCount val="6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</c:strCache>
            </c:strRef>
          </c:cat>
          <c:val>
            <c:numRef>
              <c:f>'Flujo de caja'!$C$7:$H$7</c:f>
              <c:numCache>
                <c:formatCode>_(* #,##0_);_(* \(#,##0\);_(* "-"??_);_(@_)</c:formatCode>
                <c:ptCount val="6"/>
                <c:pt idx="0">
                  <c:v>-120079900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C9-4720-9539-65286532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33641472"/>
        <c:axId val="1133639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'Flujo de caja'!$B$3</c15:sqref>
                        </c15:formulaRef>
                      </c:ext>
                    </c:extLst>
                    <c:strCache>
                      <c:ptCount val="1"/>
                      <c:pt idx="0">
                        <c:v>Ingresos</c:v>
                      </c:pt>
                    </c:strCache>
                  </c:strRef>
                </c:tx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'Flujo de caja'!$C$2:$H$2</c15:sqref>
                        </c15:formulaRef>
                      </c:ext>
                    </c:extLst>
                    <c:strCache>
                      <c:ptCount val="6"/>
                      <c:pt idx="0">
                        <c:v>Año 0</c:v>
                      </c:pt>
                      <c:pt idx="1">
                        <c:v>Año 1</c:v>
                      </c:pt>
                      <c:pt idx="2">
                        <c:v>Año 2</c:v>
                      </c:pt>
                      <c:pt idx="3">
                        <c:v>Año 3</c:v>
                      </c:pt>
                      <c:pt idx="4">
                        <c:v>Año 4</c:v>
                      </c:pt>
                      <c:pt idx="5">
                        <c:v>Año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'Flujo de caja'!$C$3:$H$3</c15:sqref>
                        </c15:formulaRef>
                      </c:ext>
                    </c:extLst>
                    <c:numCache>
                      <c:formatCode>_-[$$-409]* #,##0_ ;_-[$$-409]* \-#,##0\ ;_-[$$-409]* "-"??_ ;_-@_ </c:formatCode>
                      <c:ptCount val="6"/>
                      <c:pt idx="0" formatCode="General">
                        <c:v>0</c:v>
                      </c:pt>
                      <c:pt idx="1">
                        <c:v>764760000</c:v>
                      </c:pt>
                      <c:pt idx="2">
                        <c:v>1533243600</c:v>
                      </c:pt>
                      <c:pt idx="3">
                        <c:v>3135615840</c:v>
                      </c:pt>
                      <c:pt idx="4">
                        <c:v>6487197141.6000004</c:v>
                      </c:pt>
                      <c:pt idx="5">
                        <c:v>13509655337.808002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C9-4720-9539-65286532143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'Flujo de caja'!$B$4</c15:sqref>
                        </c15:formulaRef>
                      </c:ext>
                    </c:extLst>
                    <c:strCache>
                      <c:ptCount val="1"/>
                      <c:pt idx="0">
                        <c:v>(-) Costos</c:v>
                      </c:pt>
                    </c:strCache>
                  </c:strRef>
                </c:tx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'Flujo de caja'!$C$2:$H$2</c15:sqref>
                        </c15:formulaRef>
                      </c:ext>
                    </c:extLst>
                    <c:strCache>
                      <c:ptCount val="6"/>
                      <c:pt idx="0">
                        <c:v>Año 0</c:v>
                      </c:pt>
                      <c:pt idx="1">
                        <c:v>Año 1</c:v>
                      </c:pt>
                      <c:pt idx="2">
                        <c:v>Año 2</c:v>
                      </c:pt>
                      <c:pt idx="3">
                        <c:v>Año 3</c:v>
                      </c:pt>
                      <c:pt idx="4">
                        <c:v>Año 4</c:v>
                      </c:pt>
                      <c:pt idx="5">
                        <c:v>Año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'Flujo de caja'!$C$4:$H$4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 formatCode="General">
                        <c:v>0</c:v>
                      </c:pt>
                      <c:pt idx="1">
                        <c:v>-3800000</c:v>
                      </c:pt>
                      <c:pt idx="2">
                        <c:v>-3990000</c:v>
                      </c:pt>
                      <c:pt idx="3">
                        <c:v>-3990000</c:v>
                      </c:pt>
                      <c:pt idx="4">
                        <c:v>-3990000</c:v>
                      </c:pt>
                      <c:pt idx="5">
                        <c:v>-3990000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C9-4720-9539-6528653214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'Flujo de caja'!$B$6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6">
                        <a:lumMod val="60000"/>
                      </a:schemeClr>
                    </a:fgClr>
                    <a:bgClr>
                      <a:schemeClr val="accent6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'Flujo de caja'!$C$2:$H$2</c15:sqref>
                        </c15:formulaRef>
                      </c:ext>
                    </c:extLst>
                    <c:strCache>
                      <c:ptCount val="6"/>
                      <c:pt idx="0">
                        <c:v>Año 0</c:v>
                      </c:pt>
                      <c:pt idx="1">
                        <c:v>Año 1</c:v>
                      </c:pt>
                      <c:pt idx="2">
                        <c:v>Año 2</c:v>
                      </c:pt>
                      <c:pt idx="3">
                        <c:v>Año 3</c:v>
                      </c:pt>
                      <c:pt idx="4">
                        <c:v>Año 4</c:v>
                      </c:pt>
                      <c:pt idx="5">
                        <c:v>Año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'Flujo de caja'!$C$6:$H$6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C9-4720-9539-65286532143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'Flujo de caja'!$B$8</c15:sqref>
                        </c15:formulaRef>
                      </c:ext>
                    </c:extLst>
                    <c:strCache>
                      <c:ptCount val="1"/>
                      <c:pt idx="0">
                        <c:v>Flujo de caja libre</c:v>
                      </c:pt>
                    </c:strCache>
                  </c:strRef>
                </c:tx>
                <c:spPr>
                  <a:pattFill prst="narHorz">
                    <a:fgClr>
                      <a:schemeClr val="accent4">
                        <a:lumMod val="60000"/>
                      </a:schemeClr>
                    </a:fgClr>
                    <a:bgClr>
                      <a:schemeClr val="accent4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'Flujo de caja'!$C$2:$H$2</c15:sqref>
                        </c15:formulaRef>
                      </c:ext>
                    </c:extLst>
                    <c:strCache>
                      <c:ptCount val="6"/>
                      <c:pt idx="0">
                        <c:v>Año 0</c:v>
                      </c:pt>
                      <c:pt idx="1">
                        <c:v>Año 1</c:v>
                      </c:pt>
                      <c:pt idx="2">
                        <c:v>Año 2</c:v>
                      </c:pt>
                      <c:pt idx="3">
                        <c:v>Año 3</c:v>
                      </c:pt>
                      <c:pt idx="4">
                        <c:v>Año 4</c:v>
                      </c:pt>
                      <c:pt idx="5">
                        <c:v>Año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'Flujo de caja'!$C$8:$H$8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-120079900</c:v>
                      </c:pt>
                      <c:pt idx="1">
                        <c:v>760960000</c:v>
                      </c:pt>
                      <c:pt idx="2">
                        <c:v>1529253600</c:v>
                      </c:pt>
                      <c:pt idx="3">
                        <c:v>3131625840</c:v>
                      </c:pt>
                      <c:pt idx="4">
                        <c:v>6483207141.6000004</c:v>
                      </c:pt>
                      <c:pt idx="5">
                        <c:v>13505665337.808002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2C9-4720-9539-652865321438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6"/>
          <c:order val="6"/>
          <c:tx>
            <c:strRef>
              <c:f>'Flujo de caja'!$B$9</c:f>
              <c:strCache>
                <c:ptCount val="1"/>
                <c:pt idx="0">
                  <c:v>Flujo de caja/Ganancia acumulada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FD-4F8A-BE6D-A8050DDDEDBB}"/>
                </c:ext>
              </c:extLst>
            </c:dLbl>
            <c:dLbl>
              <c:idx val="4"/>
              <c:layout>
                <c:manualLayout>
                  <c:x val="-3.8887943416027977E-2"/>
                  <c:y val="-6.4815690285758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FD-4F8A-BE6D-A8050DDDE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'Flujo de caja'!$C$2:$H$2</c:f>
              <c:strCache>
                <c:ptCount val="6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</c:strCache>
            </c:strRef>
          </c:cat>
          <c:val>
            <c:numRef>
              <c:f>'Flujo de caja'!$C$9:$H$9</c:f>
              <c:numCache>
                <c:formatCode>_(* #,##0_);_(* \(#,##0\);_(* "-"??_);_(@_)</c:formatCode>
                <c:ptCount val="6"/>
                <c:pt idx="0">
                  <c:v>-120079900</c:v>
                </c:pt>
                <c:pt idx="1">
                  <c:v>640880100</c:v>
                </c:pt>
                <c:pt idx="2">
                  <c:v>2170133700</c:v>
                </c:pt>
                <c:pt idx="3">
                  <c:v>5301759540</c:v>
                </c:pt>
                <c:pt idx="4">
                  <c:v>11784966681.6</c:v>
                </c:pt>
                <c:pt idx="5">
                  <c:v>25290632019.408005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C9-4720-9539-65286532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641472"/>
        <c:axId val="1133639808"/>
      </c:lineChart>
      <c:catAx>
        <c:axId val="11336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639808"/>
        <c:crosses val="autoZero"/>
        <c:auto val="1"/>
        <c:lblAlgn val="ctr"/>
        <c:lblOffset val="100"/>
        <c:noMultiLvlLbl val="0"/>
      </c:catAx>
      <c:valAx>
        <c:axId val="11336398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6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20</xdr:row>
      <xdr:rowOff>161925</xdr:rowOff>
    </xdr:from>
    <xdr:to>
      <xdr:col>16</xdr:col>
      <xdr:colOff>466725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9042A8-23DD-4B0A-91F4-3952DC13D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157162</xdr:colOff>
      <xdr:row>11</xdr:row>
      <xdr:rowOff>28575</xdr:rowOff>
    </xdr:from>
    <xdr:to>
      <xdr:col>16</xdr:col>
      <xdr:colOff>642937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4E265-606A-49E9-A941-89E1C568B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9525</xdr:rowOff>
    </xdr:from>
    <xdr:to>
      <xdr:col>9</xdr:col>
      <xdr:colOff>495300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5E9A9E-4BFA-4486-8200-8D9E9C705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747889</xdr:colOff>
      <xdr:row>12</xdr:row>
      <xdr:rowOff>178859</xdr:rowOff>
    </xdr:from>
    <xdr:to>
      <xdr:col>6</xdr:col>
      <xdr:colOff>475897</xdr:colOff>
      <xdr:row>32</xdr:row>
      <xdr:rowOff>91723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34A022-6476-4900-97F7-F1D7372B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E8F3-F70B-4846-ACB3-49EBBFE4A1A9}">
  <dimension ref="B1:C70"/>
  <sheetViews>
    <sheetView tabSelected="1" topLeftCell="A40" zoomScaleNormal="100" workbookViewId="0">
      <selection activeCell="C35" sqref="C35"/>
    </sheetView>
  </sheetViews>
  <sheetFormatPr baseColWidth="10" defaultRowHeight="15" x14ac:dyDescent="0.25"/>
  <cols>
    <col min="2" max="2" width="45.85546875" bestFit="1" customWidth="1"/>
    <col min="3" max="3" width="17.42578125" bestFit="1" customWidth="1"/>
  </cols>
  <sheetData>
    <row r="1" spans="2:3" ht="15.75" thickBot="1" x14ac:dyDescent="0.3"/>
    <row r="2" spans="2:3" x14ac:dyDescent="0.25">
      <c r="B2" s="31" t="s">
        <v>30</v>
      </c>
      <c r="C2" s="41">
        <v>100000</v>
      </c>
    </row>
    <row r="3" spans="2:3" x14ac:dyDescent="0.25">
      <c r="B3" s="32" t="s">
        <v>40</v>
      </c>
      <c r="C3" s="42">
        <v>80000</v>
      </c>
    </row>
    <row r="4" spans="2:3" x14ac:dyDescent="0.25">
      <c r="B4" s="39" t="s">
        <v>82</v>
      </c>
      <c r="C4" s="43">
        <v>80000</v>
      </c>
    </row>
    <row r="5" spans="2:3" x14ac:dyDescent="0.25">
      <c r="B5" s="39" t="s">
        <v>83</v>
      </c>
      <c r="C5" s="43">
        <v>90000</v>
      </c>
    </row>
    <row r="6" spans="2:3" x14ac:dyDescent="0.25">
      <c r="B6" s="39" t="s">
        <v>107</v>
      </c>
      <c r="C6" s="43">
        <v>160000</v>
      </c>
    </row>
    <row r="7" spans="2:3" x14ac:dyDescent="0.25">
      <c r="B7" s="39" t="s">
        <v>84</v>
      </c>
      <c r="C7" s="43">
        <v>30000</v>
      </c>
    </row>
    <row r="8" spans="2:3" x14ac:dyDescent="0.25">
      <c r="B8" s="39" t="s">
        <v>85</v>
      </c>
      <c r="C8" s="43">
        <v>35000</v>
      </c>
    </row>
    <row r="9" spans="2:3" x14ac:dyDescent="0.25">
      <c r="B9" s="39" t="s">
        <v>86</v>
      </c>
      <c r="C9" s="43">
        <v>40000</v>
      </c>
    </row>
    <row r="10" spans="2:3" x14ac:dyDescent="0.25">
      <c r="B10" s="39" t="s">
        <v>104</v>
      </c>
      <c r="C10" s="43">
        <v>230000</v>
      </c>
    </row>
    <row r="11" spans="2:3" x14ac:dyDescent="0.25">
      <c r="B11" s="39" t="s">
        <v>87</v>
      </c>
      <c r="C11" s="43">
        <v>213000</v>
      </c>
    </row>
    <row r="12" spans="2:3" x14ac:dyDescent="0.25">
      <c r="B12" s="39" t="s">
        <v>69</v>
      </c>
      <c r="C12" s="43">
        <v>120000</v>
      </c>
    </row>
    <row r="13" spans="2:3" ht="15.75" thickBot="1" x14ac:dyDescent="0.3">
      <c r="B13" s="33" t="s">
        <v>68</v>
      </c>
      <c r="C13" s="44">
        <v>50000</v>
      </c>
    </row>
    <row r="14" spans="2:3" ht="15.75" thickBot="1" x14ac:dyDescent="0.3">
      <c r="B14" s="38" t="s">
        <v>43</v>
      </c>
      <c r="C14" s="40">
        <v>0.1</v>
      </c>
    </row>
    <row r="15" spans="2:3" x14ac:dyDescent="0.25">
      <c r="B15" s="54" t="s">
        <v>45</v>
      </c>
      <c r="C15" s="57">
        <v>1200000</v>
      </c>
    </row>
    <row r="16" spans="2:3" x14ac:dyDescent="0.25">
      <c r="B16" s="55" t="s">
        <v>44</v>
      </c>
      <c r="C16" s="46">
        <v>5</v>
      </c>
    </row>
    <row r="17" spans="2:3" x14ac:dyDescent="0.25">
      <c r="B17" s="55" t="s">
        <v>46</v>
      </c>
      <c r="C17" s="58">
        <f>C15*C16</f>
        <v>6000000</v>
      </c>
    </row>
    <row r="18" spans="2:3" x14ac:dyDescent="0.25">
      <c r="B18" s="55" t="s">
        <v>49</v>
      </c>
      <c r="C18" s="58">
        <v>2000000</v>
      </c>
    </row>
    <row r="19" spans="2:3" x14ac:dyDescent="0.25">
      <c r="B19" s="55" t="s">
        <v>47</v>
      </c>
      <c r="C19" s="46">
        <v>2</v>
      </c>
    </row>
    <row r="20" spans="2:3" x14ac:dyDescent="0.25">
      <c r="B20" s="55" t="s">
        <v>48</v>
      </c>
      <c r="C20" s="58">
        <f>C18*C19</f>
        <v>4000000</v>
      </c>
    </row>
    <row r="21" spans="2:3" x14ac:dyDescent="0.25">
      <c r="B21" s="55" t="s">
        <v>50</v>
      </c>
      <c r="C21" s="58">
        <v>4000000</v>
      </c>
    </row>
    <row r="22" spans="2:3" ht="15.75" thickBot="1" x14ac:dyDescent="0.3">
      <c r="B22" s="56" t="s">
        <v>51</v>
      </c>
      <c r="C22" s="59">
        <f>C17+C20+C21</f>
        <v>14000000</v>
      </c>
    </row>
    <row r="23" spans="2:3" ht="15.75" thickBot="1" x14ac:dyDescent="0.3">
      <c r="B23" s="22" t="s">
        <v>23</v>
      </c>
      <c r="C23" s="23">
        <v>0.05</v>
      </c>
    </row>
    <row r="24" spans="2:3" x14ac:dyDescent="0.25">
      <c r="B24" s="31" t="s">
        <v>52</v>
      </c>
      <c r="C24" s="45">
        <f>241*3800</f>
        <v>915800</v>
      </c>
    </row>
    <row r="25" spans="2:3" x14ac:dyDescent="0.25">
      <c r="B25" s="32" t="s">
        <v>33</v>
      </c>
      <c r="C25" s="46">
        <v>20</v>
      </c>
    </row>
    <row r="26" spans="2:3" ht="15.75" thickBot="1" x14ac:dyDescent="0.3">
      <c r="B26" s="33" t="s">
        <v>34</v>
      </c>
      <c r="C26" s="47">
        <f>C25*1000</f>
        <v>20000</v>
      </c>
    </row>
    <row r="27" spans="2:3" ht="15.75" thickBot="1" x14ac:dyDescent="0.3">
      <c r="B27" s="24" t="s">
        <v>39</v>
      </c>
      <c r="C27" s="25">
        <v>200</v>
      </c>
    </row>
    <row r="28" spans="2:3" x14ac:dyDescent="0.25">
      <c r="B28" s="31" t="s">
        <v>89</v>
      </c>
      <c r="C28" s="48">
        <v>0.02</v>
      </c>
    </row>
    <row r="29" spans="2:3" x14ac:dyDescent="0.25">
      <c r="B29" s="32" t="s">
        <v>90</v>
      </c>
      <c r="C29" s="48">
        <v>0.02</v>
      </c>
    </row>
    <row r="30" spans="2:3" x14ac:dyDescent="0.25">
      <c r="B30" s="32" t="s">
        <v>108</v>
      </c>
      <c r="C30" s="48">
        <v>0.02</v>
      </c>
    </row>
    <row r="31" spans="2:3" x14ac:dyDescent="0.25">
      <c r="B31" s="32" t="s">
        <v>92</v>
      </c>
      <c r="C31" s="48">
        <v>0.02</v>
      </c>
    </row>
    <row r="32" spans="2:3" x14ac:dyDescent="0.25">
      <c r="B32" s="32" t="s">
        <v>93</v>
      </c>
      <c r="C32" s="48">
        <v>0.02</v>
      </c>
    </row>
    <row r="33" spans="2:3" x14ac:dyDescent="0.25">
      <c r="B33" s="32" t="s">
        <v>103</v>
      </c>
      <c r="C33" s="48">
        <v>0.02</v>
      </c>
    </row>
    <row r="34" spans="2:3" x14ac:dyDescent="0.25">
      <c r="B34" s="32" t="s">
        <v>95</v>
      </c>
      <c r="C34" s="48">
        <v>0.02</v>
      </c>
    </row>
    <row r="35" spans="2:3" x14ac:dyDescent="0.25">
      <c r="B35" s="32" t="s">
        <v>79</v>
      </c>
      <c r="C35" s="48">
        <v>0.02</v>
      </c>
    </row>
    <row r="36" spans="2:3" x14ac:dyDescent="0.25">
      <c r="B36" s="32" t="s">
        <v>74</v>
      </c>
      <c r="C36" s="48">
        <v>0.02</v>
      </c>
    </row>
    <row r="37" spans="2:3" x14ac:dyDescent="0.25">
      <c r="B37" s="32" t="s">
        <v>75</v>
      </c>
      <c r="C37" s="48">
        <v>0.02</v>
      </c>
    </row>
    <row r="38" spans="2:3" x14ac:dyDescent="0.25">
      <c r="B38" s="32" t="s">
        <v>36</v>
      </c>
      <c r="C38" s="49">
        <v>0.02</v>
      </c>
    </row>
    <row r="39" spans="2:3" ht="15.75" thickBot="1" x14ac:dyDescent="0.3">
      <c r="B39" s="33" t="s">
        <v>37</v>
      </c>
      <c r="C39" s="50">
        <v>0.02</v>
      </c>
    </row>
    <row r="40" spans="2:3" ht="15.75" thickBot="1" x14ac:dyDescent="0.3">
      <c r="B40" s="31" t="s">
        <v>97</v>
      </c>
      <c r="C40" s="61">
        <v>50</v>
      </c>
    </row>
    <row r="41" spans="2:3" x14ac:dyDescent="0.25">
      <c r="B41" s="32" t="s">
        <v>98</v>
      </c>
      <c r="C41" s="61">
        <v>50</v>
      </c>
    </row>
    <row r="42" spans="2:3" x14ac:dyDescent="0.25">
      <c r="B42" s="32" t="s">
        <v>109</v>
      </c>
      <c r="C42" s="60">
        <v>200</v>
      </c>
    </row>
    <row r="43" spans="2:3" x14ac:dyDescent="0.25">
      <c r="B43" s="32" t="s">
        <v>99</v>
      </c>
      <c r="C43" s="60">
        <v>250</v>
      </c>
    </row>
    <row r="44" spans="2:3" x14ac:dyDescent="0.25">
      <c r="B44" s="32" t="s">
        <v>105</v>
      </c>
      <c r="C44" s="60">
        <v>75</v>
      </c>
    </row>
    <row r="45" spans="2:3" x14ac:dyDescent="0.25">
      <c r="B45" s="32" t="s">
        <v>100</v>
      </c>
      <c r="C45" s="60">
        <v>300</v>
      </c>
    </row>
    <row r="46" spans="2:3" x14ac:dyDescent="0.25">
      <c r="B46" s="32" t="s">
        <v>35</v>
      </c>
      <c r="C46" s="46">
        <v>300</v>
      </c>
    </row>
    <row r="47" spans="2:3" x14ac:dyDescent="0.25">
      <c r="B47" s="32" t="s">
        <v>73</v>
      </c>
      <c r="C47" s="46">
        <v>220</v>
      </c>
    </row>
    <row r="48" spans="2:3" ht="15.75" thickBot="1" x14ac:dyDescent="0.3">
      <c r="B48" s="39" t="s">
        <v>78</v>
      </c>
      <c r="C48" s="47">
        <v>200</v>
      </c>
    </row>
    <row r="49" spans="2:3" x14ac:dyDescent="0.25">
      <c r="B49" s="35" t="s">
        <v>88</v>
      </c>
      <c r="C49" s="51">
        <f>(C26*C28)/C40</f>
        <v>8</v>
      </c>
    </row>
    <row r="50" spans="2:3" x14ac:dyDescent="0.25">
      <c r="B50" s="36" t="s">
        <v>91</v>
      </c>
      <c r="C50" s="29">
        <f>(C26*C29)/C41</f>
        <v>8</v>
      </c>
    </row>
    <row r="51" spans="2:3" x14ac:dyDescent="0.25">
      <c r="B51" s="36" t="s">
        <v>110</v>
      </c>
      <c r="C51" s="29">
        <f>(C26*C33)/C44</f>
        <v>5.333333333333333</v>
      </c>
    </row>
    <row r="52" spans="2:3" x14ac:dyDescent="0.25">
      <c r="B52" s="36" t="s">
        <v>94</v>
      </c>
      <c r="C52" s="29">
        <f>(C26*C32)/C43</f>
        <v>1.6</v>
      </c>
    </row>
    <row r="53" spans="2:3" x14ac:dyDescent="0.25">
      <c r="B53" s="36" t="s">
        <v>111</v>
      </c>
      <c r="C53" s="29">
        <f>(C26*C30)/C42</f>
        <v>2</v>
      </c>
    </row>
    <row r="54" spans="2:3" x14ac:dyDescent="0.25">
      <c r="B54" s="36" t="s">
        <v>96</v>
      </c>
      <c r="C54" s="29">
        <f>(C26*C34)/C45</f>
        <v>1.3333333333333333</v>
      </c>
    </row>
    <row r="55" spans="2:3" x14ac:dyDescent="0.25">
      <c r="B55" s="36" t="s">
        <v>71</v>
      </c>
      <c r="C55" s="29">
        <f>(C26*C36)/C47</f>
        <v>1.8181818181818181</v>
      </c>
    </row>
    <row r="56" spans="2:3" x14ac:dyDescent="0.25">
      <c r="B56" s="36" t="s">
        <v>72</v>
      </c>
      <c r="C56" s="29">
        <f>(C26*C37)/C48</f>
        <v>2</v>
      </c>
    </row>
    <row r="57" spans="2:3" x14ac:dyDescent="0.25">
      <c r="B57" s="36" t="s">
        <v>76</v>
      </c>
      <c r="C57" s="29">
        <f>(C26*C38)/C27</f>
        <v>2</v>
      </c>
    </row>
    <row r="58" spans="2:3" ht="15.75" thickBot="1" x14ac:dyDescent="0.3">
      <c r="B58" s="37" t="s">
        <v>38</v>
      </c>
      <c r="C58" s="30">
        <f>(C26*C39)/C46</f>
        <v>1.3333333333333333</v>
      </c>
    </row>
    <row r="59" spans="2:3" x14ac:dyDescent="0.25">
      <c r="B59" s="36" t="s">
        <v>62</v>
      </c>
      <c r="C59" s="52">
        <v>1900000</v>
      </c>
    </row>
    <row r="60" spans="2:3" x14ac:dyDescent="0.25">
      <c r="B60" s="36" t="s">
        <v>65</v>
      </c>
      <c r="C60" s="53">
        <v>4543.57</v>
      </c>
    </row>
    <row r="61" spans="2:3" ht="15.75" thickBot="1" x14ac:dyDescent="0.3">
      <c r="B61" s="36" t="s">
        <v>61</v>
      </c>
      <c r="C61" s="62">
        <v>123890</v>
      </c>
    </row>
    <row r="62" spans="2:3" ht="15.75" thickBot="1" x14ac:dyDescent="0.3">
      <c r="B62" s="54" t="s">
        <v>116</v>
      </c>
      <c r="C62" s="63">
        <v>7700</v>
      </c>
    </row>
    <row r="63" spans="2:3" ht="15.75" thickBot="1" x14ac:dyDescent="0.3">
      <c r="B63" s="55" t="s">
        <v>120</v>
      </c>
      <c r="C63" s="63">
        <v>7700</v>
      </c>
    </row>
    <row r="64" spans="2:3" x14ac:dyDescent="0.25">
      <c r="B64" s="55" t="s">
        <v>117</v>
      </c>
      <c r="C64" s="63">
        <v>7700</v>
      </c>
    </row>
    <row r="65" spans="2:3" x14ac:dyDescent="0.25">
      <c r="B65" s="55" t="s">
        <v>54</v>
      </c>
      <c r="C65" s="42">
        <f>1200*3800</f>
        <v>4560000</v>
      </c>
    </row>
    <row r="66" spans="2:3" x14ac:dyDescent="0.25">
      <c r="B66" s="55" t="s">
        <v>55</v>
      </c>
      <c r="C66" s="64">
        <f>15700*3800</f>
        <v>59660000</v>
      </c>
    </row>
    <row r="67" spans="2:3" x14ac:dyDescent="0.25">
      <c r="B67" s="66" t="s">
        <v>56</v>
      </c>
      <c r="C67" s="65">
        <f>4100*3800</f>
        <v>15580000</v>
      </c>
    </row>
    <row r="68" spans="2:3" x14ac:dyDescent="0.25">
      <c r="B68" s="66" t="s">
        <v>57</v>
      </c>
      <c r="C68" s="65">
        <f>10500*3800</f>
        <v>39900000</v>
      </c>
    </row>
    <row r="69" spans="2:3" x14ac:dyDescent="0.25">
      <c r="B69" s="66" t="s">
        <v>77</v>
      </c>
      <c r="C69" s="68">
        <v>379900</v>
      </c>
    </row>
    <row r="70" spans="2:3" ht="15.75" thickBot="1" x14ac:dyDescent="0.3">
      <c r="B70" s="67" t="s">
        <v>58</v>
      </c>
      <c r="C70" s="44">
        <f>C65+C66+C67+C68+C69</f>
        <v>120079900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E3F9-5BBF-45F6-A22C-4CFCE0BB255F}">
  <dimension ref="B2:T24"/>
  <sheetViews>
    <sheetView showGridLines="0" topLeftCell="A2" zoomScale="89" zoomScaleNormal="89" workbookViewId="0">
      <selection activeCell="R23" sqref="R23"/>
    </sheetView>
  </sheetViews>
  <sheetFormatPr baseColWidth="10" defaultRowHeight="15" x14ac:dyDescent="0.25"/>
  <cols>
    <col min="2" max="2" width="42" bestFit="1" customWidth="1"/>
    <col min="3" max="3" width="12.28515625" bestFit="1" customWidth="1"/>
    <col min="4" max="11" width="15.85546875" bestFit="1" customWidth="1"/>
    <col min="12" max="14" width="17" bestFit="1" customWidth="1"/>
    <col min="15" max="15" width="18.28515625" bestFit="1" customWidth="1"/>
    <col min="16" max="17" width="18.5703125" bestFit="1" customWidth="1"/>
    <col min="18" max="18" width="19.28515625" bestFit="1" customWidth="1"/>
    <col min="19" max="19" width="18.5703125" bestFit="1" customWidth="1"/>
  </cols>
  <sheetData>
    <row r="2" spans="2:20" x14ac:dyDescent="0.25">
      <c r="B2" s="6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14</v>
      </c>
      <c r="Q2" s="6" t="s">
        <v>15</v>
      </c>
      <c r="R2" s="6" t="s">
        <v>16</v>
      </c>
      <c r="S2" s="6" t="s">
        <v>17</v>
      </c>
    </row>
    <row r="3" spans="2:20" x14ac:dyDescent="0.25">
      <c r="B3" s="6" t="s">
        <v>31</v>
      </c>
      <c r="C3" s="17">
        <f>Parametros!C58</f>
        <v>1.3333333333333333</v>
      </c>
      <c r="D3" s="17">
        <f>C3*2</f>
        <v>2.6666666666666665</v>
      </c>
      <c r="E3" s="17">
        <f>D3</f>
        <v>2.6666666666666665</v>
      </c>
      <c r="F3" s="17">
        <f>C3*3</f>
        <v>4</v>
      </c>
      <c r="G3" s="17">
        <f>F3</f>
        <v>4</v>
      </c>
      <c r="H3" s="17">
        <f>C3*4</f>
        <v>5.333333333333333</v>
      </c>
      <c r="I3" s="17">
        <f>H3</f>
        <v>5.333333333333333</v>
      </c>
      <c r="J3" s="17">
        <f>C3*5</f>
        <v>6.6666666666666661</v>
      </c>
      <c r="K3" s="17">
        <f>J3</f>
        <v>6.6666666666666661</v>
      </c>
      <c r="L3" s="17">
        <f>C3*6</f>
        <v>8</v>
      </c>
      <c r="M3" s="17">
        <f>L3</f>
        <v>8</v>
      </c>
      <c r="N3" s="17">
        <f>C3*7</f>
        <v>9.3333333333333321</v>
      </c>
      <c r="O3" s="17">
        <f>SUM(C3:N3)</f>
        <v>64</v>
      </c>
      <c r="P3" s="17">
        <f>O3*(Parametros!C14+1)</f>
        <v>70.400000000000006</v>
      </c>
      <c r="Q3" s="17">
        <f>P3*(Parametros!C14+1)</f>
        <v>77.440000000000012</v>
      </c>
      <c r="R3" s="17">
        <f>Q3*(Parametros!C14+1)</f>
        <v>85.184000000000026</v>
      </c>
      <c r="S3" s="18">
        <f>R3*(Parametros!C14+1)</f>
        <v>93.70240000000004</v>
      </c>
      <c r="T3" s="9"/>
    </row>
    <row r="4" spans="2:20" x14ac:dyDescent="0.25">
      <c r="B4" s="6" t="s">
        <v>32</v>
      </c>
      <c r="C4" s="10">
        <f>Parametros!$C$2</f>
        <v>100000</v>
      </c>
      <c r="D4" s="10">
        <f>Parametros!$C$2</f>
        <v>100000</v>
      </c>
      <c r="E4" s="10">
        <f>Parametros!$C$2</f>
        <v>100000</v>
      </c>
      <c r="F4" s="10">
        <f>Parametros!$C$2</f>
        <v>100000</v>
      </c>
      <c r="G4" s="10">
        <f>Parametros!$C$2</f>
        <v>100000</v>
      </c>
      <c r="H4" s="10">
        <f>Parametros!$C$2</f>
        <v>100000</v>
      </c>
      <c r="I4" s="10">
        <f>Parametros!$C$2</f>
        <v>100000</v>
      </c>
      <c r="J4" s="10">
        <f>Parametros!$C$2</f>
        <v>100000</v>
      </c>
      <c r="K4" s="10">
        <f>Parametros!$C$2</f>
        <v>100000</v>
      </c>
      <c r="L4" s="10">
        <f>Parametros!$C$2</f>
        <v>100000</v>
      </c>
      <c r="M4" s="10">
        <f>Parametros!$C$2</f>
        <v>100000</v>
      </c>
      <c r="N4" s="10">
        <f>Parametros!$C$2</f>
        <v>100000</v>
      </c>
      <c r="O4" s="27">
        <f>SUM(C4:N4)</f>
        <v>1200000</v>
      </c>
      <c r="P4" s="15">
        <f>O4*(1+Parametros!C23)</f>
        <v>1260000</v>
      </c>
      <c r="Q4" s="16">
        <f>P4*(1+Parametros!C23)</f>
        <v>1323000</v>
      </c>
      <c r="R4" s="16">
        <f>Q4*(1+Parametros!C23)</f>
        <v>1389150</v>
      </c>
      <c r="S4" s="16">
        <f>R4*(1+Parametros!C23)</f>
        <v>1458607.5</v>
      </c>
    </row>
    <row r="5" spans="2:20" x14ac:dyDescent="0.25">
      <c r="B5" s="6" t="s">
        <v>70</v>
      </c>
      <c r="C5" s="17">
        <f>Parametros!C55</f>
        <v>1.8181818181818181</v>
      </c>
      <c r="D5" s="17">
        <f>C5*2</f>
        <v>3.6363636363636362</v>
      </c>
      <c r="E5" s="17">
        <f>D5</f>
        <v>3.6363636363636362</v>
      </c>
      <c r="F5" s="17">
        <f>C5*3</f>
        <v>5.4545454545454541</v>
      </c>
      <c r="G5" s="17">
        <f>F5</f>
        <v>5.4545454545454541</v>
      </c>
      <c r="H5" s="17">
        <f>C5*4</f>
        <v>7.2727272727272725</v>
      </c>
      <c r="I5" s="17">
        <f>H5</f>
        <v>7.2727272727272725</v>
      </c>
      <c r="J5" s="17">
        <f>C5*5</f>
        <v>9.0909090909090899</v>
      </c>
      <c r="K5" s="17">
        <f>J5</f>
        <v>9.0909090909090899</v>
      </c>
      <c r="L5" s="17">
        <f>C5*6</f>
        <v>10.909090909090908</v>
      </c>
      <c r="M5" s="17">
        <f>L5</f>
        <v>10.909090909090908</v>
      </c>
      <c r="N5" s="17">
        <f>C5*7</f>
        <v>12.727272727272727</v>
      </c>
      <c r="O5" s="34">
        <f>SUM(C5:N5)</f>
        <v>87.272727272727252</v>
      </c>
      <c r="P5" s="34">
        <f t="shared" ref="P5:S5" si="0">SUM(D5:O5)</f>
        <v>172.72727272727269</v>
      </c>
      <c r="Q5" s="34">
        <f>P5*(Parametros!C14+1)</f>
        <v>189.99999999999997</v>
      </c>
      <c r="R5" s="34">
        <f t="shared" si="0"/>
        <v>528.18181818181813</v>
      </c>
      <c r="S5" s="34">
        <f t="shared" si="0"/>
        <v>1050.9090909090908</v>
      </c>
    </row>
    <row r="6" spans="2:20" x14ac:dyDescent="0.25">
      <c r="B6" s="6" t="s">
        <v>81</v>
      </c>
      <c r="C6" s="10">
        <f>Parametros!$C$12</f>
        <v>120000</v>
      </c>
      <c r="D6" s="10">
        <f>Parametros!$C$12</f>
        <v>120000</v>
      </c>
      <c r="E6" s="10">
        <f>Parametros!$C$12</f>
        <v>120000</v>
      </c>
      <c r="F6" s="10">
        <f>Parametros!$C$12</f>
        <v>120000</v>
      </c>
      <c r="G6" s="10">
        <f>Parametros!$C$12</f>
        <v>120000</v>
      </c>
      <c r="H6" s="10">
        <f>Parametros!$C$12</f>
        <v>120000</v>
      </c>
      <c r="I6" s="10">
        <f>Parametros!$C$12</f>
        <v>120000</v>
      </c>
      <c r="J6" s="10">
        <f>Parametros!$C$12</f>
        <v>120000</v>
      </c>
      <c r="K6" s="10">
        <f>Parametros!$C$12</f>
        <v>120000</v>
      </c>
      <c r="L6" s="10">
        <f>Parametros!$C$12</f>
        <v>120000</v>
      </c>
      <c r="M6" s="10">
        <f>Parametros!$C$12</f>
        <v>120000</v>
      </c>
      <c r="N6" s="10">
        <f>Parametros!$C$12</f>
        <v>120000</v>
      </c>
      <c r="O6" s="15">
        <f>SUM(C6:N6)</f>
        <v>1440000</v>
      </c>
      <c r="P6" s="15">
        <f>O6*(1+Parametros!C23)</f>
        <v>1512000</v>
      </c>
      <c r="Q6" s="16">
        <f>P6*(1+Parametros!C23)</f>
        <v>1587600</v>
      </c>
      <c r="R6" s="16">
        <f>Q6*(1+Parametros!C23)</f>
        <v>1666980</v>
      </c>
      <c r="S6" s="16">
        <f>R6*(1+Parametros!C23)</f>
        <v>1750329</v>
      </c>
    </row>
    <row r="7" spans="2:20" x14ac:dyDescent="0.25">
      <c r="B7" s="6" t="s">
        <v>67</v>
      </c>
      <c r="C7" s="17">
        <f>Parametros!C56</f>
        <v>2</v>
      </c>
      <c r="D7" s="17">
        <f>C7*2</f>
        <v>4</v>
      </c>
      <c r="E7" s="17">
        <f>D7</f>
        <v>4</v>
      </c>
      <c r="F7" s="17">
        <f>C7*3</f>
        <v>6</v>
      </c>
      <c r="G7" s="17">
        <f>F7</f>
        <v>6</v>
      </c>
      <c r="H7" s="17">
        <f>C7*4</f>
        <v>8</v>
      </c>
      <c r="I7" s="17">
        <f>H7</f>
        <v>8</v>
      </c>
      <c r="J7" s="17">
        <f>C7*5</f>
        <v>10</v>
      </c>
      <c r="K7" s="17">
        <f>J7</f>
        <v>10</v>
      </c>
      <c r="L7" s="17">
        <f>C7*6</f>
        <v>12</v>
      </c>
      <c r="M7" s="17">
        <f>L7</f>
        <v>12</v>
      </c>
      <c r="N7" s="17">
        <f>C7*7</f>
        <v>14</v>
      </c>
      <c r="O7" s="17">
        <f>SUM(C7:N7)</f>
        <v>96</v>
      </c>
      <c r="P7" s="17">
        <f>SUM(D7:O7)</f>
        <v>190</v>
      </c>
      <c r="Q7" s="16">
        <f>P7*(1+Parametros!C23)</f>
        <v>199.5</v>
      </c>
      <c r="R7" s="16">
        <f>Q7*(1+Parametros!C23)</f>
        <v>209.47500000000002</v>
      </c>
      <c r="S7" s="16">
        <f>R7*(1+Parametros!C23)</f>
        <v>219.94875000000005</v>
      </c>
    </row>
    <row r="8" spans="2:20" x14ac:dyDescent="0.25">
      <c r="B8" s="6" t="s">
        <v>66</v>
      </c>
      <c r="C8" s="10">
        <f>Parametros!$C$13</f>
        <v>50000</v>
      </c>
      <c r="D8" s="10">
        <f>Parametros!$C$13</f>
        <v>50000</v>
      </c>
      <c r="E8" s="10">
        <f>Parametros!$C$13</f>
        <v>50000</v>
      </c>
      <c r="F8" s="10">
        <f>Parametros!$C$13</f>
        <v>50000</v>
      </c>
      <c r="G8" s="10">
        <f>Parametros!$C$13</f>
        <v>50000</v>
      </c>
      <c r="H8" s="10">
        <f>Parametros!$C$13</f>
        <v>50000</v>
      </c>
      <c r="I8" s="10">
        <f>Parametros!$C$13</f>
        <v>50000</v>
      </c>
      <c r="J8" s="10">
        <f>Parametros!$C$13</f>
        <v>50000</v>
      </c>
      <c r="K8" s="10">
        <f>Parametros!$C$13</f>
        <v>50000</v>
      </c>
      <c r="L8" s="10">
        <f>Parametros!$C$13</f>
        <v>50000</v>
      </c>
      <c r="M8" s="10">
        <f>Parametros!$C$13</f>
        <v>50000</v>
      </c>
      <c r="N8" s="10">
        <f>Parametros!$C$13</f>
        <v>50000</v>
      </c>
      <c r="O8" s="15">
        <f>SUM(C8:N8)</f>
        <v>600000</v>
      </c>
      <c r="P8" s="15">
        <f>O8*(1+Parametros!C23)</f>
        <v>630000</v>
      </c>
      <c r="Q8" s="16">
        <f>P8*(1+Parametros!C23)</f>
        <v>661500</v>
      </c>
      <c r="R8" s="16">
        <f>Q8*(1+Parametros!C23)</f>
        <v>694575</v>
      </c>
      <c r="S8" s="16">
        <f>R8*(1+Parametros!C23)</f>
        <v>729303.75</v>
      </c>
    </row>
    <row r="9" spans="2:20" x14ac:dyDescent="0.25">
      <c r="B9" s="6" t="s">
        <v>101</v>
      </c>
      <c r="C9" s="17">
        <f>Parametros!C49</f>
        <v>8</v>
      </c>
      <c r="D9" s="17">
        <f>C9*2</f>
        <v>16</v>
      </c>
      <c r="E9" s="17">
        <f>C9*2</f>
        <v>16</v>
      </c>
      <c r="F9" s="17">
        <f>C9*3</f>
        <v>24</v>
      </c>
      <c r="G9" s="17">
        <f>F9</f>
        <v>24</v>
      </c>
      <c r="H9" s="17">
        <f>C9*4</f>
        <v>32</v>
      </c>
      <c r="I9" s="17">
        <f>H9</f>
        <v>32</v>
      </c>
      <c r="J9" s="17">
        <f>C9*5</f>
        <v>40</v>
      </c>
      <c r="K9" s="17">
        <f>J9</f>
        <v>40</v>
      </c>
      <c r="L9" s="17">
        <f>C9*6</f>
        <v>48</v>
      </c>
      <c r="M9" s="17">
        <f>L9</f>
        <v>48</v>
      </c>
      <c r="N9" s="17">
        <f>C9*7</f>
        <v>56</v>
      </c>
      <c r="O9" s="34">
        <f>SUM(C9:N9)</f>
        <v>384</v>
      </c>
      <c r="P9" s="34">
        <f>O9*(Parametros!C14+1)</f>
        <v>422.40000000000003</v>
      </c>
      <c r="Q9" s="34">
        <f>P9*(Parametros!D14+1)</f>
        <v>422.40000000000003</v>
      </c>
      <c r="R9" s="34">
        <f>Q9*(Parametros!E14+1)</f>
        <v>422.40000000000003</v>
      </c>
      <c r="S9" s="34">
        <f>R9*(Parametros!F14+1)</f>
        <v>422.40000000000003</v>
      </c>
    </row>
    <row r="10" spans="2:20" x14ac:dyDescent="0.25">
      <c r="B10" s="6" t="s">
        <v>113</v>
      </c>
      <c r="C10" s="10">
        <f>Parametros!$C$4</f>
        <v>80000</v>
      </c>
      <c r="D10" s="10">
        <f>Parametros!$C$4</f>
        <v>80000</v>
      </c>
      <c r="E10" s="10">
        <f>Parametros!$C$4</f>
        <v>80000</v>
      </c>
      <c r="F10" s="10">
        <f>Parametros!$C$4</f>
        <v>80000</v>
      </c>
      <c r="G10" s="10">
        <f>Parametros!$C$4</f>
        <v>80000</v>
      </c>
      <c r="H10" s="10">
        <f>Parametros!$C$4</f>
        <v>80000</v>
      </c>
      <c r="I10" s="10">
        <f>Parametros!$C$4</f>
        <v>80000</v>
      </c>
      <c r="J10" s="10">
        <f>Parametros!$C$4</f>
        <v>80000</v>
      </c>
      <c r="K10" s="10">
        <f>Parametros!$C$4</f>
        <v>80000</v>
      </c>
      <c r="L10" s="10">
        <f>Parametros!$C$4</f>
        <v>80000</v>
      </c>
      <c r="M10" s="10">
        <f>Parametros!$C$4</f>
        <v>80000</v>
      </c>
      <c r="N10" s="10">
        <f>Parametros!$C$4</f>
        <v>80000</v>
      </c>
      <c r="O10" s="15">
        <f>SUM(C10:N10)</f>
        <v>960000</v>
      </c>
      <c r="P10" s="15">
        <f>O10*(1+Parametros!C23)</f>
        <v>1008000</v>
      </c>
      <c r="Q10" s="16">
        <f>P10*(1+Parametros!C23)</f>
        <v>1058400</v>
      </c>
      <c r="R10" s="16">
        <f>Q10*(1+Parametros!C23)</f>
        <v>1111320</v>
      </c>
      <c r="S10" s="16">
        <f>R10*(1+Parametros!C23)</f>
        <v>1166886</v>
      </c>
    </row>
    <row r="11" spans="2:20" x14ac:dyDescent="0.25">
      <c r="B11" s="6" t="s">
        <v>112</v>
      </c>
      <c r="C11" s="17">
        <f>Parametros!C51</f>
        <v>5.333333333333333</v>
      </c>
      <c r="D11" s="17">
        <f>C11*2</f>
        <v>10.666666666666666</v>
      </c>
      <c r="E11" s="17">
        <f>D11</f>
        <v>10.666666666666666</v>
      </c>
      <c r="F11" s="17">
        <f>C11*3</f>
        <v>16</v>
      </c>
      <c r="G11" s="17">
        <f t="shared" ref="G11:N11" si="1">D11*3</f>
        <v>32</v>
      </c>
      <c r="H11" s="17">
        <f t="shared" si="1"/>
        <v>32</v>
      </c>
      <c r="I11" s="17">
        <f t="shared" si="1"/>
        <v>48</v>
      </c>
      <c r="J11" s="17">
        <f t="shared" si="1"/>
        <v>96</v>
      </c>
      <c r="K11" s="17">
        <f t="shared" si="1"/>
        <v>96</v>
      </c>
      <c r="L11" s="17">
        <f t="shared" si="1"/>
        <v>144</v>
      </c>
      <c r="M11" s="17">
        <f t="shared" si="1"/>
        <v>288</v>
      </c>
      <c r="N11" s="17">
        <f t="shared" si="1"/>
        <v>288</v>
      </c>
      <c r="O11" s="34">
        <f>SUM(C11:N11)</f>
        <v>1066.6666666666665</v>
      </c>
      <c r="P11" s="34">
        <f>O11*(Parametros!C14+1)</f>
        <v>1173.3333333333333</v>
      </c>
      <c r="Q11" s="34">
        <f>P11*(Parametros!D14+1)</f>
        <v>1173.3333333333333</v>
      </c>
      <c r="R11" s="34">
        <f>Q11*(Parametros!E14+1)</f>
        <v>1173.3333333333333</v>
      </c>
      <c r="S11" s="34">
        <f>R11*(Parametros!F14+1)</f>
        <v>1173.3333333333333</v>
      </c>
    </row>
    <row r="12" spans="2:20" x14ac:dyDescent="0.25">
      <c r="B12" s="6" t="s">
        <v>106</v>
      </c>
      <c r="C12" s="10">
        <f>Parametros!$C$10</f>
        <v>230000</v>
      </c>
      <c r="D12" s="10">
        <f>Parametros!$C$10</f>
        <v>230000</v>
      </c>
      <c r="E12" s="10">
        <f>Parametros!$C$10</f>
        <v>230000</v>
      </c>
      <c r="F12" s="10">
        <f>Parametros!$C$10</f>
        <v>230000</v>
      </c>
      <c r="G12" s="10">
        <f>Parametros!$C$10</f>
        <v>230000</v>
      </c>
      <c r="H12" s="10">
        <f>Parametros!$C$10</f>
        <v>230000</v>
      </c>
      <c r="I12" s="10">
        <f>Parametros!$C$10</f>
        <v>230000</v>
      </c>
      <c r="J12" s="10">
        <f>Parametros!$C$10</f>
        <v>230000</v>
      </c>
      <c r="K12" s="10">
        <f>Parametros!$C$10</f>
        <v>230000</v>
      </c>
      <c r="L12" s="10">
        <f>Parametros!$C$10</f>
        <v>230000</v>
      </c>
      <c r="M12" s="10">
        <f>Parametros!$C$10</f>
        <v>230000</v>
      </c>
      <c r="N12" s="10">
        <f>Parametros!$C$10</f>
        <v>230000</v>
      </c>
      <c r="O12" s="15">
        <f>SUM(C12:N12)</f>
        <v>2760000</v>
      </c>
      <c r="P12" s="15">
        <f>O12*(1+Parametros!E14+1)</f>
        <v>5520000</v>
      </c>
      <c r="Q12" s="15">
        <f>P12*(1+Parametros!E14+1)</f>
        <v>11040000</v>
      </c>
      <c r="R12" s="15">
        <f>Q12*(1+Parametros!E14+1)</f>
        <v>22080000</v>
      </c>
      <c r="S12" s="15">
        <f>R12*(1+Parametros!E14+1)</f>
        <v>44160000</v>
      </c>
    </row>
    <row r="13" spans="2:20" x14ac:dyDescent="0.25">
      <c r="B13" s="6" t="s">
        <v>114</v>
      </c>
      <c r="C13" s="17">
        <f>Parametros!C53</f>
        <v>2</v>
      </c>
      <c r="D13" s="17">
        <f>C13*2</f>
        <v>4</v>
      </c>
      <c r="E13" s="17">
        <f>D13</f>
        <v>4</v>
      </c>
      <c r="F13" s="17">
        <f>C13*3</f>
        <v>6</v>
      </c>
      <c r="G13" s="17">
        <f t="shared" ref="G13:S13" si="2">D13*3</f>
        <v>12</v>
      </c>
      <c r="H13" s="17">
        <f t="shared" si="2"/>
        <v>12</v>
      </c>
      <c r="I13" s="17">
        <f t="shared" si="2"/>
        <v>18</v>
      </c>
      <c r="J13" s="17">
        <f t="shared" si="2"/>
        <v>36</v>
      </c>
      <c r="K13" s="17">
        <f t="shared" si="2"/>
        <v>36</v>
      </c>
      <c r="L13" s="17">
        <f t="shared" si="2"/>
        <v>54</v>
      </c>
      <c r="M13" s="17">
        <f t="shared" si="2"/>
        <v>108</v>
      </c>
      <c r="N13" s="17">
        <f t="shared" si="2"/>
        <v>108</v>
      </c>
      <c r="O13" s="17">
        <f t="shared" si="2"/>
        <v>162</v>
      </c>
      <c r="P13" s="17">
        <f t="shared" si="2"/>
        <v>324</v>
      </c>
      <c r="Q13" s="17">
        <f t="shared" si="2"/>
        <v>324</v>
      </c>
      <c r="R13" s="17">
        <f t="shared" si="2"/>
        <v>486</v>
      </c>
      <c r="S13" s="17">
        <f t="shared" si="2"/>
        <v>972</v>
      </c>
    </row>
    <row r="14" spans="2:20" x14ac:dyDescent="0.25">
      <c r="B14" s="6" t="s">
        <v>115</v>
      </c>
      <c r="C14" s="10">
        <f>Parametros!$C$6</f>
        <v>160000</v>
      </c>
      <c r="D14" s="10">
        <f>Parametros!$C$6</f>
        <v>160000</v>
      </c>
      <c r="E14" s="10">
        <f>Parametros!$C$6</f>
        <v>160000</v>
      </c>
      <c r="F14" s="10">
        <f>Parametros!$C$6</f>
        <v>160000</v>
      </c>
      <c r="G14" s="10">
        <f>Parametros!$C$6</f>
        <v>160000</v>
      </c>
      <c r="H14" s="10">
        <f>Parametros!$C$6</f>
        <v>160000</v>
      </c>
      <c r="I14" s="10">
        <f>Parametros!$C$6</f>
        <v>160000</v>
      </c>
      <c r="J14" s="10">
        <f>Parametros!$C$6</f>
        <v>160000</v>
      </c>
      <c r="K14" s="10">
        <f>Parametros!$C$6</f>
        <v>160000</v>
      </c>
      <c r="L14" s="10">
        <f>Parametros!$C$6</f>
        <v>160000</v>
      </c>
      <c r="M14" s="10">
        <f>Parametros!$C$6</f>
        <v>160000</v>
      </c>
      <c r="N14" s="10">
        <f>Parametros!$C$6</f>
        <v>160000</v>
      </c>
      <c r="O14" s="15">
        <f>SUM(C14:N14)</f>
        <v>1920000</v>
      </c>
      <c r="P14" s="15">
        <f>O14*(1+Parametros!C23)</f>
        <v>2016000</v>
      </c>
      <c r="Q14" s="16">
        <f>P14*(1+Parametros!C23)</f>
        <v>2116800</v>
      </c>
      <c r="R14" s="16">
        <f>Q14*(1+Parametros!C23)</f>
        <v>2222640</v>
      </c>
      <c r="S14" s="16">
        <f>R14*(1+Parametros!C23)</f>
        <v>2333772</v>
      </c>
    </row>
    <row r="15" spans="2:20" x14ac:dyDescent="0.25">
      <c r="B15" s="6" t="s">
        <v>102</v>
      </c>
      <c r="C15" s="17">
        <f>Parametros!C50</f>
        <v>8</v>
      </c>
      <c r="D15" s="17">
        <f>C15*2</f>
        <v>16</v>
      </c>
      <c r="E15" s="17">
        <f>D15</f>
        <v>16</v>
      </c>
      <c r="F15" s="17">
        <f>C15*3</f>
        <v>24</v>
      </c>
      <c r="G15" s="17">
        <f t="shared" ref="G15:N15" si="3">D15*3</f>
        <v>48</v>
      </c>
      <c r="H15" s="17">
        <f t="shared" si="3"/>
        <v>48</v>
      </c>
      <c r="I15" s="17">
        <f t="shared" si="3"/>
        <v>72</v>
      </c>
      <c r="J15" s="17">
        <f t="shared" si="3"/>
        <v>144</v>
      </c>
      <c r="K15" s="17">
        <f t="shared" si="3"/>
        <v>144</v>
      </c>
      <c r="L15" s="17">
        <f t="shared" si="3"/>
        <v>216</v>
      </c>
      <c r="M15" s="17">
        <f t="shared" si="3"/>
        <v>432</v>
      </c>
      <c r="N15" s="17">
        <f t="shared" si="3"/>
        <v>432</v>
      </c>
      <c r="O15" s="34">
        <f>SUM(C15:N15)</f>
        <v>1600</v>
      </c>
      <c r="P15" s="34">
        <f>O15*(Parametros!C14+1)</f>
        <v>1760.0000000000002</v>
      </c>
      <c r="Q15" s="34">
        <f>P15*(Parametros!D14+1)</f>
        <v>1760.0000000000002</v>
      </c>
      <c r="R15" s="34">
        <f>Q15*(Parametros!E14+1)</f>
        <v>1760.0000000000002</v>
      </c>
      <c r="S15" s="34">
        <f>R15*(Parametros!F14+1)</f>
        <v>1760.0000000000002</v>
      </c>
    </row>
    <row r="16" spans="2:20" x14ac:dyDescent="0.25">
      <c r="B16" s="6" t="s">
        <v>80</v>
      </c>
      <c r="C16" s="10">
        <f>Parametros!$C$5</f>
        <v>90000</v>
      </c>
      <c r="D16" s="10">
        <f>Parametros!$C$5</f>
        <v>90000</v>
      </c>
      <c r="E16" s="10">
        <f>Parametros!$C$5</f>
        <v>90000</v>
      </c>
      <c r="F16" s="10">
        <f>Parametros!$C$5</f>
        <v>90000</v>
      </c>
      <c r="G16" s="10">
        <f>Parametros!$C$5</f>
        <v>90000</v>
      </c>
      <c r="H16" s="10">
        <f>Parametros!$C$5</f>
        <v>90000</v>
      </c>
      <c r="I16" s="10">
        <f>Parametros!$C$5</f>
        <v>90000</v>
      </c>
      <c r="J16" s="10">
        <f>Parametros!$C$5</f>
        <v>90000</v>
      </c>
      <c r="K16" s="10">
        <f>Parametros!$C$5</f>
        <v>90000</v>
      </c>
      <c r="L16" s="10">
        <f>Parametros!$C$5</f>
        <v>90000</v>
      </c>
      <c r="M16" s="10">
        <f>Parametros!$C$5</f>
        <v>90000</v>
      </c>
      <c r="N16" s="10">
        <f>Parametros!$C$5</f>
        <v>90000</v>
      </c>
      <c r="O16" s="15">
        <f>SUM(C16:N16)</f>
        <v>1080000</v>
      </c>
      <c r="P16" s="15">
        <f>O16*(1+Parametros!C23)</f>
        <v>1134000</v>
      </c>
      <c r="Q16" s="16">
        <f>P16*(1+Parametros!C23)</f>
        <v>1190700</v>
      </c>
      <c r="R16" s="16">
        <f>Q16*(1+Parametros!C23)</f>
        <v>1250235</v>
      </c>
      <c r="S16" s="16">
        <f>R16*(1+Parametros!C23)</f>
        <v>1312746.75</v>
      </c>
    </row>
    <row r="17" spans="2:19" x14ac:dyDescent="0.25">
      <c r="B17" s="6" t="s">
        <v>41</v>
      </c>
      <c r="C17" s="17">
        <f>Parametros!C57</f>
        <v>2</v>
      </c>
      <c r="D17" s="17">
        <f>C17*2</f>
        <v>4</v>
      </c>
      <c r="E17" s="17">
        <f t="shared" ref="E17:N17" si="4">D17*2</f>
        <v>8</v>
      </c>
      <c r="F17" s="17">
        <f t="shared" si="4"/>
        <v>16</v>
      </c>
      <c r="G17" s="17">
        <f t="shared" si="4"/>
        <v>32</v>
      </c>
      <c r="H17" s="17">
        <f t="shared" si="4"/>
        <v>64</v>
      </c>
      <c r="I17" s="17">
        <f t="shared" si="4"/>
        <v>128</v>
      </c>
      <c r="J17" s="17">
        <f t="shared" si="4"/>
        <v>256</v>
      </c>
      <c r="K17" s="17">
        <f t="shared" si="4"/>
        <v>512</v>
      </c>
      <c r="L17" s="17">
        <f t="shared" si="4"/>
        <v>1024</v>
      </c>
      <c r="M17" s="17">
        <f t="shared" si="4"/>
        <v>2048</v>
      </c>
      <c r="N17" s="17">
        <f t="shared" si="4"/>
        <v>4096</v>
      </c>
      <c r="O17" s="34">
        <f>SUM(C17:N17)</f>
        <v>8190</v>
      </c>
      <c r="P17" s="34">
        <f t="shared" ref="P17:S17" si="5">SUM(D17:O17)</f>
        <v>16378</v>
      </c>
      <c r="Q17" s="34">
        <f t="shared" si="5"/>
        <v>32752</v>
      </c>
      <c r="R17" s="34">
        <f t="shared" si="5"/>
        <v>65496</v>
      </c>
      <c r="S17" s="34">
        <f t="shared" si="5"/>
        <v>130976</v>
      </c>
    </row>
    <row r="18" spans="2:19" x14ac:dyDescent="0.25">
      <c r="B18" s="6" t="s">
        <v>42</v>
      </c>
      <c r="C18" s="10">
        <f>Parametros!$C$3</f>
        <v>80000</v>
      </c>
      <c r="D18" s="10">
        <f>Parametros!$C$3</f>
        <v>80000</v>
      </c>
      <c r="E18" s="10">
        <f>Parametros!$C$3</f>
        <v>80000</v>
      </c>
      <c r="F18" s="10">
        <f>Parametros!$C$3</f>
        <v>80000</v>
      </c>
      <c r="G18" s="10">
        <f>Parametros!$C$3</f>
        <v>80000</v>
      </c>
      <c r="H18" s="10">
        <f>Parametros!$C$3</f>
        <v>80000</v>
      </c>
      <c r="I18" s="10">
        <f>Parametros!$C$3</f>
        <v>80000</v>
      </c>
      <c r="J18" s="10">
        <f>Parametros!$C$3</f>
        <v>80000</v>
      </c>
      <c r="K18" s="10">
        <f>Parametros!$C$3</f>
        <v>80000</v>
      </c>
      <c r="L18" s="10">
        <f>Parametros!$C$3</f>
        <v>80000</v>
      </c>
      <c r="M18" s="10">
        <f>Parametros!$C$3</f>
        <v>80000</v>
      </c>
      <c r="N18" s="10">
        <f>Parametros!$C$3</f>
        <v>80000</v>
      </c>
      <c r="O18" s="15">
        <f>Parametros!C3*(1+Parametros!C23)</f>
        <v>84000</v>
      </c>
      <c r="P18" s="15">
        <f>O18*(1+Parametros!C23)</f>
        <v>88200</v>
      </c>
      <c r="Q18" s="16">
        <f>P18*(1+Parametros!C23)</f>
        <v>92610</v>
      </c>
      <c r="R18" s="16">
        <f>Q18*(1+Parametros!C23)</f>
        <v>97240.5</v>
      </c>
      <c r="S18" s="16">
        <f>R18*(1+Parametros!C23)</f>
        <v>102102.52500000001</v>
      </c>
    </row>
    <row r="19" spans="2:19" x14ac:dyDescent="0.25">
      <c r="B19" s="6" t="s">
        <v>13</v>
      </c>
      <c r="C19" s="10">
        <f t="shared" ref="C19:S19" si="6">(C3*C4)+(C17*C18)</f>
        <v>293333.33333333331</v>
      </c>
      <c r="D19" s="10">
        <f t="shared" si="6"/>
        <v>586666.66666666663</v>
      </c>
      <c r="E19" s="10">
        <f t="shared" si="6"/>
        <v>906666.66666666663</v>
      </c>
      <c r="F19" s="10">
        <f t="shared" si="6"/>
        <v>1680000</v>
      </c>
      <c r="G19" s="10">
        <f t="shared" si="6"/>
        <v>2960000</v>
      </c>
      <c r="H19" s="10">
        <f t="shared" si="6"/>
        <v>5653333.333333333</v>
      </c>
      <c r="I19" s="10">
        <f t="shared" si="6"/>
        <v>10773333.333333334</v>
      </c>
      <c r="J19" s="10">
        <f t="shared" si="6"/>
        <v>21146666.666666668</v>
      </c>
      <c r="K19" s="10">
        <f t="shared" si="6"/>
        <v>41626666.666666664</v>
      </c>
      <c r="L19" s="10">
        <f t="shared" si="6"/>
        <v>82720000</v>
      </c>
      <c r="M19" s="10">
        <f t="shared" si="6"/>
        <v>164640000</v>
      </c>
      <c r="N19" s="10">
        <f t="shared" si="6"/>
        <v>328613333.33333331</v>
      </c>
      <c r="O19" s="10">
        <f t="shared" si="6"/>
        <v>764760000</v>
      </c>
      <c r="P19" s="10">
        <f t="shared" si="6"/>
        <v>1533243600</v>
      </c>
      <c r="Q19" s="10">
        <f t="shared" si="6"/>
        <v>3135615840</v>
      </c>
      <c r="R19" s="10">
        <f t="shared" si="6"/>
        <v>6487197141.6000004</v>
      </c>
      <c r="S19" s="10">
        <f t="shared" si="6"/>
        <v>13509655337.808002</v>
      </c>
    </row>
    <row r="20" spans="2:19" x14ac:dyDescent="0.25">
      <c r="P20" s="19"/>
    </row>
    <row r="21" spans="2:19" x14ac:dyDescent="0.25">
      <c r="N21" s="3"/>
      <c r="O21" s="1"/>
      <c r="P21" s="1"/>
    </row>
    <row r="22" spans="2:19" x14ac:dyDescent="0.25">
      <c r="N22" s="1"/>
      <c r="O22" s="1"/>
    </row>
    <row r="23" spans="2:19" x14ac:dyDescent="0.25">
      <c r="N23" s="1"/>
      <c r="O23" s="1"/>
      <c r="P23" s="1"/>
    </row>
    <row r="24" spans="2:19" x14ac:dyDescent="0.25">
      <c r="P24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B2C4-2E12-41B7-A223-7E3B03242B47}">
  <dimension ref="B1:S10"/>
  <sheetViews>
    <sheetView showGridLines="0" topLeftCell="B1" zoomScaleNormal="100" workbookViewId="0">
      <selection activeCell="S10" sqref="S10"/>
    </sheetView>
  </sheetViews>
  <sheetFormatPr baseColWidth="10" defaultRowHeight="15" x14ac:dyDescent="0.25"/>
  <cols>
    <col min="2" max="2" width="36.7109375" bestFit="1" customWidth="1"/>
    <col min="3" max="9" width="20.5703125" bestFit="1" customWidth="1"/>
    <col min="10" max="14" width="22.28515625" bestFit="1" customWidth="1"/>
    <col min="15" max="19" width="23.28515625" bestFit="1" customWidth="1"/>
  </cols>
  <sheetData>
    <row r="1" spans="2:19" x14ac:dyDescent="0.25">
      <c r="B1" s="6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14</v>
      </c>
      <c r="Q1" s="6" t="s">
        <v>15</v>
      </c>
      <c r="R1" s="6" t="s">
        <v>16</v>
      </c>
      <c r="S1" s="6" t="s">
        <v>17</v>
      </c>
    </row>
    <row r="2" spans="2:19" s="1" customFormat="1" x14ac:dyDescent="0.25">
      <c r="B2" s="21" t="s">
        <v>22</v>
      </c>
      <c r="C2" s="26">
        <f>Parametros!C58</f>
        <v>1.3333333333333333</v>
      </c>
      <c r="D2" s="10">
        <f>Parametros!$C$22</f>
        <v>14000000</v>
      </c>
      <c r="E2" s="10">
        <f>Parametros!$C$22</f>
        <v>14000000</v>
      </c>
      <c r="F2" s="10">
        <f>Parametros!$C$22</f>
        <v>14000000</v>
      </c>
      <c r="G2" s="10">
        <f>Parametros!$C$22</f>
        <v>14000000</v>
      </c>
      <c r="H2" s="10">
        <f>Parametros!$C$22</f>
        <v>14000000</v>
      </c>
      <c r="I2" s="10">
        <f>Parametros!$C$22</f>
        <v>14000000</v>
      </c>
      <c r="J2" s="10">
        <f>Parametros!$C$22</f>
        <v>14000000</v>
      </c>
      <c r="K2" s="10">
        <f>Parametros!$C$22</f>
        <v>14000000</v>
      </c>
      <c r="L2" s="10">
        <f>Parametros!$C$22</f>
        <v>14000000</v>
      </c>
      <c r="M2" s="10">
        <f>Parametros!$C$22</f>
        <v>14000000</v>
      </c>
      <c r="N2" s="10">
        <f>Parametros!$C$22</f>
        <v>14000000</v>
      </c>
      <c r="O2" s="10">
        <f>SUM(C2:N2)</f>
        <v>154000001.33333334</v>
      </c>
      <c r="P2" s="10">
        <f>O2*(1+Parametros!$C$23)</f>
        <v>161700001.40000001</v>
      </c>
      <c r="Q2" s="10">
        <f>P2*(1+Parametros!$C$23)</f>
        <v>169785001.47</v>
      </c>
      <c r="R2" s="10">
        <f>Q2*(1+Parametros!$C$23)</f>
        <v>178274251.54350001</v>
      </c>
      <c r="S2" s="10">
        <f>R2*(1+Parametros!$C$23)</f>
        <v>187187964.12067503</v>
      </c>
    </row>
    <row r="3" spans="2:19" s="1" customFormat="1" x14ac:dyDescent="0.25">
      <c r="B3" s="21" t="s">
        <v>118</v>
      </c>
      <c r="C3" s="26">
        <f>Parametros!$C$69</f>
        <v>379900</v>
      </c>
      <c r="D3" s="26">
        <f>Parametros!$C$69</f>
        <v>379900</v>
      </c>
      <c r="E3" s="26">
        <f>Parametros!$C$69</f>
        <v>379900</v>
      </c>
      <c r="F3" s="26">
        <f>Parametros!$C$69</f>
        <v>379900</v>
      </c>
      <c r="G3" s="26">
        <f>Parametros!$C$69</f>
        <v>379900</v>
      </c>
      <c r="H3" s="26">
        <f>Parametros!$C$69</f>
        <v>379900</v>
      </c>
      <c r="I3" s="26">
        <f>Parametros!$C$69</f>
        <v>379900</v>
      </c>
      <c r="J3" s="26">
        <f>Parametros!$C$69</f>
        <v>379900</v>
      </c>
      <c r="K3" s="26">
        <f>Parametros!$C$69</f>
        <v>379900</v>
      </c>
      <c r="L3" s="26">
        <f>Parametros!$C$69</f>
        <v>379900</v>
      </c>
      <c r="M3" s="26">
        <f>Parametros!$C$69</f>
        <v>379900</v>
      </c>
      <c r="N3" s="26">
        <f>Parametros!$C$69</f>
        <v>379900</v>
      </c>
      <c r="O3" s="10">
        <f>N3*(1+Parametros!C23)</f>
        <v>398895</v>
      </c>
      <c r="P3" s="10">
        <f>O3*(1+Parametros!C23)</f>
        <v>418839.75</v>
      </c>
      <c r="Q3" s="10">
        <f>P3*(1+Parametros!C23)</f>
        <v>439781.73750000005</v>
      </c>
      <c r="R3" s="10">
        <f>Q3*(1+Parametros!C23)</f>
        <v>461770.82437500008</v>
      </c>
      <c r="S3" s="10">
        <f>R3*(1+Parametros!C23)</f>
        <v>484859.36559375009</v>
      </c>
    </row>
    <row r="4" spans="2:19" s="1" customFormat="1" x14ac:dyDescent="0.25">
      <c r="B4" s="21" t="s">
        <v>119</v>
      </c>
      <c r="C4" s="26">
        <f>100*(Parametros!C62+Parametros!C63+Parametros!C64)</f>
        <v>2310000</v>
      </c>
      <c r="D4" s="10">
        <f>C4</f>
        <v>2310000</v>
      </c>
      <c r="E4" s="10">
        <f>D4</f>
        <v>2310000</v>
      </c>
      <c r="F4" s="10">
        <f>E4</f>
        <v>2310000</v>
      </c>
      <c r="G4" s="10">
        <f>F4</f>
        <v>2310000</v>
      </c>
      <c r="H4" s="10">
        <f>G4</f>
        <v>2310000</v>
      </c>
      <c r="I4" s="10">
        <f>H4</f>
        <v>2310000</v>
      </c>
      <c r="J4" s="10">
        <f>I4</f>
        <v>2310000</v>
      </c>
      <c r="K4" s="10">
        <f>J4</f>
        <v>2310000</v>
      </c>
      <c r="L4" s="10">
        <f>K4</f>
        <v>2310000</v>
      </c>
      <c r="M4" s="10">
        <f>L4</f>
        <v>2310000</v>
      </c>
      <c r="N4" s="10">
        <f>M4</f>
        <v>2310000</v>
      </c>
      <c r="O4" s="10">
        <f>N4*(1+Parametros!C23)</f>
        <v>2425500</v>
      </c>
      <c r="P4" s="10">
        <f>O4*(1+Parametros!C23)</f>
        <v>2546775</v>
      </c>
      <c r="Q4" s="10">
        <f>P4*(1+Parametros!C23)</f>
        <v>2674113.75</v>
      </c>
      <c r="R4" s="10">
        <f>Q4*(1+Parametros!C23)</f>
        <v>2807819.4375</v>
      </c>
      <c r="S4" s="10">
        <f>R4*(1+Parametros!C23)</f>
        <v>2948210.4093750003</v>
      </c>
    </row>
    <row r="5" spans="2:19" s="19" customFormat="1" x14ac:dyDescent="0.25">
      <c r="B5" s="20" t="s">
        <v>53</v>
      </c>
      <c r="C5" s="26">
        <f>Parametros!C59*2</f>
        <v>3800000</v>
      </c>
      <c r="D5" s="16">
        <f>C5*2</f>
        <v>7600000</v>
      </c>
      <c r="E5" s="16">
        <f>D5</f>
        <v>7600000</v>
      </c>
      <c r="F5" s="16">
        <f>C5*3</f>
        <v>11400000</v>
      </c>
      <c r="G5" s="16">
        <f>F5</f>
        <v>11400000</v>
      </c>
      <c r="H5" s="16">
        <f>C5*4</f>
        <v>15200000</v>
      </c>
      <c r="I5" s="16">
        <f>H5</f>
        <v>15200000</v>
      </c>
      <c r="J5" s="16">
        <f>C5*6</f>
        <v>22800000</v>
      </c>
      <c r="K5" s="16">
        <f>J5</f>
        <v>22800000</v>
      </c>
      <c r="L5" s="16">
        <f>C5*7</f>
        <v>26600000</v>
      </c>
      <c r="M5" s="16">
        <f>L5</f>
        <v>26600000</v>
      </c>
      <c r="N5" s="16">
        <f>C5*8</f>
        <v>30400000</v>
      </c>
      <c r="O5" s="16">
        <f>SUM(C5:N5)</f>
        <v>201400000</v>
      </c>
      <c r="P5" s="16">
        <f>O5*(1+Parametros!$C$23)</f>
        <v>211470000</v>
      </c>
      <c r="Q5" s="16">
        <f>P5*(1+Parametros!$C$23)</f>
        <v>222043500</v>
      </c>
      <c r="R5" s="16">
        <f>Q5*(1+Parametros!$C$23)</f>
        <v>233145675</v>
      </c>
      <c r="S5" s="16">
        <f>R5*(1+Parametros!$C$23)</f>
        <v>244802958.75</v>
      </c>
    </row>
    <row r="6" spans="2:19" s="19" customFormat="1" x14ac:dyDescent="0.25">
      <c r="B6" s="20" t="s">
        <v>64</v>
      </c>
      <c r="C6" s="28">
        <f>Parametros!$C$60</f>
        <v>4543.57</v>
      </c>
      <c r="D6" s="28">
        <f>Parametros!$C$60</f>
        <v>4543.57</v>
      </c>
      <c r="E6" s="28">
        <f>Parametros!$C$60</f>
        <v>4543.57</v>
      </c>
      <c r="F6" s="28">
        <f>Parametros!$C$60</f>
        <v>4543.57</v>
      </c>
      <c r="G6" s="28">
        <f>Parametros!$C$60</f>
        <v>4543.57</v>
      </c>
      <c r="H6" s="28">
        <f>Parametros!$C$60</f>
        <v>4543.57</v>
      </c>
      <c r="I6" s="28">
        <f>Parametros!$C$60</f>
        <v>4543.57</v>
      </c>
      <c r="J6" s="28">
        <f>Parametros!$C$60</f>
        <v>4543.57</v>
      </c>
      <c r="K6" s="28">
        <f>Parametros!$C$60</f>
        <v>4543.57</v>
      </c>
      <c r="L6" s="28">
        <f>Parametros!$C$60</f>
        <v>4543.57</v>
      </c>
      <c r="M6" s="28">
        <f>Parametros!$C$60</f>
        <v>4543.57</v>
      </c>
      <c r="N6" s="28">
        <f>Parametros!$C$60</f>
        <v>4543.57</v>
      </c>
      <c r="O6" s="27">
        <f>SUM(C6+N6)</f>
        <v>9087.14</v>
      </c>
      <c r="P6" s="28">
        <f>O6*(1+Parametros!$C$23+Parametros!C14)</f>
        <v>10450.211000000001</v>
      </c>
      <c r="Q6" s="16">
        <f>P6*(1+Parametros!$C$23+Parametros!C14)</f>
        <v>12017.742650000002</v>
      </c>
      <c r="R6" s="28">
        <f>P6*(1+Parametros!$C$23+Parametros!C14)</f>
        <v>12017.742650000002</v>
      </c>
      <c r="S6" s="16">
        <f>P6*(1+Parametros!$C$23+Parametros!C14)</f>
        <v>12017.742650000002</v>
      </c>
    </row>
    <row r="7" spans="2:19" s="19" customFormat="1" x14ac:dyDescent="0.25">
      <c r="B7" s="20" t="s">
        <v>63</v>
      </c>
      <c r="C7" s="26">
        <f>Parametros!$C$61</f>
        <v>123890</v>
      </c>
      <c r="D7" s="26">
        <f>Parametros!$C$61</f>
        <v>123890</v>
      </c>
      <c r="E7" s="26">
        <f>Parametros!$C$61</f>
        <v>123890</v>
      </c>
      <c r="F7" s="26">
        <f>Parametros!$C$61</f>
        <v>123890</v>
      </c>
      <c r="G7" s="26">
        <f>Parametros!$C$61</f>
        <v>123890</v>
      </c>
      <c r="H7" s="26">
        <f>Parametros!$C$61</f>
        <v>123890</v>
      </c>
      <c r="I7" s="26">
        <f>Parametros!$C$61</f>
        <v>123890</v>
      </c>
      <c r="J7" s="26">
        <f>Parametros!$C$61</f>
        <v>123890</v>
      </c>
      <c r="K7" s="26">
        <f>Parametros!$C$61</f>
        <v>123890</v>
      </c>
      <c r="L7" s="26">
        <f>Parametros!$C$61</f>
        <v>123890</v>
      </c>
      <c r="M7" s="26">
        <f>Parametros!$C$61</f>
        <v>123890</v>
      </c>
      <c r="N7" s="26">
        <f>Parametros!$C$61</f>
        <v>123890</v>
      </c>
      <c r="O7" s="15">
        <f>SUM(C7:N7)</f>
        <v>1486680</v>
      </c>
      <c r="P7" s="16">
        <f>O7*(1+Parametros!C23)</f>
        <v>1561014</v>
      </c>
      <c r="Q7" s="16">
        <f t="shared" ref="Q7:S7" si="0">P7</f>
        <v>1561014</v>
      </c>
      <c r="R7" s="16">
        <f t="shared" si="0"/>
        <v>1561014</v>
      </c>
      <c r="S7" s="16">
        <f t="shared" si="0"/>
        <v>1561014</v>
      </c>
    </row>
    <row r="8" spans="2:19" s="1" customFormat="1" x14ac:dyDescent="0.25">
      <c r="B8" s="7" t="s">
        <v>60</v>
      </c>
      <c r="C8" s="10">
        <f>Parametros!$C$59</f>
        <v>1900000</v>
      </c>
      <c r="D8" s="10">
        <f>Parametros!$C$59</f>
        <v>1900000</v>
      </c>
      <c r="E8" s="10">
        <f>Parametros!$C$59</f>
        <v>1900000</v>
      </c>
      <c r="F8" s="10">
        <f>Parametros!$C$59</f>
        <v>1900000</v>
      </c>
      <c r="G8" s="10">
        <f>Parametros!$C$59</f>
        <v>1900000</v>
      </c>
      <c r="H8" s="10">
        <f>Parametros!$C$59</f>
        <v>1900000</v>
      </c>
      <c r="I8" s="10">
        <f>Parametros!$C$59</f>
        <v>1900000</v>
      </c>
      <c r="J8" s="10">
        <f>Parametros!$C$59</f>
        <v>1900000</v>
      </c>
      <c r="K8" s="10">
        <f>Parametros!$C$59</f>
        <v>1900000</v>
      </c>
      <c r="L8" s="10">
        <f>Parametros!$C$59</f>
        <v>1900000</v>
      </c>
      <c r="M8" s="10">
        <f>Parametros!$C$59</f>
        <v>1900000</v>
      </c>
      <c r="N8" s="10">
        <f>Parametros!$C$59</f>
        <v>1900000</v>
      </c>
      <c r="O8" s="15">
        <f>SUM(C8+N8)</f>
        <v>3800000</v>
      </c>
      <c r="P8" s="10">
        <f>O8*(1+Parametros!C23)</f>
        <v>3990000</v>
      </c>
      <c r="Q8" s="10">
        <f>P8</f>
        <v>3990000</v>
      </c>
      <c r="R8" s="10">
        <f>Q8</f>
        <v>3990000</v>
      </c>
      <c r="S8" s="10">
        <f>R8</f>
        <v>3990000</v>
      </c>
    </row>
    <row r="9" spans="2:19" x14ac:dyDescent="0.25">
      <c r="B9" s="7" t="s">
        <v>121</v>
      </c>
      <c r="C9" s="7">
        <f>SUM(C2:C8)</f>
        <v>8518334.9033333343</v>
      </c>
      <c r="D9" s="7">
        <f>SUM(D2:D8)</f>
        <v>26318333.57</v>
      </c>
      <c r="E9" s="7">
        <f>SUM(E2:E8)</f>
        <v>26318333.57</v>
      </c>
      <c r="F9" s="7">
        <f>SUM(F2:F8)</f>
        <v>30118333.57</v>
      </c>
      <c r="G9" s="7">
        <f>SUM(G2:G8)</f>
        <v>30118333.57</v>
      </c>
      <c r="H9" s="7">
        <f>SUM(H2:H8)</f>
        <v>33918333.57</v>
      </c>
      <c r="I9" s="7">
        <f>SUM(I2:I8)</f>
        <v>33918333.57</v>
      </c>
      <c r="J9" s="7">
        <f>SUM(J2:J8)</f>
        <v>41518333.57</v>
      </c>
      <c r="K9" s="7">
        <f>SUM(K2:K8)</f>
        <v>41518333.57</v>
      </c>
      <c r="L9" s="7">
        <f>SUM(L2:L8)</f>
        <v>45318333.57</v>
      </c>
      <c r="M9" s="7">
        <f>SUM(M2:M8)</f>
        <v>45318333.57</v>
      </c>
      <c r="N9" s="7">
        <f>SUM(N2:N8)</f>
        <v>49118333.57</v>
      </c>
      <c r="O9" s="7">
        <f>SUM(O2:O8)</f>
        <v>363520163.47333336</v>
      </c>
      <c r="P9" s="7">
        <f>SUM(P2:P8)</f>
        <v>381697080.361</v>
      </c>
      <c r="Q9" s="7">
        <f>SUM(Q2:Q8)</f>
        <v>400505428.70014995</v>
      </c>
      <c r="R9" s="7">
        <f>SUM(R2:R8)</f>
        <v>420252548.54802495</v>
      </c>
      <c r="S9" s="7">
        <f>SUM(S2:S8)</f>
        <v>440987024.3882938</v>
      </c>
    </row>
    <row r="10" spans="2:19" x14ac:dyDescent="0.25">
      <c r="O10" s="1"/>
      <c r="P10" s="1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32F-8DA5-49A3-822F-56AC287C667E}">
  <dimension ref="B2:H4"/>
  <sheetViews>
    <sheetView showGridLines="0" workbookViewId="0">
      <selection activeCell="E23" sqref="E23"/>
    </sheetView>
  </sheetViews>
  <sheetFormatPr baseColWidth="10" defaultRowHeight="15" x14ac:dyDescent="0.25"/>
  <cols>
    <col min="2" max="2" width="25.42578125" bestFit="1" customWidth="1"/>
    <col min="3" max="3" width="16.7109375" bestFit="1" customWidth="1"/>
  </cols>
  <sheetData>
    <row r="2" spans="2:8" x14ac:dyDescent="0.25">
      <c r="B2" s="6"/>
      <c r="C2" s="6" t="s">
        <v>19</v>
      </c>
      <c r="D2" s="6" t="s">
        <v>12</v>
      </c>
      <c r="E2" s="6" t="s">
        <v>14</v>
      </c>
      <c r="F2" s="6" t="s">
        <v>15</v>
      </c>
      <c r="G2" s="6" t="s">
        <v>16</v>
      </c>
      <c r="H2" s="6" t="s">
        <v>17</v>
      </c>
    </row>
    <row r="3" spans="2:8" x14ac:dyDescent="0.25">
      <c r="B3" s="6" t="s">
        <v>59</v>
      </c>
      <c r="C3" s="11">
        <f>Parametros!C70</f>
        <v>120079900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</row>
    <row r="4" spans="2:8" x14ac:dyDescent="0.25">
      <c r="B4" s="6"/>
      <c r="C4" s="11">
        <f t="shared" ref="C4:H4" si="0">-SUM(C3:C3)</f>
        <v>-120079900</v>
      </c>
      <c r="D4" s="11">
        <f t="shared" si="0"/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5059-93E9-4862-9687-0B86FD9B3097}">
  <dimension ref="B2:H12"/>
  <sheetViews>
    <sheetView showGridLines="0" zoomScale="71" zoomScaleNormal="71" workbookViewId="0">
      <selection activeCell="C3" sqref="C3"/>
    </sheetView>
  </sheetViews>
  <sheetFormatPr baseColWidth="10" defaultRowHeight="15" x14ac:dyDescent="0.25"/>
  <cols>
    <col min="2" max="2" width="25.42578125" bestFit="1" customWidth="1"/>
    <col min="3" max="3" width="15.85546875" bestFit="1" customWidth="1"/>
    <col min="4" max="5" width="18.85546875" bestFit="1" customWidth="1"/>
    <col min="6" max="8" width="20.42578125" bestFit="1" customWidth="1"/>
  </cols>
  <sheetData>
    <row r="2" spans="2:8" x14ac:dyDescent="0.25">
      <c r="B2" s="4" t="s">
        <v>18</v>
      </c>
      <c r="C2" s="5" t="s">
        <v>19</v>
      </c>
      <c r="D2" s="5" t="s">
        <v>12</v>
      </c>
      <c r="E2" s="5" t="s">
        <v>14</v>
      </c>
      <c r="F2" s="5" t="s">
        <v>15</v>
      </c>
      <c r="G2" s="5" t="s">
        <v>16</v>
      </c>
      <c r="H2" s="5" t="s">
        <v>17</v>
      </c>
    </row>
    <row r="3" spans="2:8" x14ac:dyDescent="0.25">
      <c r="B3" s="4" t="s">
        <v>20</v>
      </c>
      <c r="C3" s="9">
        <v>0</v>
      </c>
      <c r="D3" s="10">
        <f>Ingresos!O19</f>
        <v>764760000</v>
      </c>
      <c r="E3" s="10">
        <f>Ingresos!P19</f>
        <v>1533243600</v>
      </c>
      <c r="F3" s="10">
        <f>Ingresos!Q19</f>
        <v>3135615840</v>
      </c>
      <c r="G3" s="10">
        <f>Ingresos!R19</f>
        <v>6487197141.6000004</v>
      </c>
      <c r="H3" s="10">
        <f>Ingresos!S19</f>
        <v>13509655337.808002</v>
      </c>
    </row>
    <row r="4" spans="2:8" x14ac:dyDescent="0.25">
      <c r="B4" s="4" t="s">
        <v>21</v>
      </c>
      <c r="C4" s="9">
        <v>0</v>
      </c>
      <c r="D4" s="12">
        <f>-Costos!O8</f>
        <v>-3800000</v>
      </c>
      <c r="E4" s="12">
        <f>-Costos!P8</f>
        <v>-3990000</v>
      </c>
      <c r="F4" s="12">
        <f>-Costos!Q8</f>
        <v>-3990000</v>
      </c>
      <c r="G4" s="12">
        <f>-Costos!R8</f>
        <v>-3990000</v>
      </c>
      <c r="H4" s="12">
        <f>-Costos!S8</f>
        <v>-3990000</v>
      </c>
    </row>
    <row r="5" spans="2:8" x14ac:dyDescent="0.25">
      <c r="B5" s="4" t="s">
        <v>28</v>
      </c>
      <c r="C5" s="9">
        <v>0</v>
      </c>
      <c r="D5" s="10">
        <f>SUM(D3:D4)</f>
        <v>760960000</v>
      </c>
      <c r="E5" s="10">
        <f>SUM(E3:E4)</f>
        <v>1529253600</v>
      </c>
      <c r="F5" s="10">
        <f t="shared" ref="F5:H5" si="0">SUM(F3:F4)</f>
        <v>3131625840</v>
      </c>
      <c r="G5" s="10">
        <f t="shared" si="0"/>
        <v>6483207141.6000004</v>
      </c>
      <c r="H5" s="10">
        <f t="shared" si="0"/>
        <v>13505665337.808002</v>
      </c>
    </row>
    <row r="6" spans="2:8" x14ac:dyDescent="0.25">
      <c r="D6" s="2"/>
      <c r="E6" s="2"/>
      <c r="F6" s="2"/>
      <c r="G6" s="2"/>
      <c r="H6" s="2"/>
    </row>
    <row r="7" spans="2:8" x14ac:dyDescent="0.25">
      <c r="B7" s="4" t="s">
        <v>29</v>
      </c>
      <c r="C7" s="12">
        <f>Inversiones!C4</f>
        <v>-120079900</v>
      </c>
      <c r="D7" s="12">
        <f>Inversiones!D4</f>
        <v>0</v>
      </c>
      <c r="E7" s="12">
        <f>Inversiones!E4</f>
        <v>0</v>
      </c>
      <c r="F7" s="12">
        <f>Inversiones!F4</f>
        <v>0</v>
      </c>
      <c r="G7" s="12">
        <f>Inversiones!G4</f>
        <v>0</v>
      </c>
      <c r="H7" s="12">
        <f>Inversiones!H4</f>
        <v>0</v>
      </c>
    </row>
    <row r="8" spans="2:8" x14ac:dyDescent="0.25">
      <c r="B8" s="4" t="s">
        <v>24</v>
      </c>
      <c r="C8" s="13">
        <f>SUM(C5:C7)</f>
        <v>-120079900</v>
      </c>
      <c r="D8" s="13">
        <f>SUM(D5:D7)</f>
        <v>760960000</v>
      </c>
      <c r="E8" s="13">
        <f>SUM(E5:E7)</f>
        <v>1529253600</v>
      </c>
      <c r="F8" s="13">
        <f t="shared" ref="F8:H8" si="1">SUM(F5:F7)</f>
        <v>3131625840</v>
      </c>
      <c r="G8" s="13">
        <f t="shared" si="1"/>
        <v>6483207141.6000004</v>
      </c>
      <c r="H8" s="13">
        <f t="shared" si="1"/>
        <v>13505665337.808002</v>
      </c>
    </row>
    <row r="9" spans="2:8" ht="27" x14ac:dyDescent="0.25">
      <c r="B9" s="4" t="s">
        <v>27</v>
      </c>
      <c r="C9" s="13">
        <f>C8</f>
        <v>-120079900</v>
      </c>
      <c r="D9" s="13">
        <f>C9+D8</f>
        <v>640880100</v>
      </c>
      <c r="E9" s="13">
        <f t="shared" ref="E9:F9" si="2">D9+E8</f>
        <v>2170133700</v>
      </c>
      <c r="F9" s="13">
        <f t="shared" si="2"/>
        <v>5301759540</v>
      </c>
      <c r="G9" s="13">
        <f>F9+G8</f>
        <v>11784966681.6</v>
      </c>
      <c r="H9" s="13">
        <f>G9+H8</f>
        <v>25290632019.408005</v>
      </c>
    </row>
    <row r="11" spans="2:8" x14ac:dyDescent="0.25">
      <c r="B11" s="4" t="s">
        <v>25</v>
      </c>
      <c r="C11" s="14">
        <f>2-G9/(G9*12)</f>
        <v>1.9166666666666667</v>
      </c>
    </row>
    <row r="12" spans="2:8" x14ac:dyDescent="0.25">
      <c r="B12" s="4" t="s">
        <v>26</v>
      </c>
      <c r="C12" s="8">
        <f>IRR(C8:H8)</f>
        <v>7.3516877548294737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a4305987-cf78-4f93-9d64-bf18af65397b}" enabled="0" method="" siteId="{a4305987-cf78-4f93-9d64-bf18af6539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Parametros</vt:lpstr>
      <vt:lpstr>Ingresos</vt:lpstr>
      <vt:lpstr>Costos</vt:lpstr>
      <vt:lpstr>Inversiones</vt:lpstr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Leandro Rosas Horta</dc:creator>
  <cp:lastModifiedBy>Windows</cp:lastModifiedBy>
  <dcterms:created xsi:type="dcterms:W3CDTF">2021-11-02T00:56:11Z</dcterms:created>
  <dcterms:modified xsi:type="dcterms:W3CDTF">2022-06-14T14:33:17Z</dcterms:modified>
</cp:coreProperties>
</file>