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585" windowWidth="14805" windowHeight="7530" firstSheet="1" activeTab="2"/>
  </bookViews>
  <sheets>
    <sheet name="User Units 17.12.12" sheetId="10" r:id="rId1"/>
    <sheet name="Antriebe 17.12.12" sheetId="9" r:id="rId2"/>
    <sheet name="User Units 27.09.12" sheetId="5" r:id="rId3"/>
    <sheet name="Formeln" sheetId="1" r:id="rId4"/>
    <sheet name="Emulation" sheetId="11" r:id="rId5"/>
    <sheet name="Nebenrechnung" sheetId="3" r:id="rId6"/>
    <sheet name="RegMark" sheetId="7" r:id="rId7"/>
  </sheets>
  <calcPr calcId="125725"/>
</workbook>
</file>

<file path=xl/calcChain.xml><?xml version="1.0" encoding="utf-8"?>
<calcChain xmlns="http://schemas.openxmlformats.org/spreadsheetml/2006/main">
  <c r="B6" i="5"/>
  <c r="J50" l="1"/>
  <c r="J46"/>
  <c r="J33"/>
  <c r="J30"/>
  <c r="J25"/>
  <c r="J18"/>
  <c r="J12"/>
  <c r="J11"/>
  <c r="J49" s="1"/>
  <c r="J6"/>
  <c r="J39" s="1"/>
  <c r="J26" l="1"/>
  <c r="J34"/>
  <c r="J15"/>
  <c r="J42" s="1"/>
  <c r="J45"/>
  <c r="J29"/>
  <c r="J36"/>
  <c r="J21"/>
  <c r="I6"/>
  <c r="H6"/>
  <c r="G6"/>
  <c r="F6"/>
  <c r="P18" i="9"/>
  <c r="O18"/>
  <c r="P17"/>
  <c r="O17"/>
  <c r="P15"/>
  <c r="O15"/>
  <c r="P14"/>
  <c r="O14"/>
  <c r="P13"/>
  <c r="O13"/>
  <c r="P12"/>
  <c r="O12"/>
  <c r="Q13" l="1"/>
  <c r="Q18"/>
  <c r="Q17"/>
  <c r="Q15"/>
  <c r="Q14"/>
  <c r="Q12"/>
  <c r="I11" i="5"/>
  <c r="I12"/>
  <c r="I18"/>
  <c r="I25"/>
  <c r="I30"/>
  <c r="I33"/>
  <c r="I39"/>
  <c r="I46"/>
  <c r="I50"/>
  <c r="I15" l="1"/>
  <c r="I42" s="1"/>
  <c r="I26"/>
  <c r="I34"/>
  <c r="I21"/>
  <c r="I49"/>
  <c r="I36"/>
  <c r="I29"/>
  <c r="I45"/>
  <c r="C6"/>
  <c r="J50" i="10" l="1"/>
  <c r="J46"/>
  <c r="J39"/>
  <c r="J33"/>
  <c r="J30"/>
  <c r="J25"/>
  <c r="J26" s="1"/>
  <c r="J18"/>
  <c r="J12"/>
  <c r="J11"/>
  <c r="J36" s="1"/>
  <c r="J6"/>
  <c r="P6" i="9"/>
  <c r="O6"/>
  <c r="K11" i="10"/>
  <c r="K12"/>
  <c r="J34" l="1"/>
  <c r="J21"/>
  <c r="J49"/>
  <c r="J15"/>
  <c r="J42" s="1"/>
  <c r="J45"/>
  <c r="J29"/>
  <c r="Q6" i="9"/>
  <c r="C36" i="11"/>
  <c r="C35"/>
  <c r="C33"/>
  <c r="C37" s="1"/>
  <c r="C32"/>
  <c r="B36"/>
  <c r="B35"/>
  <c r="B32"/>
  <c r="B33" s="1"/>
  <c r="B37" s="1"/>
  <c r="C7"/>
  <c r="C8"/>
  <c r="B8"/>
  <c r="B26"/>
  <c r="B25"/>
  <c r="C23"/>
  <c r="B23"/>
  <c r="C22"/>
  <c r="B22"/>
  <c r="C19"/>
  <c r="B19"/>
  <c r="C17"/>
  <c r="B17"/>
  <c r="C15"/>
  <c r="B15"/>
  <c r="C12"/>
  <c r="B12"/>
  <c r="C5"/>
  <c r="B5"/>
  <c r="B7"/>
  <c r="K94" i="10" l="1"/>
  <c r="K100" s="1"/>
  <c r="J94"/>
  <c r="J100" s="1"/>
  <c r="I94"/>
  <c r="H94"/>
  <c r="G94"/>
  <c r="G100" s="1"/>
  <c r="F94"/>
  <c r="F100" s="1"/>
  <c r="E94"/>
  <c r="D94"/>
  <c r="C94"/>
  <c r="C100" s="1"/>
  <c r="B94"/>
  <c r="B100" s="1"/>
  <c r="K93"/>
  <c r="K103" s="1"/>
  <c r="J93"/>
  <c r="J103" s="1"/>
  <c r="I93"/>
  <c r="I100" s="1"/>
  <c r="H93"/>
  <c r="G93"/>
  <c r="G103" s="1"/>
  <c r="F93"/>
  <c r="F103" s="1"/>
  <c r="E93"/>
  <c r="E100" s="1"/>
  <c r="D93"/>
  <c r="C93"/>
  <c r="C103" s="1"/>
  <c r="B93"/>
  <c r="B103" s="1"/>
  <c r="K86"/>
  <c r="J86"/>
  <c r="I86"/>
  <c r="H86"/>
  <c r="G86"/>
  <c r="F86"/>
  <c r="E86"/>
  <c r="D86"/>
  <c r="C86"/>
  <c r="B86"/>
  <c r="B83"/>
  <c r="F79"/>
  <c r="J72"/>
  <c r="D69"/>
  <c r="H63"/>
  <c r="K60"/>
  <c r="K79" s="1"/>
  <c r="J60"/>
  <c r="J87" s="1"/>
  <c r="I60"/>
  <c r="I66" s="1"/>
  <c r="H60"/>
  <c r="G60"/>
  <c r="G87" s="1"/>
  <c r="F60"/>
  <c r="F72" s="1"/>
  <c r="E60"/>
  <c r="E66" s="1"/>
  <c r="D60"/>
  <c r="C60"/>
  <c r="C79" s="1"/>
  <c r="B60"/>
  <c r="B79" s="1"/>
  <c r="K59"/>
  <c r="K82" s="1"/>
  <c r="J59"/>
  <c r="I59"/>
  <c r="I87" s="1"/>
  <c r="H59"/>
  <c r="G59"/>
  <c r="G82" s="1"/>
  <c r="F59"/>
  <c r="E59"/>
  <c r="E87" s="1"/>
  <c r="D59"/>
  <c r="C59"/>
  <c r="C82" s="1"/>
  <c r="B59"/>
  <c r="I50"/>
  <c r="H50"/>
  <c r="G50"/>
  <c r="F50"/>
  <c r="E50"/>
  <c r="D50"/>
  <c r="C50"/>
  <c r="B50"/>
  <c r="D49"/>
  <c r="I46"/>
  <c r="H46"/>
  <c r="G46"/>
  <c r="F46"/>
  <c r="E46"/>
  <c r="D46"/>
  <c r="C46"/>
  <c r="B46"/>
  <c r="H45"/>
  <c r="D45"/>
  <c r="D42"/>
  <c r="I39"/>
  <c r="H39"/>
  <c r="E39"/>
  <c r="D39"/>
  <c r="B39"/>
  <c r="H36"/>
  <c r="H34"/>
  <c r="I33"/>
  <c r="H33"/>
  <c r="E33"/>
  <c r="E34" s="1"/>
  <c r="D33"/>
  <c r="D34" s="1"/>
  <c r="B33"/>
  <c r="I30"/>
  <c r="H30"/>
  <c r="G30"/>
  <c r="F30"/>
  <c r="E30"/>
  <c r="D30"/>
  <c r="C30"/>
  <c r="B30"/>
  <c r="D29"/>
  <c r="H26"/>
  <c r="I25"/>
  <c r="H25"/>
  <c r="G25"/>
  <c r="F25"/>
  <c r="E25"/>
  <c r="D25"/>
  <c r="D26" s="1"/>
  <c r="C25"/>
  <c r="B25"/>
  <c r="D21"/>
  <c r="I18"/>
  <c r="H18"/>
  <c r="G18"/>
  <c r="F18"/>
  <c r="E18"/>
  <c r="D18"/>
  <c r="C18"/>
  <c r="B18"/>
  <c r="H15"/>
  <c r="H42" s="1"/>
  <c r="D15"/>
  <c r="I12"/>
  <c r="H12"/>
  <c r="G12"/>
  <c r="F12"/>
  <c r="L12" s="1"/>
  <c r="E12"/>
  <c r="D12"/>
  <c r="C12"/>
  <c r="B12"/>
  <c r="B11"/>
  <c r="I6"/>
  <c r="I11" s="1"/>
  <c r="H6"/>
  <c r="H11" s="1"/>
  <c r="H49" s="1"/>
  <c r="G6"/>
  <c r="G39" s="1"/>
  <c r="F6"/>
  <c r="E6"/>
  <c r="E11" s="1"/>
  <c r="D6"/>
  <c r="D11" s="1"/>
  <c r="D36" s="1"/>
  <c r="C6"/>
  <c r="C39" s="1"/>
  <c r="E26" i="9"/>
  <c r="E25"/>
  <c r="E24"/>
  <c r="P16"/>
  <c r="O16"/>
  <c r="P11"/>
  <c r="O11"/>
  <c r="P10"/>
  <c r="O10"/>
  <c r="P9"/>
  <c r="O9"/>
  <c r="P8"/>
  <c r="O8"/>
  <c r="P7"/>
  <c r="Q7" s="1"/>
  <c r="O7"/>
  <c r="P5"/>
  <c r="O5"/>
  <c r="I11" i="7"/>
  <c r="I7"/>
  <c r="I4"/>
  <c r="I10" s="1"/>
  <c r="H11"/>
  <c r="H7"/>
  <c r="H4"/>
  <c r="H10" s="1"/>
  <c r="G11"/>
  <c r="G7"/>
  <c r="G4"/>
  <c r="G10" s="1"/>
  <c r="D11"/>
  <c r="E11"/>
  <c r="F11"/>
  <c r="D12"/>
  <c r="D14" s="1"/>
  <c r="E12"/>
  <c r="E14"/>
  <c r="C11"/>
  <c r="C12"/>
  <c r="C14" s="1"/>
  <c r="D7"/>
  <c r="E7"/>
  <c r="F7"/>
  <c r="C7"/>
  <c r="C8"/>
  <c r="D8"/>
  <c r="E8"/>
  <c r="F4"/>
  <c r="F10" s="1"/>
  <c r="C9"/>
  <c r="D9"/>
  <c r="E9"/>
  <c r="E10"/>
  <c r="E4"/>
  <c r="D10"/>
  <c r="C10"/>
  <c r="D4"/>
  <c r="C4"/>
  <c r="Q8" i="9" l="1"/>
  <c r="Q16"/>
  <c r="Q11"/>
  <c r="Q9"/>
  <c r="Q5"/>
  <c r="F39" i="10"/>
  <c r="F33"/>
  <c r="F11"/>
  <c r="D87"/>
  <c r="D83"/>
  <c r="D79"/>
  <c r="D72"/>
  <c r="H87"/>
  <c r="H83"/>
  <c r="H79"/>
  <c r="H72"/>
  <c r="B66"/>
  <c r="H69"/>
  <c r="D75"/>
  <c r="J79"/>
  <c r="F83"/>
  <c r="B87"/>
  <c r="H21"/>
  <c r="E26"/>
  <c r="I26"/>
  <c r="H29"/>
  <c r="F66"/>
  <c r="B72"/>
  <c r="H75"/>
  <c r="D82"/>
  <c r="J83"/>
  <c r="F87"/>
  <c r="D103"/>
  <c r="D97"/>
  <c r="D100"/>
  <c r="H100"/>
  <c r="H103"/>
  <c r="H97"/>
  <c r="B49"/>
  <c r="B45"/>
  <c r="B42"/>
  <c r="B36"/>
  <c r="B29"/>
  <c r="B21"/>
  <c r="B15"/>
  <c r="E49"/>
  <c r="E45"/>
  <c r="E36"/>
  <c r="E29"/>
  <c r="E21"/>
  <c r="E15"/>
  <c r="E42" s="1"/>
  <c r="I29"/>
  <c r="I21"/>
  <c r="I15"/>
  <c r="I42" s="1"/>
  <c r="I49"/>
  <c r="I45"/>
  <c r="I36"/>
  <c r="B26"/>
  <c r="F26"/>
  <c r="B34"/>
  <c r="I34"/>
  <c r="B82"/>
  <c r="F82"/>
  <c r="J82"/>
  <c r="D66"/>
  <c r="H66"/>
  <c r="D63"/>
  <c r="J66"/>
  <c r="H82"/>
  <c r="G11"/>
  <c r="I63"/>
  <c r="G66"/>
  <c r="E69"/>
  <c r="C72"/>
  <c r="K72"/>
  <c r="I75"/>
  <c r="G79"/>
  <c r="E82"/>
  <c r="C83"/>
  <c r="K83"/>
  <c r="C87"/>
  <c r="K87"/>
  <c r="E97"/>
  <c r="I103"/>
  <c r="B63"/>
  <c r="F63"/>
  <c r="J63"/>
  <c r="B69"/>
  <c r="F69"/>
  <c r="J69"/>
  <c r="B75"/>
  <c r="F75"/>
  <c r="J75"/>
  <c r="B97"/>
  <c r="F97"/>
  <c r="J97"/>
  <c r="C11"/>
  <c r="E63"/>
  <c r="C66"/>
  <c r="K66"/>
  <c r="I69"/>
  <c r="G72"/>
  <c r="E75"/>
  <c r="I82"/>
  <c r="G83"/>
  <c r="I97"/>
  <c r="E103"/>
  <c r="C33"/>
  <c r="C34" s="1"/>
  <c r="G33"/>
  <c r="C63"/>
  <c r="G63"/>
  <c r="K63"/>
  <c r="C69"/>
  <c r="G69"/>
  <c r="K69"/>
  <c r="E72"/>
  <c r="I72"/>
  <c r="C75"/>
  <c r="G75"/>
  <c r="K75"/>
  <c r="E79"/>
  <c r="I79"/>
  <c r="E83"/>
  <c r="I83"/>
  <c r="C97"/>
  <c r="G97"/>
  <c r="K97"/>
  <c r="Q10" i="9"/>
  <c r="I8" i="7"/>
  <c r="I14" s="1"/>
  <c r="I12"/>
  <c r="H12"/>
  <c r="H8"/>
  <c r="H14" s="1"/>
  <c r="G12"/>
  <c r="G8"/>
  <c r="G14" s="1"/>
  <c r="F12"/>
  <c r="F14" s="1"/>
  <c r="F8"/>
  <c r="F9"/>
  <c r="G49" i="10" l="1"/>
  <c r="G45"/>
  <c r="G36"/>
  <c r="G29"/>
  <c r="G21"/>
  <c r="G15"/>
  <c r="G42" s="1"/>
  <c r="G26"/>
  <c r="G34"/>
  <c r="C49"/>
  <c r="C45"/>
  <c r="C42"/>
  <c r="C36"/>
  <c r="C29"/>
  <c r="C21"/>
  <c r="C15"/>
  <c r="C26"/>
  <c r="F34"/>
  <c r="F49"/>
  <c r="F45"/>
  <c r="F36"/>
  <c r="F29"/>
  <c r="F21"/>
  <c r="F15"/>
  <c r="F42" s="1"/>
  <c r="L11"/>
  <c r="I9" i="7"/>
  <c r="G9"/>
  <c r="H9"/>
  <c r="B91" i="3" l="1"/>
  <c r="B92" s="1"/>
  <c r="B89"/>
  <c r="B90" s="1"/>
  <c r="B80"/>
  <c r="B86"/>
  <c r="B84"/>
  <c r="B83"/>
  <c r="B78"/>
  <c r="J72" l="1"/>
  <c r="H72"/>
  <c r="G72"/>
  <c r="E72"/>
  <c r="C72"/>
  <c r="E71"/>
  <c r="C71"/>
  <c r="C70"/>
  <c r="J64" l="1"/>
  <c r="I64"/>
  <c r="H64"/>
  <c r="G64"/>
  <c r="F64"/>
  <c r="E64"/>
  <c r="D64"/>
  <c r="C64"/>
  <c r="B64"/>
  <c r="D79" i="7" l="1"/>
  <c r="D80"/>
  <c r="D78"/>
  <c r="C74"/>
  <c r="C72"/>
  <c r="D55"/>
  <c r="D59" s="1"/>
  <c r="D64" s="1"/>
  <c r="D66" s="1"/>
  <c r="C55"/>
  <c r="C59" s="1"/>
  <c r="C64" s="1"/>
  <c r="C66" s="1"/>
  <c r="G48" i="1" l="1"/>
  <c r="G51"/>
  <c r="G55" s="1"/>
  <c r="F51"/>
  <c r="F55" s="1"/>
  <c r="F57" s="1"/>
  <c r="F48"/>
  <c r="G57" l="1"/>
  <c r="G53"/>
  <c r="F53"/>
  <c r="E51"/>
  <c r="E55" s="1"/>
  <c r="C48"/>
  <c r="D48"/>
  <c r="D53" s="1"/>
  <c r="E48"/>
  <c r="B48"/>
  <c r="D51"/>
  <c r="D55" s="1"/>
  <c r="B57"/>
  <c r="B55"/>
  <c r="B53"/>
  <c r="C51"/>
  <c r="C53" s="1"/>
  <c r="C55" l="1"/>
  <c r="C57" s="1"/>
  <c r="E57"/>
  <c r="E53"/>
  <c r="D57"/>
  <c r="B51"/>
  <c r="H31" i="7" l="1"/>
  <c r="H25"/>
  <c r="H24"/>
  <c r="H37" s="1"/>
  <c r="G31"/>
  <c r="G24"/>
  <c r="G37" s="1"/>
  <c r="F31"/>
  <c r="F24"/>
  <c r="F37" s="1"/>
  <c r="E31"/>
  <c r="E24"/>
  <c r="E37" s="1"/>
  <c r="H33" l="1"/>
  <c r="H34" s="1"/>
  <c r="G25"/>
  <c r="G33" s="1"/>
  <c r="F25"/>
  <c r="F33" s="1"/>
  <c r="E25"/>
  <c r="E33" s="1"/>
  <c r="E34" s="1"/>
  <c r="B48" i="3"/>
  <c r="B53"/>
  <c r="B52"/>
  <c r="B54" s="1"/>
  <c r="B55" s="1"/>
  <c r="H39" i="7" l="1"/>
  <c r="H41" s="1"/>
  <c r="H42" s="1"/>
  <c r="G34"/>
  <c r="G39"/>
  <c r="F34"/>
  <c r="F39"/>
  <c r="F44" s="1"/>
  <c r="F48" s="1"/>
  <c r="F41"/>
  <c r="F42" s="1"/>
  <c r="E44"/>
  <c r="E39" s="1"/>
  <c r="E41" s="1"/>
  <c r="E42" s="1"/>
  <c r="B56" i="3"/>
  <c r="B57" s="1"/>
  <c r="D31" i="7"/>
  <c r="D24"/>
  <c r="C24"/>
  <c r="C37" s="1"/>
  <c r="C31"/>
  <c r="H44" l="1"/>
  <c r="H48" s="1"/>
  <c r="G41"/>
  <c r="G42" s="1"/>
  <c r="G44"/>
  <c r="G48" s="1"/>
  <c r="C25"/>
  <c r="C33" s="1"/>
  <c r="C34" s="1"/>
  <c r="D25"/>
  <c r="D33" s="1"/>
  <c r="D34" s="1"/>
  <c r="D37"/>
  <c r="D44" s="1"/>
  <c r="D39" s="1"/>
  <c r="D41" s="1"/>
  <c r="C44" l="1"/>
  <c r="C39" s="1"/>
  <c r="C41" s="1"/>
  <c r="D14" i="3"/>
  <c r="D16" s="1"/>
  <c r="C14"/>
  <c r="C16" s="1"/>
  <c r="B14"/>
  <c r="D43" l="1"/>
  <c r="D45" s="1"/>
  <c r="C43"/>
  <c r="C45" s="1"/>
  <c r="B43"/>
  <c r="B45" s="1"/>
  <c r="C97" i="5" l="1"/>
  <c r="H94"/>
  <c r="G94"/>
  <c r="F94"/>
  <c r="E94"/>
  <c r="D94"/>
  <c r="C94"/>
  <c r="B94"/>
  <c r="H93"/>
  <c r="H103" s="1"/>
  <c r="G93"/>
  <c r="G100" s="1"/>
  <c r="F93"/>
  <c r="E93"/>
  <c r="D93"/>
  <c r="C93"/>
  <c r="C100" s="1"/>
  <c r="B93"/>
  <c r="H86"/>
  <c r="G86"/>
  <c r="F86"/>
  <c r="E86"/>
  <c r="D86"/>
  <c r="C86"/>
  <c r="B86"/>
  <c r="H60"/>
  <c r="H66" s="1"/>
  <c r="G60"/>
  <c r="F60"/>
  <c r="E60"/>
  <c r="D60"/>
  <c r="C60"/>
  <c r="B60"/>
  <c r="H59"/>
  <c r="H75" s="1"/>
  <c r="G59"/>
  <c r="F59"/>
  <c r="E59"/>
  <c r="D59"/>
  <c r="C59"/>
  <c r="B59"/>
  <c r="H50"/>
  <c r="G50"/>
  <c r="F50"/>
  <c r="E50"/>
  <c r="D50"/>
  <c r="C50"/>
  <c r="B50"/>
  <c r="H46"/>
  <c r="G46"/>
  <c r="F46"/>
  <c r="E46"/>
  <c r="D46"/>
  <c r="C46"/>
  <c r="B46"/>
  <c r="H30"/>
  <c r="G30"/>
  <c r="F30"/>
  <c r="E30"/>
  <c r="D30"/>
  <c r="C30"/>
  <c r="B30"/>
  <c r="H25"/>
  <c r="G25"/>
  <c r="F25"/>
  <c r="E25"/>
  <c r="D25"/>
  <c r="C25"/>
  <c r="B25"/>
  <c r="H18"/>
  <c r="G18"/>
  <c r="F18"/>
  <c r="E18"/>
  <c r="D18"/>
  <c r="C18"/>
  <c r="B18"/>
  <c r="H12"/>
  <c r="G12"/>
  <c r="F12"/>
  <c r="E12"/>
  <c r="D12"/>
  <c r="C12"/>
  <c r="B12"/>
  <c r="H39"/>
  <c r="G39"/>
  <c r="F39"/>
  <c r="E6"/>
  <c r="E11" s="1"/>
  <c r="D6"/>
  <c r="D39" s="1"/>
  <c r="C39"/>
  <c r="B39"/>
  <c r="D103" l="1"/>
  <c r="F75"/>
  <c r="B75"/>
  <c r="C87"/>
  <c r="G87"/>
  <c r="D66"/>
  <c r="H63"/>
  <c r="H79"/>
  <c r="D87"/>
  <c r="D100"/>
  <c r="D82"/>
  <c r="G75"/>
  <c r="E103"/>
  <c r="D97"/>
  <c r="E83"/>
  <c r="B83"/>
  <c r="F72"/>
  <c r="D63"/>
  <c r="B97"/>
  <c r="F97"/>
  <c r="G97"/>
  <c r="D75"/>
  <c r="H82"/>
  <c r="C63"/>
  <c r="H87"/>
  <c r="H100"/>
  <c r="C66"/>
  <c r="G66"/>
  <c r="G63"/>
  <c r="C75"/>
  <c r="D79"/>
  <c r="H97"/>
  <c r="E26"/>
  <c r="E49"/>
  <c r="E45"/>
  <c r="E36"/>
  <c r="E29"/>
  <c r="E21"/>
  <c r="E15"/>
  <c r="E42" s="1"/>
  <c r="E33"/>
  <c r="E34" s="1"/>
  <c r="E39"/>
  <c r="B72"/>
  <c r="E82"/>
  <c r="F83"/>
  <c r="B11"/>
  <c r="B33"/>
  <c r="E66"/>
  <c r="F69"/>
  <c r="G72"/>
  <c r="E79"/>
  <c r="F82"/>
  <c r="G83"/>
  <c r="E87"/>
  <c r="E100"/>
  <c r="F103"/>
  <c r="C11"/>
  <c r="C26" s="1"/>
  <c r="G11"/>
  <c r="G26" s="1"/>
  <c r="C33"/>
  <c r="G33"/>
  <c r="E63"/>
  <c r="B66"/>
  <c r="F66"/>
  <c r="C69"/>
  <c r="G69"/>
  <c r="D72"/>
  <c r="H72"/>
  <c r="E75"/>
  <c r="B79"/>
  <c r="F79"/>
  <c r="C82"/>
  <c r="G82"/>
  <c r="D83"/>
  <c r="H83"/>
  <c r="B87"/>
  <c r="F87"/>
  <c r="E97"/>
  <c r="B100"/>
  <c r="F100"/>
  <c r="C103"/>
  <c r="G103"/>
  <c r="E69"/>
  <c r="F11"/>
  <c r="F33"/>
  <c r="F34" s="1"/>
  <c r="B69"/>
  <c r="C72"/>
  <c r="B82"/>
  <c r="C83"/>
  <c r="B103"/>
  <c r="D11"/>
  <c r="D26" s="1"/>
  <c r="H11"/>
  <c r="D33"/>
  <c r="H33"/>
  <c r="B63"/>
  <c r="F63"/>
  <c r="D69"/>
  <c r="H69"/>
  <c r="E72"/>
  <c r="C79"/>
  <c r="G79"/>
  <c r="G7" i="1"/>
  <c r="F7"/>
  <c r="D7"/>
  <c r="F6"/>
  <c r="G6" s="1"/>
  <c r="D6"/>
  <c r="D9"/>
  <c r="D8"/>
  <c r="K5"/>
  <c r="L5" s="1"/>
  <c r="K6"/>
  <c r="L6"/>
  <c r="N6"/>
  <c r="K7"/>
  <c r="L7" s="1"/>
  <c r="N7" s="1"/>
  <c r="K8"/>
  <c r="L8" s="1"/>
  <c r="K9"/>
  <c r="L9" s="1"/>
  <c r="H27" i="3"/>
  <c r="H22"/>
  <c r="D34" i="5" l="1"/>
  <c r="H34"/>
  <c r="B34"/>
  <c r="C34"/>
  <c r="B21"/>
  <c r="B49"/>
  <c r="B45"/>
  <c r="B42"/>
  <c r="B36"/>
  <c r="B29"/>
  <c r="B15"/>
  <c r="H49"/>
  <c r="H45"/>
  <c r="H36"/>
  <c r="H29"/>
  <c r="H21"/>
  <c r="H15"/>
  <c r="H42" s="1"/>
  <c r="F49"/>
  <c r="F45"/>
  <c r="F36"/>
  <c r="F29"/>
  <c r="F21"/>
  <c r="F15"/>
  <c r="F42" s="1"/>
  <c r="C49"/>
  <c r="C45"/>
  <c r="C42"/>
  <c r="C36"/>
  <c r="C29"/>
  <c r="C21"/>
  <c r="C15"/>
  <c r="F26"/>
  <c r="G49"/>
  <c r="G45"/>
  <c r="G36"/>
  <c r="G29"/>
  <c r="G21"/>
  <c r="G15"/>
  <c r="G42" s="1"/>
  <c r="D49"/>
  <c r="D45"/>
  <c r="D36"/>
  <c r="D29"/>
  <c r="D21"/>
  <c r="D15"/>
  <c r="D42" s="1"/>
  <c r="G34"/>
  <c r="H26"/>
  <c r="B26"/>
  <c r="D31" i="3"/>
  <c r="C31"/>
  <c r="C34" s="1"/>
  <c r="C35" s="1"/>
  <c r="C36" s="1"/>
  <c r="C37" s="1"/>
  <c r="B31"/>
  <c r="D33" s="1"/>
  <c r="D34" s="1"/>
  <c r="B34" l="1"/>
  <c r="B35" s="1"/>
  <c r="B36" s="1"/>
  <c r="B37" s="1"/>
  <c r="D35"/>
  <c r="D36" s="1"/>
  <c r="D37" s="1"/>
  <c r="B40" i="1" l="1"/>
  <c r="B42" s="1"/>
  <c r="I5" i="3" l="1"/>
  <c r="I6" s="1"/>
  <c r="I8" s="1"/>
  <c r="D25" l="1"/>
  <c r="D20"/>
  <c r="D21" s="1"/>
  <c r="C20"/>
  <c r="C21" s="1"/>
  <c r="C25"/>
  <c r="B25"/>
  <c r="B20"/>
  <c r="B21" s="1"/>
  <c r="B16"/>
  <c r="B26" l="1"/>
  <c r="D26"/>
  <c r="C26"/>
  <c r="G36" i="1"/>
  <c r="E36"/>
  <c r="C36"/>
  <c r="F36" s="1"/>
  <c r="B36"/>
  <c r="G35"/>
  <c r="E35"/>
  <c r="C35"/>
  <c r="F35" s="1"/>
  <c r="B35"/>
  <c r="G34"/>
  <c r="C34"/>
  <c r="F34" s="1"/>
  <c r="B34"/>
  <c r="E34" l="1"/>
  <c r="D33"/>
  <c r="G33" s="1"/>
  <c r="C33"/>
  <c r="F33" s="1"/>
  <c r="B33"/>
  <c r="G31"/>
  <c r="D32"/>
  <c r="E32" s="1"/>
  <c r="C32"/>
  <c r="B32"/>
  <c r="E31"/>
  <c r="F31"/>
  <c r="C31"/>
  <c r="B31"/>
  <c r="E21"/>
  <c r="E20"/>
  <c r="E19"/>
  <c r="E15"/>
  <c r="E16"/>
  <c r="E17"/>
  <c r="E18"/>
  <c r="G32" l="1"/>
  <c r="E33"/>
  <c r="F32"/>
  <c r="B9"/>
  <c r="B2" i="3"/>
  <c r="B5" s="1"/>
  <c r="B8" s="1"/>
  <c r="B10" s="1"/>
  <c r="C9" i="1" l="1"/>
  <c r="F9"/>
  <c r="G9"/>
  <c r="B8" l="1"/>
  <c r="C8" l="1"/>
  <c r="G8"/>
  <c r="F8"/>
</calcChain>
</file>

<file path=xl/sharedStrings.xml><?xml version="1.0" encoding="utf-8"?>
<sst xmlns="http://schemas.openxmlformats.org/spreadsheetml/2006/main" count="470" uniqueCount="297">
  <si>
    <t>Offset</t>
  </si>
  <si>
    <t>Durchmesser</t>
  </si>
  <si>
    <r>
      <t>Translatorisch:</t>
    </r>
    <r>
      <rPr>
        <sz val="11"/>
        <color theme="1"/>
        <rFont val="Calibri"/>
        <family val="2"/>
        <scheme val="minor"/>
      </rPr>
      <t xml:space="preserve">
units = "Getriebe Eingang" * ( Vorschubkonstante [mm/U] / Anzeigeeinheit Last [µm] ) * 1000
</t>
    </r>
    <r>
      <rPr>
        <b/>
        <sz val="10"/>
        <rFont val="Arial"/>
        <family val="2"/>
      </rPr>
      <t xml:space="preserve">Hinweis: </t>
    </r>
    <r>
      <rPr>
        <sz val="11"/>
        <color theme="1"/>
        <rFont val="Calibri"/>
        <family val="2"/>
        <scheme val="minor"/>
      </rPr>
      <t xml:space="preserve">Faktor 1000 zur Konvertierung der unterschiedlichen Angaben in µm und mm
</t>
    </r>
    <r>
      <rPr>
        <b/>
        <u/>
        <sz val="10"/>
        <rFont val="Arial"/>
        <family val="2"/>
      </rPr>
      <t>Rotatorisch:</t>
    </r>
    <r>
      <rPr>
        <sz val="11"/>
        <color theme="1"/>
        <rFont val="Calibri"/>
        <family val="2"/>
        <scheme val="minor"/>
      </rPr>
      <t xml:space="preserve">
units = "Getriebe Eingang" / Anzeigeeinheit Last [1/1000 U] * 1000
units = "Getriebe Eingang" / Anzeigeeinheit Last [°] * 360
</t>
    </r>
    <r>
      <rPr>
        <b/>
        <sz val="10"/>
        <rFont val="Arial"/>
        <family val="2"/>
      </rPr>
      <t xml:space="preserve">Hinweis: </t>
    </r>
    <r>
      <rPr>
        <sz val="11"/>
        <color theme="1"/>
        <rFont val="Calibri"/>
        <family val="2"/>
        <scheme val="minor"/>
      </rPr>
      <t xml:space="preserve">Faktor 1000 bzw. 360 zur Konvertierung der unterschiedlichen Angaben in 1/1000 bzw. °
</t>
    </r>
    <r>
      <rPr>
        <b/>
        <u/>
        <sz val="10"/>
        <rFont val="Arial"/>
        <family val="2"/>
      </rPr>
      <t>Alle:</t>
    </r>
    <r>
      <rPr>
        <sz val="11"/>
        <color theme="1"/>
        <rFont val="Calibri"/>
        <family val="2"/>
        <scheme val="minor"/>
      </rPr>
      <t xml:space="preserve">
rev_motor = "Getriebe Ausgang"</t>
    </r>
  </si>
  <si>
    <t>Skalierung translatorisch</t>
  </si>
  <si>
    <r>
      <t xml:space="preserve">Vorschubkonstante </t>
    </r>
    <r>
      <rPr>
        <b/>
        <sz val="10"/>
        <rFont val="Arial"/>
        <family val="2"/>
      </rPr>
      <t>lastseitig</t>
    </r>
    <r>
      <rPr>
        <sz val="11"/>
        <color theme="1"/>
        <rFont val="Calibri"/>
        <family val="2"/>
        <scheme val="minor"/>
      </rPr>
      <t xml:space="preserve"> [mm/U]</t>
    </r>
  </si>
  <si>
    <t>Anzeigeeinheit Last [µm]</t>
  </si>
  <si>
    <t>Getriebe Eingang</t>
  </si>
  <si>
    <t>Getriebe Ausgang</t>
  </si>
  <si>
    <t>Encoder Interface:   Parameter - scaling - load
units</t>
  </si>
  <si>
    <t>Encoder Interface:   Parameter - scaling - load
rev_motor</t>
  </si>
  <si>
    <r>
      <t xml:space="preserve">Maximalgeschwindigkeit </t>
    </r>
    <r>
      <rPr>
        <b/>
        <sz val="10"/>
        <rFont val="Arial"/>
        <family val="2"/>
      </rPr>
      <t>Motor</t>
    </r>
    <r>
      <rPr>
        <sz val="11"/>
        <color theme="1"/>
        <rFont val="Calibri"/>
        <family val="2"/>
        <scheme val="minor"/>
      </rPr>
      <t xml:space="preserve"> [U/min]:</t>
    </r>
  </si>
  <si>
    <t>limit: Parameter - v_pos</t>
  </si>
  <si>
    <t>Optional: Maximalgeschwindigkeit [m/min]:</t>
  </si>
  <si>
    <t>Geschwindigkeit für Beschleunigung Motor [U/min]:</t>
  </si>
  <si>
    <t>Minimale Beschleunigungszeit Motor [ms]:</t>
  </si>
  <si>
    <t>Maximalbeschleunigung Motor [U/(min*s)]:</t>
  </si>
  <si>
    <t>limit: Parameter - a1_pos  [units/s²]</t>
  </si>
  <si>
    <t>Maximalbeschleunigung Motor [U/s²]:</t>
  </si>
  <si>
    <r>
      <t xml:space="preserve">Maximalbeschleunigung </t>
    </r>
    <r>
      <rPr>
        <b/>
        <sz val="10"/>
        <rFont val="Arial"/>
        <family val="2"/>
      </rPr>
      <t>lastseitig</t>
    </r>
    <r>
      <rPr>
        <sz val="11"/>
        <color theme="1"/>
        <rFont val="Calibri"/>
        <family val="2"/>
        <scheme val="minor"/>
      </rPr>
      <t xml:space="preserve"> [mm/s²]:</t>
    </r>
  </si>
  <si>
    <r>
      <t xml:space="preserve">Maximalbeschleunigung </t>
    </r>
    <r>
      <rPr>
        <b/>
        <sz val="10"/>
        <rFont val="Arial"/>
        <family val="2"/>
      </rPr>
      <t>lastseitig</t>
    </r>
    <r>
      <rPr>
        <sz val="11"/>
        <color theme="1"/>
        <rFont val="Calibri"/>
        <family val="2"/>
        <scheme val="minor"/>
      </rPr>
      <t xml:space="preserve"> [rad/s²]:</t>
    </r>
  </si>
  <si>
    <r>
      <t>Maximalbeschleunigung Motor (</t>
    </r>
    <r>
      <rPr>
        <b/>
        <sz val="10"/>
        <rFont val="Arial"/>
        <family val="2"/>
      </rPr>
      <t>motorseitig</t>
    </r>
    <r>
      <rPr>
        <sz val="11"/>
        <color theme="1"/>
        <rFont val="Calibri"/>
        <family val="2"/>
        <scheme val="minor"/>
      </rPr>
      <t>) [rad/s²]:</t>
    </r>
  </si>
  <si>
    <t>Istgeschwindigkeit [units/s]</t>
  </si>
  <si>
    <t>Istgeschwindigkeit [U/min]</t>
  </si>
  <si>
    <t>Istgeschwindigkeit [m/min]</t>
  </si>
  <si>
    <t>Skalierung rotatorisch</t>
  </si>
  <si>
    <t>Anzeigeeinheit Last [1/1000 U] (also "Tausendstel U")</t>
  </si>
  <si>
    <t>Maximalgeschwindigkeit Motor [U/min]:</t>
  </si>
  <si>
    <t>limit: Parameter - a1_pos</t>
  </si>
  <si>
    <t>Anzeigeeinheit Last [1 °] (also in Grad)</t>
  </si>
  <si>
    <t>Motor</t>
  </si>
  <si>
    <t>Index</t>
  </si>
  <si>
    <t>Kurzname</t>
  </si>
  <si>
    <t>Bezeichnung</t>
  </si>
  <si>
    <t>Anbaugetriebe</t>
  </si>
  <si>
    <t>g_Anbau</t>
  </si>
  <si>
    <t>g_Zusatz1</t>
  </si>
  <si>
    <t>g_Zusatz2</t>
  </si>
  <si>
    <t>Stanze 1</t>
  </si>
  <si>
    <t>Zugstation 1</t>
  </si>
  <si>
    <t>Zugeinheit</t>
  </si>
  <si>
    <t>gCut1</t>
  </si>
  <si>
    <t>SafeMC</t>
  </si>
  <si>
    <t>Ja</t>
  </si>
  <si>
    <t>gLongCut</t>
  </si>
  <si>
    <t>Fangband</t>
  </si>
  <si>
    <t>Zugstation 2</t>
  </si>
  <si>
    <t>An</t>
  </si>
  <si>
    <t>Ab</t>
  </si>
  <si>
    <t>BMK</t>
  </si>
  <si>
    <t>i</t>
  </si>
  <si>
    <t>Zugstation</t>
  </si>
  <si>
    <t>limit: Parameter - ds_stop</t>
  </si>
  <si>
    <r>
      <t xml:space="preserve">Schleppfehler </t>
    </r>
    <r>
      <rPr>
        <b/>
        <sz val="10"/>
        <rFont val="Arial"/>
        <family val="2"/>
      </rPr>
      <t>Motor</t>
    </r>
    <r>
      <rPr>
        <sz val="11"/>
        <color theme="1"/>
        <rFont val="Calibri"/>
        <family val="2"/>
        <scheme val="minor"/>
      </rPr>
      <t xml:space="preserve"> [°]:</t>
    </r>
  </si>
  <si>
    <t>Tandem Wickler</t>
  </si>
  <si>
    <t>Schleppfehler Motor [°]:</t>
  </si>
  <si>
    <t>Gitteraufwickler</t>
  </si>
  <si>
    <t>Ab-/Aufwickler</t>
  </si>
  <si>
    <t>Fangband (Top)</t>
  </si>
  <si>
    <t>Auslageband (Conv)</t>
  </si>
  <si>
    <t>Stanzstation</t>
  </si>
  <si>
    <t>8LSA33.S0060D000-0</t>
  </si>
  <si>
    <t>8GP50-070-005S2L3</t>
  </si>
  <si>
    <t>kein</t>
  </si>
  <si>
    <t>Eingang</t>
  </si>
  <si>
    <t>Ausgang</t>
  </si>
  <si>
    <t>Getriebe</t>
  </si>
  <si>
    <t>Getriebe Eingang (ggfs. erweitert)</t>
  </si>
  <si>
    <t>Getriebe Ausgang (ggfs. erweitert)</t>
  </si>
  <si>
    <t>Positionswerte pro U</t>
  </si>
  <si>
    <t>Anzahl U</t>
  </si>
  <si>
    <t>Positionsdifferenz</t>
  </si>
  <si>
    <t>Distanz gesamt</t>
  </si>
  <si>
    <t>Distanz</t>
  </si>
  <si>
    <t>Distanz [U]</t>
  </si>
  <si>
    <t>Längsschneider
Untermesser</t>
  </si>
  <si>
    <t>Längsschneider
Obermesser</t>
  </si>
  <si>
    <t>Maximalgeschwindigkeit Last [Units/s] (Parameter - v_pos):</t>
  </si>
  <si>
    <t>Geschwindigkeit Motor [U/min]</t>
  </si>
  <si>
    <t>UtilGetDiameter</t>
  </si>
  <si>
    <t>Offset neu</t>
  </si>
  <si>
    <t>scaled</t>
  </si>
  <si>
    <t>diamCore</t>
  </si>
  <si>
    <t>adr_diamOffs := adr_AinData.Value.Scaled + ( diamCore / 2 );</t>
  </si>
  <si>
    <t>gPBS1</t>
  </si>
  <si>
    <t>gPBS2</t>
  </si>
  <si>
    <t>Max Sensor</t>
  </si>
  <si>
    <t>Min Sensor</t>
  </si>
  <si>
    <t>Geschwindigkeit</t>
  </si>
  <si>
    <t>v [m/min]</t>
  </si>
  <si>
    <t>diam [mm]</t>
  </si>
  <si>
    <t>v [m/s]</t>
  </si>
  <si>
    <t>n [Hz]</t>
  </si>
  <si>
    <t>Umfang [m]</t>
  </si>
  <si>
    <t>v [Units(mm)/s]</t>
  </si>
  <si>
    <t>n [Units(Hz)/s]</t>
  </si>
  <si>
    <t>n [0.001 Hz] = ( ( v / 1.000.000 ) / (pi * ( diam [mm] / 1.000 ) ) ) * 1.000</t>
  </si>
  <si>
    <t>n [0.001 Hz] = ( v / (pi * diam [mm]) ) * 1000</t>
  </si>
  <si>
    <t>mit Normierung</t>
  </si>
  <si>
    <t>einmal gekürzt</t>
  </si>
  <si>
    <t>gekürzt</t>
  </si>
  <si>
    <t>n [0.001 Hz] = ( ( v / 1 ) / (pi * ( diam [m] / 1 ) ) ) * 1</t>
  </si>
  <si>
    <t>n [0.001 Hz] = ( ( v / 1.000 ) / (pi * ( diam [m] / 1.000 ) ) ) * 1</t>
  </si>
  <si>
    <t>s [mm]</t>
  </si>
  <si>
    <t>t_cycl [ms]</t>
  </si>
  <si>
    <t>Lageauflösung</t>
  </si>
  <si>
    <t>Umfang [mm]</t>
  </si>
  <si>
    <t>Durchmesser [mm]</t>
  </si>
  <si>
    <t>Auflösung [µm]</t>
  </si>
  <si>
    <t>Stanze</t>
  </si>
  <si>
    <t>Bit / U</t>
  </si>
  <si>
    <t>Lageauflösung [U]:</t>
  </si>
  <si>
    <t>Tandemwickler</t>
  </si>
  <si>
    <t>Breite</t>
  </si>
  <si>
    <t>Left</t>
  </si>
  <si>
    <t>Beschleunigung [µm/s²]</t>
  </si>
  <si>
    <t>Beschleunigung [m/min/s]</t>
  </si>
  <si>
    <t>Geschw.-Änderung pro Zyklus</t>
  </si>
  <si>
    <t>Taskzykluszeit [µs]:</t>
  </si>
  <si>
    <t>SafeMC: Encoder Unit System - Maximum acceleration [rad/s²]</t>
  </si>
  <si>
    <t>SafeMC Maximalgeschwindigkeit [rad/s²]:</t>
  </si>
  <si>
    <t>Motor v_max [U/min]:</t>
  </si>
  <si>
    <t>Abbremszeit [s]</t>
  </si>
  <si>
    <t>Bremsrampe [U/min/s]:</t>
  </si>
  <si>
    <t>Bremsrampe [rad/s²]:</t>
  </si>
  <si>
    <t>Bremsrampe [U/s²]:</t>
  </si>
  <si>
    <t>CPU-seitige Nothalt Beschleunigung [units/s²]:</t>
  </si>
  <si>
    <r>
      <t xml:space="preserve">Zeitdauer für Not-Halt </t>
    </r>
    <r>
      <rPr>
        <sz val="11"/>
        <color theme="1"/>
        <rFont val="Calibri"/>
        <family val="2"/>
        <scheme val="minor"/>
      </rPr>
      <t>[ms]:</t>
    </r>
  </si>
  <si>
    <t>Istdrehzahl [units/s]</t>
  </si>
  <si>
    <t>Istdrehzahl [U/min]</t>
  </si>
  <si>
    <t>Istdrehzahl [Hz]</t>
  </si>
  <si>
    <t>Mode</t>
  </si>
  <si>
    <t>Sync</t>
  </si>
  <si>
    <t>Velo
Torq</t>
  </si>
  <si>
    <t>1 m/min:</t>
  </si>
  <si>
    <t>aktuelle Geschwindigkeit</t>
  </si>
  <si>
    <t>Neuer Sollwert [m/min]:</t>
  </si>
  <si>
    <t>Neuer Sollwert [units/s]:</t>
  </si>
  <si>
    <t>additiver Wert:</t>
  </si>
  <si>
    <t>inc</t>
  </si>
  <si>
    <t>dec</t>
  </si>
  <si>
    <t>hold</t>
  </si>
  <si>
    <t>Sensor roh</t>
  </si>
  <si>
    <t>Distanz [mm]</t>
  </si>
  <si>
    <t>Skalierung</t>
  </si>
  <si>
    <t>Diff [mm]</t>
  </si>
  <si>
    <t>UtilGetDiameter (Offset neu)</t>
  </si>
  <si>
    <t xml:space="preserve"> = (Offset - Sensorwert_aktuell) * 2</t>
  </si>
  <si>
    <t>Sensorwert_aktuell</t>
  </si>
  <si>
    <t>Sensor_0</t>
  </si>
  <si>
    <t>Offset = Sensor_0 + Sensor Offset + (Core Durchmesser/2)</t>
  </si>
  <si>
    <t>Sensor Offset</t>
  </si>
  <si>
    <t>Core Durchmesser</t>
  </si>
  <si>
    <t>soll [mm]</t>
  </si>
  <si>
    <t>Abstand real</t>
  </si>
  <si>
    <t>mm/U</t>
  </si>
  <si>
    <t>U</t>
  </si>
  <si>
    <t>diff [mm]</t>
  </si>
  <si>
    <t>RM position</t>
  </si>
  <si>
    <t>RM* position</t>
  </si>
  <si>
    <t>Notwendige Verschiebung in Richtung Auszug:</t>
  </si>
  <si>
    <t>RegMarkPos*</t>
  </si>
  <si>
    <t>Länge*</t>
  </si>
  <si>
    <t>Distance*</t>
  </si>
  <si>
    <t>Distance</t>
  </si>
  <si>
    <t>Materialperiode</t>
  </si>
  <si>
    <t>Stanzzyl.Umfang</t>
  </si>
  <si>
    <t>ZZ</t>
  </si>
  <si>
    <t>Zahnlänge</t>
  </si>
  <si>
    <t>Position Stanze*</t>
  </si>
  <si>
    <t>MasterPosAct*</t>
  </si>
  <si>
    <t>Cut1PosAct*</t>
  </si>
  <si>
    <t>Cut1PosAct</t>
  </si>
  <si>
    <t>deltaMaster*</t>
  </si>
  <si>
    <t>ZielCut1abs*</t>
  </si>
  <si>
    <t>ZielCut1abs</t>
  </si>
  <si>
    <t>Runden des SLS Sollwertes:</t>
  </si>
  <si>
    <t>Umfang Cut1</t>
  </si>
  <si>
    <t>Umfang Cut 2</t>
  </si>
  <si>
    <t>Skalierung Cut 1</t>
  </si>
  <si>
    <t>Skalierung Cut 2</t>
  </si>
  <si>
    <t>Kleinste Skalierung:</t>
  </si>
  <si>
    <t>SLS Sollwert:</t>
  </si>
  <si>
    <t>SLS Sollwert [m/min]</t>
  </si>
  <si>
    <t>Runden:</t>
  </si>
  <si>
    <t xml:space="preserve">Sollwert </t>
  </si>
  <si>
    <t>Auslageband</t>
  </si>
  <si>
    <t>T_POWERLINK [µs]</t>
  </si>
  <si>
    <t>T_Lageregler [µs]</t>
  </si>
  <si>
    <t>Gesamtverzögerung [µs]</t>
  </si>
  <si>
    <t>Geschwindigkeit [m/min]</t>
  </si>
  <si>
    <t>Geschwindigkeit [mm/s]</t>
  </si>
  <si>
    <t>Lageabweichung pro Zyklus</t>
  </si>
  <si>
    <t>Geschw. [units/s]</t>
  </si>
  <si>
    <t>Längenfehlerkorrektur</t>
  </si>
  <si>
    <t>s = v * delta_t</t>
  </si>
  <si>
    <t>Längenfehler [units]</t>
  </si>
  <si>
    <t>Anzahl Powerlink-Zyklen</t>
  </si>
  <si>
    <t>RegMarkActPos</t>
  </si>
  <si>
    <t>gMaster1.Monitor.s</t>
  </si>
  <si>
    <t>DistanceToSensor</t>
  </si>
  <si>
    <t>AdditiveSetpoint</t>
  </si>
  <si>
    <t>CorrectedCutPosition</t>
  </si>
  <si>
    <t>scale</t>
  </si>
  <si>
    <t>remaining dist</t>
  </si>
  <si>
    <t>cutPeriodLength 
(SlavePeriod)</t>
  </si>
  <si>
    <t>SyncPos</t>
  </si>
  <si>
    <t>SyncPos*</t>
  </si>
  <si>
    <t>Signalverzögerung [µs]</t>
  </si>
  <si>
    <t>Pos</t>
  </si>
  <si>
    <t>Position</t>
  </si>
  <si>
    <t>diff</t>
  </si>
  <si>
    <t>Encod1</t>
  </si>
  <si>
    <t>245: ENCOD_POS_ACT</t>
  </si>
  <si>
    <t>Tandem Wickler
erhöhte Res</t>
  </si>
  <si>
    <t>Umfang max [mm]</t>
  </si>
  <si>
    <t>Durchmesser max [mm]</t>
  </si>
  <si>
    <t>Materialdicke [µm]</t>
  </si>
  <si>
    <t>Kerndurchmesser [mm]</t>
  </si>
  <si>
    <t>Anzahl Lagen</t>
  </si>
  <si>
    <t>Länge auf Rolle [mm]</t>
  </si>
  <si>
    <t>Materialgeschwindigkeit [m/min]</t>
  </si>
  <si>
    <t>Dauer [min]</t>
  </si>
  <si>
    <t>f_max [Hz]</t>
  </si>
  <si>
    <t>n_max [U/min]</t>
  </si>
  <si>
    <t>f_min [Hz]</t>
  </si>
  <si>
    <t>n_min [U/min]</t>
  </si>
  <si>
    <t>Durchmesser min [mm]</t>
  </si>
  <si>
    <t>Umfang min [mm]</t>
  </si>
  <si>
    <t>8LSA75.S0030D000-0</t>
  </si>
  <si>
    <t>startCut</t>
  </si>
  <si>
    <t>endCut</t>
  </si>
  <si>
    <t>CutPos</t>
  </si>
  <si>
    <t>add Nutzen</t>
  </si>
  <si>
    <t>Anzahl Nutzen</t>
  </si>
  <si>
    <t>Umfang</t>
  </si>
  <si>
    <t>Modulo</t>
  </si>
  <si>
    <t>CutRange diff</t>
  </si>
  <si>
    <t>Insetting [%]</t>
  </si>
  <si>
    <t>master cut range</t>
  </si>
  <si>
    <t>Nutzenperiode</t>
  </si>
  <si>
    <t>Materialperiode gesamt</t>
  </si>
  <si>
    <t>SlaveCutRange</t>
  </si>
  <si>
    <t>Modul</t>
  </si>
  <si>
    <t>Umfang ["]</t>
  </si>
  <si>
    <t>Stanze [U/s]</t>
  </si>
  <si>
    <t>Inkremente</t>
  </si>
  <si>
    <t>f_signal [Hz]</t>
  </si>
  <si>
    <t>Strecke/s [mm]</t>
  </si>
  <si>
    <t>mm pro Impuls [mm]</t>
  </si>
  <si>
    <t>Materialperiode [mm]</t>
  </si>
  <si>
    <t>SCALE_LOAD_UNITS</t>
  </si>
  <si>
    <t>SCALE_ENCODER_INCR</t>
  </si>
  <si>
    <t>Gesamtlänge [mm]</t>
  </si>
  <si>
    <t>Zeit pro Gesamtlänge [ms]</t>
  </si>
  <si>
    <t>Frequenz</t>
  </si>
  <si>
    <t>Inkremente Soll</t>
  </si>
  <si>
    <t>Nutzen [mm]</t>
  </si>
  <si>
    <t>Zugstation1</t>
  </si>
  <si>
    <t>Zugstation2</t>
  </si>
  <si>
    <r>
      <t xml:space="preserve">Maximalbeschleunigung </t>
    </r>
    <r>
      <rPr>
        <b/>
        <sz val="10"/>
        <color rgb="FFFF0000"/>
        <rFont val="Arial"/>
        <family val="2"/>
      </rPr>
      <t>lastseitig</t>
    </r>
    <r>
      <rPr>
        <sz val="11"/>
        <color rgb="FFFF0000"/>
        <rFont val="Calibri"/>
        <family val="2"/>
        <scheme val="minor"/>
      </rPr>
      <t xml:space="preserve"> [mm/s²]:</t>
    </r>
  </si>
  <si>
    <r>
      <t xml:space="preserve">Maximalbeschleunigung </t>
    </r>
    <r>
      <rPr>
        <b/>
        <sz val="10"/>
        <color rgb="FFFF0000"/>
        <rFont val="Arial"/>
        <family val="2"/>
      </rPr>
      <t>lastseitig</t>
    </r>
    <r>
      <rPr>
        <sz val="11"/>
        <color rgb="FFFF0000"/>
        <rFont val="Calibri"/>
        <family val="2"/>
        <scheme val="minor"/>
      </rPr>
      <t xml:space="preserve"> [rad/s²]:</t>
    </r>
  </si>
  <si>
    <r>
      <t>Maximalbeschleunigung Motor (</t>
    </r>
    <r>
      <rPr>
        <b/>
        <sz val="10"/>
        <color rgb="FFFF0000"/>
        <rFont val="Arial"/>
        <family val="2"/>
      </rPr>
      <t>motorseitig</t>
    </r>
    <r>
      <rPr>
        <sz val="11"/>
        <color rgb="FFFF0000"/>
        <rFont val="Calibri"/>
        <family val="2"/>
        <scheme val="minor"/>
      </rPr>
      <t>) [rad/s²]:</t>
    </r>
  </si>
  <si>
    <t>gBuffer</t>
  </si>
  <si>
    <t>gCatchBelt</t>
  </si>
  <si>
    <t>gConvBeltt</t>
  </si>
  <si>
    <t>gGridFeed</t>
  </si>
  <si>
    <t>gGridLeft</t>
  </si>
  <si>
    <t>gGridRight</t>
  </si>
  <si>
    <t>gUnwDrv</t>
  </si>
  <si>
    <t>gUnwOp</t>
  </si>
  <si>
    <t>FangBand</t>
  </si>
  <si>
    <t>Gitteraufwickler rechts</t>
  </si>
  <si>
    <t>Gitteraufwickler links</t>
  </si>
  <si>
    <t>Gitterturm Drehfunktion</t>
  </si>
  <si>
    <t>Bahnspeicher</t>
  </si>
  <si>
    <t>Abwickler Antriebsseite</t>
  </si>
  <si>
    <t>Abwickler Operatorseite</t>
  </si>
  <si>
    <t>Stanze 2</t>
  </si>
  <si>
    <t>gCut2</t>
  </si>
  <si>
    <t>8LSA46.R0045D000-0</t>
  </si>
  <si>
    <t>8LSA43.R0045D000-0</t>
  </si>
  <si>
    <t>8LSA26.R0060D000-0</t>
  </si>
  <si>
    <t>8LSA36.R0060D000-0</t>
  </si>
  <si>
    <t>8LSA55.R0045D100-1</t>
  </si>
  <si>
    <t>8LSA55.S0045D300-1</t>
  </si>
  <si>
    <t>8LSA55.R0045D200-1</t>
  </si>
  <si>
    <t>8LSN45.R0060D100-0</t>
  </si>
  <si>
    <t>i aus Liste 434_Nitto…</t>
  </si>
  <si>
    <t>8GP50-090--005S2L4</t>
  </si>
  <si>
    <t>8GP60-115--005S2L7</t>
  </si>
  <si>
    <t>8GP50-050--005S2L2</t>
  </si>
  <si>
    <t>8GP50-090--010S2L3</t>
  </si>
  <si>
    <t>8GP50-120--012S2L5</t>
  </si>
  <si>
    <t>Stanzstation 1</t>
  </si>
  <si>
    <t>Stanzstation 2</t>
  </si>
  <si>
    <t>Abwickler</t>
  </si>
  <si>
    <t>Gitterwendemotor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</si>
</sst>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/>
    <xf numFmtId="0" fontId="3" fillId="0" borderId="0" xfId="1" applyFont="1"/>
    <xf numFmtId="0" fontId="1" fillId="2" borderId="0" xfId="1" applyFill="1"/>
    <xf numFmtId="0" fontId="1" fillId="0" borderId="0" xfId="1" applyFill="1"/>
    <xf numFmtId="0" fontId="1" fillId="0" borderId="0" xfId="1" applyAlignment="1">
      <alignment wrapText="1"/>
    </xf>
    <xf numFmtId="0" fontId="1" fillId="3" borderId="0" xfId="1" applyFill="1"/>
    <xf numFmtId="0" fontId="1" fillId="4" borderId="0" xfId="1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Fill="1" applyBorder="1"/>
    <xf numFmtId="0" fontId="3" fillId="7" borderId="0" xfId="1" applyFont="1" applyFill="1"/>
    <xf numFmtId="0" fontId="3" fillId="6" borderId="0" xfId="1" applyFont="1" applyFill="1"/>
    <xf numFmtId="0" fontId="1" fillId="6" borderId="0" xfId="1" applyFill="1"/>
    <xf numFmtId="0" fontId="8" fillId="0" borderId="0" xfId="1" applyFont="1"/>
    <xf numFmtId="0" fontId="7" fillId="6" borderId="10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/>
    </xf>
    <xf numFmtId="0" fontId="0" fillId="0" borderId="3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5" fillId="5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0" fillId="0" borderId="6" xfId="0" applyBorder="1" applyAlignment="1">
      <alignment vertical="top"/>
    </xf>
    <xf numFmtId="0" fontId="4" fillId="0" borderId="5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7" fillId="6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horizontal="center" vertical="top"/>
    </xf>
    <xf numFmtId="0" fontId="10" fillId="7" borderId="0" xfId="1" applyFont="1" applyFill="1"/>
    <xf numFmtId="0" fontId="11" fillId="2" borderId="0" xfId="1" applyFont="1" applyFill="1"/>
    <xf numFmtId="0" fontId="11" fillId="0" borderId="0" xfId="1" applyFont="1"/>
    <xf numFmtId="0" fontId="12" fillId="0" borderId="0" xfId="1" applyFont="1"/>
    <xf numFmtId="0" fontId="12" fillId="2" borderId="0" xfId="1" applyFont="1" applyFill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5" borderId="5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vertical="top"/>
    </xf>
    <xf numFmtId="0" fontId="2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7" fillId="6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horizontal="center" vertical="top"/>
    </xf>
    <xf numFmtId="0" fontId="7" fillId="6" borderId="12" xfId="0" applyFont="1" applyFill="1" applyBorder="1" applyAlignment="1">
      <alignment horizontal="center" vertical="top"/>
    </xf>
  </cellXfs>
  <cellStyles count="2">
    <cellStyle name="Normal" xfId="0" builtinId="0"/>
    <cellStyle name="Standar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219075</xdr:rowOff>
    </xdr:from>
    <xdr:to>
      <xdr:col>0</xdr:col>
      <xdr:colOff>3209925</xdr:colOff>
      <xdr:row>1</xdr:row>
      <xdr:rowOff>1524000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381000"/>
          <a:ext cx="2971800" cy="1304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219075</xdr:rowOff>
    </xdr:from>
    <xdr:to>
      <xdr:col>0</xdr:col>
      <xdr:colOff>3209925</xdr:colOff>
      <xdr:row>1</xdr:row>
      <xdr:rowOff>1524000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381000"/>
          <a:ext cx="2971800" cy="1304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zoomScaleNormal="100" workbookViewId="0">
      <pane ySplit="4" topLeftCell="A50" activePane="bottomLeft" state="frozen"/>
      <selection pane="bottomLeft" activeCell="K11" sqref="K11"/>
    </sheetView>
  </sheetViews>
  <sheetFormatPr defaultColWidth="11.42578125" defaultRowHeight="12.75" outlineLevelCol="1"/>
  <cols>
    <col min="1" max="1" width="54" style="1" customWidth="1"/>
    <col min="2" max="2" width="16.7109375" style="1" customWidth="1"/>
    <col min="3" max="3" width="14.5703125" style="1" hidden="1" customWidth="1" outlineLevel="1"/>
    <col min="4" max="4" width="15.140625" style="1" hidden="1" customWidth="1" outlineLevel="1" collapsed="1"/>
    <col min="5" max="5" width="14.140625" style="1" hidden="1" customWidth="1" outlineLevel="1"/>
    <col min="6" max="6" width="15.28515625" style="1" customWidth="1" collapsed="1"/>
    <col min="7" max="7" width="19" style="1" customWidth="1"/>
    <col min="8" max="8" width="13.42578125" style="1" customWidth="1"/>
    <col min="9" max="9" width="15.42578125" style="1" customWidth="1"/>
    <col min="10" max="10" width="11.42578125" style="1"/>
    <col min="11" max="11" width="16.42578125" style="1" customWidth="1"/>
    <col min="12" max="256" width="11.42578125" style="1"/>
    <col min="257" max="257" width="54" style="1" customWidth="1"/>
    <col min="258" max="258" width="16.7109375" style="1" customWidth="1"/>
    <col min="259" max="512" width="11.42578125" style="1"/>
    <col min="513" max="513" width="54" style="1" customWidth="1"/>
    <col min="514" max="514" width="16.7109375" style="1" customWidth="1"/>
    <col min="515" max="768" width="11.42578125" style="1"/>
    <col min="769" max="769" width="54" style="1" customWidth="1"/>
    <col min="770" max="770" width="16.7109375" style="1" customWidth="1"/>
    <col min="771" max="1024" width="11.42578125" style="1"/>
    <col min="1025" max="1025" width="54" style="1" customWidth="1"/>
    <col min="1026" max="1026" width="16.7109375" style="1" customWidth="1"/>
    <col min="1027" max="1280" width="11.42578125" style="1"/>
    <col min="1281" max="1281" width="54" style="1" customWidth="1"/>
    <col min="1282" max="1282" width="16.7109375" style="1" customWidth="1"/>
    <col min="1283" max="1536" width="11.42578125" style="1"/>
    <col min="1537" max="1537" width="54" style="1" customWidth="1"/>
    <col min="1538" max="1538" width="16.7109375" style="1" customWidth="1"/>
    <col min="1539" max="1792" width="11.42578125" style="1"/>
    <col min="1793" max="1793" width="54" style="1" customWidth="1"/>
    <col min="1794" max="1794" width="16.7109375" style="1" customWidth="1"/>
    <col min="1795" max="2048" width="11.42578125" style="1"/>
    <col min="2049" max="2049" width="54" style="1" customWidth="1"/>
    <col min="2050" max="2050" width="16.7109375" style="1" customWidth="1"/>
    <col min="2051" max="2304" width="11.42578125" style="1"/>
    <col min="2305" max="2305" width="54" style="1" customWidth="1"/>
    <col min="2306" max="2306" width="16.7109375" style="1" customWidth="1"/>
    <col min="2307" max="2560" width="11.42578125" style="1"/>
    <col min="2561" max="2561" width="54" style="1" customWidth="1"/>
    <col min="2562" max="2562" width="16.7109375" style="1" customWidth="1"/>
    <col min="2563" max="2816" width="11.42578125" style="1"/>
    <col min="2817" max="2817" width="54" style="1" customWidth="1"/>
    <col min="2818" max="2818" width="16.7109375" style="1" customWidth="1"/>
    <col min="2819" max="3072" width="11.42578125" style="1"/>
    <col min="3073" max="3073" width="54" style="1" customWidth="1"/>
    <col min="3074" max="3074" width="16.7109375" style="1" customWidth="1"/>
    <col min="3075" max="3328" width="11.42578125" style="1"/>
    <col min="3329" max="3329" width="54" style="1" customWidth="1"/>
    <col min="3330" max="3330" width="16.7109375" style="1" customWidth="1"/>
    <col min="3331" max="3584" width="11.42578125" style="1"/>
    <col min="3585" max="3585" width="54" style="1" customWidth="1"/>
    <col min="3586" max="3586" width="16.7109375" style="1" customWidth="1"/>
    <col min="3587" max="3840" width="11.42578125" style="1"/>
    <col min="3841" max="3841" width="54" style="1" customWidth="1"/>
    <col min="3842" max="3842" width="16.7109375" style="1" customWidth="1"/>
    <col min="3843" max="4096" width="11.42578125" style="1"/>
    <col min="4097" max="4097" width="54" style="1" customWidth="1"/>
    <col min="4098" max="4098" width="16.7109375" style="1" customWidth="1"/>
    <col min="4099" max="4352" width="11.42578125" style="1"/>
    <col min="4353" max="4353" width="54" style="1" customWidth="1"/>
    <col min="4354" max="4354" width="16.7109375" style="1" customWidth="1"/>
    <col min="4355" max="4608" width="11.42578125" style="1"/>
    <col min="4609" max="4609" width="54" style="1" customWidth="1"/>
    <col min="4610" max="4610" width="16.7109375" style="1" customWidth="1"/>
    <col min="4611" max="4864" width="11.42578125" style="1"/>
    <col min="4865" max="4865" width="54" style="1" customWidth="1"/>
    <col min="4866" max="4866" width="16.7109375" style="1" customWidth="1"/>
    <col min="4867" max="5120" width="11.42578125" style="1"/>
    <col min="5121" max="5121" width="54" style="1" customWidth="1"/>
    <col min="5122" max="5122" width="16.7109375" style="1" customWidth="1"/>
    <col min="5123" max="5376" width="11.42578125" style="1"/>
    <col min="5377" max="5377" width="54" style="1" customWidth="1"/>
    <col min="5378" max="5378" width="16.7109375" style="1" customWidth="1"/>
    <col min="5379" max="5632" width="11.42578125" style="1"/>
    <col min="5633" max="5633" width="54" style="1" customWidth="1"/>
    <col min="5634" max="5634" width="16.7109375" style="1" customWidth="1"/>
    <col min="5635" max="5888" width="11.42578125" style="1"/>
    <col min="5889" max="5889" width="54" style="1" customWidth="1"/>
    <col min="5890" max="5890" width="16.7109375" style="1" customWidth="1"/>
    <col min="5891" max="6144" width="11.42578125" style="1"/>
    <col min="6145" max="6145" width="54" style="1" customWidth="1"/>
    <col min="6146" max="6146" width="16.7109375" style="1" customWidth="1"/>
    <col min="6147" max="6400" width="11.42578125" style="1"/>
    <col min="6401" max="6401" width="54" style="1" customWidth="1"/>
    <col min="6402" max="6402" width="16.7109375" style="1" customWidth="1"/>
    <col min="6403" max="6656" width="11.42578125" style="1"/>
    <col min="6657" max="6657" width="54" style="1" customWidth="1"/>
    <col min="6658" max="6658" width="16.7109375" style="1" customWidth="1"/>
    <col min="6659" max="6912" width="11.42578125" style="1"/>
    <col min="6913" max="6913" width="54" style="1" customWidth="1"/>
    <col min="6914" max="6914" width="16.7109375" style="1" customWidth="1"/>
    <col min="6915" max="7168" width="11.42578125" style="1"/>
    <col min="7169" max="7169" width="54" style="1" customWidth="1"/>
    <col min="7170" max="7170" width="16.7109375" style="1" customWidth="1"/>
    <col min="7171" max="7424" width="11.42578125" style="1"/>
    <col min="7425" max="7425" width="54" style="1" customWidth="1"/>
    <col min="7426" max="7426" width="16.7109375" style="1" customWidth="1"/>
    <col min="7427" max="7680" width="11.42578125" style="1"/>
    <col min="7681" max="7681" width="54" style="1" customWidth="1"/>
    <col min="7682" max="7682" width="16.7109375" style="1" customWidth="1"/>
    <col min="7683" max="7936" width="11.42578125" style="1"/>
    <col min="7937" max="7937" width="54" style="1" customWidth="1"/>
    <col min="7938" max="7938" width="16.7109375" style="1" customWidth="1"/>
    <col min="7939" max="8192" width="11.42578125" style="1"/>
    <col min="8193" max="8193" width="54" style="1" customWidth="1"/>
    <col min="8194" max="8194" width="16.7109375" style="1" customWidth="1"/>
    <col min="8195" max="8448" width="11.42578125" style="1"/>
    <col min="8449" max="8449" width="54" style="1" customWidth="1"/>
    <col min="8450" max="8450" width="16.7109375" style="1" customWidth="1"/>
    <col min="8451" max="8704" width="11.42578125" style="1"/>
    <col min="8705" max="8705" width="54" style="1" customWidth="1"/>
    <col min="8706" max="8706" width="16.7109375" style="1" customWidth="1"/>
    <col min="8707" max="8960" width="11.42578125" style="1"/>
    <col min="8961" max="8961" width="54" style="1" customWidth="1"/>
    <col min="8962" max="8962" width="16.7109375" style="1" customWidth="1"/>
    <col min="8963" max="9216" width="11.42578125" style="1"/>
    <col min="9217" max="9217" width="54" style="1" customWidth="1"/>
    <col min="9218" max="9218" width="16.7109375" style="1" customWidth="1"/>
    <col min="9219" max="9472" width="11.42578125" style="1"/>
    <col min="9473" max="9473" width="54" style="1" customWidth="1"/>
    <col min="9474" max="9474" width="16.7109375" style="1" customWidth="1"/>
    <col min="9475" max="9728" width="11.42578125" style="1"/>
    <col min="9729" max="9729" width="54" style="1" customWidth="1"/>
    <col min="9730" max="9730" width="16.7109375" style="1" customWidth="1"/>
    <col min="9731" max="9984" width="11.42578125" style="1"/>
    <col min="9985" max="9985" width="54" style="1" customWidth="1"/>
    <col min="9986" max="9986" width="16.7109375" style="1" customWidth="1"/>
    <col min="9987" max="10240" width="11.42578125" style="1"/>
    <col min="10241" max="10241" width="54" style="1" customWidth="1"/>
    <col min="10242" max="10242" width="16.7109375" style="1" customWidth="1"/>
    <col min="10243" max="10496" width="11.42578125" style="1"/>
    <col min="10497" max="10497" width="54" style="1" customWidth="1"/>
    <col min="10498" max="10498" width="16.7109375" style="1" customWidth="1"/>
    <col min="10499" max="10752" width="11.42578125" style="1"/>
    <col min="10753" max="10753" width="54" style="1" customWidth="1"/>
    <col min="10754" max="10754" width="16.7109375" style="1" customWidth="1"/>
    <col min="10755" max="11008" width="11.42578125" style="1"/>
    <col min="11009" max="11009" width="54" style="1" customWidth="1"/>
    <col min="11010" max="11010" width="16.7109375" style="1" customWidth="1"/>
    <col min="11011" max="11264" width="11.42578125" style="1"/>
    <col min="11265" max="11265" width="54" style="1" customWidth="1"/>
    <col min="11266" max="11266" width="16.7109375" style="1" customWidth="1"/>
    <col min="11267" max="11520" width="11.42578125" style="1"/>
    <col min="11521" max="11521" width="54" style="1" customWidth="1"/>
    <col min="11522" max="11522" width="16.7109375" style="1" customWidth="1"/>
    <col min="11523" max="11776" width="11.42578125" style="1"/>
    <col min="11777" max="11777" width="54" style="1" customWidth="1"/>
    <col min="11778" max="11778" width="16.7109375" style="1" customWidth="1"/>
    <col min="11779" max="12032" width="11.42578125" style="1"/>
    <col min="12033" max="12033" width="54" style="1" customWidth="1"/>
    <col min="12034" max="12034" width="16.7109375" style="1" customWidth="1"/>
    <col min="12035" max="12288" width="11.42578125" style="1"/>
    <col min="12289" max="12289" width="54" style="1" customWidth="1"/>
    <col min="12290" max="12290" width="16.7109375" style="1" customWidth="1"/>
    <col min="12291" max="12544" width="11.42578125" style="1"/>
    <col min="12545" max="12545" width="54" style="1" customWidth="1"/>
    <col min="12546" max="12546" width="16.7109375" style="1" customWidth="1"/>
    <col min="12547" max="12800" width="11.42578125" style="1"/>
    <col min="12801" max="12801" width="54" style="1" customWidth="1"/>
    <col min="12802" max="12802" width="16.7109375" style="1" customWidth="1"/>
    <col min="12803" max="13056" width="11.42578125" style="1"/>
    <col min="13057" max="13057" width="54" style="1" customWidth="1"/>
    <col min="13058" max="13058" width="16.7109375" style="1" customWidth="1"/>
    <col min="13059" max="13312" width="11.42578125" style="1"/>
    <col min="13313" max="13313" width="54" style="1" customWidth="1"/>
    <col min="13314" max="13314" width="16.7109375" style="1" customWidth="1"/>
    <col min="13315" max="13568" width="11.42578125" style="1"/>
    <col min="13569" max="13569" width="54" style="1" customWidth="1"/>
    <col min="13570" max="13570" width="16.7109375" style="1" customWidth="1"/>
    <col min="13571" max="13824" width="11.42578125" style="1"/>
    <col min="13825" max="13825" width="54" style="1" customWidth="1"/>
    <col min="13826" max="13826" width="16.7109375" style="1" customWidth="1"/>
    <col min="13827" max="14080" width="11.42578125" style="1"/>
    <col min="14081" max="14081" width="54" style="1" customWidth="1"/>
    <col min="14082" max="14082" width="16.7109375" style="1" customWidth="1"/>
    <col min="14083" max="14336" width="11.42578125" style="1"/>
    <col min="14337" max="14337" width="54" style="1" customWidth="1"/>
    <col min="14338" max="14338" width="16.7109375" style="1" customWidth="1"/>
    <col min="14339" max="14592" width="11.42578125" style="1"/>
    <col min="14593" max="14593" width="54" style="1" customWidth="1"/>
    <col min="14594" max="14594" width="16.7109375" style="1" customWidth="1"/>
    <col min="14595" max="14848" width="11.42578125" style="1"/>
    <col min="14849" max="14849" width="54" style="1" customWidth="1"/>
    <col min="14850" max="14850" width="16.7109375" style="1" customWidth="1"/>
    <col min="14851" max="15104" width="11.42578125" style="1"/>
    <col min="15105" max="15105" width="54" style="1" customWidth="1"/>
    <col min="15106" max="15106" width="16.7109375" style="1" customWidth="1"/>
    <col min="15107" max="15360" width="11.42578125" style="1"/>
    <col min="15361" max="15361" width="54" style="1" customWidth="1"/>
    <col min="15362" max="15362" width="16.7109375" style="1" customWidth="1"/>
    <col min="15363" max="15616" width="11.42578125" style="1"/>
    <col min="15617" max="15617" width="54" style="1" customWidth="1"/>
    <col min="15618" max="15618" width="16.7109375" style="1" customWidth="1"/>
    <col min="15619" max="15872" width="11.42578125" style="1"/>
    <col min="15873" max="15873" width="54" style="1" customWidth="1"/>
    <col min="15874" max="15874" width="16.7109375" style="1" customWidth="1"/>
    <col min="15875" max="16128" width="11.42578125" style="1"/>
    <col min="16129" max="16129" width="54" style="1" customWidth="1"/>
    <col min="16130" max="16130" width="16.7109375" style="1" customWidth="1"/>
    <col min="16131" max="16384" width="11.42578125" style="1"/>
  </cols>
  <sheetData>
    <row r="2" spans="1:12" ht="133.5" customHeight="1">
      <c r="B2" s="52" t="s">
        <v>2</v>
      </c>
      <c r="C2" s="53"/>
      <c r="D2" s="53"/>
      <c r="E2" s="53"/>
      <c r="F2" s="53"/>
      <c r="G2" s="53"/>
      <c r="H2" s="53"/>
    </row>
    <row r="3" spans="1:12" ht="5.25" customHeight="1"/>
    <row r="4" spans="1:12" ht="25.5">
      <c r="A4" s="2" t="s">
        <v>3</v>
      </c>
      <c r="B4" s="1" t="s">
        <v>50</v>
      </c>
      <c r="C4" s="1" t="s">
        <v>39</v>
      </c>
      <c r="D4" s="5" t="s">
        <v>74</v>
      </c>
      <c r="E4" s="5" t="s">
        <v>75</v>
      </c>
      <c r="F4" s="1" t="s">
        <v>59</v>
      </c>
      <c r="G4" s="5" t="s">
        <v>74</v>
      </c>
      <c r="H4" s="1" t="s">
        <v>59</v>
      </c>
      <c r="I4" s="5"/>
    </row>
    <row r="5" spans="1:12" ht="5.25" customHeight="1"/>
    <row r="6" spans="1:12" ht="15">
      <c r="A6" s="1" t="s">
        <v>4</v>
      </c>
      <c r="B6" s="3">
        <v>508</v>
      </c>
      <c r="C6" s="3">
        <f>80*PI()</f>
        <v>251.32741228718345</v>
      </c>
      <c r="D6" s="3">
        <f>105*PI()</f>
        <v>329.86722862692829</v>
      </c>
      <c r="E6" s="3">
        <f>100*PI()</f>
        <v>314.15926535897933</v>
      </c>
      <c r="F6" s="3">
        <f>762</f>
        <v>762</v>
      </c>
      <c r="G6" s="3">
        <f>105*PI()</f>
        <v>329.86722862692829</v>
      </c>
      <c r="H6" s="3">
        <f>762*169/254</f>
        <v>507</v>
      </c>
      <c r="I6" s="3">
        <f>80.85071109*PI()</f>
        <v>253.99999999785481</v>
      </c>
      <c r="J6" s="3">
        <f>762</f>
        <v>762</v>
      </c>
    </row>
    <row r="7" spans="1:12">
      <c r="A7" s="1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2">
      <c r="A8" s="1" t="s">
        <v>66</v>
      </c>
      <c r="B8" s="3">
        <v>22</v>
      </c>
      <c r="C8" s="3">
        <v>1800</v>
      </c>
      <c r="D8" s="3">
        <v>48</v>
      </c>
      <c r="E8" s="3">
        <v>5504.07</v>
      </c>
      <c r="F8" s="3">
        <v>169</v>
      </c>
      <c r="G8" s="3">
        <v>48</v>
      </c>
      <c r="H8" s="3">
        <v>1</v>
      </c>
      <c r="I8" s="3">
        <v>80</v>
      </c>
      <c r="J8" s="3">
        <v>80</v>
      </c>
    </row>
    <row r="9" spans="1:12">
      <c r="A9" s="1" t="s">
        <v>67</v>
      </c>
      <c r="B9" s="3">
        <v>280</v>
      </c>
      <c r="C9" s="3">
        <v>12500</v>
      </c>
      <c r="D9" s="3">
        <v>480</v>
      </c>
      <c r="E9" s="3">
        <v>52492.24</v>
      </c>
      <c r="F9" s="3">
        <v>1270</v>
      </c>
      <c r="G9" s="3">
        <v>480</v>
      </c>
      <c r="H9" s="3">
        <v>5</v>
      </c>
      <c r="I9" s="3">
        <v>400</v>
      </c>
      <c r="J9" s="3">
        <v>1270</v>
      </c>
    </row>
    <row r="10" spans="1:12" ht="4.5" customHeight="1"/>
    <row r="11" spans="1:12" ht="25.5">
      <c r="A11" s="5" t="s">
        <v>8</v>
      </c>
      <c r="B11" s="6">
        <f>B8*B6*(1000/B7)</f>
        <v>11176000</v>
      </c>
      <c r="C11" s="6">
        <f t="shared" ref="C11:I11" si="0">C8*C6*(1000/C7)</f>
        <v>452389342.11693025</v>
      </c>
      <c r="D11" s="6">
        <f t="shared" si="0"/>
        <v>15833626.974092558</v>
      </c>
      <c r="E11" s="6">
        <f t="shared" si="0"/>
        <v>1729154587.6843975</v>
      </c>
      <c r="F11" s="6">
        <f>F8*F6*(1000/F7)</f>
        <v>128778000</v>
      </c>
      <c r="G11" s="6">
        <f t="shared" si="0"/>
        <v>15833626.974092558</v>
      </c>
      <c r="H11" s="6">
        <f t="shared" si="0"/>
        <v>507000</v>
      </c>
      <c r="I11" s="6">
        <f t="shared" si="0"/>
        <v>20319999.999828387</v>
      </c>
      <c r="J11" s="6">
        <f>J8*J6*(1000/J7)</f>
        <v>60960000</v>
      </c>
      <c r="K11" s="1">
        <f>I11/80</f>
        <v>253999.99999785484</v>
      </c>
      <c r="L11" s="1">
        <f>F11/254</f>
        <v>507000</v>
      </c>
    </row>
    <row r="12" spans="1:12" ht="25.5">
      <c r="A12" s="5" t="s">
        <v>9</v>
      </c>
      <c r="B12" s="6">
        <f t="shared" ref="B12:I12" si="1">B9</f>
        <v>280</v>
      </c>
      <c r="C12" s="6">
        <f t="shared" si="1"/>
        <v>12500</v>
      </c>
      <c r="D12" s="6">
        <f t="shared" si="1"/>
        <v>480</v>
      </c>
      <c r="E12" s="6">
        <f>E9</f>
        <v>52492.24</v>
      </c>
      <c r="F12" s="6">
        <f t="shared" si="1"/>
        <v>1270</v>
      </c>
      <c r="G12" s="6">
        <f t="shared" si="1"/>
        <v>480</v>
      </c>
      <c r="H12" s="6">
        <f t="shared" si="1"/>
        <v>5</v>
      </c>
      <c r="I12" s="6">
        <f t="shared" si="1"/>
        <v>400</v>
      </c>
      <c r="J12" s="6">
        <f t="shared" ref="J12" si="2">J9</f>
        <v>1270</v>
      </c>
      <c r="K12" s="1">
        <f>I12/80</f>
        <v>5</v>
      </c>
      <c r="L12" s="1">
        <f>F12/254</f>
        <v>5</v>
      </c>
    </row>
    <row r="13" spans="1:12" ht="6.75" customHeight="1"/>
    <row r="14" spans="1:12" ht="15">
      <c r="A14" s="1" t="s">
        <v>10</v>
      </c>
      <c r="B14" s="3">
        <v>4500</v>
      </c>
      <c r="C14" s="3">
        <v>4500</v>
      </c>
      <c r="D14" s="3">
        <v>6000</v>
      </c>
      <c r="E14" s="3">
        <v>6000</v>
      </c>
      <c r="F14" s="3">
        <v>6000</v>
      </c>
      <c r="G14" s="3">
        <v>6000</v>
      </c>
      <c r="H14" s="3">
        <v>4500</v>
      </c>
      <c r="I14" s="3">
        <v>4500</v>
      </c>
      <c r="J14" s="3">
        <v>6000</v>
      </c>
    </row>
    <row r="15" spans="1:12">
      <c r="A15" s="1" t="s">
        <v>11</v>
      </c>
      <c r="B15" s="6">
        <f>(B14/60)*(B11/B12)</f>
        <v>2993571.4285714286</v>
      </c>
      <c r="C15" s="6">
        <f t="shared" ref="C15:I15" si="3">(C14/60)*(C11/C12)</f>
        <v>2714336.0527015813</v>
      </c>
      <c r="D15" s="6">
        <f t="shared" si="3"/>
        <v>3298672.2862692825</v>
      </c>
      <c r="E15" s="6">
        <f t="shared" si="3"/>
        <v>3294114.6875888654</v>
      </c>
      <c r="F15" s="6">
        <f t="shared" si="3"/>
        <v>10140000</v>
      </c>
      <c r="G15" s="6">
        <f t="shared" si="3"/>
        <v>3298672.2862692825</v>
      </c>
      <c r="H15" s="6">
        <f t="shared" si="3"/>
        <v>7605000</v>
      </c>
      <c r="I15" s="6">
        <f t="shared" si="3"/>
        <v>3809999.9999678223</v>
      </c>
      <c r="J15" s="6">
        <f t="shared" ref="J15" si="4">(J14/60)*(J11/J12)</f>
        <v>4800000</v>
      </c>
    </row>
    <row r="16" spans="1:12" ht="6.75" customHeight="1"/>
    <row r="17" spans="1:10">
      <c r="A17" s="1" t="s">
        <v>12</v>
      </c>
      <c r="B17" s="3">
        <v>150</v>
      </c>
      <c r="C17" s="3">
        <v>120</v>
      </c>
      <c r="D17" s="3">
        <v>5</v>
      </c>
      <c r="E17" s="3">
        <v>120</v>
      </c>
      <c r="F17" s="3">
        <v>120</v>
      </c>
      <c r="G17" s="3">
        <v>120</v>
      </c>
      <c r="H17" s="3">
        <v>4.5</v>
      </c>
      <c r="I17" s="3">
        <v>4.5</v>
      </c>
      <c r="J17" s="3">
        <v>120</v>
      </c>
    </row>
    <row r="18" spans="1:10">
      <c r="A18" s="1" t="s">
        <v>11</v>
      </c>
      <c r="B18" s="6">
        <f>(B17/60)*(1000000/B7)</f>
        <v>2500000</v>
      </c>
      <c r="C18" s="6">
        <f t="shared" ref="C18:I18" si="5">(C17/60)*(1000000/C7)</f>
        <v>2000000</v>
      </c>
      <c r="D18" s="6">
        <f t="shared" si="5"/>
        <v>83333.333333333328</v>
      </c>
      <c r="E18" s="6">
        <f t="shared" si="5"/>
        <v>2000000</v>
      </c>
      <c r="F18" s="6">
        <f t="shared" si="5"/>
        <v>2000000</v>
      </c>
      <c r="G18" s="6">
        <f t="shared" si="5"/>
        <v>2000000</v>
      </c>
      <c r="H18" s="6">
        <f t="shared" si="5"/>
        <v>75000</v>
      </c>
      <c r="I18" s="6">
        <f t="shared" si="5"/>
        <v>75000</v>
      </c>
      <c r="J18" s="6">
        <f t="shared" ref="J18" si="6">(J17/60)*(1000000/J7)</f>
        <v>2000000</v>
      </c>
    </row>
    <row r="19" spans="1:10" ht="5.25" customHeight="1"/>
    <row r="20" spans="1:10" ht="15">
      <c r="A20" s="1" t="s">
        <v>52</v>
      </c>
      <c r="B20" s="3">
        <v>90</v>
      </c>
      <c r="C20" s="3">
        <v>90</v>
      </c>
      <c r="D20" s="3">
        <v>180</v>
      </c>
      <c r="E20" s="3">
        <v>180</v>
      </c>
      <c r="F20" s="3">
        <v>180</v>
      </c>
      <c r="G20" s="3">
        <v>180</v>
      </c>
      <c r="H20" s="3">
        <v>180</v>
      </c>
      <c r="I20" s="3">
        <v>180</v>
      </c>
      <c r="J20" s="3">
        <v>180</v>
      </c>
    </row>
    <row r="21" spans="1:10">
      <c r="A21" s="1" t="s">
        <v>51</v>
      </c>
      <c r="B21" s="6">
        <f t="shared" ref="B21:G21" si="7">(B20/360)*(B11/B12)</f>
        <v>9978.5714285714294</v>
      </c>
      <c r="C21" s="6">
        <f t="shared" si="7"/>
        <v>9047.7868423386044</v>
      </c>
      <c r="D21" s="6">
        <f t="shared" si="7"/>
        <v>16493.361431346413</v>
      </c>
      <c r="E21" s="6">
        <f t="shared" si="7"/>
        <v>16470.573437944327</v>
      </c>
      <c r="F21" s="6">
        <f t="shared" si="7"/>
        <v>50700</v>
      </c>
      <c r="G21" s="6">
        <f t="shared" si="7"/>
        <v>16493.361431346413</v>
      </c>
      <c r="H21" s="6">
        <f>(H20/360)*(H11/H12)</f>
        <v>50700</v>
      </c>
      <c r="I21" s="6">
        <f>(I20/360)*(I11/I12)</f>
        <v>25399.999999785483</v>
      </c>
      <c r="J21" s="6">
        <f t="shared" ref="J21" si="8">(J20/360)*(J11/J12)</f>
        <v>24000</v>
      </c>
    </row>
    <row r="22" spans="1:10" ht="5.25" customHeight="1"/>
    <row r="23" spans="1:10">
      <c r="A23" s="11" t="s">
        <v>13</v>
      </c>
      <c r="B23" s="3">
        <v>2300</v>
      </c>
      <c r="C23" s="3">
        <v>3300</v>
      </c>
      <c r="D23" s="3">
        <v>3640</v>
      </c>
      <c r="E23" s="3">
        <v>3650</v>
      </c>
      <c r="F23" s="3">
        <v>3900</v>
      </c>
      <c r="G23" s="3">
        <v>4000</v>
      </c>
      <c r="H23" s="3">
        <v>2400</v>
      </c>
      <c r="I23" s="3">
        <v>2400</v>
      </c>
      <c r="J23" s="3">
        <v>3900</v>
      </c>
    </row>
    <row r="24" spans="1:10">
      <c r="A24" s="1" t="s">
        <v>14</v>
      </c>
      <c r="B24" s="3">
        <v>97</v>
      </c>
      <c r="C24" s="3">
        <v>97</v>
      </c>
      <c r="D24" s="3">
        <v>200</v>
      </c>
      <c r="E24" s="3">
        <v>200</v>
      </c>
      <c r="F24" s="3">
        <v>200</v>
      </c>
      <c r="G24" s="3">
        <v>200</v>
      </c>
      <c r="H24" s="3">
        <v>100</v>
      </c>
      <c r="I24" s="3">
        <v>100</v>
      </c>
      <c r="J24" s="3">
        <v>200</v>
      </c>
    </row>
    <row r="25" spans="1:10">
      <c r="A25" s="1" t="s">
        <v>15</v>
      </c>
      <c r="B25" s="7">
        <f t="shared" ref="B25:I25" si="9">B23*(1000/B24)</f>
        <v>23711.340206185567</v>
      </c>
      <c r="C25" s="7">
        <f t="shared" si="9"/>
        <v>34020.618556701033</v>
      </c>
      <c r="D25" s="7">
        <f t="shared" si="9"/>
        <v>18200</v>
      </c>
      <c r="E25" s="7">
        <f t="shared" si="9"/>
        <v>18250</v>
      </c>
      <c r="F25" s="7">
        <f t="shared" si="9"/>
        <v>19500</v>
      </c>
      <c r="G25" s="7">
        <f t="shared" si="9"/>
        <v>20000</v>
      </c>
      <c r="H25" s="7">
        <f t="shared" si="9"/>
        <v>24000</v>
      </c>
      <c r="I25" s="7">
        <f t="shared" si="9"/>
        <v>24000</v>
      </c>
      <c r="J25" s="7">
        <f t="shared" ref="J25" si="10">J23*(1000/J24)</f>
        <v>19500</v>
      </c>
    </row>
    <row r="26" spans="1:10">
      <c r="A26" s="1" t="s">
        <v>16</v>
      </c>
      <c r="B26" s="6">
        <f t="shared" ref="B26:I26" si="11">(B25/60)*(B11/B12)</f>
        <v>15773686.794305352</v>
      </c>
      <c r="C26" s="6">
        <f t="shared" si="11"/>
        <v>20520753.663036011</v>
      </c>
      <c r="D26" s="6">
        <f>(D25/60)*(D11/D12)</f>
        <v>10005972.60168349</v>
      </c>
      <c r="E26" s="6">
        <f t="shared" si="11"/>
        <v>10019598.841416134</v>
      </c>
      <c r="F26" s="6">
        <f t="shared" si="11"/>
        <v>32955000</v>
      </c>
      <c r="G26" s="6">
        <f t="shared" si="11"/>
        <v>10995574.287564274</v>
      </c>
      <c r="H26" s="6">
        <f t="shared" si="11"/>
        <v>40560000</v>
      </c>
      <c r="I26" s="6">
        <f t="shared" si="11"/>
        <v>20319999.999828387</v>
      </c>
      <c r="J26" s="6">
        <f t="shared" ref="J26" si="12">(J25/60)*(J11/J12)</f>
        <v>15600000</v>
      </c>
    </row>
    <row r="27" spans="1:10" ht="3.75" customHeight="1"/>
    <row r="28" spans="1:10">
      <c r="A28" s="1" t="s">
        <v>17</v>
      </c>
      <c r="B28" s="3">
        <v>500</v>
      </c>
      <c r="C28" s="3">
        <v>500</v>
      </c>
      <c r="D28" s="3">
        <v>500</v>
      </c>
      <c r="E28" s="3">
        <v>500</v>
      </c>
      <c r="F28" s="3">
        <v>500</v>
      </c>
      <c r="G28" s="3">
        <v>1000</v>
      </c>
      <c r="H28" s="3">
        <v>500</v>
      </c>
      <c r="I28" s="3">
        <v>500</v>
      </c>
      <c r="J28" s="3">
        <v>500</v>
      </c>
    </row>
    <row r="29" spans="1:10">
      <c r="A29" s="1" t="s">
        <v>16</v>
      </c>
      <c r="B29" s="6">
        <f>(B28)*(B11/B12)</f>
        <v>19957142.857142858</v>
      </c>
      <c r="C29" s="6">
        <f t="shared" ref="C29:I29" si="13">(C28)*(C11/C12)</f>
        <v>18095573.68467721</v>
      </c>
      <c r="D29" s="6">
        <f t="shared" si="13"/>
        <v>16493361.431346413</v>
      </c>
      <c r="E29" s="6">
        <f t="shared" si="13"/>
        <v>16470573.437944327</v>
      </c>
      <c r="F29" s="6">
        <f t="shared" si="13"/>
        <v>50700000</v>
      </c>
      <c r="G29" s="6">
        <f t="shared" si="13"/>
        <v>32986722.862692825</v>
      </c>
      <c r="H29" s="6">
        <f t="shared" si="13"/>
        <v>50700000</v>
      </c>
      <c r="I29" s="6">
        <f t="shared" si="13"/>
        <v>25399999.999785483</v>
      </c>
      <c r="J29" s="6">
        <f t="shared" ref="J29" si="14">(J28)*(J11/J12)</f>
        <v>24000000</v>
      </c>
    </row>
    <row r="30" spans="1:10">
      <c r="A30" s="1" t="s">
        <v>118</v>
      </c>
      <c r="B30" s="6">
        <f>B28*2*PI()</f>
        <v>3141.5926535897929</v>
      </c>
      <c r="C30" s="6">
        <f t="shared" ref="C30:I30" si="15">C28*2*PI()</f>
        <v>3141.5926535897929</v>
      </c>
      <c r="D30" s="6">
        <f t="shared" si="15"/>
        <v>3141.5926535897929</v>
      </c>
      <c r="E30" s="6">
        <f t="shared" si="15"/>
        <v>3141.5926535897929</v>
      </c>
      <c r="F30" s="6">
        <f t="shared" si="15"/>
        <v>3141.5926535897929</v>
      </c>
      <c r="G30" s="6">
        <f t="shared" si="15"/>
        <v>6283.1853071795858</v>
      </c>
      <c r="H30" s="6">
        <f t="shared" si="15"/>
        <v>3141.5926535897929</v>
      </c>
      <c r="I30" s="6">
        <f t="shared" si="15"/>
        <v>3141.5926535897929</v>
      </c>
      <c r="J30" s="6">
        <f t="shared" ref="J30" si="16">J28*2*PI()</f>
        <v>3141.5926535897929</v>
      </c>
    </row>
    <row r="31" spans="1:10" ht="3.75" customHeight="1"/>
    <row r="32" spans="1:10" ht="15">
      <c r="A32" s="1" t="s">
        <v>18</v>
      </c>
      <c r="B32" s="3">
        <v>52.5</v>
      </c>
      <c r="C32" s="3">
        <v>5</v>
      </c>
      <c r="D32" s="3">
        <v>500</v>
      </c>
      <c r="E32" s="3">
        <v>500</v>
      </c>
      <c r="F32" s="3">
        <v>500</v>
      </c>
      <c r="G32" s="3">
        <v>2000</v>
      </c>
      <c r="H32" s="3">
        <v>500</v>
      </c>
      <c r="I32" s="3">
        <v>500</v>
      </c>
      <c r="J32" s="3">
        <v>500</v>
      </c>
    </row>
    <row r="33" spans="1:10">
      <c r="A33" s="1" t="s">
        <v>16</v>
      </c>
      <c r="B33" s="6">
        <f t="shared" ref="B33:I33" si="17">(B32)*(B6*1000/B7)</f>
        <v>26670000</v>
      </c>
      <c r="C33" s="6">
        <f t="shared" si="17"/>
        <v>1256637.0614359174</v>
      </c>
      <c r="D33" s="6">
        <f t="shared" si="17"/>
        <v>164933614.31346413</v>
      </c>
      <c r="E33" s="6">
        <f t="shared" si="17"/>
        <v>157079632.67948967</v>
      </c>
      <c r="F33" s="6">
        <f t="shared" si="17"/>
        <v>381000000</v>
      </c>
      <c r="G33" s="6">
        <f t="shared" si="17"/>
        <v>659734457.25385654</v>
      </c>
      <c r="H33" s="6">
        <f t="shared" si="17"/>
        <v>253500000</v>
      </c>
      <c r="I33" s="6">
        <f t="shared" si="17"/>
        <v>126999999.99892741</v>
      </c>
      <c r="J33" s="6">
        <f t="shared" ref="J33" si="18">(J32)*(J6*1000/J7)</f>
        <v>381000000</v>
      </c>
    </row>
    <row r="34" spans="1:10">
      <c r="A34" s="1" t="s">
        <v>118</v>
      </c>
      <c r="B34" s="6">
        <f>B33*(B12/B11)*2*PI()</f>
        <v>4198.3101825245412</v>
      </c>
      <c r="C34" s="6">
        <f t="shared" ref="C34:I34" si="19">C33*(C12/C11)*2*PI()</f>
        <v>218.16615649929122</v>
      </c>
      <c r="D34" s="6">
        <f t="shared" si="19"/>
        <v>31415.926535897932</v>
      </c>
      <c r="E34" s="6">
        <f t="shared" si="19"/>
        <v>29961.325992306105</v>
      </c>
      <c r="F34" s="6">
        <f t="shared" si="19"/>
        <v>23608.418166029802</v>
      </c>
      <c r="G34" s="6">
        <f t="shared" si="19"/>
        <v>125663.70614359173</v>
      </c>
      <c r="H34" s="6">
        <f t="shared" si="19"/>
        <v>15707.963267948966</v>
      </c>
      <c r="I34" s="6">
        <f t="shared" si="19"/>
        <v>15707.963267948966</v>
      </c>
      <c r="J34" s="6">
        <f t="shared" ref="J34" si="20">J33*(J12/J11)*2*PI()</f>
        <v>49872.783375737963</v>
      </c>
    </row>
    <row r="35" spans="1:10" ht="15">
      <c r="A35" s="1" t="s">
        <v>126</v>
      </c>
      <c r="B35" s="3">
        <v>500</v>
      </c>
      <c r="C35" s="3">
        <v>500</v>
      </c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>
        <v>500</v>
      </c>
      <c r="J35" s="3">
        <v>500</v>
      </c>
    </row>
    <row r="36" spans="1:10">
      <c r="A36" s="1" t="s">
        <v>125</v>
      </c>
      <c r="B36" s="6">
        <f t="shared" ref="B36:C36" si="21">(B23/60)*(1000/B35)*(B11/B12)</f>
        <v>3060095.2380952383</v>
      </c>
      <c r="C36" s="6">
        <f t="shared" si="21"/>
        <v>3981026.2106289859</v>
      </c>
      <c r="D36" s="6">
        <f>(D23/60)*(1000/D35)*(D11/D12)</f>
        <v>4002389.0406733961</v>
      </c>
      <c r="E36" s="6">
        <f t="shared" ref="E36:I36" si="22">(E23/60)*(1000/E35)*(E11/E12)</f>
        <v>4007839.5365664531</v>
      </c>
      <c r="F36" s="6">
        <f t="shared" si="22"/>
        <v>13182000</v>
      </c>
      <c r="G36" s="6">
        <f t="shared" si="22"/>
        <v>4398229.7150257109</v>
      </c>
      <c r="H36" s="6">
        <f t="shared" si="22"/>
        <v>8112000</v>
      </c>
      <c r="I36" s="6">
        <f t="shared" si="22"/>
        <v>4063999.999965677</v>
      </c>
      <c r="J36" s="6">
        <f t="shared" ref="J36" si="23">(J23/60)*(1000/J35)*(J11/J12)</f>
        <v>6240000</v>
      </c>
    </row>
    <row r="37" spans="1:10" ht="3.75" customHeight="1"/>
    <row r="38" spans="1:10" ht="15">
      <c r="A38" s="1" t="s">
        <v>19</v>
      </c>
      <c r="B38" s="3">
        <v>5</v>
      </c>
      <c r="C38" s="3">
        <v>5</v>
      </c>
      <c r="D38" s="3">
        <v>500</v>
      </c>
      <c r="E38" s="3">
        <v>500</v>
      </c>
      <c r="F38" s="3">
        <v>500</v>
      </c>
      <c r="G38" s="3">
        <v>500</v>
      </c>
      <c r="H38" s="3">
        <v>500</v>
      </c>
      <c r="I38" s="3">
        <v>500</v>
      </c>
      <c r="J38" s="3">
        <v>500</v>
      </c>
    </row>
    <row r="39" spans="1:10">
      <c r="A39" s="1" t="s">
        <v>16</v>
      </c>
      <c r="B39" s="6">
        <f t="shared" ref="B39:I39" si="24">(B38/(2*PI()))*(B6*1000/B7)</f>
        <v>404253.55545341421</v>
      </c>
      <c r="C39" s="6">
        <f t="shared" si="24"/>
        <v>200000.00000000003</v>
      </c>
      <c r="D39" s="6">
        <f t="shared" si="24"/>
        <v>26250000.000000004</v>
      </c>
      <c r="E39" s="6">
        <f t="shared" si="24"/>
        <v>25000000.000000004</v>
      </c>
      <c r="F39" s="6">
        <f t="shared" si="24"/>
        <v>60638033.318012126</v>
      </c>
      <c r="G39" s="6">
        <f t="shared" si="24"/>
        <v>26250000.000000004</v>
      </c>
      <c r="H39" s="6">
        <f t="shared" si="24"/>
        <v>40345778.073795468</v>
      </c>
      <c r="I39" s="6">
        <f t="shared" si="24"/>
        <v>20212677.772500001</v>
      </c>
      <c r="J39" s="6">
        <f t="shared" ref="J39" si="25">(J38/(2*PI()))*(J6*1000/J7)</f>
        <v>60638033.318012126</v>
      </c>
    </row>
    <row r="40" spans="1:10" ht="3.75" customHeight="1"/>
    <row r="41" spans="1:10" ht="15">
      <c r="A41" s="1" t="s">
        <v>20</v>
      </c>
      <c r="B41" s="3">
        <v>5</v>
      </c>
      <c r="C41" s="3">
        <v>2</v>
      </c>
      <c r="D41" s="3">
        <v>500</v>
      </c>
      <c r="E41" s="3">
        <v>500</v>
      </c>
      <c r="F41" s="3">
        <v>500</v>
      </c>
      <c r="G41" s="3">
        <v>500</v>
      </c>
      <c r="H41" s="3">
        <v>500</v>
      </c>
      <c r="I41" s="3">
        <v>500</v>
      </c>
      <c r="J41" s="3">
        <v>500</v>
      </c>
    </row>
    <row r="42" spans="1:10">
      <c r="A42" s="1" t="s">
        <v>16</v>
      </c>
      <c r="B42" s="6">
        <f>(B41/(2*PI()))*(B11/B12)</f>
        <v>31762.779357053976</v>
      </c>
      <c r="C42" s="6">
        <f>(C41/(2*PI()))*(C11/C12)</f>
        <v>11520</v>
      </c>
      <c r="D42" s="6">
        <f t="shared" ref="D42:I42" si="26">(D41)*(D14/D15)</f>
        <v>0.90945681766797348</v>
      </c>
      <c r="E42" s="6">
        <f t="shared" si="26"/>
        <v>0.91071510391031851</v>
      </c>
      <c r="F42" s="6">
        <f t="shared" si="26"/>
        <v>0.29585798816568049</v>
      </c>
      <c r="G42" s="6">
        <f t="shared" si="26"/>
        <v>0.90945681766797348</v>
      </c>
      <c r="H42" s="6">
        <f t="shared" si="26"/>
        <v>0.29585798816568049</v>
      </c>
      <c r="I42" s="6">
        <f t="shared" si="26"/>
        <v>0.59055118110734972</v>
      </c>
      <c r="J42" s="6">
        <f t="shared" ref="J42" si="27">(J41)*(J14/J15)</f>
        <v>0.625</v>
      </c>
    </row>
    <row r="44" spans="1:10">
      <c r="A44" s="1" t="s">
        <v>21</v>
      </c>
      <c r="B44" s="3">
        <v>2200000</v>
      </c>
      <c r="C44" s="3">
        <v>2700000</v>
      </c>
      <c r="D44" s="3">
        <v>66667</v>
      </c>
      <c r="E44" s="3">
        <v>66668</v>
      </c>
      <c r="F44" s="3">
        <v>66669</v>
      </c>
      <c r="G44" s="3">
        <v>66670</v>
      </c>
      <c r="H44" s="3">
        <v>66671</v>
      </c>
      <c r="I44" s="3">
        <v>66671</v>
      </c>
      <c r="J44" s="3">
        <v>66669</v>
      </c>
    </row>
    <row r="45" spans="1:10">
      <c r="A45" s="1" t="s">
        <v>22</v>
      </c>
      <c r="B45" s="1">
        <f>(B44*60)/(B11/B12)</f>
        <v>3307.0866141732281</v>
      </c>
      <c r="C45" s="1">
        <f>(C44*60)/(C11/C12)</f>
        <v>4476.2327744595568</v>
      </c>
      <c r="D45" s="1">
        <f>(D44*60)/(D11/D12)</f>
        <v>121.26151532694156</v>
      </c>
      <c r="E45" s="1">
        <f t="shared" ref="E45:I45" si="28">(E44*60)/(E11/E12)</f>
        <v>121.43110909498623</v>
      </c>
      <c r="F45" s="1">
        <f t="shared" si="28"/>
        <v>39.449112426035505</v>
      </c>
      <c r="G45" s="1">
        <f t="shared" si="28"/>
        <v>121.26697206784758</v>
      </c>
      <c r="H45" s="1">
        <f t="shared" si="28"/>
        <v>39.450295857988166</v>
      </c>
      <c r="I45" s="1">
        <f t="shared" si="28"/>
        <v>78.745275591216227</v>
      </c>
      <c r="J45" s="1">
        <f t="shared" ref="J45" si="29">(J44*60)/(J11/J12)</f>
        <v>83.336250000000007</v>
      </c>
    </row>
    <row r="46" spans="1:10">
      <c r="A46" s="1" t="s">
        <v>23</v>
      </c>
      <c r="B46" s="1">
        <f>(B44*60)/(1000000/B7)</f>
        <v>132</v>
      </c>
      <c r="C46" s="1">
        <f>(C44*60)/(1000000/C7)</f>
        <v>162</v>
      </c>
      <c r="D46" s="1">
        <f>(D44*60)/(1000000/D7)</f>
        <v>4.0000200000000001</v>
      </c>
      <c r="E46" s="1">
        <f t="shared" ref="E46:I46" si="30">(E44*60)/(1000000/E7)</f>
        <v>4.0000799999999996</v>
      </c>
      <c r="F46" s="1">
        <f t="shared" si="30"/>
        <v>4.00014</v>
      </c>
      <c r="G46" s="1">
        <f t="shared" si="30"/>
        <v>4.0002000000000004</v>
      </c>
      <c r="H46" s="1">
        <f t="shared" si="30"/>
        <v>4.0002599999999999</v>
      </c>
      <c r="I46" s="1">
        <f t="shared" si="30"/>
        <v>4.0002599999999999</v>
      </c>
      <c r="J46" s="1">
        <f t="shared" ref="J46" si="31">(J44*60)/(1000000/J7)</f>
        <v>4.00014</v>
      </c>
    </row>
    <row r="48" spans="1:10">
      <c r="A48" s="1" t="s">
        <v>23</v>
      </c>
      <c r="B48" s="3">
        <v>210</v>
      </c>
      <c r="C48" s="3">
        <v>60</v>
      </c>
      <c r="D48" s="3">
        <v>120</v>
      </c>
      <c r="E48" s="3">
        <v>120</v>
      </c>
      <c r="F48" s="3">
        <v>240</v>
      </c>
      <c r="G48" s="3">
        <v>200</v>
      </c>
      <c r="H48" s="3">
        <v>240</v>
      </c>
      <c r="I48" s="3">
        <v>230</v>
      </c>
      <c r="J48" s="3">
        <v>240</v>
      </c>
    </row>
    <row r="49" spans="1:11">
      <c r="A49" s="1" t="s">
        <v>22</v>
      </c>
      <c r="B49" s="1">
        <f>(B48*1000000)/(B11/B12)</f>
        <v>5261.2741589119541</v>
      </c>
      <c r="C49" s="1">
        <f t="shared" ref="C49:I49" si="32">(C48*1000000)/(C11/C12)</f>
        <v>1657.8639905405764</v>
      </c>
      <c r="D49" s="1">
        <f t="shared" si="32"/>
        <v>3637.8272706718935</v>
      </c>
      <c r="E49" s="1">
        <f t="shared" si="32"/>
        <v>3642.8604156412739</v>
      </c>
      <c r="F49" s="1">
        <f t="shared" si="32"/>
        <v>2366.8639053254437</v>
      </c>
      <c r="G49" s="1">
        <f t="shared" si="32"/>
        <v>6063.0454511198232</v>
      </c>
      <c r="H49" s="1">
        <f t="shared" si="32"/>
        <v>2366.8639053254437</v>
      </c>
      <c r="I49" s="1">
        <f t="shared" si="32"/>
        <v>4527.5590551563482</v>
      </c>
      <c r="J49" s="1">
        <f t="shared" ref="J49" si="33">(J48*1000000)/(J11/J12)</f>
        <v>5000</v>
      </c>
    </row>
    <row r="50" spans="1:11">
      <c r="A50" s="1" t="s">
        <v>21</v>
      </c>
      <c r="B50" s="1">
        <f>(B48/60)*(1000000/B7)</f>
        <v>3500000</v>
      </c>
      <c r="C50" s="1">
        <f t="shared" ref="C50:I50" si="34">(C48/60)*(1000000/C7)</f>
        <v>1000000</v>
      </c>
      <c r="D50" s="1">
        <f t="shared" si="34"/>
        <v>2000000</v>
      </c>
      <c r="E50" s="1">
        <f t="shared" si="34"/>
        <v>2000000</v>
      </c>
      <c r="F50" s="1">
        <f t="shared" si="34"/>
        <v>4000000</v>
      </c>
      <c r="G50" s="1">
        <f t="shared" si="34"/>
        <v>3333333.3333333335</v>
      </c>
      <c r="H50" s="1">
        <f t="shared" si="34"/>
        <v>4000000</v>
      </c>
      <c r="I50" s="1">
        <f t="shared" si="34"/>
        <v>3833333.3333333335</v>
      </c>
      <c r="J50" s="1">
        <f t="shared" ref="J50" si="35">(J48/60)*(1000000/J7)</f>
        <v>4000000</v>
      </c>
    </row>
    <row r="52" spans="1:11">
      <c r="A52" s="12" t="s">
        <v>24</v>
      </c>
      <c r="B52" s="13"/>
      <c r="C52" s="13"/>
      <c r="D52" s="13"/>
      <c r="E52" s="13"/>
      <c r="F52" s="13"/>
      <c r="G52" s="13"/>
      <c r="H52" s="13"/>
      <c r="I52" s="13"/>
    </row>
    <row r="53" spans="1:11" ht="25.5">
      <c r="B53" s="1" t="s">
        <v>39</v>
      </c>
      <c r="C53" s="1" t="s">
        <v>50</v>
      </c>
      <c r="D53" s="1" t="s">
        <v>108</v>
      </c>
      <c r="E53" s="5" t="s">
        <v>74</v>
      </c>
      <c r="F53" s="1" t="s">
        <v>44</v>
      </c>
      <c r="G53" s="1" t="s">
        <v>185</v>
      </c>
      <c r="H53" s="1" t="s">
        <v>53</v>
      </c>
      <c r="I53" s="1" t="s">
        <v>55</v>
      </c>
      <c r="J53" s="1" t="s">
        <v>56</v>
      </c>
      <c r="K53" s="5" t="s">
        <v>213</v>
      </c>
    </row>
    <row r="54" spans="1:11" ht="5.25" customHeight="1"/>
    <row r="55" spans="1:11">
      <c r="A55" s="12" t="s">
        <v>25</v>
      </c>
      <c r="B55" s="3">
        <v>0.01</v>
      </c>
      <c r="C55" s="3">
        <v>0.01</v>
      </c>
      <c r="D55" s="3">
        <v>0.01</v>
      </c>
      <c r="E55" s="3">
        <v>0.01</v>
      </c>
      <c r="F55" s="3">
        <v>0.01</v>
      </c>
      <c r="G55" s="3">
        <v>0.01</v>
      </c>
      <c r="H55" s="3">
        <v>1</v>
      </c>
      <c r="I55" s="3">
        <v>1</v>
      </c>
      <c r="J55" s="3">
        <v>1</v>
      </c>
      <c r="K55" s="3">
        <v>0.01</v>
      </c>
    </row>
    <row r="56" spans="1:11">
      <c r="A56" s="1" t="s">
        <v>6</v>
      </c>
      <c r="B56" s="3">
        <v>18</v>
      </c>
      <c r="C56" s="3">
        <v>22</v>
      </c>
      <c r="D56" s="3">
        <v>80</v>
      </c>
      <c r="E56" s="3">
        <v>48</v>
      </c>
      <c r="F56" s="3">
        <v>64</v>
      </c>
      <c r="G56" s="3">
        <v>40</v>
      </c>
      <c r="H56" s="3">
        <v>484</v>
      </c>
      <c r="I56" s="3">
        <v>1</v>
      </c>
      <c r="J56" s="3">
        <v>118</v>
      </c>
      <c r="K56" s="3">
        <v>484</v>
      </c>
    </row>
    <row r="57" spans="1:11">
      <c r="A57" s="1" t="s">
        <v>7</v>
      </c>
      <c r="B57" s="3">
        <v>125</v>
      </c>
      <c r="C57" s="3">
        <v>160</v>
      </c>
      <c r="D57" s="3">
        <v>400</v>
      </c>
      <c r="E57" s="3">
        <v>480</v>
      </c>
      <c r="F57" s="3">
        <v>160</v>
      </c>
      <c r="G57" s="3">
        <v>100</v>
      </c>
      <c r="H57" s="3">
        <v>3600</v>
      </c>
      <c r="I57" s="3">
        <v>5</v>
      </c>
      <c r="J57" s="3">
        <v>83</v>
      </c>
      <c r="K57" s="3">
        <v>3600</v>
      </c>
    </row>
    <row r="58" spans="1:11" ht="6" customHeight="1"/>
    <row r="59" spans="1:11" ht="25.5">
      <c r="A59" s="5" t="s">
        <v>8</v>
      </c>
      <c r="B59" s="6">
        <f t="shared" ref="B59:K59" si="36">B56*1000/B55</f>
        <v>1800000</v>
      </c>
      <c r="C59" s="6">
        <f t="shared" si="36"/>
        <v>2200000</v>
      </c>
      <c r="D59" s="6">
        <f t="shared" si="36"/>
        <v>8000000</v>
      </c>
      <c r="E59" s="6">
        <f t="shared" si="36"/>
        <v>4800000</v>
      </c>
      <c r="F59" s="6">
        <f t="shared" si="36"/>
        <v>6400000</v>
      </c>
      <c r="G59" s="6">
        <f t="shared" si="36"/>
        <v>4000000</v>
      </c>
      <c r="H59" s="6">
        <f t="shared" si="36"/>
        <v>484000</v>
      </c>
      <c r="I59" s="6">
        <f t="shared" si="36"/>
        <v>1000</v>
      </c>
      <c r="J59" s="6">
        <f t="shared" si="36"/>
        <v>118000</v>
      </c>
      <c r="K59" s="6">
        <f t="shared" si="36"/>
        <v>48400000</v>
      </c>
    </row>
    <row r="60" spans="1:11" ht="25.5">
      <c r="A60" s="5" t="s">
        <v>9</v>
      </c>
      <c r="B60" s="6">
        <f t="shared" ref="B60:K60" si="37">B57</f>
        <v>125</v>
      </c>
      <c r="C60" s="6">
        <f t="shared" si="37"/>
        <v>160</v>
      </c>
      <c r="D60" s="6">
        <f t="shared" si="37"/>
        <v>400</v>
      </c>
      <c r="E60" s="6">
        <f t="shared" si="37"/>
        <v>480</v>
      </c>
      <c r="F60" s="6">
        <f t="shared" si="37"/>
        <v>160</v>
      </c>
      <c r="G60" s="6">
        <f t="shared" si="37"/>
        <v>100</v>
      </c>
      <c r="H60" s="6">
        <f t="shared" si="37"/>
        <v>3600</v>
      </c>
      <c r="I60" s="6">
        <f t="shared" si="37"/>
        <v>5</v>
      </c>
      <c r="J60" s="6">
        <f t="shared" si="37"/>
        <v>83</v>
      </c>
      <c r="K60" s="6">
        <f t="shared" si="37"/>
        <v>3600</v>
      </c>
    </row>
    <row r="61" spans="1:11" ht="6" customHeight="1"/>
    <row r="62" spans="1:11">
      <c r="A62" s="1" t="s">
        <v>26</v>
      </c>
      <c r="B62" s="3">
        <v>5500</v>
      </c>
      <c r="C62" s="3">
        <v>5500</v>
      </c>
      <c r="D62" s="3">
        <v>4000</v>
      </c>
      <c r="E62" s="3">
        <v>3000</v>
      </c>
      <c r="F62" s="3">
        <v>5500</v>
      </c>
      <c r="G62" s="3">
        <v>5500</v>
      </c>
      <c r="H62" s="3">
        <v>5500</v>
      </c>
      <c r="I62" s="3">
        <v>5500</v>
      </c>
      <c r="J62" s="3">
        <v>1900</v>
      </c>
      <c r="K62" s="3">
        <v>5500</v>
      </c>
    </row>
    <row r="63" spans="1:11">
      <c r="A63" s="1" t="s">
        <v>11</v>
      </c>
      <c r="B63" s="6">
        <f>(B62/60)*(B59/B60)</f>
        <v>1320000</v>
      </c>
      <c r="C63" s="6">
        <f t="shared" ref="C63:E63" si="38">(C62/60)*(C59/C60)</f>
        <v>1260416.6666666667</v>
      </c>
      <c r="D63" s="6">
        <f t="shared" si="38"/>
        <v>1333333.3333333335</v>
      </c>
      <c r="E63" s="6">
        <f t="shared" si="38"/>
        <v>500000</v>
      </c>
      <c r="F63" s="6">
        <f>(F62/60)*(F59/F60)</f>
        <v>3666666.666666667</v>
      </c>
      <c r="G63" s="6">
        <f t="shared" ref="G63" si="39">(G62/60)*(G59/G60)</f>
        <v>3666666.666666667</v>
      </c>
      <c r="H63" s="6">
        <f>(H62/60)*(H59/H60)</f>
        <v>12324.074074074077</v>
      </c>
      <c r="I63" s="6">
        <f t="shared" ref="I63:J63" si="40">(I62/60)*(I59/I60)</f>
        <v>18333.333333333336</v>
      </c>
      <c r="J63" s="6">
        <f t="shared" si="40"/>
        <v>45020.080321285146</v>
      </c>
      <c r="K63" s="6">
        <f>(K62/60)*(K59/K60)</f>
        <v>1232407.4074074076</v>
      </c>
    </row>
    <row r="64" spans="1:11" ht="5.25" customHeight="1"/>
    <row r="65" spans="1:11">
      <c r="A65" s="1" t="s">
        <v>76</v>
      </c>
      <c r="B65" s="3">
        <v>2000</v>
      </c>
      <c r="C65" s="3">
        <v>18333</v>
      </c>
      <c r="D65" s="3">
        <v>45000</v>
      </c>
      <c r="E65" s="3">
        <v>10000</v>
      </c>
      <c r="F65" s="3">
        <v>2000</v>
      </c>
      <c r="G65" s="3">
        <v>18333</v>
      </c>
      <c r="H65" s="3">
        <v>2000</v>
      </c>
      <c r="I65" s="3">
        <v>18333</v>
      </c>
      <c r="J65" s="3">
        <v>45000</v>
      </c>
      <c r="K65" s="3">
        <v>2000</v>
      </c>
    </row>
    <row r="66" spans="1:11">
      <c r="A66" s="1" t="s">
        <v>77</v>
      </c>
      <c r="B66" s="6">
        <f>(B65*60)*(B60/B59)</f>
        <v>8.3333333333333339</v>
      </c>
      <c r="C66" s="6">
        <f t="shared" ref="C66:E66" si="41">(C65*60)*(C60/C59)</f>
        <v>79.99854545454545</v>
      </c>
      <c r="D66" s="6">
        <f t="shared" si="41"/>
        <v>135</v>
      </c>
      <c r="E66" s="6">
        <f t="shared" si="41"/>
        <v>60</v>
      </c>
      <c r="F66" s="6">
        <f>(F65*60)*(F60/F59)</f>
        <v>3</v>
      </c>
      <c r="G66" s="6">
        <f t="shared" ref="G66" si="42">(G65*60)*(G60/G59)</f>
        <v>27.499500000000001</v>
      </c>
      <c r="H66" s="6">
        <f>(H65*60)*(H60/H59)</f>
        <v>892.56198347107443</v>
      </c>
      <c r="I66" s="6">
        <f t="shared" ref="I66:J66" si="43">(I65*60)*(I60/I59)</f>
        <v>5499.9000000000005</v>
      </c>
      <c r="J66" s="6">
        <f t="shared" si="43"/>
        <v>1899.1525423728815</v>
      </c>
      <c r="K66" s="6">
        <f>(K65*60)*(K60/K59)</f>
        <v>8.9256198347107443</v>
      </c>
    </row>
    <row r="67" spans="1:11" ht="5.25" customHeight="1"/>
    <row r="68" spans="1:11">
      <c r="A68" s="1" t="s">
        <v>54</v>
      </c>
      <c r="B68" s="3">
        <v>180</v>
      </c>
      <c r="C68" s="3">
        <v>180</v>
      </c>
      <c r="D68" s="3">
        <v>360</v>
      </c>
      <c r="E68" s="3">
        <v>180</v>
      </c>
      <c r="F68" s="3">
        <v>180</v>
      </c>
      <c r="G68" s="3">
        <v>180</v>
      </c>
      <c r="H68" s="3">
        <v>180</v>
      </c>
      <c r="I68" s="3">
        <v>180</v>
      </c>
      <c r="J68" s="3">
        <v>360</v>
      </c>
      <c r="K68" s="3">
        <v>180</v>
      </c>
    </row>
    <row r="69" spans="1:11">
      <c r="A69" s="1" t="s">
        <v>51</v>
      </c>
      <c r="B69" s="6">
        <f>(B68/360)*(B59/B60)</f>
        <v>7200</v>
      </c>
      <c r="C69" s="6">
        <f>(C68/360)*(C59/C60)</f>
        <v>6875</v>
      </c>
      <c r="D69" s="6">
        <f t="shared" ref="D69:E69" si="44">(D68/360)*(D59/D60)</f>
        <v>20000</v>
      </c>
      <c r="E69" s="6">
        <f t="shared" si="44"/>
        <v>5000</v>
      </c>
      <c r="F69" s="6">
        <f>(F68/360)*(F59/F60)</f>
        <v>20000</v>
      </c>
      <c r="G69" s="6">
        <f>(G68/360)*(G59/G60)</f>
        <v>20000</v>
      </c>
      <c r="H69" s="6">
        <f>(H68/360)*(H59/H60)</f>
        <v>67.222222222222229</v>
      </c>
      <c r="I69" s="6">
        <f>(I68/360)*(I59/I60)</f>
        <v>100</v>
      </c>
      <c r="J69" s="6">
        <f t="shared" ref="J69" si="45">(J68/360)*(J59/J60)</f>
        <v>1421.6867469879519</v>
      </c>
      <c r="K69" s="6">
        <f>(K68/360)*(K59/K60)</f>
        <v>6722.2222222222226</v>
      </c>
    </row>
    <row r="70" spans="1:11" ht="5.25" customHeight="1"/>
    <row r="71" spans="1:11">
      <c r="A71" s="1" t="s">
        <v>15</v>
      </c>
      <c r="B71" s="3">
        <v>55000</v>
      </c>
      <c r="C71" s="3">
        <v>10000</v>
      </c>
      <c r="D71" s="3">
        <v>40000</v>
      </c>
      <c r="E71" s="3">
        <v>30000</v>
      </c>
      <c r="F71" s="3">
        <v>55000</v>
      </c>
      <c r="G71" s="3">
        <v>10000</v>
      </c>
      <c r="H71" s="3">
        <v>55000</v>
      </c>
      <c r="I71" s="3">
        <v>10000</v>
      </c>
      <c r="J71" s="3">
        <v>19000</v>
      </c>
      <c r="K71" s="3">
        <v>55000</v>
      </c>
    </row>
    <row r="72" spans="1:11">
      <c r="A72" s="1" t="s">
        <v>27</v>
      </c>
      <c r="B72" s="6">
        <f t="shared" ref="B72:K72" si="46">(B71/60)*(B59/B60)</f>
        <v>13200000</v>
      </c>
      <c r="C72" s="6">
        <f t="shared" si="46"/>
        <v>2291666.6666666665</v>
      </c>
      <c r="D72" s="6">
        <f t="shared" si="46"/>
        <v>13333333.333333332</v>
      </c>
      <c r="E72" s="6">
        <f t="shared" si="46"/>
        <v>5000000</v>
      </c>
      <c r="F72" s="6">
        <f t="shared" si="46"/>
        <v>36666666.666666664</v>
      </c>
      <c r="G72" s="6">
        <f t="shared" si="46"/>
        <v>6666666.666666666</v>
      </c>
      <c r="H72" s="6">
        <f t="shared" si="46"/>
        <v>123240.74074074074</v>
      </c>
      <c r="I72" s="6">
        <f t="shared" si="46"/>
        <v>33333.333333333328</v>
      </c>
      <c r="J72" s="6">
        <f t="shared" si="46"/>
        <v>450200.80321285146</v>
      </c>
      <c r="K72" s="6">
        <f t="shared" si="46"/>
        <v>12324074.074074075</v>
      </c>
    </row>
    <row r="73" spans="1:11" ht="3.75" customHeight="1"/>
    <row r="74" spans="1:11">
      <c r="A74" s="1" t="s">
        <v>17</v>
      </c>
      <c r="B74" s="3">
        <v>500</v>
      </c>
      <c r="C74" s="3">
        <v>500</v>
      </c>
      <c r="D74" s="3">
        <v>500</v>
      </c>
      <c r="E74" s="3">
        <v>500</v>
      </c>
      <c r="F74" s="3">
        <v>500</v>
      </c>
      <c r="G74" s="3">
        <v>500</v>
      </c>
      <c r="H74" s="3">
        <v>500</v>
      </c>
      <c r="I74" s="3">
        <v>500</v>
      </c>
      <c r="J74" s="3">
        <v>500</v>
      </c>
      <c r="K74" s="3">
        <v>500</v>
      </c>
    </row>
    <row r="75" spans="1:11">
      <c r="A75" s="1" t="s">
        <v>27</v>
      </c>
      <c r="B75" s="6">
        <f t="shared" ref="B75:K75" si="47">(B74)*(B59/B60)</f>
        <v>7200000</v>
      </c>
      <c r="C75" s="6">
        <f t="shared" si="47"/>
        <v>6875000</v>
      </c>
      <c r="D75" s="6">
        <f t="shared" si="47"/>
        <v>10000000</v>
      </c>
      <c r="E75" s="6">
        <f t="shared" si="47"/>
        <v>5000000</v>
      </c>
      <c r="F75" s="6">
        <f t="shared" si="47"/>
        <v>20000000</v>
      </c>
      <c r="G75" s="6">
        <f t="shared" si="47"/>
        <v>20000000</v>
      </c>
      <c r="H75" s="6">
        <f t="shared" si="47"/>
        <v>67222.222222222234</v>
      </c>
      <c r="I75" s="6">
        <f t="shared" si="47"/>
        <v>100000</v>
      </c>
      <c r="J75" s="6">
        <f t="shared" si="47"/>
        <v>710843.37349397596</v>
      </c>
      <c r="K75" s="6">
        <f t="shared" si="47"/>
        <v>6722222.2222222229</v>
      </c>
    </row>
    <row r="76" spans="1:11" ht="3.75" customHeight="1"/>
    <row r="77" spans="1:11">
      <c r="A77" s="11" t="s">
        <v>13</v>
      </c>
      <c r="B77" s="3">
        <v>5500</v>
      </c>
      <c r="C77" s="3">
        <v>4000</v>
      </c>
      <c r="D77" s="3">
        <v>3000</v>
      </c>
      <c r="E77" s="3">
        <v>3000</v>
      </c>
      <c r="F77" s="3">
        <v>5500</v>
      </c>
      <c r="G77" s="3">
        <v>4000</v>
      </c>
      <c r="H77" s="3">
        <v>5500</v>
      </c>
      <c r="I77" s="3">
        <v>4000</v>
      </c>
      <c r="J77" s="3">
        <v>3000</v>
      </c>
      <c r="K77" s="3">
        <v>5500</v>
      </c>
    </row>
    <row r="78" spans="1:11" ht="15">
      <c r="A78" s="1" t="s">
        <v>126</v>
      </c>
      <c r="B78" s="3">
        <v>500</v>
      </c>
      <c r="C78" s="3">
        <v>500</v>
      </c>
      <c r="D78" s="3">
        <v>500</v>
      </c>
      <c r="E78" s="3">
        <v>500</v>
      </c>
      <c r="F78" s="3">
        <v>500</v>
      </c>
      <c r="G78" s="3">
        <v>500</v>
      </c>
      <c r="H78" s="3">
        <v>500</v>
      </c>
      <c r="I78" s="3">
        <v>500</v>
      </c>
      <c r="J78" s="3">
        <v>500</v>
      </c>
      <c r="K78" s="3">
        <v>500</v>
      </c>
    </row>
    <row r="79" spans="1:11">
      <c r="A79" s="1" t="s">
        <v>125</v>
      </c>
      <c r="B79" s="6">
        <f>(B77/60)*(B59/B60)/(B78/1000)</f>
        <v>2640000</v>
      </c>
      <c r="C79" s="6">
        <f t="shared" ref="C79:E79" si="48">(C77/60)*(C59/C60)/(C78/1000)</f>
        <v>1833333.3333333335</v>
      </c>
      <c r="D79" s="6">
        <f t="shared" si="48"/>
        <v>2000000</v>
      </c>
      <c r="E79" s="6">
        <f t="shared" si="48"/>
        <v>1000000</v>
      </c>
      <c r="F79" s="6">
        <f>(F77/60)*(F59/F60)/(F78/1000)</f>
        <v>7333333.333333334</v>
      </c>
      <c r="G79" s="6">
        <f t="shared" ref="G79" si="49">(G77/60)*(G59/G60)/(G78/1000)</f>
        <v>5333333.333333334</v>
      </c>
      <c r="H79" s="6">
        <f>(H77/60)*(H59/H60)/(H78/1000)</f>
        <v>24648.148148148153</v>
      </c>
      <c r="I79" s="6">
        <f t="shared" ref="I79:J79" si="50">(I77/60)*(I59/I60)/(I78/1000)</f>
        <v>26666.666666666668</v>
      </c>
      <c r="J79" s="6">
        <f t="shared" si="50"/>
        <v>142168.67469879519</v>
      </c>
      <c r="K79" s="6">
        <f>(K77/60)*(K59/K60)/(K78/1000)</f>
        <v>2464814.8148148153</v>
      </c>
    </row>
    <row r="81" spans="1:11">
      <c r="A81" s="14" t="s">
        <v>127</v>
      </c>
      <c r="B81" s="3">
        <v>12324</v>
      </c>
      <c r="C81" s="3">
        <v>18333</v>
      </c>
      <c r="D81" s="3">
        <v>45020</v>
      </c>
      <c r="E81" s="3">
        <v>50000</v>
      </c>
      <c r="F81" s="3">
        <v>12324</v>
      </c>
      <c r="G81" s="3">
        <v>18333</v>
      </c>
      <c r="H81" s="3">
        <v>12324</v>
      </c>
      <c r="I81" s="3">
        <v>18333</v>
      </c>
      <c r="J81" s="3">
        <v>45020</v>
      </c>
      <c r="K81" s="3">
        <v>12324</v>
      </c>
    </row>
    <row r="82" spans="1:11">
      <c r="A82" s="14" t="s">
        <v>129</v>
      </c>
      <c r="B82" s="1">
        <f>(B81)/(B59/B60)</f>
        <v>0.85583333333333333</v>
      </c>
      <c r="C82" s="1">
        <f t="shared" ref="C82:E82" si="51">(C81)/(C59/C60)</f>
        <v>1.333309090909091</v>
      </c>
      <c r="D82" s="1">
        <f t="shared" si="51"/>
        <v>2.2509999999999999</v>
      </c>
      <c r="E82" s="1">
        <f t="shared" si="51"/>
        <v>5</v>
      </c>
      <c r="F82" s="1">
        <f>(F81)/(F59/F60)</f>
        <v>0.30809999999999998</v>
      </c>
      <c r="G82" s="1">
        <f t="shared" ref="G82" si="52">(G81)/(G59/G60)</f>
        <v>0.45832499999999998</v>
      </c>
      <c r="H82" s="1">
        <f>(H81)/(H59/H60)</f>
        <v>91.666115702479331</v>
      </c>
      <c r="I82" s="1">
        <f t="shared" ref="I82:J82" si="53">(I81)/(I59/I60)</f>
        <v>91.665000000000006</v>
      </c>
      <c r="J82" s="1">
        <f t="shared" si="53"/>
        <v>31.666610169491523</v>
      </c>
      <c r="K82" s="1">
        <f>(K81)/(K59/K60)</f>
        <v>0.91666115702479334</v>
      </c>
    </row>
    <row r="83" spans="1:11">
      <c r="A83" s="14" t="s">
        <v>128</v>
      </c>
      <c r="B83" s="1">
        <f>(B81*60)/(B59/B60)</f>
        <v>51.35</v>
      </c>
      <c r="C83" s="1">
        <f t="shared" ref="C83:E83" si="54">(C81*60)/(C59/C60)</f>
        <v>79.99854545454545</v>
      </c>
      <c r="D83" s="1">
        <f t="shared" si="54"/>
        <v>135.06</v>
      </c>
      <c r="E83" s="1">
        <f t="shared" si="54"/>
        <v>300</v>
      </c>
      <c r="F83" s="1">
        <f>(F81*60)/(F59/F60)</f>
        <v>18.486000000000001</v>
      </c>
      <c r="G83" s="1">
        <f t="shared" ref="G83" si="55">(G81*60)/(G59/G60)</f>
        <v>27.499500000000001</v>
      </c>
      <c r="H83" s="1">
        <f>(H81*60)/(H59/H60)</f>
        <v>5499.9669421487597</v>
      </c>
      <c r="I83" s="1">
        <f t="shared" ref="I83:J83" si="56">(I81*60)/(I59/I60)</f>
        <v>5499.9</v>
      </c>
      <c r="J83" s="1">
        <f t="shared" si="56"/>
        <v>1899.9966101694913</v>
      </c>
      <c r="K83" s="1">
        <f>(K81*60)/(K59/K60)</f>
        <v>54.999669421487603</v>
      </c>
    </row>
    <row r="85" spans="1:11">
      <c r="A85" s="14" t="s">
        <v>128</v>
      </c>
      <c r="B85" s="3">
        <v>5500</v>
      </c>
      <c r="C85" s="3">
        <v>4000</v>
      </c>
      <c r="D85" s="3">
        <v>3000</v>
      </c>
      <c r="E85" s="3">
        <v>3000</v>
      </c>
      <c r="F85" s="3">
        <v>5500</v>
      </c>
      <c r="G85" s="3">
        <v>4000</v>
      </c>
      <c r="H85" s="3">
        <v>5500</v>
      </c>
      <c r="I85" s="3">
        <v>4000</v>
      </c>
      <c r="J85" s="3">
        <v>3000</v>
      </c>
      <c r="K85" s="3">
        <v>5500</v>
      </c>
    </row>
    <row r="86" spans="1:11">
      <c r="A86" s="14" t="s">
        <v>129</v>
      </c>
      <c r="B86" s="1">
        <f>(B85/60)</f>
        <v>91.666666666666671</v>
      </c>
      <c r="C86" s="1">
        <f t="shared" ref="C86:E86" si="57">(C85/60)</f>
        <v>66.666666666666671</v>
      </c>
      <c r="D86" s="1">
        <f t="shared" si="57"/>
        <v>50</v>
      </c>
      <c r="E86" s="1">
        <f t="shared" si="57"/>
        <v>50</v>
      </c>
      <c r="F86" s="1">
        <f>(F85/60)</f>
        <v>91.666666666666671</v>
      </c>
      <c r="G86" s="1">
        <f t="shared" ref="G86" si="58">(G85/60)</f>
        <v>66.666666666666671</v>
      </c>
      <c r="H86" s="1">
        <f>(H85/60)</f>
        <v>91.666666666666671</v>
      </c>
      <c r="I86" s="1">
        <f t="shared" ref="I86:J86" si="59">(I85/60)</f>
        <v>66.666666666666671</v>
      </c>
      <c r="J86" s="1">
        <f t="shared" si="59"/>
        <v>50</v>
      </c>
      <c r="K86" s="1">
        <f>(K85/60)</f>
        <v>91.666666666666671</v>
      </c>
    </row>
    <row r="87" spans="1:11">
      <c r="A87" s="14" t="s">
        <v>127</v>
      </c>
      <c r="B87" s="1">
        <f>(B85/60)*(B59/B60)</f>
        <v>1320000</v>
      </c>
      <c r="C87" s="1">
        <f t="shared" ref="C87:E87" si="60">(C85/60)*(C59/C60)</f>
        <v>916666.66666666674</v>
      </c>
      <c r="D87" s="1">
        <f t="shared" si="60"/>
        <v>1000000</v>
      </c>
      <c r="E87" s="1">
        <f t="shared" si="60"/>
        <v>500000</v>
      </c>
      <c r="F87" s="1">
        <f>(F85/60)*(F59/F60)</f>
        <v>3666666.666666667</v>
      </c>
      <c r="G87" s="1">
        <f t="shared" ref="G87" si="61">(G85/60)*(G59/G60)</f>
        <v>2666666.666666667</v>
      </c>
      <c r="H87" s="1">
        <f>(H85/60)*(H59/H60)</f>
        <v>12324.074074074077</v>
      </c>
      <c r="I87" s="1">
        <f t="shared" ref="I87:J87" si="62">(I85/60)*(I59/I60)</f>
        <v>13333.333333333334</v>
      </c>
      <c r="J87" s="1">
        <f t="shared" si="62"/>
        <v>71084.337349397596</v>
      </c>
      <c r="K87" s="1">
        <f>(K85/60)*(K59/K60)</f>
        <v>1232407.4074074076</v>
      </c>
    </row>
    <row r="89" spans="1:11">
      <c r="A89" s="12" t="s">
        <v>28</v>
      </c>
      <c r="B89" s="3">
        <v>1</v>
      </c>
      <c r="C89" s="3">
        <v>10</v>
      </c>
      <c r="D89" s="3">
        <v>1</v>
      </c>
      <c r="E89" s="3">
        <v>1</v>
      </c>
      <c r="F89" s="3">
        <v>1</v>
      </c>
      <c r="G89" s="3">
        <v>10</v>
      </c>
      <c r="H89" s="3">
        <v>1</v>
      </c>
      <c r="I89" s="3">
        <v>10</v>
      </c>
      <c r="J89" s="3">
        <v>1</v>
      </c>
      <c r="K89" s="3">
        <v>1</v>
      </c>
    </row>
    <row r="90" spans="1:11">
      <c r="A90" s="1" t="s">
        <v>6</v>
      </c>
      <c r="B90" s="3">
        <v>1</v>
      </c>
      <c r="C90" s="3">
        <v>1</v>
      </c>
      <c r="D90" s="3">
        <v>10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10</v>
      </c>
      <c r="K90" s="3">
        <v>1</v>
      </c>
    </row>
    <row r="91" spans="1:11">
      <c r="A91" s="1" t="s">
        <v>7</v>
      </c>
      <c r="B91" s="3">
        <v>1</v>
      </c>
      <c r="C91" s="3">
        <v>1</v>
      </c>
      <c r="D91" s="3">
        <v>40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40</v>
      </c>
      <c r="K91" s="3">
        <v>1</v>
      </c>
    </row>
    <row r="92" spans="1:11" ht="6" customHeight="1"/>
    <row r="93" spans="1:11" ht="25.5">
      <c r="A93" s="5" t="s">
        <v>8</v>
      </c>
      <c r="B93" s="6">
        <f t="shared" ref="B93:K93" si="63">B90*360/B89</f>
        <v>360</v>
      </c>
      <c r="C93" s="6">
        <f t="shared" si="63"/>
        <v>36</v>
      </c>
      <c r="D93" s="6">
        <f t="shared" si="63"/>
        <v>3600</v>
      </c>
      <c r="E93" s="6">
        <f t="shared" si="63"/>
        <v>360</v>
      </c>
      <c r="F93" s="6">
        <f t="shared" si="63"/>
        <v>360</v>
      </c>
      <c r="G93" s="6">
        <f t="shared" si="63"/>
        <v>36</v>
      </c>
      <c r="H93" s="6">
        <f t="shared" si="63"/>
        <v>360</v>
      </c>
      <c r="I93" s="6">
        <f t="shared" si="63"/>
        <v>36</v>
      </c>
      <c r="J93" s="6">
        <f t="shared" si="63"/>
        <v>3600</v>
      </c>
      <c r="K93" s="6">
        <f t="shared" si="63"/>
        <v>360</v>
      </c>
    </row>
    <row r="94" spans="1:11" ht="25.5">
      <c r="A94" s="5" t="s">
        <v>9</v>
      </c>
      <c r="B94" s="6">
        <f t="shared" ref="B94:K94" si="64">B91</f>
        <v>1</v>
      </c>
      <c r="C94" s="6">
        <f t="shared" si="64"/>
        <v>1</v>
      </c>
      <c r="D94" s="6">
        <f t="shared" si="64"/>
        <v>40</v>
      </c>
      <c r="E94" s="6">
        <f t="shared" si="64"/>
        <v>1</v>
      </c>
      <c r="F94" s="6">
        <f t="shared" si="64"/>
        <v>1</v>
      </c>
      <c r="G94" s="6">
        <f t="shared" si="64"/>
        <v>1</v>
      </c>
      <c r="H94" s="6">
        <f t="shared" si="64"/>
        <v>1</v>
      </c>
      <c r="I94" s="6">
        <f t="shared" si="64"/>
        <v>1</v>
      </c>
      <c r="J94" s="6">
        <f t="shared" si="64"/>
        <v>40</v>
      </c>
      <c r="K94" s="6">
        <f t="shared" si="64"/>
        <v>1</v>
      </c>
    </row>
    <row r="96" spans="1:11">
      <c r="A96" s="1" t="s">
        <v>26</v>
      </c>
      <c r="B96" s="3">
        <v>3000</v>
      </c>
      <c r="C96" s="3">
        <v>3000</v>
      </c>
      <c r="D96" s="3">
        <v>3000</v>
      </c>
      <c r="E96" s="3">
        <v>3000</v>
      </c>
      <c r="F96" s="3">
        <v>3000</v>
      </c>
      <c r="G96" s="3">
        <v>3000</v>
      </c>
      <c r="H96" s="3">
        <v>3000</v>
      </c>
      <c r="I96" s="3">
        <v>3000</v>
      </c>
      <c r="J96" s="3">
        <v>3000</v>
      </c>
      <c r="K96" s="3">
        <v>3000</v>
      </c>
    </row>
    <row r="97" spans="1:11">
      <c r="A97" s="1" t="s">
        <v>11</v>
      </c>
      <c r="B97" s="6">
        <f t="shared" ref="B97:K97" si="65">(B96/60)*(B93/B94)</f>
        <v>18000</v>
      </c>
      <c r="C97" s="6">
        <f t="shared" si="65"/>
        <v>1800</v>
      </c>
      <c r="D97" s="6">
        <f t="shared" si="65"/>
        <v>4500</v>
      </c>
      <c r="E97" s="6">
        <f t="shared" si="65"/>
        <v>18000</v>
      </c>
      <c r="F97" s="6">
        <f t="shared" si="65"/>
        <v>18000</v>
      </c>
      <c r="G97" s="6">
        <f t="shared" si="65"/>
        <v>1800</v>
      </c>
      <c r="H97" s="6">
        <f t="shared" si="65"/>
        <v>18000</v>
      </c>
      <c r="I97" s="6">
        <f t="shared" si="65"/>
        <v>1800</v>
      </c>
      <c r="J97" s="6">
        <f t="shared" si="65"/>
        <v>4500</v>
      </c>
      <c r="K97" s="6">
        <f t="shared" si="65"/>
        <v>18000</v>
      </c>
    </row>
    <row r="98" spans="1:11" ht="5.25" customHeight="1"/>
    <row r="99" spans="1:11">
      <c r="A99" s="1" t="s">
        <v>15</v>
      </c>
      <c r="B99" s="3">
        <v>30000</v>
      </c>
      <c r="C99" s="3">
        <v>30000</v>
      </c>
      <c r="D99" s="3">
        <v>30000</v>
      </c>
      <c r="E99" s="3">
        <v>30000</v>
      </c>
      <c r="F99" s="3">
        <v>30000</v>
      </c>
      <c r="G99" s="3">
        <v>30000</v>
      </c>
      <c r="H99" s="3">
        <v>30000</v>
      </c>
      <c r="I99" s="3">
        <v>30000</v>
      </c>
      <c r="J99" s="3">
        <v>30000</v>
      </c>
      <c r="K99" s="3">
        <v>30000</v>
      </c>
    </row>
    <row r="100" spans="1:11">
      <c r="A100" s="1" t="s">
        <v>27</v>
      </c>
      <c r="B100" s="6">
        <f t="shared" ref="B100:K100" si="66">(B99/60)*(B93/B94)</f>
        <v>180000</v>
      </c>
      <c r="C100" s="6">
        <f t="shared" si="66"/>
        <v>18000</v>
      </c>
      <c r="D100" s="6">
        <f t="shared" si="66"/>
        <v>45000</v>
      </c>
      <c r="E100" s="6">
        <f t="shared" si="66"/>
        <v>180000</v>
      </c>
      <c r="F100" s="6">
        <f t="shared" si="66"/>
        <v>180000</v>
      </c>
      <c r="G100" s="6">
        <f t="shared" si="66"/>
        <v>18000</v>
      </c>
      <c r="H100" s="6">
        <f t="shared" si="66"/>
        <v>180000</v>
      </c>
      <c r="I100" s="6">
        <f t="shared" si="66"/>
        <v>18000</v>
      </c>
      <c r="J100" s="6">
        <f t="shared" si="66"/>
        <v>45000</v>
      </c>
      <c r="K100" s="6">
        <f t="shared" si="66"/>
        <v>180000</v>
      </c>
    </row>
    <row r="101" spans="1:11" ht="3.75" customHeight="1"/>
    <row r="102" spans="1:11">
      <c r="A102" s="1" t="s">
        <v>17</v>
      </c>
      <c r="B102" s="3">
        <v>500</v>
      </c>
      <c r="C102" s="3">
        <v>500</v>
      </c>
      <c r="D102" s="3">
        <v>500</v>
      </c>
      <c r="E102" s="3">
        <v>500</v>
      </c>
      <c r="F102" s="3">
        <v>500</v>
      </c>
      <c r="G102" s="3">
        <v>500</v>
      </c>
      <c r="H102" s="3">
        <v>500</v>
      </c>
      <c r="I102" s="3">
        <v>500</v>
      </c>
      <c r="J102" s="3">
        <v>500</v>
      </c>
      <c r="K102" s="3">
        <v>500</v>
      </c>
    </row>
    <row r="103" spans="1:11">
      <c r="A103" s="1" t="s">
        <v>27</v>
      </c>
      <c r="B103" s="6">
        <f t="shared" ref="B103:K103" si="67">(B102)*(B93/B94)</f>
        <v>180000</v>
      </c>
      <c r="C103" s="6">
        <f t="shared" si="67"/>
        <v>18000</v>
      </c>
      <c r="D103" s="6">
        <f t="shared" si="67"/>
        <v>45000</v>
      </c>
      <c r="E103" s="6">
        <f t="shared" si="67"/>
        <v>180000</v>
      </c>
      <c r="F103" s="6">
        <f t="shared" si="67"/>
        <v>180000</v>
      </c>
      <c r="G103" s="6">
        <f t="shared" si="67"/>
        <v>18000</v>
      </c>
      <c r="H103" s="6">
        <f t="shared" si="67"/>
        <v>180000</v>
      </c>
      <c r="I103" s="6">
        <f t="shared" si="67"/>
        <v>18000</v>
      </c>
      <c r="J103" s="6">
        <f t="shared" si="67"/>
        <v>45000</v>
      </c>
      <c r="K103" s="6">
        <f t="shared" si="67"/>
        <v>180000</v>
      </c>
    </row>
  </sheetData>
  <mergeCells count="1">
    <mergeCell ref="B2:H2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6"/>
  <sheetViews>
    <sheetView workbookViewId="0">
      <selection activeCell="J12" sqref="J12"/>
    </sheetView>
  </sheetViews>
  <sheetFormatPr defaultColWidth="9.140625" defaultRowHeight="15"/>
  <cols>
    <col min="1" max="1" width="19.42578125" style="9" customWidth="1"/>
    <col min="2" max="2" width="9" style="8" customWidth="1"/>
    <col min="3" max="4" width="5.85546875" style="8" customWidth="1"/>
    <col min="5" max="5" width="10.42578125" style="9" customWidth="1"/>
    <col min="6" max="6" width="8.42578125" style="8" customWidth="1"/>
    <col min="7" max="7" width="22.85546875" style="9" customWidth="1"/>
    <col min="8" max="8" width="24.28515625" style="9" customWidth="1"/>
    <col min="9" max="9" width="5" style="9" customWidth="1"/>
    <col min="10" max="10" width="4.85546875" style="9" customWidth="1"/>
    <col min="11" max="11" width="5.5703125" style="9" customWidth="1"/>
    <col min="12" max="12" width="5.28515625" style="9" customWidth="1"/>
    <col min="13" max="14" width="4.85546875" style="9" customWidth="1"/>
    <col min="15" max="15" width="8.140625" style="9" customWidth="1"/>
    <col min="16" max="16" width="9" style="9" customWidth="1"/>
    <col min="17" max="17" width="10" style="9" customWidth="1"/>
    <col min="18" max="18" width="16.28515625" style="9" customWidth="1"/>
    <col min="19" max="16384" width="9.140625" style="9"/>
  </cols>
  <sheetData>
    <row r="1" spans="1:18" ht="15.75" thickBot="1">
      <c r="A1" s="15" t="s">
        <v>32</v>
      </c>
      <c r="B1" s="40" t="s">
        <v>130</v>
      </c>
      <c r="C1" s="40" t="s">
        <v>48</v>
      </c>
      <c r="D1" s="40" t="s">
        <v>30</v>
      </c>
      <c r="E1" s="39" t="s">
        <v>31</v>
      </c>
      <c r="F1" s="40" t="s">
        <v>41</v>
      </c>
      <c r="G1" s="39" t="s">
        <v>29</v>
      </c>
      <c r="H1" s="39" t="s">
        <v>33</v>
      </c>
      <c r="I1" s="54" t="s">
        <v>34</v>
      </c>
      <c r="J1" s="54"/>
      <c r="K1" s="54" t="s">
        <v>35</v>
      </c>
      <c r="L1" s="54"/>
      <c r="M1" s="54" t="s">
        <v>36</v>
      </c>
      <c r="N1" s="54"/>
      <c r="O1" s="55" t="s">
        <v>65</v>
      </c>
      <c r="P1" s="55"/>
      <c r="Q1" s="56"/>
    </row>
    <row r="2" spans="1:18">
      <c r="A2" s="16"/>
      <c r="B2" s="17"/>
      <c r="C2" s="17"/>
      <c r="D2" s="17"/>
      <c r="E2" s="18"/>
      <c r="F2" s="17"/>
      <c r="G2" s="18"/>
      <c r="H2" s="18"/>
      <c r="I2" s="18" t="s">
        <v>46</v>
      </c>
      <c r="J2" s="18" t="s">
        <v>47</v>
      </c>
      <c r="K2" s="18" t="s">
        <v>46</v>
      </c>
      <c r="L2" s="18" t="s">
        <v>47</v>
      </c>
      <c r="M2" s="18" t="s">
        <v>46</v>
      </c>
      <c r="N2" s="18" t="s">
        <v>47</v>
      </c>
      <c r="O2" s="18" t="s">
        <v>63</v>
      </c>
      <c r="P2" s="18" t="s">
        <v>64</v>
      </c>
      <c r="Q2" s="19" t="s">
        <v>49</v>
      </c>
      <c r="R2" s="51" t="s">
        <v>287</v>
      </c>
    </row>
    <row r="3" spans="1:18">
      <c r="A3" s="20"/>
      <c r="B3" s="21"/>
      <c r="C3" s="21"/>
      <c r="D3" s="21"/>
      <c r="E3" s="22"/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1:18">
      <c r="A4" s="20"/>
      <c r="B4" s="21"/>
      <c r="C4" s="21"/>
      <c r="D4" s="21"/>
      <c r="E4" s="22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</row>
    <row r="5" spans="1:18">
      <c r="A5" s="20" t="s">
        <v>37</v>
      </c>
      <c r="B5" s="21" t="s">
        <v>131</v>
      </c>
      <c r="C5" s="21">
        <v>28</v>
      </c>
      <c r="D5" s="21">
        <v>0</v>
      </c>
      <c r="E5" s="22" t="s">
        <v>40</v>
      </c>
      <c r="F5" s="24" t="s">
        <v>42</v>
      </c>
      <c r="G5" s="22" t="s">
        <v>228</v>
      </c>
      <c r="H5" s="22" t="s">
        <v>289</v>
      </c>
      <c r="I5" s="22">
        <v>1</v>
      </c>
      <c r="J5" s="22">
        <v>5</v>
      </c>
      <c r="K5" s="22">
        <v>160</v>
      </c>
      <c r="L5" s="22">
        <v>240</v>
      </c>
      <c r="M5" s="22">
        <v>1</v>
      </c>
      <c r="N5" s="22">
        <v>1</v>
      </c>
      <c r="O5" s="22">
        <f>I5*K5*M5</f>
        <v>160</v>
      </c>
      <c r="P5" s="22">
        <f>J5*L5*N5</f>
        <v>1200</v>
      </c>
      <c r="Q5" s="25">
        <f t="shared" ref="Q5:Q10" si="0">P5/O5</f>
        <v>7.5</v>
      </c>
    </row>
    <row r="6" spans="1:18">
      <c r="A6" s="20" t="s">
        <v>277</v>
      </c>
      <c r="B6" s="21" t="s">
        <v>131</v>
      </c>
      <c r="C6" s="21">
        <v>34</v>
      </c>
      <c r="D6" s="21">
        <v>0</v>
      </c>
      <c r="E6" s="22" t="s">
        <v>278</v>
      </c>
      <c r="F6" s="24" t="s">
        <v>42</v>
      </c>
      <c r="G6" s="22" t="s">
        <v>228</v>
      </c>
      <c r="H6" s="22" t="s">
        <v>289</v>
      </c>
      <c r="I6" s="22">
        <v>1</v>
      </c>
      <c r="J6" s="22">
        <v>5</v>
      </c>
      <c r="K6" s="22">
        <v>160</v>
      </c>
      <c r="L6" s="22">
        <v>240</v>
      </c>
      <c r="M6" s="22">
        <v>1</v>
      </c>
      <c r="N6" s="22">
        <v>1</v>
      </c>
      <c r="O6" s="22">
        <f>I6*K6*M6</f>
        <v>160</v>
      </c>
      <c r="P6" s="22">
        <f>J6*L6*N6</f>
        <v>1200</v>
      </c>
      <c r="Q6" s="25">
        <f t="shared" ref="Q6" si="1">P6/O6</f>
        <v>7.5</v>
      </c>
    </row>
    <row r="7" spans="1:18">
      <c r="A7" s="20" t="s">
        <v>38</v>
      </c>
      <c r="B7" s="21" t="s">
        <v>131</v>
      </c>
      <c r="C7" s="21">
        <v>27</v>
      </c>
      <c r="D7" s="21">
        <v>2</v>
      </c>
      <c r="E7" s="22" t="s">
        <v>83</v>
      </c>
      <c r="F7" s="21"/>
      <c r="G7" s="22" t="s">
        <v>279</v>
      </c>
      <c r="H7" s="21" t="s">
        <v>288</v>
      </c>
      <c r="I7" s="22">
        <v>1</v>
      </c>
      <c r="J7" s="22">
        <v>5</v>
      </c>
      <c r="K7" s="22">
        <v>22</v>
      </c>
      <c r="L7" s="22">
        <v>40</v>
      </c>
      <c r="M7" s="22">
        <v>1</v>
      </c>
      <c r="N7" s="22">
        <v>1</v>
      </c>
      <c r="O7" s="22">
        <f t="shared" ref="O7:P16" si="2">I7*K7*M7</f>
        <v>22</v>
      </c>
      <c r="P7" s="22">
        <f t="shared" si="2"/>
        <v>200</v>
      </c>
      <c r="Q7" s="25">
        <f t="shared" si="0"/>
        <v>9.0909090909090917</v>
      </c>
    </row>
    <row r="8" spans="1:18" ht="15" customHeight="1">
      <c r="A8" s="20" t="s">
        <v>45</v>
      </c>
      <c r="B8" s="21" t="s">
        <v>131</v>
      </c>
      <c r="C8" s="21">
        <v>33</v>
      </c>
      <c r="D8" s="21">
        <v>4</v>
      </c>
      <c r="E8" s="22" t="s">
        <v>84</v>
      </c>
      <c r="F8" s="21"/>
      <c r="G8" s="22" t="s">
        <v>280</v>
      </c>
      <c r="H8" s="21" t="s">
        <v>288</v>
      </c>
      <c r="I8" s="22">
        <v>1</v>
      </c>
      <c r="J8" s="22">
        <v>10</v>
      </c>
      <c r="K8" s="22">
        <v>15</v>
      </c>
      <c r="L8" s="22">
        <v>37</v>
      </c>
      <c r="M8" s="22">
        <v>1</v>
      </c>
      <c r="N8" s="22">
        <v>1</v>
      </c>
      <c r="O8" s="22">
        <f t="shared" si="2"/>
        <v>15</v>
      </c>
      <c r="P8" s="22">
        <f t="shared" si="2"/>
        <v>370</v>
      </c>
      <c r="Q8" s="25">
        <f t="shared" si="0"/>
        <v>24.666666666666668</v>
      </c>
    </row>
    <row r="9" spans="1:18" ht="25.5">
      <c r="A9" s="26" t="s">
        <v>74</v>
      </c>
      <c r="B9" s="21" t="s">
        <v>131</v>
      </c>
      <c r="C9" s="21">
        <v>32</v>
      </c>
      <c r="D9" s="21">
        <v>5</v>
      </c>
      <c r="E9" s="22" t="s">
        <v>43</v>
      </c>
      <c r="F9" s="24" t="s">
        <v>42</v>
      </c>
      <c r="G9" s="22" t="s">
        <v>60</v>
      </c>
      <c r="H9" s="21" t="s">
        <v>61</v>
      </c>
      <c r="I9" s="22">
        <v>1</v>
      </c>
      <c r="J9" s="22">
        <v>5</v>
      </c>
      <c r="K9" s="22">
        <v>41</v>
      </c>
      <c r="L9" s="22">
        <v>82</v>
      </c>
      <c r="M9" s="22">
        <v>100</v>
      </c>
      <c r="N9" s="22">
        <v>100</v>
      </c>
      <c r="O9" s="22">
        <f t="shared" si="2"/>
        <v>4100</v>
      </c>
      <c r="P9" s="22">
        <f t="shared" si="2"/>
        <v>41000</v>
      </c>
      <c r="Q9" s="25">
        <f t="shared" si="0"/>
        <v>10</v>
      </c>
    </row>
    <row r="10" spans="1:18" ht="25.5">
      <c r="A10" s="27" t="s">
        <v>75</v>
      </c>
      <c r="B10" s="28" t="s">
        <v>131</v>
      </c>
      <c r="C10" s="28">
        <v>32</v>
      </c>
      <c r="D10" s="28">
        <v>5</v>
      </c>
      <c r="E10" s="29" t="s">
        <v>43</v>
      </c>
      <c r="F10" s="30" t="s">
        <v>42</v>
      </c>
      <c r="G10" s="29" t="s">
        <v>60</v>
      </c>
      <c r="H10" s="28" t="s">
        <v>61</v>
      </c>
      <c r="I10" s="29">
        <v>1</v>
      </c>
      <c r="J10" s="29">
        <v>5</v>
      </c>
      <c r="K10" s="29">
        <v>41</v>
      </c>
      <c r="L10" s="29">
        <v>82</v>
      </c>
      <c r="M10" s="29">
        <v>100</v>
      </c>
      <c r="N10" s="29">
        <v>100</v>
      </c>
      <c r="O10" s="29">
        <f t="shared" si="2"/>
        <v>4100</v>
      </c>
      <c r="P10" s="29">
        <f t="shared" si="2"/>
        <v>41000</v>
      </c>
      <c r="Q10" s="31">
        <f t="shared" si="0"/>
        <v>10</v>
      </c>
    </row>
    <row r="11" spans="1:18" ht="27.6" customHeight="1">
      <c r="A11" s="20" t="s">
        <v>270</v>
      </c>
      <c r="B11" s="32" t="s">
        <v>131</v>
      </c>
      <c r="C11" s="21">
        <v>36</v>
      </c>
      <c r="D11" s="21">
        <v>10</v>
      </c>
      <c r="E11" s="22" t="s">
        <v>263</v>
      </c>
      <c r="F11" s="21"/>
      <c r="G11" s="22" t="s">
        <v>281</v>
      </c>
      <c r="H11" s="22" t="s">
        <v>290</v>
      </c>
      <c r="I11" s="22">
        <v>1</v>
      </c>
      <c r="J11" s="22">
        <v>20</v>
      </c>
      <c r="K11" s="22">
        <v>30</v>
      </c>
      <c r="L11" s="22">
        <v>45</v>
      </c>
      <c r="M11" s="22">
        <v>1</v>
      </c>
      <c r="N11" s="22">
        <v>1</v>
      </c>
      <c r="O11" s="22">
        <f t="shared" si="2"/>
        <v>30</v>
      </c>
      <c r="P11" s="22">
        <f t="shared" si="2"/>
        <v>900</v>
      </c>
      <c r="Q11" s="25">
        <f>P11/O11</f>
        <v>30</v>
      </c>
    </row>
    <row r="12" spans="1:18" ht="27" customHeight="1" thickBot="1">
      <c r="A12" s="33" t="s">
        <v>185</v>
      </c>
      <c r="B12" s="37" t="s">
        <v>131</v>
      </c>
      <c r="C12" s="34">
        <v>35</v>
      </c>
      <c r="D12" s="34">
        <v>11</v>
      </c>
      <c r="E12" s="35" t="s">
        <v>264</v>
      </c>
      <c r="F12" s="34"/>
      <c r="G12" s="35" t="s">
        <v>282</v>
      </c>
      <c r="H12" s="35" t="s">
        <v>291</v>
      </c>
      <c r="I12" s="35">
        <v>1</v>
      </c>
      <c r="J12" s="35">
        <v>10</v>
      </c>
      <c r="K12" s="35">
        <v>24</v>
      </c>
      <c r="L12" s="35">
        <v>24</v>
      </c>
      <c r="M12" s="35">
        <v>1</v>
      </c>
      <c r="N12" s="35">
        <v>1</v>
      </c>
      <c r="O12" s="35">
        <f t="shared" ref="O12:O15" si="3">I12*K12*M12</f>
        <v>24</v>
      </c>
      <c r="P12" s="35">
        <f t="shared" ref="P12:P15" si="4">J12*L12*N12</f>
        <v>240</v>
      </c>
      <c r="Q12" s="36">
        <f t="shared" ref="Q12:Q15" si="5">P12/O12</f>
        <v>10</v>
      </c>
    </row>
    <row r="13" spans="1:18" ht="26.25" thickBot="1">
      <c r="A13" s="33" t="s">
        <v>271</v>
      </c>
      <c r="B13" s="37" t="s">
        <v>132</v>
      </c>
      <c r="C13" s="34">
        <v>30</v>
      </c>
      <c r="D13" s="34">
        <v>11</v>
      </c>
      <c r="E13" s="35" t="s">
        <v>267</v>
      </c>
      <c r="F13" s="34"/>
      <c r="G13" s="35" t="s">
        <v>283</v>
      </c>
      <c r="H13" s="35" t="s">
        <v>62</v>
      </c>
      <c r="I13" s="35">
        <v>1</v>
      </c>
      <c r="J13" s="35">
        <v>1</v>
      </c>
      <c r="K13" s="35">
        <v>36</v>
      </c>
      <c r="L13" s="35">
        <v>96</v>
      </c>
      <c r="M13" s="35">
        <v>22</v>
      </c>
      <c r="N13" s="35">
        <v>30</v>
      </c>
      <c r="O13" s="35">
        <f t="shared" si="3"/>
        <v>792</v>
      </c>
      <c r="P13" s="35">
        <f t="shared" si="4"/>
        <v>2880</v>
      </c>
      <c r="Q13" s="36">
        <f t="shared" si="5"/>
        <v>3.6363636363636362</v>
      </c>
    </row>
    <row r="14" spans="1:18" ht="26.25" thickBot="1">
      <c r="A14" s="33" t="s">
        <v>272</v>
      </c>
      <c r="B14" s="37" t="s">
        <v>132</v>
      </c>
      <c r="C14" s="34">
        <v>29</v>
      </c>
      <c r="D14" s="34">
        <v>11</v>
      </c>
      <c r="E14" s="35" t="s">
        <v>266</v>
      </c>
      <c r="F14" s="34"/>
      <c r="G14" s="35" t="s">
        <v>283</v>
      </c>
      <c r="H14" s="35" t="s">
        <v>62</v>
      </c>
      <c r="I14" s="35">
        <v>1</v>
      </c>
      <c r="J14" s="35">
        <v>1</v>
      </c>
      <c r="K14" s="35">
        <v>36</v>
      </c>
      <c r="L14" s="35">
        <v>96</v>
      </c>
      <c r="M14" s="35">
        <v>22</v>
      </c>
      <c r="N14" s="35">
        <v>30</v>
      </c>
      <c r="O14" s="35">
        <f t="shared" si="3"/>
        <v>792</v>
      </c>
      <c r="P14" s="35">
        <f t="shared" si="4"/>
        <v>2880</v>
      </c>
      <c r="Q14" s="36">
        <f t="shared" si="5"/>
        <v>3.6363636363636362</v>
      </c>
    </row>
    <row r="15" spans="1:18" ht="26.25" thickBot="1">
      <c r="A15" s="33" t="s">
        <v>273</v>
      </c>
      <c r="B15" s="37" t="s">
        <v>132</v>
      </c>
      <c r="C15" s="34">
        <v>31</v>
      </c>
      <c r="D15" s="34">
        <v>11</v>
      </c>
      <c r="E15" s="35" t="s">
        <v>265</v>
      </c>
      <c r="F15" s="50" t="s">
        <v>42</v>
      </c>
      <c r="G15" s="35" t="s">
        <v>284</v>
      </c>
      <c r="H15" s="35" t="s">
        <v>62</v>
      </c>
      <c r="I15" s="35">
        <v>1</v>
      </c>
      <c r="J15" s="35">
        <v>61</v>
      </c>
      <c r="K15" s="35">
        <v>68</v>
      </c>
      <c r="L15" s="35">
        <v>134</v>
      </c>
      <c r="M15" s="35">
        <v>1</v>
      </c>
      <c r="N15" s="35">
        <v>1</v>
      </c>
      <c r="O15" s="35">
        <f t="shared" si="3"/>
        <v>68</v>
      </c>
      <c r="P15" s="35">
        <f t="shared" si="4"/>
        <v>8174</v>
      </c>
      <c r="Q15" s="36">
        <f t="shared" si="5"/>
        <v>120.20588235294117</v>
      </c>
    </row>
    <row r="16" spans="1:18" ht="26.25" thickBot="1">
      <c r="A16" s="33" t="s">
        <v>274</v>
      </c>
      <c r="B16" s="37" t="s">
        <v>132</v>
      </c>
      <c r="C16" s="34">
        <v>26</v>
      </c>
      <c r="D16" s="34">
        <v>11</v>
      </c>
      <c r="E16" s="35" t="s">
        <v>262</v>
      </c>
      <c r="F16" s="34"/>
      <c r="G16" s="35" t="s">
        <v>285</v>
      </c>
      <c r="H16" s="35" t="s">
        <v>292</v>
      </c>
      <c r="I16" s="35">
        <v>1</v>
      </c>
      <c r="J16" s="35">
        <v>12</v>
      </c>
      <c r="K16" s="35">
        <v>60</v>
      </c>
      <c r="L16" s="35">
        <v>60</v>
      </c>
      <c r="M16" s="35">
        <v>22</v>
      </c>
      <c r="N16" s="35">
        <v>22</v>
      </c>
      <c r="O16" s="35">
        <f t="shared" si="2"/>
        <v>1320</v>
      </c>
      <c r="P16" s="35">
        <f t="shared" si="2"/>
        <v>15840</v>
      </c>
      <c r="Q16" s="36">
        <f t="shared" ref="Q16" si="6">P16/O16</f>
        <v>12</v>
      </c>
    </row>
    <row r="17" spans="1:17" ht="26.25" thickBot="1">
      <c r="A17" s="33" t="s">
        <v>275</v>
      </c>
      <c r="B17" s="37" t="s">
        <v>132</v>
      </c>
      <c r="C17" s="34">
        <v>25</v>
      </c>
      <c r="D17" s="34">
        <v>11</v>
      </c>
      <c r="E17" s="35" t="s">
        <v>268</v>
      </c>
      <c r="F17" s="34"/>
      <c r="G17" s="35" t="s">
        <v>286</v>
      </c>
      <c r="H17" s="35" t="s">
        <v>62</v>
      </c>
      <c r="I17" s="35">
        <v>1</v>
      </c>
      <c r="J17" s="35">
        <v>1</v>
      </c>
      <c r="K17" s="35">
        <v>30</v>
      </c>
      <c r="L17" s="35">
        <v>72</v>
      </c>
      <c r="M17" s="35">
        <v>30</v>
      </c>
      <c r="N17" s="35">
        <v>100</v>
      </c>
      <c r="O17" s="35">
        <f t="shared" ref="O17" si="7">I17*K17*M17</f>
        <v>900</v>
      </c>
      <c r="P17" s="35">
        <f t="shared" ref="P17" si="8">J17*L17*N17</f>
        <v>7200</v>
      </c>
      <c r="Q17" s="36">
        <f t="shared" ref="Q17" si="9">P17/O17</f>
        <v>8</v>
      </c>
    </row>
    <row r="18" spans="1:17" ht="26.25" thickBot="1">
      <c r="A18" s="33" t="s">
        <v>276</v>
      </c>
      <c r="B18" s="37" t="s">
        <v>132</v>
      </c>
      <c r="C18" s="34">
        <v>24</v>
      </c>
      <c r="D18" s="34">
        <v>11</v>
      </c>
      <c r="E18" s="35" t="s">
        <v>269</v>
      </c>
      <c r="F18" s="34"/>
      <c r="G18" s="35" t="s">
        <v>286</v>
      </c>
      <c r="H18" s="35" t="s">
        <v>62</v>
      </c>
      <c r="I18" s="35">
        <v>1</v>
      </c>
      <c r="J18" s="35">
        <v>1</v>
      </c>
      <c r="K18" s="35">
        <v>30</v>
      </c>
      <c r="L18" s="35">
        <v>72</v>
      </c>
      <c r="M18" s="35">
        <v>30</v>
      </c>
      <c r="N18" s="35">
        <v>100</v>
      </c>
      <c r="O18" s="35">
        <f t="shared" ref="O18" si="10">I18*K18*M18</f>
        <v>900</v>
      </c>
      <c r="P18" s="35">
        <f t="shared" ref="P18" si="11">J18*L18*N18</f>
        <v>7200</v>
      </c>
      <c r="Q18" s="36">
        <f t="shared" ref="Q18" si="12">P18/O18</f>
        <v>8</v>
      </c>
    </row>
    <row r="19" spans="1:17">
      <c r="A19" s="46"/>
      <c r="B19" s="47"/>
      <c r="C19" s="48"/>
      <c r="D19" s="48"/>
      <c r="E19" s="46"/>
      <c r="F19" s="4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9"/>
    </row>
    <row r="21" spans="1:17">
      <c r="A21" s="10" t="s">
        <v>119</v>
      </c>
    </row>
    <row r="22" spans="1:17">
      <c r="A22" s="10" t="s">
        <v>120</v>
      </c>
      <c r="E22" s="9">
        <v>4500</v>
      </c>
    </row>
    <row r="23" spans="1:17">
      <c r="A23" s="10" t="s">
        <v>121</v>
      </c>
      <c r="E23" s="9">
        <v>1.75</v>
      </c>
    </row>
    <row r="24" spans="1:17">
      <c r="A24" s="10" t="s">
        <v>122</v>
      </c>
      <c r="E24" s="9">
        <f>(E22)/E23</f>
        <v>2571.4285714285716</v>
      </c>
    </row>
    <row r="25" spans="1:17">
      <c r="A25" s="10" t="s">
        <v>124</v>
      </c>
      <c r="E25" s="9">
        <f>(E22/60)/E23</f>
        <v>42.857142857142854</v>
      </c>
    </row>
    <row r="26" spans="1:17">
      <c r="A26" s="10" t="s">
        <v>123</v>
      </c>
      <c r="E26" s="9">
        <f>2*PI()*(E22/60)/E23</f>
        <v>269.27937030769652</v>
      </c>
    </row>
  </sheetData>
  <mergeCells count="4">
    <mergeCell ref="I1:J1"/>
    <mergeCell ref="K1:L1"/>
    <mergeCell ref="M1:N1"/>
    <mergeCell ref="O1:Q1"/>
  </mergeCells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03"/>
  <sheetViews>
    <sheetView tabSelected="1" zoomScaleNormal="100" workbookViewId="0">
      <pane ySplit="2" topLeftCell="A3" activePane="bottomLeft" state="frozen"/>
      <selection pane="bottomLeft" activeCell="F10" sqref="F10"/>
    </sheetView>
  </sheetViews>
  <sheetFormatPr defaultColWidth="11.42578125" defaultRowHeight="12.75" outlineLevelCol="1"/>
  <cols>
    <col min="1" max="1" width="54" style="1" customWidth="1"/>
    <col min="2" max="2" width="16.7109375" style="1" customWidth="1"/>
    <col min="3" max="3" width="15.7109375" style="1" customWidth="1" outlineLevel="1"/>
    <col min="4" max="4" width="15.140625" style="1" customWidth="1" outlineLevel="1" collapsed="1"/>
    <col min="5" max="5" width="14.140625" style="1" customWidth="1" outlineLevel="1"/>
    <col min="6" max="6" width="15.28515625" style="1" customWidth="1"/>
    <col min="7" max="7" width="19" style="1" customWidth="1"/>
    <col min="8" max="8" width="19.28515625" style="1" customWidth="1"/>
    <col min="9" max="10" width="15.42578125" style="1" customWidth="1"/>
    <col min="11" max="256" width="11.42578125" style="1"/>
    <col min="257" max="257" width="54" style="1" customWidth="1"/>
    <col min="258" max="258" width="16.7109375" style="1" customWidth="1"/>
    <col min="259" max="512" width="11.42578125" style="1"/>
    <col min="513" max="513" width="54" style="1" customWidth="1"/>
    <col min="514" max="514" width="16.7109375" style="1" customWidth="1"/>
    <col min="515" max="768" width="11.42578125" style="1"/>
    <col min="769" max="769" width="54" style="1" customWidth="1"/>
    <col min="770" max="770" width="16.7109375" style="1" customWidth="1"/>
    <col min="771" max="1024" width="11.42578125" style="1"/>
    <col min="1025" max="1025" width="54" style="1" customWidth="1"/>
    <col min="1026" max="1026" width="16.7109375" style="1" customWidth="1"/>
    <col min="1027" max="1280" width="11.42578125" style="1"/>
    <col min="1281" max="1281" width="54" style="1" customWidth="1"/>
    <col min="1282" max="1282" width="16.7109375" style="1" customWidth="1"/>
    <col min="1283" max="1536" width="11.42578125" style="1"/>
    <col min="1537" max="1537" width="54" style="1" customWidth="1"/>
    <col min="1538" max="1538" width="16.7109375" style="1" customWidth="1"/>
    <col min="1539" max="1792" width="11.42578125" style="1"/>
    <col min="1793" max="1793" width="54" style="1" customWidth="1"/>
    <col min="1794" max="1794" width="16.7109375" style="1" customWidth="1"/>
    <col min="1795" max="2048" width="11.42578125" style="1"/>
    <col min="2049" max="2049" width="54" style="1" customWidth="1"/>
    <col min="2050" max="2050" width="16.7109375" style="1" customWidth="1"/>
    <col min="2051" max="2304" width="11.42578125" style="1"/>
    <col min="2305" max="2305" width="54" style="1" customWidth="1"/>
    <col min="2306" max="2306" width="16.7109375" style="1" customWidth="1"/>
    <col min="2307" max="2560" width="11.42578125" style="1"/>
    <col min="2561" max="2561" width="54" style="1" customWidth="1"/>
    <col min="2562" max="2562" width="16.7109375" style="1" customWidth="1"/>
    <col min="2563" max="2816" width="11.42578125" style="1"/>
    <col min="2817" max="2817" width="54" style="1" customWidth="1"/>
    <col min="2818" max="2818" width="16.7109375" style="1" customWidth="1"/>
    <col min="2819" max="3072" width="11.42578125" style="1"/>
    <col min="3073" max="3073" width="54" style="1" customWidth="1"/>
    <col min="3074" max="3074" width="16.7109375" style="1" customWidth="1"/>
    <col min="3075" max="3328" width="11.42578125" style="1"/>
    <col min="3329" max="3329" width="54" style="1" customWidth="1"/>
    <col min="3330" max="3330" width="16.7109375" style="1" customWidth="1"/>
    <col min="3331" max="3584" width="11.42578125" style="1"/>
    <col min="3585" max="3585" width="54" style="1" customWidth="1"/>
    <col min="3586" max="3586" width="16.7109375" style="1" customWidth="1"/>
    <col min="3587" max="3840" width="11.42578125" style="1"/>
    <col min="3841" max="3841" width="54" style="1" customWidth="1"/>
    <col min="3842" max="3842" width="16.7109375" style="1" customWidth="1"/>
    <col min="3843" max="4096" width="11.42578125" style="1"/>
    <col min="4097" max="4097" width="54" style="1" customWidth="1"/>
    <col min="4098" max="4098" width="16.7109375" style="1" customWidth="1"/>
    <col min="4099" max="4352" width="11.42578125" style="1"/>
    <col min="4353" max="4353" width="54" style="1" customWidth="1"/>
    <col min="4354" max="4354" width="16.7109375" style="1" customWidth="1"/>
    <col min="4355" max="4608" width="11.42578125" style="1"/>
    <col min="4609" max="4609" width="54" style="1" customWidth="1"/>
    <col min="4610" max="4610" width="16.7109375" style="1" customWidth="1"/>
    <col min="4611" max="4864" width="11.42578125" style="1"/>
    <col min="4865" max="4865" width="54" style="1" customWidth="1"/>
    <col min="4866" max="4866" width="16.7109375" style="1" customWidth="1"/>
    <col min="4867" max="5120" width="11.42578125" style="1"/>
    <col min="5121" max="5121" width="54" style="1" customWidth="1"/>
    <col min="5122" max="5122" width="16.7109375" style="1" customWidth="1"/>
    <col min="5123" max="5376" width="11.42578125" style="1"/>
    <col min="5377" max="5377" width="54" style="1" customWidth="1"/>
    <col min="5378" max="5378" width="16.7109375" style="1" customWidth="1"/>
    <col min="5379" max="5632" width="11.42578125" style="1"/>
    <col min="5633" max="5633" width="54" style="1" customWidth="1"/>
    <col min="5634" max="5634" width="16.7109375" style="1" customWidth="1"/>
    <col min="5635" max="5888" width="11.42578125" style="1"/>
    <col min="5889" max="5889" width="54" style="1" customWidth="1"/>
    <col min="5890" max="5890" width="16.7109375" style="1" customWidth="1"/>
    <col min="5891" max="6144" width="11.42578125" style="1"/>
    <col min="6145" max="6145" width="54" style="1" customWidth="1"/>
    <col min="6146" max="6146" width="16.7109375" style="1" customWidth="1"/>
    <col min="6147" max="6400" width="11.42578125" style="1"/>
    <col min="6401" max="6401" width="54" style="1" customWidth="1"/>
    <col min="6402" max="6402" width="16.7109375" style="1" customWidth="1"/>
    <col min="6403" max="6656" width="11.42578125" style="1"/>
    <col min="6657" max="6657" width="54" style="1" customWidth="1"/>
    <col min="6658" max="6658" width="16.7109375" style="1" customWidth="1"/>
    <col min="6659" max="6912" width="11.42578125" style="1"/>
    <col min="6913" max="6913" width="54" style="1" customWidth="1"/>
    <col min="6914" max="6914" width="16.7109375" style="1" customWidth="1"/>
    <col min="6915" max="7168" width="11.42578125" style="1"/>
    <col min="7169" max="7169" width="54" style="1" customWidth="1"/>
    <col min="7170" max="7170" width="16.7109375" style="1" customWidth="1"/>
    <col min="7171" max="7424" width="11.42578125" style="1"/>
    <col min="7425" max="7425" width="54" style="1" customWidth="1"/>
    <col min="7426" max="7426" width="16.7109375" style="1" customWidth="1"/>
    <col min="7427" max="7680" width="11.42578125" style="1"/>
    <col min="7681" max="7681" width="54" style="1" customWidth="1"/>
    <col min="7682" max="7682" width="16.7109375" style="1" customWidth="1"/>
    <col min="7683" max="7936" width="11.42578125" style="1"/>
    <col min="7937" max="7937" width="54" style="1" customWidth="1"/>
    <col min="7938" max="7938" width="16.7109375" style="1" customWidth="1"/>
    <col min="7939" max="8192" width="11.42578125" style="1"/>
    <col min="8193" max="8193" width="54" style="1" customWidth="1"/>
    <col min="8194" max="8194" width="16.7109375" style="1" customWidth="1"/>
    <col min="8195" max="8448" width="11.42578125" style="1"/>
    <col min="8449" max="8449" width="54" style="1" customWidth="1"/>
    <col min="8450" max="8450" width="16.7109375" style="1" customWidth="1"/>
    <col min="8451" max="8704" width="11.42578125" style="1"/>
    <col min="8705" max="8705" width="54" style="1" customWidth="1"/>
    <col min="8706" max="8706" width="16.7109375" style="1" customWidth="1"/>
    <col min="8707" max="8960" width="11.42578125" style="1"/>
    <col min="8961" max="8961" width="54" style="1" customWidth="1"/>
    <col min="8962" max="8962" width="16.7109375" style="1" customWidth="1"/>
    <col min="8963" max="9216" width="11.42578125" style="1"/>
    <col min="9217" max="9217" width="54" style="1" customWidth="1"/>
    <col min="9218" max="9218" width="16.7109375" style="1" customWidth="1"/>
    <col min="9219" max="9472" width="11.42578125" style="1"/>
    <col min="9473" max="9473" width="54" style="1" customWidth="1"/>
    <col min="9474" max="9474" width="16.7109375" style="1" customWidth="1"/>
    <col min="9475" max="9728" width="11.42578125" style="1"/>
    <col min="9729" max="9729" width="54" style="1" customWidth="1"/>
    <col min="9730" max="9730" width="16.7109375" style="1" customWidth="1"/>
    <col min="9731" max="9984" width="11.42578125" style="1"/>
    <col min="9985" max="9985" width="54" style="1" customWidth="1"/>
    <col min="9986" max="9986" width="16.7109375" style="1" customWidth="1"/>
    <col min="9987" max="10240" width="11.42578125" style="1"/>
    <col min="10241" max="10241" width="54" style="1" customWidth="1"/>
    <col min="10242" max="10242" width="16.7109375" style="1" customWidth="1"/>
    <col min="10243" max="10496" width="11.42578125" style="1"/>
    <col min="10497" max="10497" width="54" style="1" customWidth="1"/>
    <col min="10498" max="10498" width="16.7109375" style="1" customWidth="1"/>
    <col min="10499" max="10752" width="11.42578125" style="1"/>
    <col min="10753" max="10753" width="54" style="1" customWidth="1"/>
    <col min="10754" max="10754" width="16.7109375" style="1" customWidth="1"/>
    <col min="10755" max="11008" width="11.42578125" style="1"/>
    <col min="11009" max="11009" width="54" style="1" customWidth="1"/>
    <col min="11010" max="11010" width="16.7109375" style="1" customWidth="1"/>
    <col min="11011" max="11264" width="11.42578125" style="1"/>
    <col min="11265" max="11265" width="54" style="1" customWidth="1"/>
    <col min="11266" max="11266" width="16.7109375" style="1" customWidth="1"/>
    <col min="11267" max="11520" width="11.42578125" style="1"/>
    <col min="11521" max="11521" width="54" style="1" customWidth="1"/>
    <col min="11522" max="11522" width="16.7109375" style="1" customWidth="1"/>
    <col min="11523" max="11776" width="11.42578125" style="1"/>
    <col min="11777" max="11777" width="54" style="1" customWidth="1"/>
    <col min="11778" max="11778" width="16.7109375" style="1" customWidth="1"/>
    <col min="11779" max="12032" width="11.42578125" style="1"/>
    <col min="12033" max="12033" width="54" style="1" customWidth="1"/>
    <col min="12034" max="12034" width="16.7109375" style="1" customWidth="1"/>
    <col min="12035" max="12288" width="11.42578125" style="1"/>
    <col min="12289" max="12289" width="54" style="1" customWidth="1"/>
    <col min="12290" max="12290" width="16.7109375" style="1" customWidth="1"/>
    <col min="12291" max="12544" width="11.42578125" style="1"/>
    <col min="12545" max="12545" width="54" style="1" customWidth="1"/>
    <col min="12546" max="12546" width="16.7109375" style="1" customWidth="1"/>
    <col min="12547" max="12800" width="11.42578125" style="1"/>
    <col min="12801" max="12801" width="54" style="1" customWidth="1"/>
    <col min="12802" max="12802" width="16.7109375" style="1" customWidth="1"/>
    <col min="12803" max="13056" width="11.42578125" style="1"/>
    <col min="13057" max="13057" width="54" style="1" customWidth="1"/>
    <col min="13058" max="13058" width="16.7109375" style="1" customWidth="1"/>
    <col min="13059" max="13312" width="11.42578125" style="1"/>
    <col min="13313" max="13313" width="54" style="1" customWidth="1"/>
    <col min="13314" max="13314" width="16.7109375" style="1" customWidth="1"/>
    <col min="13315" max="13568" width="11.42578125" style="1"/>
    <col min="13569" max="13569" width="54" style="1" customWidth="1"/>
    <col min="13570" max="13570" width="16.7109375" style="1" customWidth="1"/>
    <col min="13571" max="13824" width="11.42578125" style="1"/>
    <col min="13825" max="13825" width="54" style="1" customWidth="1"/>
    <col min="13826" max="13826" width="16.7109375" style="1" customWidth="1"/>
    <col min="13827" max="14080" width="11.42578125" style="1"/>
    <col min="14081" max="14081" width="54" style="1" customWidth="1"/>
    <col min="14082" max="14082" width="16.7109375" style="1" customWidth="1"/>
    <col min="14083" max="14336" width="11.42578125" style="1"/>
    <col min="14337" max="14337" width="54" style="1" customWidth="1"/>
    <col min="14338" max="14338" width="16.7109375" style="1" customWidth="1"/>
    <col min="14339" max="14592" width="11.42578125" style="1"/>
    <col min="14593" max="14593" width="54" style="1" customWidth="1"/>
    <col min="14594" max="14594" width="16.7109375" style="1" customWidth="1"/>
    <col min="14595" max="14848" width="11.42578125" style="1"/>
    <col min="14849" max="14849" width="54" style="1" customWidth="1"/>
    <col min="14850" max="14850" width="16.7109375" style="1" customWidth="1"/>
    <col min="14851" max="15104" width="11.42578125" style="1"/>
    <col min="15105" max="15105" width="54" style="1" customWidth="1"/>
    <col min="15106" max="15106" width="16.7109375" style="1" customWidth="1"/>
    <col min="15107" max="15360" width="11.42578125" style="1"/>
    <col min="15361" max="15361" width="54" style="1" customWidth="1"/>
    <col min="15362" max="15362" width="16.7109375" style="1" customWidth="1"/>
    <col min="15363" max="15616" width="11.42578125" style="1"/>
    <col min="15617" max="15617" width="54" style="1" customWidth="1"/>
    <col min="15618" max="15618" width="16.7109375" style="1" customWidth="1"/>
    <col min="15619" max="15872" width="11.42578125" style="1"/>
    <col min="15873" max="15873" width="54" style="1" customWidth="1"/>
    <col min="15874" max="15874" width="16.7109375" style="1" customWidth="1"/>
    <col min="15875" max="16128" width="11.42578125" style="1"/>
    <col min="16129" max="16129" width="54" style="1" customWidth="1"/>
    <col min="16130" max="16130" width="16.7109375" style="1" customWidth="1"/>
    <col min="16131" max="16384" width="11.42578125" style="1"/>
  </cols>
  <sheetData>
    <row r="2" spans="1:10" ht="133.15" customHeight="1">
      <c r="B2" s="52" t="s">
        <v>2</v>
      </c>
      <c r="C2" s="53"/>
      <c r="D2" s="53"/>
      <c r="E2" s="53"/>
      <c r="F2" s="53"/>
      <c r="G2" s="53"/>
      <c r="H2" s="53"/>
    </row>
    <row r="3" spans="1:10" ht="5.25" customHeight="1"/>
    <row r="4" spans="1:10" ht="25.5">
      <c r="A4" s="2" t="s">
        <v>3</v>
      </c>
      <c r="B4" s="1" t="s">
        <v>257</v>
      </c>
      <c r="C4" s="1" t="s">
        <v>258</v>
      </c>
      <c r="D4" s="5" t="s">
        <v>74</v>
      </c>
      <c r="E4" s="5" t="s">
        <v>75</v>
      </c>
      <c r="F4" s="1" t="s">
        <v>57</v>
      </c>
      <c r="G4" s="1" t="s">
        <v>58</v>
      </c>
      <c r="H4" s="1" t="s">
        <v>293</v>
      </c>
      <c r="I4" s="5" t="s">
        <v>294</v>
      </c>
      <c r="J4" s="5" t="s">
        <v>296</v>
      </c>
    </row>
    <row r="5" spans="1:10" ht="5.25" customHeight="1"/>
    <row r="6" spans="1:10" ht="15">
      <c r="A6" s="1" t="s">
        <v>4</v>
      </c>
      <c r="B6" s="3">
        <f>162.9*PI()</f>
        <v>511.76544326977734</v>
      </c>
      <c r="C6" s="3">
        <f>121.333*PI()</f>
        <v>381.17886143801036</v>
      </c>
      <c r="D6" s="3">
        <f>105*PI()</f>
        <v>329.86722862692829</v>
      </c>
      <c r="E6" s="3">
        <f>100*PI()</f>
        <v>314.15926535897933</v>
      </c>
      <c r="F6" s="3">
        <f>37.2*PI()</f>
        <v>116.86724671354031</v>
      </c>
      <c r="G6" s="3">
        <f>103.4*PI()</f>
        <v>324.84068038118465</v>
      </c>
      <c r="H6" s="3">
        <f>242.55*PI()</f>
        <v>761.9932981282044</v>
      </c>
      <c r="I6" s="3">
        <f>242.55*PI()</f>
        <v>761.9932981282044</v>
      </c>
      <c r="J6" s="3">
        <f>242.55*PI()</f>
        <v>761.9932981282044</v>
      </c>
    </row>
    <row r="7" spans="1:10">
      <c r="A7" s="1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>
      <c r="A8" s="1" t="s">
        <v>66</v>
      </c>
      <c r="B8" s="3">
        <v>22</v>
      </c>
      <c r="C8" s="3">
        <v>15</v>
      </c>
      <c r="D8" s="3">
        <v>41</v>
      </c>
      <c r="E8" s="3">
        <v>41</v>
      </c>
      <c r="F8" s="3">
        <v>30</v>
      </c>
      <c r="G8" s="3">
        <v>24</v>
      </c>
      <c r="H8" s="3">
        <v>160</v>
      </c>
      <c r="I8" s="3">
        <v>160</v>
      </c>
      <c r="J8" s="3">
        <v>68</v>
      </c>
    </row>
    <row r="9" spans="1:10">
      <c r="A9" s="1" t="s">
        <v>67</v>
      </c>
      <c r="B9" s="3">
        <v>200</v>
      </c>
      <c r="C9" s="3">
        <v>370</v>
      </c>
      <c r="D9" s="3">
        <v>410</v>
      </c>
      <c r="E9" s="3">
        <v>410</v>
      </c>
      <c r="F9" s="3">
        <v>900</v>
      </c>
      <c r="G9" s="3">
        <v>240</v>
      </c>
      <c r="H9" s="3">
        <v>1200</v>
      </c>
      <c r="I9" s="3">
        <v>1200</v>
      </c>
      <c r="J9" s="3">
        <v>8174</v>
      </c>
    </row>
    <row r="10" spans="1:10" ht="4.5" customHeight="1"/>
    <row r="11" spans="1:10" ht="25.5">
      <c r="A11" s="5" t="s">
        <v>8</v>
      </c>
      <c r="B11" s="6">
        <f>B8*B6*(1000/B7)</f>
        <v>11258839.751935102</v>
      </c>
      <c r="C11" s="6">
        <f t="shared" ref="C11:I11" si="0">C8*C6*(1000/C7)</f>
        <v>5717682.9215701558</v>
      </c>
      <c r="D11" s="6">
        <f t="shared" si="0"/>
        <v>13524556.373704059</v>
      </c>
      <c r="E11" s="6">
        <f t="shared" si="0"/>
        <v>12880529.879718153</v>
      </c>
      <c r="F11" s="6">
        <f t="shared" si="0"/>
        <v>3506017.4014062095</v>
      </c>
      <c r="G11" s="6">
        <f t="shared" si="0"/>
        <v>7796176.3291484313</v>
      </c>
      <c r="H11" s="6">
        <f t="shared" si="0"/>
        <v>121918927.70051271</v>
      </c>
      <c r="I11" s="6">
        <f t="shared" si="0"/>
        <v>121918927.70051271</v>
      </c>
      <c r="J11" s="6">
        <f t="shared" ref="J11" si="1">J8*J6*(1000/J7)</f>
        <v>51815544.272717893</v>
      </c>
    </row>
    <row r="12" spans="1:10" ht="25.5">
      <c r="A12" s="5" t="s">
        <v>9</v>
      </c>
      <c r="B12" s="6">
        <f t="shared" ref="B12:I12" si="2">B9</f>
        <v>200</v>
      </c>
      <c r="C12" s="6">
        <f t="shared" si="2"/>
        <v>370</v>
      </c>
      <c r="D12" s="6">
        <f t="shared" si="2"/>
        <v>410</v>
      </c>
      <c r="E12" s="6">
        <f>E9</f>
        <v>410</v>
      </c>
      <c r="F12" s="6">
        <f t="shared" si="2"/>
        <v>900</v>
      </c>
      <c r="G12" s="6">
        <f t="shared" si="2"/>
        <v>240</v>
      </c>
      <c r="H12" s="6">
        <f t="shared" si="2"/>
        <v>1200</v>
      </c>
      <c r="I12" s="6">
        <f t="shared" si="2"/>
        <v>1200</v>
      </c>
      <c r="J12" s="6">
        <f t="shared" ref="J12" si="3">J9</f>
        <v>8174</v>
      </c>
    </row>
    <row r="13" spans="1:10" ht="6.75" customHeight="1"/>
    <row r="14" spans="1:10" ht="15">
      <c r="A14" s="1" t="s">
        <v>10</v>
      </c>
      <c r="B14" s="3">
        <v>4500</v>
      </c>
      <c r="C14" s="3">
        <v>4500</v>
      </c>
      <c r="D14" s="3">
        <v>6000</v>
      </c>
      <c r="E14" s="3">
        <v>6000</v>
      </c>
      <c r="F14" s="3">
        <v>6000</v>
      </c>
      <c r="G14" s="3">
        <v>6000</v>
      </c>
      <c r="H14" s="3">
        <v>4500</v>
      </c>
      <c r="I14" s="3">
        <v>4500</v>
      </c>
      <c r="J14" s="3">
        <v>4500</v>
      </c>
    </row>
    <row r="15" spans="1:10">
      <c r="A15" s="1" t="s">
        <v>11</v>
      </c>
      <c r="B15" s="6">
        <f>(B14/60)*(B11/B12)</f>
        <v>4222064.9069756633</v>
      </c>
      <c r="C15" s="6">
        <f t="shared" ref="C15:I15" si="4">(C14/60)*(C11/C12)</f>
        <v>1158989.781399356</v>
      </c>
      <c r="D15" s="6">
        <f t="shared" si="4"/>
        <v>3298672.2862692825</v>
      </c>
      <c r="E15" s="6">
        <f t="shared" si="4"/>
        <v>3141592.653589793</v>
      </c>
      <c r="F15" s="6">
        <f t="shared" si="4"/>
        <v>389557.4890451344</v>
      </c>
      <c r="G15" s="6">
        <f t="shared" si="4"/>
        <v>3248406.8038118463</v>
      </c>
      <c r="H15" s="6">
        <f t="shared" si="4"/>
        <v>7619932.9812820442</v>
      </c>
      <c r="I15" s="6">
        <f t="shared" si="4"/>
        <v>7619932.9812820442</v>
      </c>
      <c r="J15" s="6">
        <f t="shared" ref="J15" si="5">(J14/60)*(J11/J12)</f>
        <v>475430.12239464669</v>
      </c>
    </row>
    <row r="16" spans="1:10" ht="6.75" customHeight="1"/>
    <row r="17" spans="1:10">
      <c r="A17" s="1" t="s">
        <v>12</v>
      </c>
      <c r="B17" s="3">
        <v>50</v>
      </c>
      <c r="C17" s="3">
        <v>50</v>
      </c>
      <c r="D17" s="3">
        <v>50</v>
      </c>
      <c r="E17" s="3">
        <v>50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</row>
    <row r="18" spans="1:10">
      <c r="A18" s="1" t="s">
        <v>11</v>
      </c>
      <c r="B18" s="6">
        <f>(B17/60)*(1000000/B7)</f>
        <v>833333.33333333337</v>
      </c>
      <c r="C18" s="6">
        <f t="shared" ref="C18:I18" si="6">(C17/60)*(1000000/C7)</f>
        <v>833333.33333333337</v>
      </c>
      <c r="D18" s="6">
        <f t="shared" si="6"/>
        <v>833333.33333333337</v>
      </c>
      <c r="E18" s="6">
        <f t="shared" si="6"/>
        <v>833333.33333333337</v>
      </c>
      <c r="F18" s="6">
        <f t="shared" si="6"/>
        <v>833333.33333333337</v>
      </c>
      <c r="G18" s="6">
        <f t="shared" si="6"/>
        <v>833333.33333333337</v>
      </c>
      <c r="H18" s="6">
        <f t="shared" si="6"/>
        <v>833333.33333333337</v>
      </c>
      <c r="I18" s="6">
        <f t="shared" si="6"/>
        <v>833333.33333333337</v>
      </c>
      <c r="J18" s="6">
        <f t="shared" ref="J18" si="7">(J17/60)*(1000000/J7)</f>
        <v>833333.33333333337</v>
      </c>
    </row>
    <row r="19" spans="1:10" ht="5.25" customHeight="1"/>
    <row r="20" spans="1:10" ht="15">
      <c r="A20" s="1" t="s">
        <v>52</v>
      </c>
      <c r="B20" s="3">
        <v>90</v>
      </c>
      <c r="C20" s="3">
        <v>90</v>
      </c>
      <c r="D20" s="3">
        <v>180</v>
      </c>
      <c r="E20" s="3">
        <v>180</v>
      </c>
      <c r="F20" s="3">
        <v>180</v>
      </c>
      <c r="G20" s="3">
        <v>180</v>
      </c>
      <c r="H20" s="3">
        <v>180</v>
      </c>
      <c r="I20" s="3">
        <v>180</v>
      </c>
      <c r="J20" s="3">
        <v>180</v>
      </c>
    </row>
    <row r="21" spans="1:10">
      <c r="A21" s="1" t="s">
        <v>51</v>
      </c>
      <c r="B21" s="6">
        <f t="shared" ref="B21:G21" si="8">(B20/360)*(B11/B12)</f>
        <v>14073.549689918878</v>
      </c>
      <c r="C21" s="6">
        <f t="shared" si="8"/>
        <v>3863.2992713311864</v>
      </c>
      <c r="D21" s="6">
        <f t="shared" si="8"/>
        <v>16493.361431346413</v>
      </c>
      <c r="E21" s="6">
        <f t="shared" si="8"/>
        <v>15707.963267948966</v>
      </c>
      <c r="F21" s="6">
        <f t="shared" si="8"/>
        <v>1947.7874452256719</v>
      </c>
      <c r="G21" s="6">
        <f t="shared" si="8"/>
        <v>16242.034019059232</v>
      </c>
      <c r="H21" s="6">
        <f>(H20/360)*(H11/H12)</f>
        <v>50799.55320854696</v>
      </c>
      <c r="I21" s="6">
        <f>(I20/360)*(I11/I12)</f>
        <v>50799.55320854696</v>
      </c>
      <c r="J21" s="6">
        <f>(J20/360)*(J11/J12)</f>
        <v>3169.5341492976445</v>
      </c>
    </row>
    <row r="22" spans="1:10" ht="5.25" customHeight="1"/>
    <row r="23" spans="1:10" s="43" customFormat="1">
      <c r="A23" s="41" t="s">
        <v>13</v>
      </c>
      <c r="B23" s="42">
        <v>900</v>
      </c>
      <c r="C23" s="42">
        <v>650</v>
      </c>
      <c r="D23" s="42">
        <v>1500</v>
      </c>
      <c r="E23" s="42">
        <v>1500</v>
      </c>
      <c r="F23" s="42">
        <v>3200</v>
      </c>
      <c r="G23" s="42">
        <v>1500</v>
      </c>
      <c r="H23" s="42">
        <v>500</v>
      </c>
      <c r="I23" s="42">
        <v>500</v>
      </c>
      <c r="J23" s="42">
        <v>500</v>
      </c>
    </row>
    <row r="24" spans="1:10" s="43" customFormat="1">
      <c r="A24" s="43" t="s">
        <v>14</v>
      </c>
      <c r="B24" s="42">
        <v>500</v>
      </c>
      <c r="C24" s="42">
        <v>500</v>
      </c>
      <c r="D24" s="42">
        <v>500</v>
      </c>
      <c r="E24" s="42">
        <v>500</v>
      </c>
      <c r="F24" s="42">
        <v>500</v>
      </c>
      <c r="G24" s="42">
        <v>500</v>
      </c>
      <c r="H24" s="42">
        <v>500</v>
      </c>
      <c r="I24" s="42">
        <v>500</v>
      </c>
      <c r="J24" s="42">
        <v>500</v>
      </c>
    </row>
    <row r="25" spans="1:10">
      <c r="A25" s="1" t="s">
        <v>15</v>
      </c>
      <c r="B25" s="7">
        <f t="shared" ref="B25:I25" si="9">B23*(1000/B24)</f>
        <v>1800</v>
      </c>
      <c r="C25" s="7">
        <f t="shared" si="9"/>
        <v>1300</v>
      </c>
      <c r="D25" s="7">
        <f t="shared" si="9"/>
        <v>3000</v>
      </c>
      <c r="E25" s="7">
        <f t="shared" si="9"/>
        <v>3000</v>
      </c>
      <c r="F25" s="7">
        <f t="shared" si="9"/>
        <v>6400</v>
      </c>
      <c r="G25" s="7">
        <f t="shared" si="9"/>
        <v>3000</v>
      </c>
      <c r="H25" s="7">
        <f t="shared" si="9"/>
        <v>1000</v>
      </c>
      <c r="I25" s="7">
        <f t="shared" si="9"/>
        <v>1000</v>
      </c>
      <c r="J25" s="7">
        <f t="shared" ref="J25" si="10">J23*(1000/J24)</f>
        <v>1000</v>
      </c>
    </row>
    <row r="26" spans="1:10">
      <c r="A26" s="1" t="s">
        <v>16</v>
      </c>
      <c r="B26" s="6">
        <f t="shared" ref="B26:I26" si="11">(B25/60)*(B11/B12)</f>
        <v>1688825.9627902654</v>
      </c>
      <c r="C26" s="6">
        <f t="shared" si="11"/>
        <v>334819.27018203615</v>
      </c>
      <c r="D26" s="6">
        <f>(D25/60)*(D11/D12)</f>
        <v>1649336.1431346412</v>
      </c>
      <c r="E26" s="6">
        <f t="shared" si="11"/>
        <v>1570796.3267948965</v>
      </c>
      <c r="F26" s="6">
        <f t="shared" si="11"/>
        <v>415527.98831481003</v>
      </c>
      <c r="G26" s="6">
        <f t="shared" si="11"/>
        <v>1624203.4019059232</v>
      </c>
      <c r="H26" s="6">
        <f t="shared" si="11"/>
        <v>1693318.4402848987</v>
      </c>
      <c r="I26" s="6">
        <f t="shared" si="11"/>
        <v>1693318.4402848987</v>
      </c>
      <c r="J26" s="6">
        <f t="shared" ref="J26" si="12">(J25/60)*(J11/J12)</f>
        <v>105651.13830992149</v>
      </c>
    </row>
    <row r="27" spans="1:10" ht="3.75" customHeight="1"/>
    <row r="28" spans="1:10" s="43" customFormat="1">
      <c r="A28" s="43" t="s">
        <v>17</v>
      </c>
      <c r="B28" s="42">
        <v>500</v>
      </c>
      <c r="C28" s="42">
        <v>500</v>
      </c>
      <c r="D28" s="42">
        <v>500</v>
      </c>
      <c r="E28" s="42">
        <v>500</v>
      </c>
      <c r="F28" s="42">
        <v>500</v>
      </c>
      <c r="G28" s="42">
        <v>500</v>
      </c>
      <c r="H28" s="42">
        <v>500</v>
      </c>
      <c r="I28" s="42">
        <v>500</v>
      </c>
      <c r="J28" s="42">
        <v>500</v>
      </c>
    </row>
    <row r="29" spans="1:10">
      <c r="A29" s="1" t="s">
        <v>16</v>
      </c>
      <c r="B29" s="6">
        <f>(B28)*(B11/B12)</f>
        <v>28147099.379837755</v>
      </c>
      <c r="C29" s="6">
        <f t="shared" ref="C29:I29" si="13">(C28)*(C11/C12)</f>
        <v>7726598.5426623728</v>
      </c>
      <c r="D29" s="6">
        <f t="shared" si="13"/>
        <v>16493361.431346413</v>
      </c>
      <c r="E29" s="6">
        <f t="shared" si="13"/>
        <v>15707963.267948966</v>
      </c>
      <c r="F29" s="6">
        <f t="shared" si="13"/>
        <v>1947787.4452256719</v>
      </c>
      <c r="G29" s="6">
        <f t="shared" si="13"/>
        <v>16242034.019059232</v>
      </c>
      <c r="H29" s="6">
        <f t="shared" si="13"/>
        <v>50799553.208546959</v>
      </c>
      <c r="I29" s="6">
        <f t="shared" si="13"/>
        <v>50799553.208546959</v>
      </c>
      <c r="J29" s="6">
        <f t="shared" ref="J29" si="14">(J28)*(J11/J12)</f>
        <v>3169534.1492976444</v>
      </c>
    </row>
    <row r="30" spans="1:10">
      <c r="A30" s="1" t="s">
        <v>118</v>
      </c>
      <c r="B30" s="6">
        <f>B28*2*PI()</f>
        <v>3141.5926535897929</v>
      </c>
      <c r="C30" s="6">
        <f t="shared" ref="C30:I30" si="15">C28*2*PI()</f>
        <v>3141.5926535897929</v>
      </c>
      <c r="D30" s="6">
        <f t="shared" si="15"/>
        <v>3141.5926535897929</v>
      </c>
      <c r="E30" s="6">
        <f t="shared" si="15"/>
        <v>3141.5926535897929</v>
      </c>
      <c r="F30" s="6">
        <f t="shared" si="15"/>
        <v>3141.5926535897929</v>
      </c>
      <c r="G30" s="6">
        <f t="shared" si="15"/>
        <v>3141.5926535897929</v>
      </c>
      <c r="H30" s="6">
        <f t="shared" si="15"/>
        <v>3141.5926535897929</v>
      </c>
      <c r="I30" s="6">
        <f t="shared" si="15"/>
        <v>3141.5926535897929</v>
      </c>
      <c r="J30" s="6">
        <f t="shared" ref="J30" si="16">J28*2*PI()</f>
        <v>3141.5926535897929</v>
      </c>
    </row>
    <row r="31" spans="1:10" ht="3.75" customHeight="1"/>
    <row r="32" spans="1:10" s="43" customFormat="1" ht="15">
      <c r="A32" s="43" t="s">
        <v>259</v>
      </c>
      <c r="B32" s="42">
        <v>500</v>
      </c>
      <c r="C32" s="42">
        <v>500</v>
      </c>
      <c r="D32" s="42">
        <v>500</v>
      </c>
      <c r="E32" s="42">
        <v>500</v>
      </c>
      <c r="F32" s="42">
        <v>500</v>
      </c>
      <c r="G32" s="42">
        <v>500</v>
      </c>
      <c r="H32" s="42">
        <v>500</v>
      </c>
      <c r="I32" s="42">
        <v>500</v>
      </c>
      <c r="J32" s="42">
        <v>500</v>
      </c>
    </row>
    <row r="33" spans="1:10">
      <c r="A33" s="1" t="s">
        <v>16</v>
      </c>
      <c r="B33" s="6">
        <f t="shared" ref="B33:I33" si="17">(B32)*(B6*1000/B7)</f>
        <v>255882721.63488868</v>
      </c>
      <c r="C33" s="6">
        <f t="shared" si="17"/>
        <v>190589430.71900517</v>
      </c>
      <c r="D33" s="6">
        <f t="shared" si="17"/>
        <v>164933614.31346413</v>
      </c>
      <c r="E33" s="6">
        <f t="shared" si="17"/>
        <v>157079632.67948967</v>
      </c>
      <c r="F33" s="6">
        <f t="shared" si="17"/>
        <v>58433623.356770158</v>
      </c>
      <c r="G33" s="6">
        <f t="shared" si="17"/>
        <v>162420340.19059235</v>
      </c>
      <c r="H33" s="6">
        <f t="shared" si="17"/>
        <v>380996649.06410223</v>
      </c>
      <c r="I33" s="6">
        <f t="shared" si="17"/>
        <v>380996649.06410223</v>
      </c>
      <c r="J33" s="6">
        <f t="shared" ref="J33" si="18">(J32)*(J6*1000/J7)</f>
        <v>380996649.06410223</v>
      </c>
    </row>
    <row r="34" spans="1:10">
      <c r="A34" s="1" t="s">
        <v>118</v>
      </c>
      <c r="B34" s="6">
        <f>B33*(B12/B11)*2*PI()</f>
        <v>28559.933214452667</v>
      </c>
      <c r="C34" s="6">
        <f t="shared" ref="C34:I34" si="19">C33*(C12/C11)*2*PI()</f>
        <v>77492.618788548207</v>
      </c>
      <c r="D34" s="6">
        <f t="shared" si="19"/>
        <v>31415.926535897932</v>
      </c>
      <c r="E34" s="6">
        <f t="shared" si="19"/>
        <v>31415.926535897932</v>
      </c>
      <c r="F34" s="6">
        <f t="shared" si="19"/>
        <v>94247.779607693796</v>
      </c>
      <c r="G34" s="6">
        <f t="shared" si="19"/>
        <v>31415.926535897936</v>
      </c>
      <c r="H34" s="6">
        <f t="shared" si="19"/>
        <v>23561.944901923449</v>
      </c>
      <c r="I34" s="6">
        <f t="shared" si="19"/>
        <v>23561.944901923449</v>
      </c>
      <c r="J34" s="6">
        <f t="shared" ref="J34" si="20">J33*(J12/J11)*2*PI()</f>
        <v>377637.91691827902</v>
      </c>
    </row>
    <row r="35" spans="1:10" ht="15">
      <c r="A35" s="1" t="s">
        <v>126</v>
      </c>
      <c r="B35" s="3">
        <v>500</v>
      </c>
      <c r="C35" s="3">
        <v>500</v>
      </c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>
        <v>500</v>
      </c>
      <c r="J35" s="3">
        <v>500</v>
      </c>
    </row>
    <row r="36" spans="1:10">
      <c r="A36" s="1" t="s">
        <v>125</v>
      </c>
      <c r="B36" s="6">
        <f t="shared" ref="B36:C36" si="21">(B23/60)*(1000/B35)*(B11/B12)</f>
        <v>1688825.9627902654</v>
      </c>
      <c r="C36" s="6">
        <f t="shared" si="21"/>
        <v>334819.27018203615</v>
      </c>
      <c r="D36" s="6">
        <f>(D23/60)*(1000/D35)*(D11/D12)</f>
        <v>1649336.1431346412</v>
      </c>
      <c r="E36" s="6">
        <f t="shared" ref="E36:I36" si="22">(E23/60)*(1000/E35)*(E11/E12)</f>
        <v>1570796.3267948965</v>
      </c>
      <c r="F36" s="6">
        <f t="shared" si="22"/>
        <v>415527.98831481003</v>
      </c>
      <c r="G36" s="6">
        <f t="shared" si="22"/>
        <v>1624203.4019059232</v>
      </c>
      <c r="H36" s="6">
        <f t="shared" si="22"/>
        <v>1693318.4402848987</v>
      </c>
      <c r="I36" s="6">
        <f t="shared" si="22"/>
        <v>1693318.4402848987</v>
      </c>
      <c r="J36" s="6">
        <f t="shared" ref="J36" si="23">(J23/60)*(1000/J35)*(J11/J12)</f>
        <v>105651.13830992149</v>
      </c>
    </row>
    <row r="37" spans="1:10" ht="3.75" customHeight="1"/>
    <row r="38" spans="1:10" s="43" customFormat="1" ht="15">
      <c r="A38" s="43" t="s">
        <v>260</v>
      </c>
      <c r="B38" s="42">
        <v>500</v>
      </c>
      <c r="C38" s="42">
        <v>500</v>
      </c>
      <c r="D38" s="42">
        <v>500</v>
      </c>
      <c r="E38" s="42">
        <v>500</v>
      </c>
      <c r="F38" s="42">
        <v>500</v>
      </c>
      <c r="G38" s="42">
        <v>500</v>
      </c>
      <c r="H38" s="42">
        <v>500</v>
      </c>
      <c r="I38" s="42">
        <v>500</v>
      </c>
      <c r="J38" s="42">
        <v>500</v>
      </c>
    </row>
    <row r="39" spans="1:10">
      <c r="A39" s="1" t="s">
        <v>16</v>
      </c>
      <c r="B39" s="6">
        <f t="shared" ref="B39:I39" si="24">(B38/(2*PI()))*(B6*1000/B7)</f>
        <v>40725000.000000007</v>
      </c>
      <c r="C39" s="6">
        <f t="shared" si="24"/>
        <v>30333250</v>
      </c>
      <c r="D39" s="6">
        <f t="shared" si="24"/>
        <v>26250000.000000004</v>
      </c>
      <c r="E39" s="6">
        <f t="shared" si="24"/>
        <v>25000000.000000004</v>
      </c>
      <c r="F39" s="6">
        <f t="shared" si="24"/>
        <v>9300000.0000000019</v>
      </c>
      <c r="G39" s="6">
        <f t="shared" si="24"/>
        <v>25850000.000000007</v>
      </c>
      <c r="H39" s="6">
        <f t="shared" si="24"/>
        <v>60637500.000000007</v>
      </c>
      <c r="I39" s="6">
        <f t="shared" si="24"/>
        <v>60637500.000000007</v>
      </c>
      <c r="J39" s="6">
        <f t="shared" ref="J39" si="25">(J38/(2*PI()))*(J6*1000/J7)</f>
        <v>60637500.000000007</v>
      </c>
    </row>
    <row r="40" spans="1:10" ht="3.75" customHeight="1"/>
    <row r="41" spans="1:10" ht="15">
      <c r="A41" s="44" t="s">
        <v>261</v>
      </c>
      <c r="B41" s="45">
        <v>500</v>
      </c>
      <c r="C41" s="45">
        <v>500</v>
      </c>
      <c r="D41" s="45">
        <v>500</v>
      </c>
      <c r="E41" s="45">
        <v>500</v>
      </c>
      <c r="F41" s="45">
        <v>500</v>
      </c>
      <c r="G41" s="45">
        <v>500</v>
      </c>
      <c r="H41" s="45">
        <v>500</v>
      </c>
      <c r="I41" s="45">
        <v>500</v>
      </c>
      <c r="J41" s="45">
        <v>500</v>
      </c>
    </row>
    <row r="42" spans="1:10">
      <c r="A42" s="1" t="s">
        <v>16</v>
      </c>
      <c r="B42" s="6">
        <f>(B41/(2*PI()))*(B11/B12)</f>
        <v>4479750.0000000009</v>
      </c>
      <c r="C42" s="6">
        <f>(C41/(2*PI()))*(C11/C12)</f>
        <v>1229726.3513513515</v>
      </c>
      <c r="D42" s="6">
        <f t="shared" ref="D42:I42" si="26">(D41)*(D14/D15)</f>
        <v>0.90945681766797348</v>
      </c>
      <c r="E42" s="6">
        <f t="shared" si="26"/>
        <v>0.95492965855137202</v>
      </c>
      <c r="F42" s="6">
        <f t="shared" si="26"/>
        <v>7.701045633478806</v>
      </c>
      <c r="G42" s="6">
        <f t="shared" si="26"/>
        <v>0.92352965043653001</v>
      </c>
      <c r="H42" s="6">
        <f t="shared" si="26"/>
        <v>0.29527818755453678</v>
      </c>
      <c r="I42" s="6">
        <f t="shared" si="26"/>
        <v>0.29527818755453678</v>
      </c>
      <c r="J42" s="6">
        <f t="shared" ref="J42" si="27">(J41)*(J14/J15)</f>
        <v>4.7325566766093798</v>
      </c>
    </row>
    <row r="44" spans="1:10">
      <c r="A44" s="1" t="s">
        <v>21</v>
      </c>
      <c r="B44" s="3">
        <v>2200000</v>
      </c>
      <c r="C44" s="3">
        <v>2700000</v>
      </c>
      <c r="D44" s="3">
        <v>66667</v>
      </c>
      <c r="E44" s="3">
        <v>66668</v>
      </c>
      <c r="F44" s="3">
        <v>66669</v>
      </c>
      <c r="G44" s="3">
        <v>66670</v>
      </c>
      <c r="H44" s="3">
        <v>66671</v>
      </c>
      <c r="I44" s="3">
        <v>66671</v>
      </c>
      <c r="J44" s="3">
        <v>66671</v>
      </c>
    </row>
    <row r="45" spans="1:10">
      <c r="A45" s="1" t="s">
        <v>22</v>
      </c>
      <c r="B45" s="1">
        <f>(B44*60)/(B11/B12)</f>
        <v>2344.8242076154006</v>
      </c>
      <c r="C45" s="1">
        <f>(C44*60)/(C11/C12)</f>
        <v>10483.267579227642</v>
      </c>
      <c r="D45" s="1">
        <f>(D44*60)/(D11/D12)</f>
        <v>121.26151532694156</v>
      </c>
      <c r="E45" s="1">
        <f t="shared" ref="E45:I45" si="28">(E44*60)/(E11/E12)</f>
        <v>127.32650095260574</v>
      </c>
      <c r="F45" s="1">
        <f t="shared" si="28"/>
        <v>1026.8420226767971</v>
      </c>
      <c r="G45" s="1">
        <f t="shared" si="28"/>
        <v>123.1434435892069</v>
      </c>
      <c r="H45" s="1">
        <f t="shared" si="28"/>
        <v>39.372984084897041</v>
      </c>
      <c r="I45" s="1">
        <f t="shared" si="28"/>
        <v>39.372984084897041</v>
      </c>
      <c r="J45" s="1">
        <f t="shared" ref="J45" si="29">(J44*60)/(J11/J12)</f>
        <v>631.04857237244801</v>
      </c>
    </row>
    <row r="46" spans="1:10">
      <c r="A46" s="1" t="s">
        <v>23</v>
      </c>
      <c r="B46" s="1">
        <f>(B44*60)/(1000000/B7)</f>
        <v>132</v>
      </c>
      <c r="C46" s="1">
        <f>(C44*60)/(1000000/C7)</f>
        <v>162</v>
      </c>
      <c r="D46" s="1">
        <f>(D44*60)/(1000000/D7)</f>
        <v>4.0000200000000001</v>
      </c>
      <c r="E46" s="1">
        <f t="shared" ref="E46:I46" si="30">(E44*60)/(1000000/E7)</f>
        <v>4.0000799999999996</v>
      </c>
      <c r="F46" s="1">
        <f t="shared" si="30"/>
        <v>4.00014</v>
      </c>
      <c r="G46" s="1">
        <f t="shared" si="30"/>
        <v>4.0002000000000004</v>
      </c>
      <c r="H46" s="1">
        <f t="shared" si="30"/>
        <v>4.0002599999999999</v>
      </c>
      <c r="I46" s="1">
        <f t="shared" si="30"/>
        <v>4.0002599999999999</v>
      </c>
      <c r="J46" s="1">
        <f t="shared" ref="J46" si="31">(J44*60)/(1000000/J7)</f>
        <v>4.0002599999999999</v>
      </c>
    </row>
    <row r="48" spans="1:10">
      <c r="A48" s="1" t="s">
        <v>23</v>
      </c>
      <c r="B48" s="3">
        <v>50</v>
      </c>
      <c r="C48" s="3">
        <v>50</v>
      </c>
      <c r="D48" s="3">
        <v>50</v>
      </c>
      <c r="E48" s="3">
        <v>50</v>
      </c>
      <c r="F48" s="3">
        <v>50</v>
      </c>
      <c r="G48" s="3">
        <v>50</v>
      </c>
      <c r="H48" s="3">
        <v>50</v>
      </c>
      <c r="I48" s="3">
        <v>50</v>
      </c>
      <c r="J48" s="3">
        <v>50</v>
      </c>
    </row>
    <row r="49" spans="1:10">
      <c r="A49" s="1" t="s">
        <v>22</v>
      </c>
      <c r="B49" s="1">
        <f>(B48*1000000)/(B11/B12)</f>
        <v>888.19098773310623</v>
      </c>
      <c r="C49" s="1">
        <f t="shared" ref="C49:I49" si="32">(C48*1000000)/(C11/C12)</f>
        <v>3235.5764133418647</v>
      </c>
      <c r="D49" s="1">
        <f t="shared" si="32"/>
        <v>1515.7613627799558</v>
      </c>
      <c r="E49" s="1">
        <f t="shared" si="32"/>
        <v>1591.5494309189535</v>
      </c>
      <c r="F49" s="1">
        <f t="shared" si="32"/>
        <v>12835.07605579801</v>
      </c>
      <c r="G49" s="1">
        <f t="shared" si="32"/>
        <v>1539.2160840608833</v>
      </c>
      <c r="H49" s="1">
        <f t="shared" si="32"/>
        <v>492.13031259089462</v>
      </c>
      <c r="I49" s="1">
        <f t="shared" si="32"/>
        <v>492.13031259089462</v>
      </c>
      <c r="J49" s="1">
        <f t="shared" ref="J49" si="33">(J48*1000000)/(J11/J12)</f>
        <v>7887.5944610156339</v>
      </c>
    </row>
    <row r="50" spans="1:10">
      <c r="A50" s="1" t="s">
        <v>21</v>
      </c>
      <c r="B50" s="1">
        <f>(B48/60)*(1000000/B7)</f>
        <v>833333.33333333337</v>
      </c>
      <c r="C50" s="1">
        <f t="shared" ref="C50:I50" si="34">(C48/60)*(1000000/C7)</f>
        <v>833333.33333333337</v>
      </c>
      <c r="D50" s="1">
        <f t="shared" si="34"/>
        <v>833333.33333333337</v>
      </c>
      <c r="E50" s="1">
        <f t="shared" si="34"/>
        <v>833333.33333333337</v>
      </c>
      <c r="F50" s="1">
        <f t="shared" si="34"/>
        <v>833333.33333333337</v>
      </c>
      <c r="G50" s="1">
        <f t="shared" si="34"/>
        <v>833333.33333333337</v>
      </c>
      <c r="H50" s="1">
        <f t="shared" si="34"/>
        <v>833333.33333333337</v>
      </c>
      <c r="I50" s="1">
        <f t="shared" si="34"/>
        <v>833333.33333333337</v>
      </c>
      <c r="J50" s="1">
        <f t="shared" ref="J50" si="35">(J48/60)*(1000000/J7)</f>
        <v>833333.33333333337</v>
      </c>
    </row>
    <row r="52" spans="1:10">
      <c r="A52" s="12" t="s">
        <v>24</v>
      </c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B53" s="1" t="s">
        <v>55</v>
      </c>
      <c r="C53" s="1" t="s">
        <v>296</v>
      </c>
      <c r="D53" s="1" t="s">
        <v>295</v>
      </c>
      <c r="E53" s="1" t="s">
        <v>274</v>
      </c>
    </row>
    <row r="54" spans="1:10" ht="5.25" customHeight="1"/>
    <row r="55" spans="1:10">
      <c r="A55" s="12" t="s">
        <v>25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</row>
    <row r="56" spans="1:10">
      <c r="A56" s="1" t="s">
        <v>6</v>
      </c>
      <c r="B56" s="3">
        <v>792</v>
      </c>
      <c r="C56" s="3">
        <v>68</v>
      </c>
      <c r="D56" s="3">
        <v>900</v>
      </c>
      <c r="E56" s="3">
        <v>1320</v>
      </c>
      <c r="F56" s="3">
        <v>1</v>
      </c>
      <c r="G56" s="3">
        <v>1</v>
      </c>
      <c r="H56" s="3">
        <v>1</v>
      </c>
    </row>
    <row r="57" spans="1:10">
      <c r="A57" s="1" t="s">
        <v>7</v>
      </c>
      <c r="B57" s="3">
        <v>2880</v>
      </c>
      <c r="C57" s="3">
        <v>8174</v>
      </c>
      <c r="D57" s="3">
        <v>7200</v>
      </c>
      <c r="E57" s="3">
        <v>15840</v>
      </c>
      <c r="F57" s="3">
        <v>1</v>
      </c>
      <c r="G57" s="3">
        <v>1</v>
      </c>
      <c r="H57" s="3">
        <v>1</v>
      </c>
    </row>
    <row r="58" spans="1:10" ht="6" customHeight="1"/>
    <row r="59" spans="1:10" ht="25.5">
      <c r="A59" s="5" t="s">
        <v>8</v>
      </c>
      <c r="B59" s="6">
        <f t="shared" ref="B59:G59" si="36">B56*1000/B55</f>
        <v>792000</v>
      </c>
      <c r="C59" s="6">
        <f t="shared" si="36"/>
        <v>68000</v>
      </c>
      <c r="D59" s="6">
        <f t="shared" si="36"/>
        <v>900000</v>
      </c>
      <c r="E59" s="6">
        <f t="shared" si="36"/>
        <v>1320000</v>
      </c>
      <c r="F59" s="6">
        <f t="shared" si="36"/>
        <v>1000</v>
      </c>
      <c r="G59" s="6">
        <f t="shared" si="36"/>
        <v>1000</v>
      </c>
      <c r="H59" s="6">
        <f>H56*1000/H55</f>
        <v>1000</v>
      </c>
    </row>
    <row r="60" spans="1:10" ht="25.5">
      <c r="A60" s="5" t="s">
        <v>9</v>
      </c>
      <c r="B60" s="6">
        <f t="shared" ref="B60:G60" si="37">B57</f>
        <v>2880</v>
      </c>
      <c r="C60" s="6">
        <f t="shared" si="37"/>
        <v>8174</v>
      </c>
      <c r="D60" s="6">
        <f t="shared" si="37"/>
        <v>7200</v>
      </c>
      <c r="E60" s="6">
        <f t="shared" si="37"/>
        <v>15840</v>
      </c>
      <c r="F60" s="6">
        <f t="shared" si="37"/>
        <v>1</v>
      </c>
      <c r="G60" s="6">
        <f t="shared" si="37"/>
        <v>1</v>
      </c>
      <c r="H60" s="6">
        <f>H57</f>
        <v>1</v>
      </c>
    </row>
    <row r="61" spans="1:10" ht="6" customHeight="1"/>
    <row r="62" spans="1:10">
      <c r="A62" s="1" t="s">
        <v>26</v>
      </c>
      <c r="B62" s="3">
        <v>3000</v>
      </c>
      <c r="C62" s="3">
        <v>3000</v>
      </c>
      <c r="D62" s="3">
        <v>3000</v>
      </c>
      <c r="E62" s="3">
        <v>3000</v>
      </c>
      <c r="F62" s="3">
        <v>3000</v>
      </c>
      <c r="G62" s="3">
        <v>3000</v>
      </c>
      <c r="H62" s="3">
        <v>3000</v>
      </c>
    </row>
    <row r="63" spans="1:10">
      <c r="A63" s="1" t="s">
        <v>11</v>
      </c>
      <c r="B63" s="6">
        <f>(B62/60)*(B59/B60)</f>
        <v>13750</v>
      </c>
      <c r="C63" s="6">
        <f t="shared" ref="C63:H63" si="38">(C62/60)*(C59/C60)</f>
        <v>415.9530217763641</v>
      </c>
      <c r="D63" s="6">
        <f t="shared" si="38"/>
        <v>6250</v>
      </c>
      <c r="E63" s="6">
        <f t="shared" si="38"/>
        <v>4166.6666666666661</v>
      </c>
      <c r="F63" s="6">
        <f t="shared" si="38"/>
        <v>50000</v>
      </c>
      <c r="G63" s="6">
        <f t="shared" si="38"/>
        <v>50000</v>
      </c>
      <c r="H63" s="6">
        <f t="shared" si="38"/>
        <v>50000</v>
      </c>
    </row>
    <row r="64" spans="1:10" ht="5.25" customHeight="1"/>
    <row r="65" spans="1:10">
      <c r="A65" s="1" t="s">
        <v>76</v>
      </c>
      <c r="B65" s="3">
        <v>13750</v>
      </c>
      <c r="C65" s="3">
        <v>18333</v>
      </c>
      <c r="D65" s="3">
        <v>45000</v>
      </c>
      <c r="E65" s="3">
        <v>10000</v>
      </c>
      <c r="F65" s="3">
        <v>10000</v>
      </c>
      <c r="G65" s="3">
        <v>10000</v>
      </c>
      <c r="H65" s="3">
        <v>10000</v>
      </c>
    </row>
    <row r="66" spans="1:10">
      <c r="A66" s="1" t="s">
        <v>77</v>
      </c>
      <c r="B66" s="6">
        <f>(B65*60)*(B60/B59)</f>
        <v>3000</v>
      </c>
      <c r="C66" s="6">
        <f t="shared" ref="C66:H66" si="39">(C65*60)*(C60/C59)</f>
        <v>132224.06647058824</v>
      </c>
      <c r="D66" s="6">
        <f t="shared" si="39"/>
        <v>21600</v>
      </c>
      <c r="E66" s="6">
        <f t="shared" si="39"/>
        <v>7200</v>
      </c>
      <c r="F66" s="6">
        <f t="shared" si="39"/>
        <v>600</v>
      </c>
      <c r="G66" s="6">
        <f t="shared" si="39"/>
        <v>600</v>
      </c>
      <c r="H66" s="6">
        <f t="shared" si="39"/>
        <v>600</v>
      </c>
    </row>
    <row r="67" spans="1:10" ht="5.25" customHeight="1"/>
    <row r="68" spans="1:10">
      <c r="A68" s="1" t="s">
        <v>54</v>
      </c>
      <c r="B68" s="3">
        <v>360</v>
      </c>
      <c r="C68" s="3">
        <v>360</v>
      </c>
      <c r="D68" s="3">
        <v>360</v>
      </c>
      <c r="E68" s="3">
        <v>360</v>
      </c>
      <c r="F68" s="3">
        <v>180</v>
      </c>
      <c r="G68" s="3">
        <v>180</v>
      </c>
      <c r="H68" s="3">
        <v>180</v>
      </c>
    </row>
    <row r="69" spans="1:10">
      <c r="A69" s="1" t="s">
        <v>51</v>
      </c>
      <c r="B69" s="6">
        <f>(B68/360)*(B59/B60)</f>
        <v>275</v>
      </c>
      <c r="C69" s="6">
        <f>(C68/360)*(C59/C60)</f>
        <v>8.3190604355272821</v>
      </c>
      <c r="D69" s="6">
        <f t="shared" ref="D69:H69" si="40">(D68/360)*(D59/D60)</f>
        <v>125</v>
      </c>
      <c r="E69" s="6">
        <f t="shared" si="40"/>
        <v>83.333333333333329</v>
      </c>
      <c r="F69" s="6">
        <f t="shared" si="40"/>
        <v>500</v>
      </c>
      <c r="G69" s="6">
        <f t="shared" si="40"/>
        <v>500</v>
      </c>
      <c r="H69" s="6">
        <f t="shared" si="40"/>
        <v>500</v>
      </c>
    </row>
    <row r="70" spans="1:10" ht="5.25" customHeight="1"/>
    <row r="71" spans="1:10">
      <c r="A71" s="1" t="s">
        <v>15</v>
      </c>
      <c r="B71" s="3">
        <v>10000</v>
      </c>
      <c r="C71" s="3">
        <v>10000</v>
      </c>
      <c r="D71" s="3">
        <v>10000</v>
      </c>
      <c r="E71" s="3">
        <v>10000</v>
      </c>
      <c r="F71" s="3">
        <v>30000</v>
      </c>
      <c r="G71" s="3">
        <v>30000</v>
      </c>
      <c r="H71" s="3">
        <v>30000</v>
      </c>
    </row>
    <row r="72" spans="1:10">
      <c r="A72" s="1" t="s">
        <v>27</v>
      </c>
      <c r="B72" s="6">
        <f t="shared" ref="B72:H72" si="41">(B71/60)*(B59/B60)</f>
        <v>45833.333333333328</v>
      </c>
      <c r="C72" s="6">
        <f t="shared" si="41"/>
        <v>1386.5100725878804</v>
      </c>
      <c r="D72" s="6">
        <f t="shared" si="41"/>
        <v>20833.333333333332</v>
      </c>
      <c r="E72" s="6">
        <f t="shared" si="41"/>
        <v>13888.888888888887</v>
      </c>
      <c r="F72" s="6">
        <f t="shared" si="41"/>
        <v>500000</v>
      </c>
      <c r="G72" s="6">
        <f t="shared" si="41"/>
        <v>500000</v>
      </c>
      <c r="H72" s="6">
        <f t="shared" si="41"/>
        <v>500000</v>
      </c>
    </row>
    <row r="73" spans="1:10" ht="3.75" customHeight="1"/>
    <row r="74" spans="1:10">
      <c r="A74" s="1" t="s">
        <v>17</v>
      </c>
      <c r="B74" s="3">
        <v>500</v>
      </c>
      <c r="C74" s="3">
        <v>500</v>
      </c>
      <c r="D74" s="3">
        <v>500</v>
      </c>
      <c r="E74" s="3">
        <v>500</v>
      </c>
      <c r="F74" s="3">
        <v>500</v>
      </c>
      <c r="G74" s="3">
        <v>500</v>
      </c>
      <c r="H74" s="3">
        <v>500</v>
      </c>
    </row>
    <row r="75" spans="1:10">
      <c r="A75" s="1" t="s">
        <v>27</v>
      </c>
      <c r="B75" s="6">
        <f t="shared" ref="B75:H75" si="42">(B74)*(B59/B60)</f>
        <v>137500</v>
      </c>
      <c r="C75" s="6">
        <f t="shared" si="42"/>
        <v>4159.5302177636413</v>
      </c>
      <c r="D75" s="6">
        <f t="shared" si="42"/>
        <v>62500</v>
      </c>
      <c r="E75" s="6">
        <f t="shared" si="42"/>
        <v>41666.666666666664</v>
      </c>
      <c r="F75" s="6">
        <f t="shared" si="42"/>
        <v>500000</v>
      </c>
      <c r="G75" s="6">
        <f t="shared" si="42"/>
        <v>500000</v>
      </c>
      <c r="H75" s="6">
        <f t="shared" si="42"/>
        <v>500000</v>
      </c>
    </row>
    <row r="76" spans="1:10" ht="3.75" customHeight="1"/>
    <row r="77" spans="1:10">
      <c r="A77" s="11" t="s">
        <v>13</v>
      </c>
      <c r="B77" s="3">
        <v>5500</v>
      </c>
      <c r="C77" s="3">
        <v>4000</v>
      </c>
      <c r="D77" s="3">
        <v>3000</v>
      </c>
      <c r="E77" s="3">
        <v>3000</v>
      </c>
      <c r="F77" s="3">
        <v>3000</v>
      </c>
      <c r="G77" s="3">
        <v>3000</v>
      </c>
      <c r="H77" s="3">
        <v>3000</v>
      </c>
      <c r="I77" s="4"/>
      <c r="J77" s="4"/>
    </row>
    <row r="78" spans="1:10" ht="15">
      <c r="A78" s="1" t="s">
        <v>126</v>
      </c>
      <c r="B78" s="3">
        <v>500</v>
      </c>
      <c r="C78" s="3">
        <v>500</v>
      </c>
      <c r="D78" s="3">
        <v>500</v>
      </c>
      <c r="E78" s="3">
        <v>500</v>
      </c>
      <c r="F78" s="3">
        <v>500</v>
      </c>
      <c r="G78" s="3">
        <v>500</v>
      </c>
      <c r="H78" s="3">
        <v>500</v>
      </c>
      <c r="I78" s="4"/>
      <c r="J78" s="4"/>
    </row>
    <row r="79" spans="1:10">
      <c r="A79" s="1" t="s">
        <v>125</v>
      </c>
      <c r="B79" s="6">
        <f>(B77/60)*(B59/B60)/(B78/1000)</f>
        <v>50416.666666666672</v>
      </c>
      <c r="C79" s="6">
        <f t="shared" ref="C79:H79" si="43">(C77/60)*(C59/C60)/(C78/1000)</f>
        <v>1109.2080580703043</v>
      </c>
      <c r="D79" s="6">
        <f t="shared" si="43"/>
        <v>12500</v>
      </c>
      <c r="E79" s="6">
        <f t="shared" si="43"/>
        <v>8333.3333333333321</v>
      </c>
      <c r="F79" s="6">
        <f t="shared" si="43"/>
        <v>100000</v>
      </c>
      <c r="G79" s="6">
        <f t="shared" si="43"/>
        <v>100000</v>
      </c>
      <c r="H79" s="6">
        <f t="shared" si="43"/>
        <v>100000</v>
      </c>
      <c r="I79" s="4"/>
      <c r="J79" s="4"/>
    </row>
    <row r="81" spans="1:8">
      <c r="A81" s="14" t="s">
        <v>127</v>
      </c>
      <c r="B81" s="3">
        <v>13750</v>
      </c>
      <c r="C81" s="3">
        <v>415</v>
      </c>
      <c r="D81" s="3">
        <v>45020</v>
      </c>
      <c r="E81" s="3">
        <v>50000</v>
      </c>
      <c r="F81" s="3">
        <v>50000</v>
      </c>
      <c r="G81" s="3">
        <v>50000</v>
      </c>
      <c r="H81" s="3">
        <v>50000</v>
      </c>
    </row>
    <row r="82" spans="1:8">
      <c r="A82" s="14" t="s">
        <v>129</v>
      </c>
      <c r="B82" s="1">
        <f>(B81)/(B59/B60)</f>
        <v>50</v>
      </c>
      <c r="C82" s="1">
        <f t="shared" ref="C82:H82" si="44">(C81)/(C59/C60)</f>
        <v>49.885441176470586</v>
      </c>
      <c r="D82" s="1">
        <f t="shared" si="44"/>
        <v>360.16</v>
      </c>
      <c r="E82" s="1">
        <f t="shared" si="44"/>
        <v>600</v>
      </c>
      <c r="F82" s="1">
        <f t="shared" si="44"/>
        <v>50</v>
      </c>
      <c r="G82" s="1">
        <f t="shared" si="44"/>
        <v>50</v>
      </c>
      <c r="H82" s="1">
        <f t="shared" si="44"/>
        <v>50</v>
      </c>
    </row>
    <row r="83" spans="1:8">
      <c r="A83" s="14" t="s">
        <v>128</v>
      </c>
      <c r="B83" s="1">
        <f>(B81*60)/(B59/B60)</f>
        <v>3000</v>
      </c>
      <c r="C83" s="1">
        <f t="shared" ref="C83:H83" si="45">(C81*60)/(C59/C60)</f>
        <v>2993.126470588235</v>
      </c>
      <c r="D83" s="1">
        <f t="shared" si="45"/>
        <v>21609.599999999999</v>
      </c>
      <c r="E83" s="1">
        <f t="shared" si="45"/>
        <v>36000</v>
      </c>
      <c r="F83" s="1">
        <f t="shared" si="45"/>
        <v>3000</v>
      </c>
      <c r="G83" s="1">
        <f t="shared" si="45"/>
        <v>3000</v>
      </c>
      <c r="H83" s="1">
        <f t="shared" si="45"/>
        <v>3000</v>
      </c>
    </row>
    <row r="85" spans="1:8">
      <c r="A85" s="14" t="s">
        <v>128</v>
      </c>
      <c r="B85" s="3">
        <v>3000</v>
      </c>
      <c r="C85" s="3">
        <v>3000</v>
      </c>
      <c r="D85" s="3">
        <v>3000</v>
      </c>
      <c r="E85" s="3">
        <v>3000</v>
      </c>
      <c r="F85" s="3">
        <v>3000</v>
      </c>
      <c r="G85" s="3">
        <v>3000</v>
      </c>
      <c r="H85" s="3">
        <v>3000</v>
      </c>
    </row>
    <row r="86" spans="1:8">
      <c r="A86" s="14" t="s">
        <v>129</v>
      </c>
      <c r="B86" s="1">
        <f>(B85/60)</f>
        <v>50</v>
      </c>
      <c r="C86" s="1">
        <f t="shared" ref="C86:H86" si="46">(C85/60)</f>
        <v>50</v>
      </c>
      <c r="D86" s="1">
        <f t="shared" si="46"/>
        <v>50</v>
      </c>
      <c r="E86" s="1">
        <f t="shared" si="46"/>
        <v>50</v>
      </c>
      <c r="F86" s="1">
        <f t="shared" si="46"/>
        <v>50</v>
      </c>
      <c r="G86" s="1">
        <f t="shared" si="46"/>
        <v>50</v>
      </c>
      <c r="H86" s="1">
        <f t="shared" si="46"/>
        <v>50</v>
      </c>
    </row>
    <row r="87" spans="1:8">
      <c r="A87" s="14" t="s">
        <v>127</v>
      </c>
      <c r="B87" s="1">
        <f>(B85/60)*(B59/B60)</f>
        <v>13750</v>
      </c>
      <c r="C87" s="1">
        <f t="shared" ref="C87:H87" si="47">(C85/60)*(C59/C60)</f>
        <v>415.9530217763641</v>
      </c>
      <c r="D87" s="1">
        <f t="shared" si="47"/>
        <v>6250</v>
      </c>
      <c r="E87" s="1">
        <f t="shared" si="47"/>
        <v>4166.6666666666661</v>
      </c>
      <c r="F87" s="1">
        <f t="shared" si="47"/>
        <v>50000</v>
      </c>
      <c r="G87" s="1">
        <f t="shared" si="47"/>
        <v>50000</v>
      </c>
      <c r="H87" s="1">
        <f t="shared" si="47"/>
        <v>50000</v>
      </c>
    </row>
    <row r="89" spans="1:8">
      <c r="A89" s="12" t="s">
        <v>28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</row>
    <row r="90" spans="1:8">
      <c r="A90" s="1" t="s">
        <v>6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</row>
    <row r="91" spans="1:8">
      <c r="A91" s="1" t="s">
        <v>7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</row>
    <row r="92" spans="1:8" ht="6" customHeight="1"/>
    <row r="93" spans="1:8" ht="25.5">
      <c r="A93" s="5" t="s">
        <v>8</v>
      </c>
      <c r="B93" s="6">
        <f t="shared" ref="B93:G93" si="48">B90*360/B89</f>
        <v>360</v>
      </c>
      <c r="C93" s="6">
        <f t="shared" si="48"/>
        <v>360</v>
      </c>
      <c r="D93" s="6">
        <f t="shared" si="48"/>
        <v>360</v>
      </c>
      <c r="E93" s="6">
        <f t="shared" si="48"/>
        <v>360</v>
      </c>
      <c r="F93" s="6">
        <f t="shared" si="48"/>
        <v>360</v>
      </c>
      <c r="G93" s="6">
        <f t="shared" si="48"/>
        <v>360</v>
      </c>
      <c r="H93" s="6">
        <f>H90*360/H89</f>
        <v>360</v>
      </c>
    </row>
    <row r="94" spans="1:8" ht="25.5">
      <c r="A94" s="5" t="s">
        <v>9</v>
      </c>
      <c r="B94" s="6">
        <f t="shared" ref="B94:G94" si="49">B91</f>
        <v>1</v>
      </c>
      <c r="C94" s="6">
        <f t="shared" si="49"/>
        <v>1</v>
      </c>
      <c r="D94" s="6">
        <f t="shared" si="49"/>
        <v>1</v>
      </c>
      <c r="E94" s="6">
        <f t="shared" si="49"/>
        <v>1</v>
      </c>
      <c r="F94" s="6">
        <f t="shared" si="49"/>
        <v>1</v>
      </c>
      <c r="G94" s="6">
        <f t="shared" si="49"/>
        <v>1</v>
      </c>
      <c r="H94" s="6">
        <f>H91</f>
        <v>1</v>
      </c>
    </row>
    <row r="96" spans="1:8">
      <c r="A96" s="1" t="s">
        <v>26</v>
      </c>
      <c r="B96" s="3">
        <v>3000</v>
      </c>
      <c r="C96" s="3">
        <v>3000</v>
      </c>
      <c r="D96" s="3">
        <v>3000</v>
      </c>
      <c r="E96" s="3">
        <v>3000</v>
      </c>
      <c r="F96" s="3">
        <v>3000</v>
      </c>
      <c r="G96" s="3">
        <v>3000</v>
      </c>
      <c r="H96" s="3">
        <v>3000</v>
      </c>
    </row>
    <row r="97" spans="1:8">
      <c r="A97" s="1" t="s">
        <v>11</v>
      </c>
      <c r="B97" s="6">
        <f t="shared" ref="B97:H97" si="50">(B96/60)*(B93/B94)</f>
        <v>18000</v>
      </c>
      <c r="C97" s="6">
        <f t="shared" si="50"/>
        <v>18000</v>
      </c>
      <c r="D97" s="6">
        <f t="shared" si="50"/>
        <v>18000</v>
      </c>
      <c r="E97" s="6">
        <f t="shared" si="50"/>
        <v>18000</v>
      </c>
      <c r="F97" s="6">
        <f t="shared" si="50"/>
        <v>18000</v>
      </c>
      <c r="G97" s="6">
        <f t="shared" si="50"/>
        <v>18000</v>
      </c>
      <c r="H97" s="6">
        <f t="shared" si="50"/>
        <v>18000</v>
      </c>
    </row>
    <row r="98" spans="1:8" ht="5.25" customHeight="1"/>
    <row r="99" spans="1:8">
      <c r="A99" s="1" t="s">
        <v>15</v>
      </c>
      <c r="B99" s="3">
        <v>30000</v>
      </c>
      <c r="C99" s="3">
        <v>30000</v>
      </c>
      <c r="D99" s="3">
        <v>30000</v>
      </c>
      <c r="E99" s="3">
        <v>30000</v>
      </c>
      <c r="F99" s="3">
        <v>30000</v>
      </c>
      <c r="G99" s="3">
        <v>30000</v>
      </c>
      <c r="H99" s="3">
        <v>30000</v>
      </c>
    </row>
    <row r="100" spans="1:8">
      <c r="A100" s="1" t="s">
        <v>27</v>
      </c>
      <c r="B100" s="6">
        <f t="shared" ref="B100:H100" si="51">(B99/60)*(B93/B94)</f>
        <v>180000</v>
      </c>
      <c r="C100" s="6">
        <f t="shared" si="51"/>
        <v>180000</v>
      </c>
      <c r="D100" s="6">
        <f t="shared" si="51"/>
        <v>180000</v>
      </c>
      <c r="E100" s="6">
        <f t="shared" si="51"/>
        <v>180000</v>
      </c>
      <c r="F100" s="6">
        <f t="shared" si="51"/>
        <v>180000</v>
      </c>
      <c r="G100" s="6">
        <f t="shared" si="51"/>
        <v>180000</v>
      </c>
      <c r="H100" s="6">
        <f t="shared" si="51"/>
        <v>180000</v>
      </c>
    </row>
    <row r="101" spans="1:8" ht="3.75" customHeight="1"/>
    <row r="102" spans="1:8">
      <c r="A102" s="1" t="s">
        <v>17</v>
      </c>
      <c r="B102" s="3">
        <v>500</v>
      </c>
      <c r="C102" s="3">
        <v>500</v>
      </c>
      <c r="D102" s="3">
        <v>500</v>
      </c>
      <c r="E102" s="3">
        <v>500</v>
      </c>
      <c r="F102" s="3">
        <v>500</v>
      </c>
      <c r="G102" s="3">
        <v>500</v>
      </c>
      <c r="H102" s="3">
        <v>500</v>
      </c>
    </row>
    <row r="103" spans="1:8">
      <c r="A103" s="1" t="s">
        <v>27</v>
      </c>
      <c r="B103" s="6">
        <f t="shared" ref="B103:H103" si="52">(B102)*(B93/B94)</f>
        <v>180000</v>
      </c>
      <c r="C103" s="6">
        <f t="shared" si="52"/>
        <v>180000</v>
      </c>
      <c r="D103" s="6">
        <f t="shared" si="52"/>
        <v>180000</v>
      </c>
      <c r="E103" s="6">
        <f t="shared" si="52"/>
        <v>180000</v>
      </c>
      <c r="F103" s="6">
        <f t="shared" si="52"/>
        <v>180000</v>
      </c>
      <c r="G103" s="6">
        <f t="shared" si="52"/>
        <v>180000</v>
      </c>
      <c r="H103" s="6">
        <f t="shared" si="52"/>
        <v>180000</v>
      </c>
    </row>
  </sheetData>
  <mergeCells count="1">
    <mergeCell ref="B2:H2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C48" sqref="C48"/>
    </sheetView>
  </sheetViews>
  <sheetFormatPr defaultColWidth="9.140625" defaultRowHeight="15"/>
  <cols>
    <col min="1" max="1" width="27.7109375" customWidth="1"/>
    <col min="2" max="2" width="15.5703125" customWidth="1"/>
    <col min="3" max="3" width="15" customWidth="1"/>
    <col min="4" max="4" width="18.28515625" customWidth="1"/>
    <col min="5" max="5" width="13.42578125" customWidth="1"/>
    <col min="6" max="6" width="11.28515625" customWidth="1"/>
    <col min="7" max="7" width="15.140625" customWidth="1"/>
    <col min="8" max="9" width="14.42578125" customWidth="1"/>
    <col min="10" max="10" width="17.28515625" customWidth="1"/>
    <col min="11" max="11" width="10.85546875" customWidth="1"/>
    <col min="12" max="12" width="12.140625" customWidth="1"/>
    <col min="13" max="13" width="10.140625" customWidth="1"/>
  </cols>
  <sheetData>
    <row r="1" spans="1:14" s="9" customFormat="1"/>
    <row r="2" spans="1:14" s="9" customFormat="1"/>
    <row r="3" spans="1:14">
      <c r="A3" t="s">
        <v>78</v>
      </c>
      <c r="C3" s="9" t="s">
        <v>146</v>
      </c>
      <c r="H3" s="9"/>
      <c r="I3" s="9" t="s">
        <v>141</v>
      </c>
      <c r="J3" s="9" t="s">
        <v>143</v>
      </c>
      <c r="K3" s="9" t="s">
        <v>142</v>
      </c>
      <c r="L3" s="9" t="s">
        <v>152</v>
      </c>
      <c r="M3" s="9" t="s">
        <v>144</v>
      </c>
    </row>
    <row r="4" spans="1:14" s="9" customFormat="1">
      <c r="A4" s="9" t="s">
        <v>145</v>
      </c>
      <c r="C4" s="9" t="s">
        <v>149</v>
      </c>
    </row>
    <row r="5" spans="1:14">
      <c r="A5" t="s">
        <v>147</v>
      </c>
      <c r="B5" t="s">
        <v>148</v>
      </c>
      <c r="C5" t="s">
        <v>153</v>
      </c>
      <c r="D5" s="9" t="s">
        <v>150</v>
      </c>
      <c r="E5" s="9" t="s">
        <v>151</v>
      </c>
      <c r="F5" s="9" t="s">
        <v>0</v>
      </c>
      <c r="G5" s="9" t="s">
        <v>1</v>
      </c>
      <c r="I5" s="9"/>
      <c r="J5" s="9">
        <v>32767</v>
      </c>
      <c r="K5" s="9">
        <f>1000/32767</f>
        <v>3.0518509475997192E-2</v>
      </c>
      <c r="L5" s="9">
        <f>J5*K5</f>
        <v>1000</v>
      </c>
      <c r="M5" s="9"/>
      <c r="N5" s="9"/>
    </row>
    <row r="6" spans="1:14">
      <c r="A6">
        <v>391</v>
      </c>
      <c r="B6">
        <v>391</v>
      </c>
      <c r="C6" s="9">
        <v>450</v>
      </c>
      <c r="D6" s="9">
        <f>C6-B6</f>
        <v>59</v>
      </c>
      <c r="E6" s="9">
        <v>76</v>
      </c>
      <c r="F6" s="9">
        <f>B6+D6+(E6/2)</f>
        <v>488</v>
      </c>
      <c r="G6" s="9">
        <f>IF(((F6-A6)*2)&lt;0,0,(F6-A6)*2)</f>
        <v>194</v>
      </c>
      <c r="I6" s="9"/>
      <c r="J6" s="9">
        <v>11350</v>
      </c>
      <c r="K6" s="9">
        <f t="shared" ref="K6:K9" si="0">1000/32767</f>
        <v>3.0518509475997192E-2</v>
      </c>
      <c r="L6" s="9">
        <f t="shared" ref="L6:L9" si="1">J6*K6</f>
        <v>346.38508255256812</v>
      </c>
      <c r="M6" s="9">
        <v>425</v>
      </c>
      <c r="N6" s="9">
        <f>M6-L6</f>
        <v>78.614917447431878</v>
      </c>
    </row>
    <row r="7" spans="1:14">
      <c r="A7">
        <v>391</v>
      </c>
      <c r="B7">
        <v>391</v>
      </c>
      <c r="C7" s="9">
        <v>450</v>
      </c>
      <c r="D7" s="9">
        <f>C7-B7</f>
        <v>59</v>
      </c>
      <c r="E7" s="9">
        <v>76</v>
      </c>
      <c r="F7" s="9">
        <f>C7+(E7/2)</f>
        <v>488</v>
      </c>
      <c r="G7" s="9">
        <f>IF(((F7-(A7+D7))*2)&lt;0,0,(F7-(A7+D7))*2)</f>
        <v>76</v>
      </c>
      <c r="I7" s="9"/>
      <c r="J7" s="9">
        <v>12830</v>
      </c>
      <c r="K7" s="9">
        <f t="shared" si="0"/>
        <v>3.0518509475997192E-2</v>
      </c>
      <c r="L7" s="9">
        <f t="shared" si="1"/>
        <v>391.55247657704399</v>
      </c>
      <c r="M7" s="9">
        <v>450</v>
      </c>
      <c r="N7" s="9">
        <f>M7-L7</f>
        <v>58.44752342295601</v>
      </c>
    </row>
    <row r="8" spans="1:14">
      <c r="A8">
        <v>298</v>
      </c>
      <c r="B8">
        <f>340</f>
        <v>340</v>
      </c>
      <c r="C8" s="9">
        <f t="shared" ref="C8:D9" si="2">IF(((B8-A8)*2)&lt;0,0,(B8-A8)*2)</f>
        <v>84</v>
      </c>
      <c r="D8" s="9">
        <f t="shared" si="2"/>
        <v>0</v>
      </c>
      <c r="E8" s="9">
        <v>76</v>
      </c>
      <c r="F8" s="9">
        <f>IF(((B8-A8)*2)&lt;0,0,(B8-A8)*2)</f>
        <v>84</v>
      </c>
      <c r="G8" s="9">
        <f>IF(((B8-A8)*2)&lt;0,0,(B8-A8)*2)</f>
        <v>84</v>
      </c>
      <c r="I8" s="9"/>
      <c r="J8" s="9">
        <v>7830</v>
      </c>
      <c r="K8" s="9">
        <f t="shared" si="0"/>
        <v>3.0518509475997192E-2</v>
      </c>
      <c r="L8" s="9">
        <f t="shared" si="1"/>
        <v>238.95992919705802</v>
      </c>
      <c r="M8" s="9"/>
      <c r="N8" s="9"/>
    </row>
    <row r="9" spans="1:14">
      <c r="A9" s="9">
        <v>1000</v>
      </c>
      <c r="B9" s="9">
        <f>340</f>
        <v>340</v>
      </c>
      <c r="C9" s="9">
        <f t="shared" si="2"/>
        <v>0</v>
      </c>
      <c r="D9" s="9">
        <f t="shared" si="2"/>
        <v>0</v>
      </c>
      <c r="E9" s="9">
        <v>76</v>
      </c>
      <c r="F9" s="9">
        <f>IF(((B9-A9)*2)&lt;0,0,(B9-A9)*2)</f>
        <v>0</v>
      </c>
      <c r="G9" s="9">
        <f>IF(((B9-A9)*2)&lt;0,0,(B9-A9)*2)</f>
        <v>0</v>
      </c>
      <c r="I9" s="9"/>
      <c r="J9" s="9"/>
      <c r="K9" s="9">
        <f t="shared" si="0"/>
        <v>3.0518509475997192E-2</v>
      </c>
      <c r="L9" s="9">
        <f t="shared" si="1"/>
        <v>0</v>
      </c>
      <c r="M9" s="9"/>
      <c r="N9" s="9"/>
    </row>
    <row r="12" spans="1:14">
      <c r="B12" t="s">
        <v>82</v>
      </c>
    </row>
    <row r="14" spans="1:14">
      <c r="A14" s="9" t="s">
        <v>86</v>
      </c>
      <c r="B14" s="9" t="s">
        <v>85</v>
      </c>
      <c r="C14" s="9" t="s">
        <v>80</v>
      </c>
      <c r="D14" s="9" t="s">
        <v>81</v>
      </c>
      <c r="E14" s="9" t="s">
        <v>79</v>
      </c>
      <c r="F14" s="9"/>
    </row>
    <row r="15" spans="1:14">
      <c r="A15" s="9">
        <v>5</v>
      </c>
      <c r="B15" s="9">
        <v>995</v>
      </c>
      <c r="C15" s="9">
        <v>300</v>
      </c>
      <c r="D15" s="9">
        <v>76</v>
      </c>
      <c r="E15" s="9">
        <f t="shared" ref="E15:E17" si="3">IF(OR((C15&gt;B15),(C15&lt;A15)),0,C15+(D15/2))</f>
        <v>338</v>
      </c>
    </row>
    <row r="16" spans="1:14">
      <c r="A16" s="9">
        <v>5</v>
      </c>
      <c r="B16" s="9">
        <v>995</v>
      </c>
      <c r="C16" s="9">
        <v>302</v>
      </c>
      <c r="D16" s="9">
        <v>76</v>
      </c>
      <c r="E16" s="9">
        <f t="shared" si="3"/>
        <v>340</v>
      </c>
    </row>
    <row r="17" spans="1:7">
      <c r="A17" s="9">
        <v>5</v>
      </c>
      <c r="B17" s="9">
        <v>995</v>
      </c>
      <c r="C17" s="9">
        <v>800</v>
      </c>
      <c r="D17" s="9">
        <v>76</v>
      </c>
      <c r="E17" s="9">
        <f t="shared" si="3"/>
        <v>838</v>
      </c>
    </row>
    <row r="18" spans="1:7">
      <c r="A18" s="9">
        <v>5</v>
      </c>
      <c r="B18" s="9">
        <v>995</v>
      </c>
      <c r="C18" s="9">
        <v>2</v>
      </c>
      <c r="D18" s="9">
        <v>76</v>
      </c>
      <c r="E18" s="9">
        <f>IF(OR((C18&gt;B18),(C18&lt;A18)),0,C18+(D18/2))</f>
        <v>0</v>
      </c>
    </row>
    <row r="19" spans="1:7">
      <c r="A19" s="9">
        <v>5</v>
      </c>
      <c r="B19" s="9">
        <v>995</v>
      </c>
      <c r="C19" s="9">
        <v>5</v>
      </c>
      <c r="D19" s="9">
        <v>76</v>
      </c>
      <c r="E19" s="9">
        <f>IF(OR((C19&gt;B19),(C19&lt;A19)),0,C19+(D19/2))</f>
        <v>43</v>
      </c>
    </row>
    <row r="20" spans="1:7">
      <c r="A20" s="9">
        <v>5</v>
      </c>
      <c r="B20" s="9">
        <v>995</v>
      </c>
      <c r="C20" s="9">
        <v>995</v>
      </c>
      <c r="D20" s="9">
        <v>76</v>
      </c>
      <c r="E20" s="9">
        <f>IF(OR((C20&gt;B20),(C20&lt;A20)),0,C20+(D20/2))</f>
        <v>1033</v>
      </c>
    </row>
    <row r="21" spans="1:7">
      <c r="A21" s="9">
        <v>5</v>
      </c>
      <c r="B21" s="9">
        <v>995</v>
      </c>
      <c r="C21" s="9">
        <v>996</v>
      </c>
      <c r="D21" s="9">
        <v>76</v>
      </c>
      <c r="E21" s="9">
        <f>IF(OR((C21&gt;B21),(C21&lt;A21)),0,C21+(D21/2))</f>
        <v>0</v>
      </c>
    </row>
    <row r="24" spans="1:7">
      <c r="A24" t="s">
        <v>87</v>
      </c>
    </row>
    <row r="25" spans="1:7">
      <c r="B25" t="s">
        <v>96</v>
      </c>
    </row>
    <row r="26" spans="1:7" s="9" customFormat="1">
      <c r="A26" s="9" t="s">
        <v>97</v>
      </c>
      <c r="B26" s="9" t="s">
        <v>95</v>
      </c>
    </row>
    <row r="27" spans="1:7" s="9" customFormat="1">
      <c r="A27" s="9" t="s">
        <v>98</v>
      </c>
      <c r="B27" s="9" t="s">
        <v>101</v>
      </c>
    </row>
    <row r="28" spans="1:7" s="9" customFormat="1">
      <c r="A28" s="9" t="s">
        <v>99</v>
      </c>
      <c r="B28" s="9" t="s">
        <v>100</v>
      </c>
    </row>
    <row r="30" spans="1:7">
      <c r="A30" t="s">
        <v>93</v>
      </c>
      <c r="B30" t="s">
        <v>88</v>
      </c>
      <c r="C30" t="s">
        <v>90</v>
      </c>
      <c r="D30" s="9" t="s">
        <v>89</v>
      </c>
      <c r="E30" t="s">
        <v>92</v>
      </c>
      <c r="F30" t="s">
        <v>91</v>
      </c>
      <c r="G30" t="s">
        <v>94</v>
      </c>
    </row>
    <row r="31" spans="1:7">
      <c r="A31">
        <v>100000</v>
      </c>
      <c r="B31">
        <f t="shared" ref="B31:B36" si="4">A31*(60/1000000)</f>
        <v>6</v>
      </c>
      <c r="C31">
        <f t="shared" ref="C31:C36" si="5">A31*(1/1000000)</f>
        <v>9.9999999999999992E-2</v>
      </c>
      <c r="D31">
        <v>300</v>
      </c>
      <c r="E31">
        <f t="shared" ref="E31:E36" si="6">(D31/1000)*PI()</f>
        <v>0.94247779607693793</v>
      </c>
      <c r="F31">
        <f t="shared" ref="F31:F36" si="7">(C31)/(PI()*(D31/1000))</f>
        <v>0.10610329539459688</v>
      </c>
      <c r="G31" s="9">
        <f t="shared" ref="G31:G36" si="8">((A31/1)/(PI()*(D31/1)))*1</f>
        <v>106.1032953945969</v>
      </c>
    </row>
    <row r="32" spans="1:7">
      <c r="A32" s="9">
        <v>100000</v>
      </c>
      <c r="B32" s="9">
        <f t="shared" si="4"/>
        <v>6</v>
      </c>
      <c r="C32" s="9">
        <f t="shared" si="5"/>
        <v>9.9999999999999992E-2</v>
      </c>
      <c r="D32" s="9">
        <f>1000/PI()</f>
        <v>318.3098861837907</v>
      </c>
      <c r="E32" s="9">
        <f t="shared" si="6"/>
        <v>1</v>
      </c>
      <c r="F32" s="9">
        <f t="shared" si="7"/>
        <v>9.9999999999999992E-2</v>
      </c>
      <c r="G32">
        <f t="shared" si="8"/>
        <v>100</v>
      </c>
    </row>
    <row r="33" spans="1:7">
      <c r="A33" s="9">
        <v>100000</v>
      </c>
      <c r="B33" s="9">
        <f t="shared" si="4"/>
        <v>6</v>
      </c>
      <c r="C33" s="9">
        <f t="shared" si="5"/>
        <v>9.9999999999999992E-2</v>
      </c>
      <c r="D33" s="9">
        <f>1000/PI()</f>
        <v>318.3098861837907</v>
      </c>
      <c r="E33" s="9">
        <f t="shared" si="6"/>
        <v>1</v>
      </c>
      <c r="F33" s="9">
        <f t="shared" si="7"/>
        <v>9.9999999999999992E-2</v>
      </c>
      <c r="G33" s="9">
        <f t="shared" si="8"/>
        <v>100</v>
      </c>
    </row>
    <row r="34" spans="1:7" s="9" customFormat="1">
      <c r="A34" s="9">
        <v>416666.7</v>
      </c>
      <c r="B34" s="9">
        <f t="shared" si="4"/>
        <v>25.000002000000002</v>
      </c>
      <c r="C34" s="9">
        <f t="shared" si="5"/>
        <v>0.4166667</v>
      </c>
      <c r="D34" s="9">
        <v>76</v>
      </c>
      <c r="E34" s="9">
        <f t="shared" si="6"/>
        <v>0.23876104167282428</v>
      </c>
      <c r="F34" s="9">
        <f t="shared" si="7"/>
        <v>1.7451201296523113</v>
      </c>
      <c r="G34" s="9">
        <f t="shared" si="8"/>
        <v>1745.1201296523113</v>
      </c>
    </row>
    <row r="35" spans="1:7" s="9" customFormat="1">
      <c r="A35" s="9">
        <v>2000000</v>
      </c>
      <c r="B35" s="9">
        <f t="shared" si="4"/>
        <v>120</v>
      </c>
      <c r="C35" s="9">
        <f t="shared" si="5"/>
        <v>2</v>
      </c>
      <c r="D35" s="9">
        <v>76</v>
      </c>
      <c r="E35" s="9">
        <f t="shared" si="6"/>
        <v>0.23876104167282428</v>
      </c>
      <c r="F35" s="9">
        <f t="shared" si="7"/>
        <v>8.3765759522050178</v>
      </c>
      <c r="G35" s="9">
        <f t="shared" si="8"/>
        <v>8376.5759522050193</v>
      </c>
    </row>
    <row r="36" spans="1:7">
      <c r="A36" s="9">
        <v>830000</v>
      </c>
      <c r="B36" s="9">
        <f t="shared" si="4"/>
        <v>49.800000000000004</v>
      </c>
      <c r="C36" s="9">
        <f t="shared" si="5"/>
        <v>0.83</v>
      </c>
      <c r="D36" s="9">
        <v>76</v>
      </c>
      <c r="E36" s="9">
        <f t="shared" si="6"/>
        <v>0.23876104167282428</v>
      </c>
      <c r="F36" s="9">
        <f t="shared" si="7"/>
        <v>3.4762790201650824</v>
      </c>
      <c r="G36" s="9">
        <f t="shared" si="8"/>
        <v>3476.2790201650828</v>
      </c>
    </row>
    <row r="39" spans="1:7">
      <c r="A39" t="s">
        <v>115</v>
      </c>
      <c r="B39">
        <v>1</v>
      </c>
    </row>
    <row r="40" spans="1:7">
      <c r="A40" s="9" t="s">
        <v>114</v>
      </c>
      <c r="B40">
        <f>B39*1000000/60</f>
        <v>16666.666666666668</v>
      </c>
    </row>
    <row r="41" spans="1:7">
      <c r="A41" t="s">
        <v>117</v>
      </c>
      <c r="B41">
        <v>10000</v>
      </c>
    </row>
    <row r="42" spans="1:7">
      <c r="A42" t="s">
        <v>116</v>
      </c>
      <c r="B42">
        <f>B40*(B41/1000000)</f>
        <v>166.66666666666669</v>
      </c>
    </row>
    <row r="45" spans="1:7">
      <c r="A45" t="s">
        <v>186</v>
      </c>
      <c r="B45">
        <v>2000</v>
      </c>
      <c r="C45" s="9">
        <v>800</v>
      </c>
      <c r="D45" s="9">
        <v>800</v>
      </c>
      <c r="E45" s="9">
        <v>800</v>
      </c>
      <c r="F45" s="9">
        <v>800</v>
      </c>
      <c r="G45" s="9">
        <v>800</v>
      </c>
    </row>
    <row r="46" spans="1:7">
      <c r="A46" s="9" t="s">
        <v>187</v>
      </c>
      <c r="B46">
        <v>400</v>
      </c>
      <c r="C46" s="9">
        <v>0</v>
      </c>
      <c r="D46" s="9">
        <v>400</v>
      </c>
      <c r="E46" s="9">
        <v>400</v>
      </c>
      <c r="F46" s="9">
        <v>400</v>
      </c>
      <c r="G46" s="9">
        <v>400</v>
      </c>
    </row>
    <row r="47" spans="1:7">
      <c r="A47" t="s">
        <v>196</v>
      </c>
      <c r="B47">
        <v>3</v>
      </c>
      <c r="C47" s="9">
        <v>1</v>
      </c>
      <c r="D47" s="9">
        <v>5</v>
      </c>
      <c r="E47">
        <v>5</v>
      </c>
      <c r="F47" s="9">
        <v>3</v>
      </c>
      <c r="G47" s="9">
        <v>3.5</v>
      </c>
    </row>
    <row r="48" spans="1:7">
      <c r="A48" t="s">
        <v>188</v>
      </c>
      <c r="B48">
        <f>B47*B45+B46</f>
        <v>6400</v>
      </c>
      <c r="C48" s="9">
        <f t="shared" ref="C48:E48" si="9">C47*C45+C46</f>
        <v>800</v>
      </c>
      <c r="D48" s="9">
        <f t="shared" si="9"/>
        <v>4400</v>
      </c>
      <c r="E48" s="9">
        <f t="shared" si="9"/>
        <v>4400</v>
      </c>
      <c r="F48" s="9">
        <f t="shared" ref="F48:G48" si="10">F47*F45+F46</f>
        <v>2800</v>
      </c>
      <c r="G48" s="9">
        <f t="shared" si="10"/>
        <v>3200</v>
      </c>
    </row>
    <row r="49" spans="1:7">
      <c r="C49" s="9"/>
      <c r="D49" s="9"/>
      <c r="F49" s="9"/>
      <c r="G49" s="9"/>
    </row>
    <row r="50" spans="1:7">
      <c r="A50" t="s">
        <v>189</v>
      </c>
      <c r="B50">
        <v>40</v>
      </c>
      <c r="C50" s="9">
        <v>120</v>
      </c>
      <c r="D50" s="9">
        <v>12</v>
      </c>
      <c r="E50" s="9">
        <v>20</v>
      </c>
      <c r="F50" s="9">
        <v>20</v>
      </c>
      <c r="G50" s="9">
        <v>20</v>
      </c>
    </row>
    <row r="51" spans="1:7">
      <c r="A51" s="9" t="s">
        <v>190</v>
      </c>
      <c r="B51">
        <f t="shared" ref="B51:G51" si="11">B50*1000/60</f>
        <v>666.66666666666663</v>
      </c>
      <c r="C51" s="9">
        <f t="shared" si="11"/>
        <v>2000</v>
      </c>
      <c r="D51" s="9">
        <f t="shared" si="11"/>
        <v>200</v>
      </c>
      <c r="E51" s="9">
        <f t="shared" si="11"/>
        <v>333.33333333333331</v>
      </c>
      <c r="F51" s="9">
        <f t="shared" si="11"/>
        <v>333.33333333333331</v>
      </c>
      <c r="G51" s="9">
        <f t="shared" si="11"/>
        <v>333.33333333333331</v>
      </c>
    </row>
    <row r="52" spans="1:7">
      <c r="C52" s="9"/>
      <c r="D52" s="9"/>
      <c r="E52" s="9"/>
      <c r="F52" s="9"/>
      <c r="G52" s="9"/>
    </row>
    <row r="53" spans="1:7">
      <c r="A53" t="s">
        <v>191</v>
      </c>
      <c r="B53">
        <f t="shared" ref="B53:G53" si="12">B51*B48/1000</f>
        <v>4266.6666666666661</v>
      </c>
      <c r="C53" s="9">
        <f t="shared" si="12"/>
        <v>1600</v>
      </c>
      <c r="D53" s="9">
        <f t="shared" si="12"/>
        <v>880</v>
      </c>
      <c r="E53" s="9">
        <f t="shared" si="12"/>
        <v>1466.6666666666665</v>
      </c>
      <c r="F53" s="9">
        <f t="shared" si="12"/>
        <v>933.33333333333326</v>
      </c>
      <c r="G53" s="9">
        <f t="shared" si="12"/>
        <v>1066.6666666666665</v>
      </c>
    </row>
    <row r="54" spans="1:7">
      <c r="D54" s="9"/>
      <c r="E54" s="9"/>
      <c r="F54" s="9"/>
      <c r="G54" s="9"/>
    </row>
    <row r="55" spans="1:7">
      <c r="A55" t="s">
        <v>192</v>
      </c>
      <c r="B55">
        <f t="shared" ref="B55:G55" si="13">B51*1000</f>
        <v>666666.66666666663</v>
      </c>
      <c r="C55" s="9">
        <f t="shared" si="13"/>
        <v>2000000</v>
      </c>
      <c r="D55" s="9">
        <f t="shared" si="13"/>
        <v>200000</v>
      </c>
      <c r="E55" s="9">
        <f t="shared" si="13"/>
        <v>333333.33333333331</v>
      </c>
      <c r="F55" s="9">
        <f t="shared" si="13"/>
        <v>333333.33333333331</v>
      </c>
      <c r="G55" s="9">
        <f t="shared" si="13"/>
        <v>333333.33333333331</v>
      </c>
    </row>
    <row r="56" spans="1:7">
      <c r="A56" t="s">
        <v>193</v>
      </c>
      <c r="B56" t="s">
        <v>194</v>
      </c>
      <c r="D56" s="9"/>
      <c r="E56" s="9"/>
      <c r="F56" s="9"/>
      <c r="G56" s="9"/>
    </row>
    <row r="57" spans="1:7">
      <c r="A57" t="s">
        <v>195</v>
      </c>
      <c r="B57">
        <f t="shared" ref="B57:G57" si="14">B55*(B48/1000000)</f>
        <v>4266.666666666667</v>
      </c>
      <c r="C57" s="9">
        <f t="shared" si="14"/>
        <v>1600</v>
      </c>
      <c r="D57" s="9">
        <f t="shared" si="14"/>
        <v>880</v>
      </c>
      <c r="E57" s="9">
        <f t="shared" si="14"/>
        <v>1466.6666666666667</v>
      </c>
      <c r="F57" s="9">
        <f t="shared" si="14"/>
        <v>933.33333333333326</v>
      </c>
      <c r="G57" s="9">
        <f t="shared" si="14"/>
        <v>1066.6666666666667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C37"/>
  <sheetViews>
    <sheetView workbookViewId="0">
      <selection activeCell="E15" sqref="E15"/>
    </sheetView>
  </sheetViews>
  <sheetFormatPr defaultColWidth="11.42578125" defaultRowHeight="15"/>
  <cols>
    <col min="1" max="1" width="32.28515625" customWidth="1"/>
  </cols>
  <sheetData>
    <row r="4" spans="1:3">
      <c r="A4" t="s">
        <v>243</v>
      </c>
      <c r="B4">
        <v>22</v>
      </c>
      <c r="C4">
        <v>35</v>
      </c>
    </row>
    <row r="5" spans="1:3">
      <c r="A5" t="s">
        <v>105</v>
      </c>
      <c r="B5">
        <f>B4*25.4</f>
        <v>558.79999999999995</v>
      </c>
      <c r="C5" s="9">
        <f>C4*25.4</f>
        <v>889</v>
      </c>
    </row>
    <row r="6" spans="1:3" s="9" customFormat="1">
      <c r="A6" s="9" t="s">
        <v>166</v>
      </c>
      <c r="B6" s="9">
        <v>180</v>
      </c>
      <c r="C6" s="9">
        <v>305</v>
      </c>
    </row>
    <row r="7" spans="1:3">
      <c r="A7" t="s">
        <v>242</v>
      </c>
      <c r="B7">
        <f>0.9549*3.175</f>
        <v>3.0318074999999998</v>
      </c>
      <c r="C7" s="9">
        <f>0.9549*3.175</f>
        <v>3.0318074999999998</v>
      </c>
    </row>
    <row r="8" spans="1:3" s="9" customFormat="1">
      <c r="A8" s="9" t="s">
        <v>105</v>
      </c>
      <c r="B8" s="9">
        <f>B6*B7</f>
        <v>545.72534999999993</v>
      </c>
      <c r="C8" s="9">
        <f>C6*C7</f>
        <v>924.70128749999992</v>
      </c>
    </row>
    <row r="10" spans="1:3">
      <c r="A10" t="s">
        <v>189</v>
      </c>
      <c r="B10">
        <v>200</v>
      </c>
      <c r="C10">
        <v>200</v>
      </c>
    </row>
    <row r="12" spans="1:3">
      <c r="A12" s="9" t="s">
        <v>244</v>
      </c>
      <c r="B12">
        <f>(B10*1000/60)/B5</f>
        <v>5.9651634454784066</v>
      </c>
      <c r="C12" s="9">
        <f>(C10*1000/60)/C5</f>
        <v>3.7495313085864268</v>
      </c>
    </row>
    <row r="14" spans="1:3">
      <c r="A14" t="s">
        <v>245</v>
      </c>
      <c r="B14">
        <v>5000</v>
      </c>
      <c r="C14" s="9">
        <v>5000</v>
      </c>
    </row>
    <row r="15" spans="1:3">
      <c r="A15" t="s">
        <v>246</v>
      </c>
      <c r="B15">
        <f>B12*B14</f>
        <v>29825.817227392032</v>
      </c>
      <c r="C15" s="9">
        <f>C12*C14</f>
        <v>18747.656542932134</v>
      </c>
    </row>
    <row r="17" spans="1:3">
      <c r="A17" t="s">
        <v>247</v>
      </c>
      <c r="B17">
        <f>B12*B5</f>
        <v>3333.3333333333335</v>
      </c>
      <c r="C17" s="9">
        <f>C12*C5</f>
        <v>3333.3333333333335</v>
      </c>
    </row>
    <row r="19" spans="1:3">
      <c r="A19" t="s">
        <v>248</v>
      </c>
      <c r="B19">
        <f>B17/B14</f>
        <v>0.66666666666666674</v>
      </c>
      <c r="C19" s="9">
        <f>C17/C14</f>
        <v>0.66666666666666674</v>
      </c>
    </row>
    <row r="21" spans="1:3">
      <c r="A21" t="s">
        <v>249</v>
      </c>
      <c r="B21">
        <v>175</v>
      </c>
      <c r="C21">
        <v>175</v>
      </c>
    </row>
    <row r="22" spans="1:3">
      <c r="A22" t="s">
        <v>250</v>
      </c>
      <c r="B22">
        <f>B21*1000</f>
        <v>175000</v>
      </c>
      <c r="C22" s="9">
        <f>C21*1000</f>
        <v>175000</v>
      </c>
    </row>
    <row r="23" spans="1:3">
      <c r="A23" t="s">
        <v>251</v>
      </c>
      <c r="B23">
        <f>B21/B19</f>
        <v>262.49999999999994</v>
      </c>
      <c r="C23" s="9">
        <f>C21/C19</f>
        <v>262.49999999999994</v>
      </c>
    </row>
    <row r="25" spans="1:3">
      <c r="B25">
        <f>B5/B21</f>
        <v>3.1931428571428571</v>
      </c>
    </row>
    <row r="26" spans="1:3">
      <c r="B26">
        <f>B23*B25</f>
        <v>838.19999999999982</v>
      </c>
    </row>
    <row r="28" spans="1:3">
      <c r="B28" t="s">
        <v>83</v>
      </c>
      <c r="C28" t="s">
        <v>40</v>
      </c>
    </row>
    <row r="29" spans="1:3">
      <c r="A29" t="s">
        <v>189</v>
      </c>
      <c r="B29">
        <v>200</v>
      </c>
      <c r="C29" s="9">
        <v>200</v>
      </c>
    </row>
    <row r="30" spans="1:3">
      <c r="A30" t="s">
        <v>256</v>
      </c>
      <c r="B30">
        <v>250</v>
      </c>
      <c r="C30" s="9">
        <v>250</v>
      </c>
    </row>
    <row r="31" spans="1:3">
      <c r="A31" s="9" t="s">
        <v>233</v>
      </c>
      <c r="B31" s="9">
        <v>2</v>
      </c>
      <c r="C31" s="9">
        <v>2</v>
      </c>
    </row>
    <row r="32" spans="1:3">
      <c r="A32" t="s">
        <v>252</v>
      </c>
      <c r="B32">
        <f>B31*B30</f>
        <v>500</v>
      </c>
      <c r="C32" s="9">
        <f>C31*C30</f>
        <v>500</v>
      </c>
    </row>
    <row r="33" spans="1:3">
      <c r="A33" t="s">
        <v>253</v>
      </c>
      <c r="B33">
        <f>(B32/(B29*1000/60))*1000</f>
        <v>150</v>
      </c>
      <c r="C33" s="9">
        <f>(C32/(C29*1000/60))*1000</f>
        <v>150</v>
      </c>
    </row>
    <row r="34" spans="1:3">
      <c r="A34" t="s">
        <v>255</v>
      </c>
      <c r="B34">
        <v>5000</v>
      </c>
      <c r="C34" s="9">
        <v>5000</v>
      </c>
    </row>
    <row r="35" spans="1:3" s="9" customFormat="1">
      <c r="A35" s="9" t="s">
        <v>251</v>
      </c>
      <c r="B35" s="9">
        <f>B34/B31</f>
        <v>2500</v>
      </c>
      <c r="C35" s="9">
        <f>C34/C31</f>
        <v>2500</v>
      </c>
    </row>
    <row r="36" spans="1:3" s="9" customFormat="1">
      <c r="A36" s="9" t="s">
        <v>250</v>
      </c>
      <c r="B36" s="9">
        <f>B30*1000</f>
        <v>250000</v>
      </c>
      <c r="C36" s="9">
        <f>C30*1000</f>
        <v>250000</v>
      </c>
    </row>
    <row r="37" spans="1:3">
      <c r="A37" t="s">
        <v>254</v>
      </c>
      <c r="B37">
        <f>(1/(B33/1000))*B34</f>
        <v>33333.333333333336</v>
      </c>
      <c r="C37" s="9">
        <f>(1/(C33/1000))*C34</f>
        <v>33333.333333333336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92"/>
  <sheetViews>
    <sheetView workbookViewId="0">
      <selection activeCell="F26" sqref="F26"/>
    </sheetView>
  </sheetViews>
  <sheetFormatPr defaultColWidth="9.140625" defaultRowHeight="15"/>
  <cols>
    <col min="1" max="1" width="32.28515625" customWidth="1"/>
    <col min="2" max="2" width="21.7109375" customWidth="1"/>
    <col min="3" max="3" width="16.5703125" customWidth="1"/>
    <col min="4" max="4" width="17.7109375" customWidth="1"/>
    <col min="6" max="6" width="22.42578125" customWidth="1"/>
    <col min="8" max="8" width="15.7109375" customWidth="1"/>
    <col min="10" max="10" width="10" bestFit="1" customWidth="1"/>
  </cols>
  <sheetData>
    <row r="2" spans="1:9">
      <c r="A2" t="s">
        <v>68</v>
      </c>
      <c r="B2">
        <f>POWER(2,25)</f>
        <v>33554432</v>
      </c>
    </row>
    <row r="4" spans="1:9">
      <c r="A4" t="s">
        <v>69</v>
      </c>
      <c r="B4">
        <v>10</v>
      </c>
    </row>
    <row r="5" spans="1:9">
      <c r="A5" t="s">
        <v>72</v>
      </c>
      <c r="B5">
        <f>B4*B2</f>
        <v>335544320</v>
      </c>
      <c r="I5">
        <f>1280</f>
        <v>1280</v>
      </c>
    </row>
    <row r="6" spans="1:9">
      <c r="A6" s="9" t="s">
        <v>70</v>
      </c>
      <c r="B6">
        <v>13978486</v>
      </c>
      <c r="I6">
        <f>I5/2</f>
        <v>640</v>
      </c>
    </row>
    <row r="7" spans="1:9">
      <c r="H7" t="s">
        <v>112</v>
      </c>
      <c r="I7">
        <v>370</v>
      </c>
    </row>
    <row r="8" spans="1:9">
      <c r="A8" t="s">
        <v>71</v>
      </c>
      <c r="B8">
        <f>B6+B5</f>
        <v>349522806</v>
      </c>
      <c r="H8" t="s">
        <v>113</v>
      </c>
      <c r="I8">
        <f>I6-(I7/2)</f>
        <v>455</v>
      </c>
    </row>
    <row r="10" spans="1:9">
      <c r="A10" t="s">
        <v>73</v>
      </c>
      <c r="B10">
        <f>B8/B2</f>
        <v>10.416591346263885</v>
      </c>
    </row>
    <row r="13" spans="1:9">
      <c r="A13" s="9" t="s">
        <v>88</v>
      </c>
      <c r="B13">
        <v>120</v>
      </c>
      <c r="C13" s="9">
        <v>120</v>
      </c>
      <c r="D13" s="9">
        <v>120</v>
      </c>
    </row>
    <row r="14" spans="1:9">
      <c r="A14" t="s">
        <v>90</v>
      </c>
      <c r="B14">
        <f>B13/60</f>
        <v>2</v>
      </c>
      <c r="C14" s="9">
        <f>C13/60</f>
        <v>2</v>
      </c>
      <c r="D14" s="9">
        <f>D13/60</f>
        <v>2</v>
      </c>
    </row>
    <row r="15" spans="1:9">
      <c r="A15" t="s">
        <v>103</v>
      </c>
      <c r="B15">
        <v>2</v>
      </c>
      <c r="C15" s="9">
        <v>0.4</v>
      </c>
      <c r="D15" s="9">
        <v>0.01</v>
      </c>
    </row>
    <row r="16" spans="1:9">
      <c r="A16" s="9" t="s">
        <v>102</v>
      </c>
      <c r="B16">
        <f>B14*1000*(B15/1000)</f>
        <v>4</v>
      </c>
      <c r="C16" s="9">
        <f>C14*1000*(C15/1000)</f>
        <v>0.8</v>
      </c>
      <c r="D16" s="9">
        <f>D14*1000*(D15/1000)</f>
        <v>0.02</v>
      </c>
    </row>
    <row r="19" spans="1:8">
      <c r="A19" t="s">
        <v>104</v>
      </c>
      <c r="B19" s="8" t="s">
        <v>108</v>
      </c>
      <c r="C19" t="s">
        <v>39</v>
      </c>
      <c r="D19" s="9" t="s">
        <v>111</v>
      </c>
      <c r="H19">
        <v>0.78854999999999997</v>
      </c>
    </row>
    <row r="20" spans="1:8">
      <c r="A20" t="s">
        <v>109</v>
      </c>
      <c r="B20">
        <f>POWER(2,23)</f>
        <v>8388608</v>
      </c>
      <c r="C20" s="9">
        <f>POWER(2,14)</f>
        <v>16384</v>
      </c>
      <c r="D20" s="9">
        <f>POWER(2,14)</f>
        <v>16384</v>
      </c>
      <c r="H20">
        <v>0.27609</v>
      </c>
    </row>
    <row r="21" spans="1:8">
      <c r="A21" t="s">
        <v>110</v>
      </c>
      <c r="B21">
        <f>(1/B20)</f>
        <v>1.1920928955078125E-7</v>
      </c>
      <c r="C21" s="9">
        <f>(1/C20)</f>
        <v>6.103515625E-5</v>
      </c>
      <c r="D21" s="9">
        <f>(1/D20)</f>
        <v>6.103515625E-5</v>
      </c>
      <c r="H21">
        <v>1.7389999999999999E-2</v>
      </c>
    </row>
    <row r="22" spans="1:8">
      <c r="A22" t="s">
        <v>6</v>
      </c>
      <c r="B22">
        <v>80</v>
      </c>
      <c r="C22" s="9">
        <v>18</v>
      </c>
      <c r="D22" s="9">
        <v>484</v>
      </c>
      <c r="H22">
        <f>SUM(H19:H21)</f>
        <v>1.08203</v>
      </c>
    </row>
    <row r="23" spans="1:8">
      <c r="A23" t="s">
        <v>7</v>
      </c>
      <c r="B23">
        <v>1000</v>
      </c>
      <c r="C23" s="9">
        <v>125</v>
      </c>
      <c r="D23" s="9">
        <v>3600</v>
      </c>
    </row>
    <row r="24" spans="1:8">
      <c r="A24" t="s">
        <v>106</v>
      </c>
      <c r="B24">
        <v>202.126667</v>
      </c>
      <c r="C24" s="9">
        <v>80.849999999999994</v>
      </c>
      <c r="D24" s="9">
        <v>800</v>
      </c>
    </row>
    <row r="25" spans="1:8">
      <c r="A25" t="s">
        <v>105</v>
      </c>
      <c r="B25">
        <f>PI()*B24</f>
        <v>634.99965214179042</v>
      </c>
      <c r="C25" s="9">
        <f>PI()*C24</f>
        <v>253.99776604273475</v>
      </c>
      <c r="D25" s="9">
        <f>PI()*D24</f>
        <v>2513.2741228718346</v>
      </c>
      <c r="H25">
        <v>2362</v>
      </c>
    </row>
    <row r="26" spans="1:8">
      <c r="A26" t="s">
        <v>107</v>
      </c>
      <c r="B26">
        <f>B25*B21*(B22/B23)*1000</f>
        <v>6.0558285917452857E-3</v>
      </c>
      <c r="C26" s="9">
        <f>C25*C21*(C22/C23)*1000</f>
        <v>2.2324022406099733</v>
      </c>
      <c r="D26" s="9">
        <f>D25*D21*(D22/D23)*1000</f>
        <v>20.62351948157362</v>
      </c>
      <c r="H26">
        <v>12.5</v>
      </c>
    </row>
    <row r="27" spans="1:8">
      <c r="H27">
        <f>H25/H26</f>
        <v>188.96</v>
      </c>
    </row>
    <row r="30" spans="1:8">
      <c r="B30" t="s">
        <v>138</v>
      </c>
      <c r="C30" t="s">
        <v>139</v>
      </c>
      <c r="D30" t="s">
        <v>140</v>
      </c>
    </row>
    <row r="31" spans="1:8">
      <c r="A31" t="s">
        <v>133</v>
      </c>
      <c r="B31">
        <f>1000000/60</f>
        <v>16666.666666666668</v>
      </c>
      <c r="C31" s="9">
        <f>1000000/60</f>
        <v>16666.666666666668</v>
      </c>
      <c r="D31" s="9">
        <f>1000000/60</f>
        <v>16666.666666666668</v>
      </c>
    </row>
    <row r="32" spans="1:8" s="9" customFormat="1">
      <c r="A32" s="9" t="s">
        <v>137</v>
      </c>
      <c r="B32" s="9">
        <v>0.2</v>
      </c>
      <c r="C32" s="9">
        <v>0.2</v>
      </c>
      <c r="D32" s="9">
        <v>1.2</v>
      </c>
    </row>
    <row r="33" spans="1:4">
      <c r="A33" t="s">
        <v>134</v>
      </c>
      <c r="B33">
        <v>18000</v>
      </c>
      <c r="C33" s="9">
        <v>18000</v>
      </c>
      <c r="D33" s="9">
        <f>1.8*B31</f>
        <v>30000.000000000004</v>
      </c>
    </row>
    <row r="34" spans="1:4" s="9" customFormat="1">
      <c r="B34" s="9">
        <f>(B33+B31)+(B32*B31)</f>
        <v>38000.000000000007</v>
      </c>
      <c r="C34" s="9">
        <f>(C33+C31)+(C32*C31)</f>
        <v>38000.000000000007</v>
      </c>
      <c r="D34" s="9">
        <f>(D33)+(D32*D31)</f>
        <v>50000</v>
      </c>
    </row>
    <row r="35" spans="1:4">
      <c r="B35">
        <f>B34/B31</f>
        <v>2.2800000000000002</v>
      </c>
      <c r="C35" s="9">
        <f>C34/C31</f>
        <v>2.2800000000000002</v>
      </c>
      <c r="D35" s="9">
        <f>D34/D31</f>
        <v>3</v>
      </c>
    </row>
    <row r="36" spans="1:4">
      <c r="A36" t="s">
        <v>136</v>
      </c>
      <c r="B36">
        <f>ROUNDDOWN(B35,0)*1000000/60</f>
        <v>33333.333333333336</v>
      </c>
      <c r="C36" s="9">
        <f>ROUNDDOWN(C35,0)*1000000/60</f>
        <v>33333.333333333336</v>
      </c>
      <c r="D36" s="9">
        <f>ROUNDDOWN(D35,0)*1000000/60</f>
        <v>50000</v>
      </c>
    </row>
    <row r="37" spans="1:4">
      <c r="A37" s="9" t="s">
        <v>135</v>
      </c>
      <c r="B37" s="9">
        <f>B36*(60/1000000)</f>
        <v>2</v>
      </c>
      <c r="C37" s="9">
        <f>C36*(60/1000000)</f>
        <v>2</v>
      </c>
      <c r="D37" s="9">
        <f>D36*(60/1000000)</f>
        <v>3</v>
      </c>
    </row>
    <row r="41" spans="1:4">
      <c r="A41" t="s">
        <v>156</v>
      </c>
      <c r="B41">
        <v>27.306000000000001</v>
      </c>
      <c r="C41" s="9">
        <v>27.306000000000001</v>
      </c>
      <c r="D41" s="9">
        <v>27.306000000000001</v>
      </c>
    </row>
    <row r="42" spans="1:4">
      <c r="A42" t="s">
        <v>154</v>
      </c>
      <c r="B42">
        <v>508</v>
      </c>
      <c r="C42" s="9">
        <v>254</v>
      </c>
      <c r="D42" s="9">
        <v>254</v>
      </c>
    </row>
    <row r="43" spans="1:4">
      <c r="A43" t="s">
        <v>155</v>
      </c>
      <c r="B43">
        <f>B41/B42</f>
        <v>5.3751968503937007E-2</v>
      </c>
      <c r="C43" s="9">
        <f>C41/C42</f>
        <v>0.10750393700787401</v>
      </c>
      <c r="D43" s="9">
        <f>D41/D42</f>
        <v>0.10750393700787401</v>
      </c>
    </row>
    <row r="44" spans="1:4">
      <c r="A44" t="s">
        <v>65</v>
      </c>
      <c r="B44">
        <v>10</v>
      </c>
      <c r="C44">
        <v>5</v>
      </c>
      <c r="D44" s="9">
        <v>6.9444400000000002</v>
      </c>
    </row>
    <row r="45" spans="1:4">
      <c r="A45" t="s">
        <v>155</v>
      </c>
      <c r="B45">
        <f>B43*B44</f>
        <v>0.53751968503937009</v>
      </c>
      <c r="C45" s="9">
        <f>C43*C44</f>
        <v>0.53751968503937009</v>
      </c>
      <c r="D45" s="9">
        <f>D43*D44</f>
        <v>0.74655464031496066</v>
      </c>
    </row>
    <row r="47" spans="1:4">
      <c r="A47" t="s">
        <v>175</v>
      </c>
    </row>
    <row r="48" spans="1:4" s="9" customFormat="1">
      <c r="A48" s="9" t="s">
        <v>182</v>
      </c>
      <c r="B48" s="9">
        <f>4*1000000/60</f>
        <v>66666.666666666672</v>
      </c>
    </row>
    <row r="49" spans="1:10">
      <c r="A49" t="s">
        <v>176</v>
      </c>
      <c r="B49">
        <v>414</v>
      </c>
    </row>
    <row r="50" spans="1:10">
      <c r="A50" t="s">
        <v>177</v>
      </c>
      <c r="B50">
        <v>200</v>
      </c>
    </row>
    <row r="51" spans="1:10">
      <c r="A51" t="s">
        <v>164</v>
      </c>
      <c r="B51">
        <v>311</v>
      </c>
    </row>
    <row r="52" spans="1:10">
      <c r="A52" t="s">
        <v>178</v>
      </c>
      <c r="B52">
        <f>B51/B49</f>
        <v>0.75120772946859904</v>
      </c>
    </row>
    <row r="53" spans="1:10">
      <c r="A53" s="9" t="s">
        <v>179</v>
      </c>
      <c r="B53">
        <f>B51/B50</f>
        <v>1.5549999999999999</v>
      </c>
    </row>
    <row r="54" spans="1:10">
      <c r="A54" t="s">
        <v>180</v>
      </c>
      <c r="B54">
        <f>IF(OR(B52&lt;1,B53&lt;1),IF(B52&lt;1,B52,B53),1)</f>
        <v>0.75120772946859904</v>
      </c>
    </row>
    <row r="55" spans="1:10">
      <c r="A55" t="s">
        <v>181</v>
      </c>
      <c r="B55">
        <f>B54*B48</f>
        <v>50080.515297906604</v>
      </c>
    </row>
    <row r="56" spans="1:10">
      <c r="A56" t="s">
        <v>183</v>
      </c>
      <c r="B56">
        <f>ROUNDDOWN(B55*60/1000000,0)</f>
        <v>3</v>
      </c>
    </row>
    <row r="57" spans="1:10">
      <c r="A57" t="s">
        <v>184</v>
      </c>
      <c r="B57">
        <f>B56*1000000/60</f>
        <v>50000</v>
      </c>
    </row>
    <row r="61" spans="1:10">
      <c r="B61">
        <v>6.9999999999999999E-4</v>
      </c>
      <c r="C61" s="9">
        <v>6.9999999999999999E-4</v>
      </c>
      <c r="D61" s="9">
        <v>10</v>
      </c>
      <c r="E61" s="9">
        <v>1</v>
      </c>
      <c r="F61" s="9">
        <v>10</v>
      </c>
      <c r="G61" s="9">
        <v>100</v>
      </c>
      <c r="H61" s="9">
        <v>100</v>
      </c>
      <c r="I61" s="9">
        <v>100</v>
      </c>
      <c r="J61" s="9">
        <v>100</v>
      </c>
    </row>
    <row r="62" spans="1:10">
      <c r="B62">
        <v>10.8</v>
      </c>
      <c r="C62" s="9">
        <v>0</v>
      </c>
      <c r="D62" s="9">
        <v>10.8</v>
      </c>
      <c r="E62" s="9">
        <v>10.8</v>
      </c>
      <c r="F62" s="9">
        <v>-10.8</v>
      </c>
      <c r="G62" s="9">
        <v>10.8</v>
      </c>
      <c r="H62" s="9">
        <v>-10.8</v>
      </c>
      <c r="I62" s="9">
        <v>50.8</v>
      </c>
      <c r="J62" s="9">
        <v>40</v>
      </c>
    </row>
    <row r="63" spans="1:10">
      <c r="C63" s="9"/>
      <c r="D63" s="9"/>
      <c r="E63" s="9"/>
      <c r="F63" s="9"/>
      <c r="G63" s="9"/>
      <c r="H63" s="9"/>
      <c r="I63" s="9"/>
      <c r="J63" s="9"/>
    </row>
    <row r="64" spans="1:10">
      <c r="B64">
        <f t="shared" ref="B64:J64" si="0">(B61-B62)/B61</f>
        <v>-15427.571428571429</v>
      </c>
      <c r="C64" s="9">
        <f t="shared" si="0"/>
        <v>1</v>
      </c>
      <c r="D64" s="9">
        <f t="shared" si="0"/>
        <v>-8.0000000000000071E-2</v>
      </c>
      <c r="E64" s="9">
        <f t="shared" si="0"/>
        <v>-9.8000000000000007</v>
      </c>
      <c r="F64" s="9">
        <f t="shared" si="0"/>
        <v>2.08</v>
      </c>
      <c r="G64" s="9">
        <f t="shared" si="0"/>
        <v>0.89200000000000002</v>
      </c>
      <c r="H64" s="9">
        <f t="shared" si="0"/>
        <v>1.1079999999999999</v>
      </c>
      <c r="I64" s="9">
        <f t="shared" si="0"/>
        <v>0.49200000000000005</v>
      </c>
      <c r="J64" s="9">
        <f t="shared" si="0"/>
        <v>0.6</v>
      </c>
    </row>
    <row r="68" spans="1:10">
      <c r="A68" t="s">
        <v>209</v>
      </c>
      <c r="B68" s="9" t="s">
        <v>209</v>
      </c>
      <c r="C68" t="s">
        <v>210</v>
      </c>
      <c r="D68" t="s">
        <v>211</v>
      </c>
      <c r="F68" t="s">
        <v>212</v>
      </c>
    </row>
    <row r="69" spans="1:10">
      <c r="B69">
        <v>989866</v>
      </c>
    </row>
    <row r="70" spans="1:10">
      <c r="B70">
        <v>1301016</v>
      </c>
      <c r="C70">
        <f>B70-B69</f>
        <v>311150</v>
      </c>
      <c r="D70">
        <v>1301014</v>
      </c>
    </row>
    <row r="71" spans="1:10">
      <c r="B71">
        <v>1612166</v>
      </c>
      <c r="C71" s="9">
        <f>B71-B70</f>
        <v>311150</v>
      </c>
      <c r="D71">
        <v>1612164</v>
      </c>
      <c r="E71" s="9">
        <f>D71-D70</f>
        <v>311150</v>
      </c>
      <c r="F71">
        <v>24680000</v>
      </c>
    </row>
    <row r="72" spans="1:10">
      <c r="B72">
        <v>1923316</v>
      </c>
      <c r="C72" s="9">
        <f>B72-B71</f>
        <v>311150</v>
      </c>
      <c r="D72" s="9">
        <v>1923314</v>
      </c>
      <c r="E72" s="9">
        <f>D72-D71</f>
        <v>311150</v>
      </c>
      <c r="F72">
        <v>28874561</v>
      </c>
      <c r="G72" s="9">
        <f>F72-F71</f>
        <v>4194561</v>
      </c>
      <c r="H72">
        <f>POWER(2,25)</f>
        <v>33554432</v>
      </c>
      <c r="I72">
        <v>6</v>
      </c>
      <c r="J72">
        <f>I72*H72+G72</f>
        <v>205521153</v>
      </c>
    </row>
    <row r="77" spans="1:10">
      <c r="A77" t="s">
        <v>215</v>
      </c>
      <c r="B77">
        <v>1000</v>
      </c>
    </row>
    <row r="78" spans="1:10">
      <c r="A78" s="9" t="s">
        <v>214</v>
      </c>
      <c r="B78">
        <f>PI()*B77</f>
        <v>3141.5926535897929</v>
      </c>
    </row>
    <row r="79" spans="1:10" s="9" customFormat="1">
      <c r="A79" s="9" t="s">
        <v>226</v>
      </c>
      <c r="B79" s="9">
        <v>78</v>
      </c>
    </row>
    <row r="80" spans="1:10" s="9" customFormat="1">
      <c r="A80" s="9" t="s">
        <v>227</v>
      </c>
      <c r="B80" s="9">
        <f>PI()*B79</f>
        <v>245.04422698000386</v>
      </c>
    </row>
    <row r="81" spans="1:2">
      <c r="A81" t="s">
        <v>216</v>
      </c>
      <c r="B81">
        <v>200</v>
      </c>
    </row>
    <row r="82" spans="1:2">
      <c r="A82" t="s">
        <v>217</v>
      </c>
      <c r="B82">
        <v>78</v>
      </c>
    </row>
    <row r="83" spans="1:2">
      <c r="A83" t="s">
        <v>218</v>
      </c>
      <c r="B83">
        <f>((B77/2)-(B82/2))/(B81/1000)</f>
        <v>2305</v>
      </c>
    </row>
    <row r="84" spans="1:2">
      <c r="A84" t="s">
        <v>219</v>
      </c>
      <c r="B84">
        <f>B78*B83</f>
        <v>7241371.066524473</v>
      </c>
    </row>
    <row r="85" spans="1:2">
      <c r="A85" t="s">
        <v>220</v>
      </c>
      <c r="B85">
        <v>150</v>
      </c>
    </row>
    <row r="86" spans="1:2">
      <c r="A86" t="s">
        <v>221</v>
      </c>
      <c r="B86">
        <f>(B84/1000)/B85</f>
        <v>48.275807110163157</v>
      </c>
    </row>
    <row r="88" spans="1:2">
      <c r="A88" t="s">
        <v>65</v>
      </c>
      <c r="B88">
        <v>10</v>
      </c>
    </row>
    <row r="89" spans="1:2">
      <c r="A89" t="s">
        <v>224</v>
      </c>
      <c r="B89">
        <f>(B85/60)*1000/B78*B88</f>
        <v>7.9577471545947676</v>
      </c>
    </row>
    <row r="90" spans="1:2">
      <c r="A90" t="s">
        <v>225</v>
      </c>
      <c r="B90">
        <f>B89*60</f>
        <v>477.46482927568604</v>
      </c>
    </row>
    <row r="91" spans="1:2">
      <c r="A91" s="9" t="s">
        <v>222</v>
      </c>
      <c r="B91" s="9">
        <f>(B85/60)*1000/B80*B88</f>
        <v>102.02239941788163</v>
      </c>
    </row>
    <row r="92" spans="1:2">
      <c r="A92" s="9" t="s">
        <v>223</v>
      </c>
      <c r="B92" s="9">
        <f>B91*60</f>
        <v>6121.3439650728978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K80"/>
  <sheetViews>
    <sheetView topLeftCell="A31" workbookViewId="0">
      <selection activeCell="K11" sqref="K11"/>
    </sheetView>
  </sheetViews>
  <sheetFormatPr defaultColWidth="11.42578125" defaultRowHeight="15"/>
  <cols>
    <col min="1" max="1" width="6.140625" customWidth="1"/>
    <col min="2" max="2" width="22.85546875" customWidth="1"/>
    <col min="3" max="3" width="17.5703125" style="9" customWidth="1"/>
    <col min="4" max="4" width="19.85546875" customWidth="1"/>
    <col min="5" max="5" width="15.5703125" customWidth="1"/>
    <col min="6" max="6" width="15.5703125" style="9" customWidth="1"/>
    <col min="8" max="8" width="16" customWidth="1"/>
  </cols>
  <sheetData>
    <row r="1" spans="2:11" s="9" customFormat="1">
      <c r="B1" s="9" t="s">
        <v>240</v>
      </c>
      <c r="C1" s="9">
        <v>670000</v>
      </c>
      <c r="D1" s="9">
        <v>670000</v>
      </c>
      <c r="E1" s="9">
        <v>670000</v>
      </c>
      <c r="F1" s="9">
        <v>670000</v>
      </c>
      <c r="G1" s="9">
        <v>670000</v>
      </c>
      <c r="H1" s="9">
        <v>670000</v>
      </c>
      <c r="I1" s="9">
        <v>670000</v>
      </c>
    </row>
    <row r="2" spans="2:11">
      <c r="B2" t="s">
        <v>234</v>
      </c>
      <c r="C2" s="9">
        <v>681000</v>
      </c>
      <c r="D2" s="9">
        <v>681000</v>
      </c>
      <c r="E2" s="9">
        <v>681000</v>
      </c>
      <c r="F2" s="9">
        <v>681000</v>
      </c>
      <c r="G2" s="9">
        <v>681000</v>
      </c>
      <c r="H2" s="9">
        <v>681000</v>
      </c>
      <c r="I2" s="9">
        <v>680000</v>
      </c>
    </row>
    <row r="3" spans="2:11">
      <c r="B3" t="s">
        <v>233</v>
      </c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9">
        <v>4</v>
      </c>
    </row>
    <row r="4" spans="2:11" s="9" customFormat="1">
      <c r="B4" s="9" t="s">
        <v>235</v>
      </c>
      <c r="C4" s="9">
        <f t="shared" ref="C4:I4" si="0">C2/C3</f>
        <v>170250</v>
      </c>
      <c r="D4" s="9">
        <f t="shared" si="0"/>
        <v>170250</v>
      </c>
      <c r="E4" s="9">
        <f t="shared" si="0"/>
        <v>170250</v>
      </c>
      <c r="F4" s="9">
        <f t="shared" si="0"/>
        <v>170250</v>
      </c>
      <c r="G4" s="9">
        <f t="shared" si="0"/>
        <v>170250</v>
      </c>
      <c r="H4" s="9">
        <f t="shared" si="0"/>
        <v>170250</v>
      </c>
      <c r="I4" s="9">
        <f t="shared" si="0"/>
        <v>170000</v>
      </c>
    </row>
    <row r="5" spans="2:11">
      <c r="B5" t="s">
        <v>229</v>
      </c>
      <c r="C5" s="9">
        <v>650000</v>
      </c>
      <c r="D5" s="9">
        <v>600000</v>
      </c>
      <c r="E5" s="9">
        <v>650000</v>
      </c>
      <c r="F5" s="9">
        <v>60000</v>
      </c>
      <c r="G5" s="9">
        <v>10000</v>
      </c>
      <c r="H5" s="9">
        <v>10000</v>
      </c>
      <c r="I5" s="9">
        <v>10000</v>
      </c>
      <c r="K5" s="9"/>
    </row>
    <row r="6" spans="2:11">
      <c r="B6" t="s">
        <v>230</v>
      </c>
      <c r="C6" s="9">
        <v>600000</v>
      </c>
      <c r="D6" s="9">
        <v>650000</v>
      </c>
      <c r="E6" s="9">
        <v>10000</v>
      </c>
      <c r="F6" s="9">
        <v>10000</v>
      </c>
      <c r="G6" s="9">
        <v>160000</v>
      </c>
      <c r="H6" s="9">
        <v>160000</v>
      </c>
      <c r="I6" s="9">
        <v>160000</v>
      </c>
    </row>
    <row r="7" spans="2:11" s="9" customFormat="1">
      <c r="B7" s="9" t="s">
        <v>236</v>
      </c>
      <c r="C7" s="9">
        <f>C6-C5</f>
        <v>-50000</v>
      </c>
      <c r="D7" s="9">
        <f t="shared" ref="D7:I7" si="1">D6-D5</f>
        <v>50000</v>
      </c>
      <c r="E7" s="9">
        <f t="shared" si="1"/>
        <v>-640000</v>
      </c>
      <c r="F7" s="9">
        <f t="shared" si="1"/>
        <v>-50000</v>
      </c>
      <c r="G7" s="9">
        <f t="shared" si="1"/>
        <v>150000</v>
      </c>
      <c r="H7" s="9">
        <f t="shared" si="1"/>
        <v>150000</v>
      </c>
      <c r="I7" s="9">
        <f t="shared" si="1"/>
        <v>150000</v>
      </c>
    </row>
    <row r="8" spans="2:11">
      <c r="B8" t="s">
        <v>241</v>
      </c>
      <c r="C8" s="9">
        <f t="shared" ref="C8:I8" si="2">MOD((C6-C5),C4)</f>
        <v>120250</v>
      </c>
      <c r="D8" s="9">
        <f t="shared" si="2"/>
        <v>50000</v>
      </c>
      <c r="E8" s="9">
        <f t="shared" si="2"/>
        <v>41000</v>
      </c>
      <c r="F8" s="9">
        <f t="shared" si="2"/>
        <v>120250</v>
      </c>
      <c r="G8" s="9">
        <f t="shared" si="2"/>
        <v>150000</v>
      </c>
      <c r="H8" s="9">
        <f t="shared" si="2"/>
        <v>150000</v>
      </c>
      <c r="I8" s="9">
        <f t="shared" si="2"/>
        <v>150000</v>
      </c>
    </row>
    <row r="9" spans="2:11">
      <c r="B9" s="9" t="s">
        <v>232</v>
      </c>
      <c r="C9" s="9">
        <f t="shared" ref="C9:I9" si="3">C8+(C2/C3)</f>
        <v>290500</v>
      </c>
      <c r="D9" s="9">
        <f t="shared" si="3"/>
        <v>220250</v>
      </c>
      <c r="E9" s="9">
        <f t="shared" si="3"/>
        <v>211250</v>
      </c>
      <c r="F9" s="9">
        <f t="shared" si="3"/>
        <v>290500</v>
      </c>
      <c r="G9" s="9">
        <f t="shared" si="3"/>
        <v>320250</v>
      </c>
      <c r="H9" s="9">
        <f t="shared" si="3"/>
        <v>320250</v>
      </c>
      <c r="I9" s="9">
        <f t="shared" si="3"/>
        <v>320000</v>
      </c>
      <c r="J9" s="9"/>
      <c r="K9" s="9"/>
    </row>
    <row r="10" spans="2:11">
      <c r="B10" t="s">
        <v>231</v>
      </c>
      <c r="C10" s="9">
        <f t="shared" ref="C10:I10" si="4">MOD((C6+C5)/2,C4)</f>
        <v>114250</v>
      </c>
      <c r="D10" s="9">
        <f t="shared" si="4"/>
        <v>114250</v>
      </c>
      <c r="E10" s="9">
        <f t="shared" si="4"/>
        <v>159750</v>
      </c>
      <c r="F10" s="9">
        <f t="shared" si="4"/>
        <v>35000</v>
      </c>
      <c r="G10" s="9">
        <f t="shared" si="4"/>
        <v>85000</v>
      </c>
      <c r="H10" s="9">
        <f t="shared" si="4"/>
        <v>85000</v>
      </c>
      <c r="I10" s="9">
        <f t="shared" si="4"/>
        <v>85000</v>
      </c>
      <c r="J10" s="9"/>
      <c r="K10" s="9"/>
    </row>
    <row r="11" spans="2:11">
      <c r="B11" t="s">
        <v>164</v>
      </c>
      <c r="C11" s="9">
        <f>C1/C3</f>
        <v>167500</v>
      </c>
      <c r="D11" s="9">
        <f t="shared" ref="D11:F11" si="5">D1/D3</f>
        <v>167500</v>
      </c>
      <c r="E11" s="9">
        <f t="shared" si="5"/>
        <v>167500</v>
      </c>
      <c r="F11" s="9">
        <f t="shared" si="5"/>
        <v>167500</v>
      </c>
      <c r="G11" s="9">
        <f t="shared" ref="G11:H11" si="6">G1/G3</f>
        <v>167500</v>
      </c>
      <c r="H11" s="9">
        <f t="shared" si="6"/>
        <v>167500</v>
      </c>
      <c r="I11" s="9">
        <f t="shared" ref="I11" si="7">I1/I3</f>
        <v>167500</v>
      </c>
    </row>
    <row r="12" spans="2:11">
      <c r="B12" t="s">
        <v>239</v>
      </c>
      <c r="C12" s="9">
        <f>C4</f>
        <v>170250</v>
      </c>
      <c r="D12" s="9">
        <f t="shared" ref="D12:F12" si="8">D4</f>
        <v>170250</v>
      </c>
      <c r="E12" s="9">
        <f t="shared" si="8"/>
        <v>170250</v>
      </c>
      <c r="F12" s="9">
        <f t="shared" si="8"/>
        <v>170250</v>
      </c>
      <c r="G12" s="9">
        <f t="shared" ref="G12:H12" si="9">G4</f>
        <v>170250</v>
      </c>
      <c r="H12" s="9">
        <f t="shared" si="9"/>
        <v>170250</v>
      </c>
      <c r="I12" s="9">
        <f t="shared" ref="I12" si="10">I4</f>
        <v>170000</v>
      </c>
    </row>
    <row r="13" spans="2:11">
      <c r="B13" s="9" t="s">
        <v>237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50</v>
      </c>
      <c r="I13" s="9">
        <v>100</v>
      </c>
    </row>
    <row r="14" spans="2:11">
      <c r="B14" t="s">
        <v>238</v>
      </c>
      <c r="C14" s="9">
        <f>C8*(1+(C13/100)*((C11/C12)-1))</f>
        <v>120250</v>
      </c>
      <c r="D14" s="9">
        <f t="shared" ref="D14:I14" si="11">D8*(1+(D13/100)*((D11/D12)-1))</f>
        <v>50000</v>
      </c>
      <c r="E14" s="9">
        <f t="shared" si="11"/>
        <v>41000</v>
      </c>
      <c r="F14" s="9">
        <f t="shared" si="11"/>
        <v>120250</v>
      </c>
      <c r="G14" s="9">
        <f t="shared" si="11"/>
        <v>150000</v>
      </c>
      <c r="H14" s="9">
        <f t="shared" si="11"/>
        <v>148788.5462555066</v>
      </c>
      <c r="I14" s="9">
        <f t="shared" si="11"/>
        <v>147794.11764705883</v>
      </c>
    </row>
    <row r="15" spans="2:11">
      <c r="H15" s="9"/>
      <c r="I15" s="9"/>
    </row>
    <row r="16" spans="2:11">
      <c r="H16" s="9"/>
      <c r="I16" s="9"/>
    </row>
    <row r="17" spans="2:9">
      <c r="B17" s="9"/>
      <c r="H17" s="9"/>
      <c r="I17" s="9"/>
    </row>
    <row r="19" spans="2:9">
      <c r="B19" t="s">
        <v>166</v>
      </c>
      <c r="C19" s="9">
        <v>120</v>
      </c>
      <c r="D19" s="9">
        <v>120</v>
      </c>
      <c r="E19" s="9">
        <v>120</v>
      </c>
      <c r="F19" s="9">
        <v>120</v>
      </c>
      <c r="G19" s="9">
        <v>120</v>
      </c>
      <c r="H19" s="9">
        <v>120</v>
      </c>
    </row>
    <row r="20" spans="2:9">
      <c r="B20" t="s">
        <v>167</v>
      </c>
      <c r="C20" s="9">
        <v>3.1749999999999998</v>
      </c>
      <c r="D20" s="9">
        <v>3.1749999999999998</v>
      </c>
      <c r="E20" s="9">
        <v>3.1749999999999998</v>
      </c>
      <c r="F20" s="9">
        <v>3.1749999999999998</v>
      </c>
      <c r="G20" s="9">
        <v>3.1749999999999998</v>
      </c>
      <c r="H20" s="9">
        <v>3.1749999999999998</v>
      </c>
    </row>
    <row r="21" spans="2:9">
      <c r="D21" s="9"/>
      <c r="E21" s="9"/>
      <c r="H21" s="9"/>
    </row>
    <row r="22" spans="2:9">
      <c r="B22" t="s">
        <v>157</v>
      </c>
      <c r="C22" s="9">
        <v>117.6</v>
      </c>
      <c r="D22" s="9">
        <v>299</v>
      </c>
      <c r="E22" s="9">
        <v>342</v>
      </c>
      <c r="F22" s="9">
        <v>253</v>
      </c>
      <c r="G22" s="9">
        <v>179</v>
      </c>
      <c r="H22" s="9">
        <v>93</v>
      </c>
    </row>
    <row r="23" spans="2:9">
      <c r="B23" t="s">
        <v>164</v>
      </c>
      <c r="C23" s="9">
        <v>311</v>
      </c>
      <c r="D23" s="9">
        <v>311</v>
      </c>
      <c r="E23" s="9">
        <v>311</v>
      </c>
      <c r="F23" s="9">
        <v>311</v>
      </c>
      <c r="G23" s="9">
        <v>311</v>
      </c>
      <c r="H23" s="9">
        <v>311</v>
      </c>
    </row>
    <row r="24" spans="2:9">
      <c r="B24" t="s">
        <v>165</v>
      </c>
      <c r="C24" s="9">
        <f t="shared" ref="C24:H24" si="12">C19*C20</f>
        <v>381</v>
      </c>
      <c r="D24" s="9">
        <f t="shared" si="12"/>
        <v>381</v>
      </c>
      <c r="E24" s="9">
        <f t="shared" si="12"/>
        <v>381</v>
      </c>
      <c r="F24" s="9">
        <f t="shared" si="12"/>
        <v>381</v>
      </c>
      <c r="G24" s="9">
        <f t="shared" si="12"/>
        <v>381</v>
      </c>
      <c r="H24" s="9">
        <f t="shared" si="12"/>
        <v>381</v>
      </c>
    </row>
    <row r="25" spans="2:9">
      <c r="B25" t="s">
        <v>158</v>
      </c>
      <c r="C25" s="9">
        <f t="shared" ref="C25:H25" si="13">C22*C23/C24</f>
        <v>95.993700787401565</v>
      </c>
      <c r="D25" s="9">
        <f t="shared" si="13"/>
        <v>244.06561679790028</v>
      </c>
      <c r="E25" s="9">
        <f t="shared" si="13"/>
        <v>279.16535433070868</v>
      </c>
      <c r="F25" s="9">
        <f t="shared" si="13"/>
        <v>206.51706036745406</v>
      </c>
      <c r="G25" s="9">
        <f t="shared" si="13"/>
        <v>146.11286089238845</v>
      </c>
      <c r="H25" s="9">
        <f t="shared" si="13"/>
        <v>75.913385826771659</v>
      </c>
    </row>
    <row r="26" spans="2:9">
      <c r="D26" s="9"/>
      <c r="E26" s="9"/>
      <c r="G26" s="9"/>
      <c r="H26" s="9"/>
    </row>
    <row r="27" spans="2:9">
      <c r="B27" t="s">
        <v>159</v>
      </c>
      <c r="D27" s="9"/>
      <c r="E27" s="9"/>
      <c r="G27" s="9"/>
      <c r="H27" s="9"/>
    </row>
    <row r="28" spans="2:9" s="9" customFormat="1">
      <c r="B28" s="9" t="s">
        <v>161</v>
      </c>
      <c r="C28" s="9">
        <v>311</v>
      </c>
      <c r="D28" s="9">
        <v>311</v>
      </c>
      <c r="E28" s="9">
        <v>311</v>
      </c>
      <c r="F28" s="9">
        <v>311</v>
      </c>
      <c r="G28" s="9">
        <v>311</v>
      </c>
      <c r="H28" s="9">
        <v>311</v>
      </c>
    </row>
    <row r="29" spans="2:9">
      <c r="B29" t="s">
        <v>168</v>
      </c>
      <c r="C29" s="9">
        <v>235</v>
      </c>
      <c r="D29" s="9">
        <v>235</v>
      </c>
      <c r="E29" s="9">
        <v>235</v>
      </c>
      <c r="F29" s="9">
        <v>235</v>
      </c>
      <c r="G29" s="9">
        <v>235</v>
      </c>
      <c r="H29" s="9">
        <v>235</v>
      </c>
    </row>
    <row r="30" spans="2:9">
      <c r="D30" s="9"/>
      <c r="E30" s="9"/>
      <c r="G30" s="9"/>
      <c r="H30" s="9"/>
    </row>
    <row r="31" spans="2:9">
      <c r="B31" t="s">
        <v>160</v>
      </c>
      <c r="C31" s="9">
        <f t="shared" ref="C31:H31" si="14">C28-C29</f>
        <v>76</v>
      </c>
      <c r="D31" s="9">
        <f t="shared" si="14"/>
        <v>76</v>
      </c>
      <c r="E31" s="9">
        <f t="shared" si="14"/>
        <v>76</v>
      </c>
      <c r="F31" s="9">
        <f t="shared" si="14"/>
        <v>76</v>
      </c>
      <c r="G31" s="9">
        <f t="shared" si="14"/>
        <v>76</v>
      </c>
      <c r="H31" s="9">
        <f t="shared" si="14"/>
        <v>76</v>
      </c>
    </row>
    <row r="32" spans="2:9">
      <c r="D32" s="9"/>
      <c r="E32" s="9"/>
      <c r="G32" s="9"/>
      <c r="H32" s="9"/>
    </row>
    <row r="33" spans="2:8">
      <c r="B33" t="s">
        <v>162</v>
      </c>
      <c r="C33" s="9">
        <f t="shared" ref="C33:H33" si="15">C31-C25</f>
        <v>-19.993700787401565</v>
      </c>
      <c r="D33" s="9">
        <f t="shared" si="15"/>
        <v>-168.06561679790028</v>
      </c>
      <c r="E33" s="9">
        <f t="shared" si="15"/>
        <v>-203.16535433070868</v>
      </c>
      <c r="F33" s="9">
        <f t="shared" si="15"/>
        <v>-130.51706036745406</v>
      </c>
      <c r="G33" s="9">
        <f t="shared" si="15"/>
        <v>-70.112860892388454</v>
      </c>
      <c r="H33" s="9">
        <f t="shared" si="15"/>
        <v>8.6614173228340974E-2</v>
      </c>
    </row>
    <row r="34" spans="2:8">
      <c r="B34" t="s">
        <v>163</v>
      </c>
      <c r="C34" s="9">
        <f t="shared" ref="C34:H34" si="16">C33*C24/C23</f>
        <v>-24.493890675241143</v>
      </c>
      <c r="D34" s="9">
        <f t="shared" si="16"/>
        <v>-205.89389067524118</v>
      </c>
      <c r="E34" s="9">
        <f t="shared" si="16"/>
        <v>-248.89389067524121</v>
      </c>
      <c r="F34" s="9">
        <f t="shared" si="16"/>
        <v>-159.89389067524115</v>
      </c>
      <c r="G34" s="9">
        <f t="shared" si="16"/>
        <v>-85.893890675241153</v>
      </c>
      <c r="H34" s="9">
        <f t="shared" si="16"/>
        <v>0.10610932475883572</v>
      </c>
    </row>
    <row r="35" spans="2:8">
      <c r="B35" t="s">
        <v>169</v>
      </c>
      <c r="C35" s="9">
        <v>126</v>
      </c>
      <c r="D35">
        <v>103</v>
      </c>
      <c r="E35" s="9">
        <v>244</v>
      </c>
      <c r="F35" s="9">
        <v>98</v>
      </c>
      <c r="G35" s="9">
        <v>109</v>
      </c>
      <c r="H35" s="9">
        <v>53</v>
      </c>
    </row>
    <row r="36" spans="2:8" s="9" customFormat="1">
      <c r="B36" s="9" t="s">
        <v>171</v>
      </c>
      <c r="C36" s="9">
        <v>269</v>
      </c>
      <c r="D36" s="9">
        <v>270</v>
      </c>
      <c r="E36" s="9">
        <v>334</v>
      </c>
      <c r="F36" s="9">
        <v>367</v>
      </c>
      <c r="G36" s="9">
        <v>320</v>
      </c>
      <c r="H36" s="9">
        <v>128</v>
      </c>
    </row>
    <row r="37" spans="2:8" s="9" customFormat="1">
      <c r="B37" s="9" t="s">
        <v>170</v>
      </c>
      <c r="C37" s="9">
        <f t="shared" ref="C37:H37" si="17">C36*C23/C24</f>
        <v>219.57742782152232</v>
      </c>
      <c r="D37" s="9">
        <f t="shared" si="17"/>
        <v>220.39370078740157</v>
      </c>
      <c r="E37" s="9">
        <f t="shared" si="17"/>
        <v>272.63517060367457</v>
      </c>
      <c r="F37" s="9">
        <f t="shared" si="17"/>
        <v>299.57217847769027</v>
      </c>
      <c r="G37" s="9">
        <f t="shared" si="17"/>
        <v>261.20734908136484</v>
      </c>
      <c r="H37" s="9">
        <f t="shared" si="17"/>
        <v>104.48293963254594</v>
      </c>
    </row>
    <row r="38" spans="2:8" s="9" customFormat="1"/>
    <row r="39" spans="2:8">
      <c r="B39" t="s">
        <v>173</v>
      </c>
      <c r="C39" s="9">
        <f>C35+C44</f>
        <v>12.428871391076115</v>
      </c>
      <c r="D39" s="9">
        <f>D35+D44</f>
        <v>-182.45931758530185</v>
      </c>
      <c r="E39" s="9">
        <f>E35+E44</f>
        <v>12.199475065616753</v>
      </c>
      <c r="F39" s="9">
        <f>F37+F33</f>
        <v>169.05511811023621</v>
      </c>
      <c r="G39" s="9">
        <f>G37+G33</f>
        <v>191.09448818897638</v>
      </c>
      <c r="H39" s="9">
        <f>H37+H33</f>
        <v>104.56955380577428</v>
      </c>
    </row>
    <row r="40" spans="2:8">
      <c r="D40" s="9"/>
      <c r="E40" s="9"/>
      <c r="G40" s="9"/>
      <c r="H40" s="9"/>
    </row>
    <row r="41" spans="2:8">
      <c r="B41" s="9" t="s">
        <v>174</v>
      </c>
      <c r="C41" s="9">
        <f t="shared" ref="C41:H41" si="18">(C39*C24)/C23</f>
        <v>15.226366559485529</v>
      </c>
      <c r="D41" s="9">
        <f t="shared" si="18"/>
        <v>-223.52733118971062</v>
      </c>
      <c r="E41" s="9">
        <f t="shared" si="18"/>
        <v>14.945337620578723</v>
      </c>
      <c r="F41" s="9">
        <f t="shared" si="18"/>
        <v>207.10610932475882</v>
      </c>
      <c r="G41" s="9">
        <f t="shared" si="18"/>
        <v>234.10610932475885</v>
      </c>
      <c r="H41" s="9">
        <f t="shared" si="18"/>
        <v>128.10610932475885</v>
      </c>
    </row>
    <row r="42" spans="2:8">
      <c r="E42">
        <f>IF(E41&lt;0,E41+E24,E41)</f>
        <v>14.945337620578723</v>
      </c>
      <c r="F42" s="9">
        <f>IF(F41&lt;0,F41+F24,IF(F41&gt;F24,F41-F24,F41))</f>
        <v>207.10610932475882</v>
      </c>
      <c r="G42" s="9">
        <f>IF(G41&lt;0,G41+G24,IF(G41&gt;G24,G41-G24,G41))</f>
        <v>234.10610932475885</v>
      </c>
      <c r="H42" s="9">
        <f>IF(H41&lt;0,H41+H24,IF(H41&gt;H24,H41-H24,H41))</f>
        <v>128.10610932475885</v>
      </c>
    </row>
    <row r="43" spans="2:8">
      <c r="G43" s="9"/>
      <c r="H43" s="9"/>
    </row>
    <row r="44" spans="2:8">
      <c r="B44" t="s">
        <v>172</v>
      </c>
      <c r="C44" s="9">
        <f>(C35-C37)+C33</f>
        <v>-113.57112860892389</v>
      </c>
      <c r="D44" s="9">
        <f>(D35-D37)+D33</f>
        <v>-285.45931758530185</v>
      </c>
      <c r="E44" s="9">
        <f>(E35-E37)+E33</f>
        <v>-231.80052493438325</v>
      </c>
      <c r="F44" s="9">
        <f>F35-F39</f>
        <v>-71.055118110236208</v>
      </c>
      <c r="G44" s="9">
        <f>G35-G39</f>
        <v>-82.094488188976385</v>
      </c>
      <c r="H44" s="9">
        <f>H35-H39</f>
        <v>-51.569553805774277</v>
      </c>
    </row>
    <row r="45" spans="2:8">
      <c r="D45" s="9"/>
      <c r="E45" s="9"/>
      <c r="G45" s="9"/>
      <c r="H45" s="9"/>
    </row>
    <row r="46" spans="2:8">
      <c r="B46" s="9" t="s">
        <v>169</v>
      </c>
      <c r="F46" s="9">
        <v>68</v>
      </c>
      <c r="G46" s="9">
        <v>68</v>
      </c>
      <c r="H46" s="9">
        <v>68</v>
      </c>
    </row>
    <row r="47" spans="2:8">
      <c r="B47" s="9"/>
      <c r="G47" s="9"/>
      <c r="H47" s="9"/>
    </row>
    <row r="48" spans="2:8">
      <c r="B48" s="9" t="s">
        <v>174</v>
      </c>
      <c r="F48" s="9">
        <f>(F46-F44)*F24/F23</f>
        <v>170.35369774919613</v>
      </c>
      <c r="G48" s="9">
        <f>(G46-G44)*G24/G23</f>
        <v>183.87781350482314</v>
      </c>
      <c r="H48" s="9">
        <f>(H46-H44)*H24/H23</f>
        <v>146.48231511254019</v>
      </c>
    </row>
    <row r="49" spans="2:4">
      <c r="B49" s="9"/>
    </row>
    <row r="52" spans="2:4">
      <c r="B52" t="s">
        <v>197</v>
      </c>
      <c r="C52" s="9">
        <v>7197403</v>
      </c>
      <c r="D52" s="9">
        <v>7827030</v>
      </c>
    </row>
    <row r="53" spans="2:4">
      <c r="B53" t="s">
        <v>198</v>
      </c>
      <c r="C53" s="9">
        <v>7506122</v>
      </c>
      <c r="D53" s="9">
        <v>7918655</v>
      </c>
    </row>
    <row r="54" spans="2:4">
      <c r="B54" t="s">
        <v>199</v>
      </c>
      <c r="C54" s="9">
        <v>235000</v>
      </c>
      <c r="D54" s="9">
        <v>235000</v>
      </c>
    </row>
    <row r="55" spans="2:4">
      <c r="B55" t="s">
        <v>201</v>
      </c>
      <c r="C55" s="9">
        <f>C52+C54</f>
        <v>7432403</v>
      </c>
      <c r="D55" s="9">
        <f>D52+D54</f>
        <v>8062030</v>
      </c>
    </row>
    <row r="56" spans="2:4">
      <c r="D56" s="9"/>
    </row>
    <row r="57" spans="2:4">
      <c r="B57" t="s">
        <v>200</v>
      </c>
      <c r="C57" s="9">
        <v>0</v>
      </c>
      <c r="D57" s="9">
        <v>0</v>
      </c>
    </row>
    <row r="58" spans="2:4">
      <c r="D58" s="9"/>
    </row>
    <row r="59" spans="2:4">
      <c r="B59" s="9" t="s">
        <v>203</v>
      </c>
      <c r="C59" s="9">
        <f>C55-C53</f>
        <v>-73719</v>
      </c>
      <c r="D59" s="9">
        <f>D55-D53</f>
        <v>143375</v>
      </c>
    </row>
    <row r="61" spans="2:4" ht="30">
      <c r="B61" s="38" t="s">
        <v>204</v>
      </c>
      <c r="C61" s="9">
        <v>311150</v>
      </c>
      <c r="D61" s="9">
        <v>311150</v>
      </c>
    </row>
    <row r="62" spans="2:4">
      <c r="B62" t="s">
        <v>202</v>
      </c>
      <c r="C62" s="9">
        <v>1</v>
      </c>
      <c r="D62" s="9">
        <v>1</v>
      </c>
    </row>
    <row r="64" spans="2:4">
      <c r="B64" t="s">
        <v>205</v>
      </c>
      <c r="C64" s="9">
        <f>C61-(C59/C62)</f>
        <v>384869</v>
      </c>
      <c r="D64" s="9">
        <f>D61-(D59/D62)</f>
        <v>167775</v>
      </c>
    </row>
    <row r="66" spans="2:4">
      <c r="B66" s="9" t="s">
        <v>206</v>
      </c>
      <c r="C66" s="9">
        <f>C64-C61</f>
        <v>73719</v>
      </c>
      <c r="D66" s="9">
        <f>D64-D61</f>
        <v>-143375</v>
      </c>
    </row>
    <row r="69" spans="2:4">
      <c r="B69" t="s">
        <v>207</v>
      </c>
      <c r="C69" s="9">
        <v>100</v>
      </c>
    </row>
    <row r="70" spans="2:4">
      <c r="B70" s="9"/>
    </row>
    <row r="71" spans="2:4">
      <c r="B71" s="9" t="s">
        <v>189</v>
      </c>
      <c r="C71" s="9">
        <v>60</v>
      </c>
    </row>
    <row r="72" spans="2:4">
      <c r="B72" s="9" t="s">
        <v>190</v>
      </c>
      <c r="C72" s="9">
        <f t="shared" ref="C72" si="19">C71*1000/60</f>
        <v>1000</v>
      </c>
    </row>
    <row r="73" spans="2:4">
      <c r="B73" s="9"/>
    </row>
    <row r="74" spans="2:4">
      <c r="B74" s="9" t="s">
        <v>191</v>
      </c>
      <c r="C74" s="9">
        <f>C72*C69/1000</f>
        <v>100</v>
      </c>
    </row>
    <row r="75" spans="2:4">
      <c r="B75" s="9"/>
    </row>
    <row r="76" spans="2:4">
      <c r="B76" s="9"/>
    </row>
    <row r="77" spans="2:4">
      <c r="B77" s="9" t="s">
        <v>208</v>
      </c>
      <c r="C77" s="9">
        <v>150</v>
      </c>
    </row>
    <row r="78" spans="2:4">
      <c r="B78" s="9"/>
      <c r="C78" s="9">
        <v>152</v>
      </c>
      <c r="D78">
        <f>C78-C77</f>
        <v>2</v>
      </c>
    </row>
    <row r="79" spans="2:4">
      <c r="C79" s="9">
        <v>311</v>
      </c>
      <c r="D79" s="9">
        <f t="shared" ref="D79:D80" si="20">C79-C78</f>
        <v>159</v>
      </c>
    </row>
    <row r="80" spans="2:4">
      <c r="C80" s="9">
        <v>1</v>
      </c>
      <c r="D80" s="9">
        <f t="shared" si="20"/>
        <v>-310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Units 17.12.12</vt:lpstr>
      <vt:lpstr>Antriebe 17.12.12</vt:lpstr>
      <vt:lpstr>User Units 27.09.12</vt:lpstr>
      <vt:lpstr>Formeln</vt:lpstr>
      <vt:lpstr>Emulation</vt:lpstr>
      <vt:lpstr>Nebenrechnung</vt:lpstr>
      <vt:lpstr>RegMark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2015-03-23T12:09:05Z</dcterms:modified>
</cp:coreProperties>
</file>