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60" windowWidth="16380" windowHeight="8130" tabRatio="211" activeTab="1"/>
  </bookViews>
  <sheets>
    <sheet name="Plan3" sheetId="6" r:id="rId1"/>
    <sheet name="Planilha1" sheetId="1" r:id="rId2"/>
    <sheet name="SETUP" sheetId="2" r:id="rId3"/>
    <sheet name="Planilha3" sheetId="3" r:id="rId4"/>
  </sheets>
  <calcPr calcId="145621"/>
  <pivotCaches>
    <pivotCache cacheId="0" r:id="rId5"/>
  </pivotCaches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H32" i="1"/>
  <c r="J32" i="1"/>
  <c r="N32" i="1"/>
  <c r="O32" i="1" s="1"/>
  <c r="T32" i="1"/>
  <c r="U32" i="1"/>
  <c r="H31" i="1" l="1"/>
  <c r="J31" i="1"/>
  <c r="T31" i="1" s="1"/>
  <c r="N31" i="1"/>
  <c r="O31" i="1" s="1"/>
  <c r="U3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X5" i="1" l="1"/>
  <c r="U2" i="1" l="1"/>
  <c r="U3" i="1"/>
  <c r="U4" i="1"/>
  <c r="U5" i="1"/>
  <c r="V5" i="1" s="1"/>
  <c r="U6" i="1"/>
  <c r="V6" i="1" s="1"/>
  <c r="U7" i="1"/>
  <c r="U8" i="1"/>
  <c r="V8" i="1" s="1"/>
  <c r="U9" i="1"/>
  <c r="U10" i="1"/>
  <c r="U11" i="1"/>
  <c r="U12" i="1"/>
  <c r="U13" i="1"/>
  <c r="V13" i="1" s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I32" i="1" l="1"/>
  <c r="W2" i="1"/>
  <c r="W18" i="1"/>
  <c r="W22" i="1"/>
  <c r="W30" i="1"/>
  <c r="W24" i="1"/>
  <c r="W5" i="1"/>
  <c r="W9" i="1"/>
  <c r="W3" i="1"/>
  <c r="W7" i="1"/>
  <c r="W15" i="1"/>
  <c r="W12" i="1"/>
  <c r="W21" i="1"/>
  <c r="W29" i="1"/>
  <c r="I31" i="1"/>
  <c r="N2" i="1"/>
  <c r="O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T2" i="1"/>
  <c r="T3" i="1"/>
  <c r="T5" i="1"/>
  <c r="T7" i="1"/>
  <c r="T9" i="1"/>
  <c r="T12" i="1"/>
  <c r="T15" i="1"/>
  <c r="T17" i="1"/>
  <c r="T18" i="1"/>
  <c r="T19" i="1"/>
  <c r="T21" i="1"/>
  <c r="T22" i="1"/>
  <c r="T24" i="1"/>
  <c r="T29" i="1"/>
  <c r="T30" i="1"/>
  <c r="J2" i="1"/>
  <c r="J3" i="1"/>
  <c r="J4" i="1"/>
  <c r="T4" i="1" s="1"/>
  <c r="J5" i="1"/>
  <c r="J6" i="1"/>
  <c r="T6" i="1" s="1"/>
  <c r="J7" i="1"/>
  <c r="J8" i="1"/>
  <c r="T8" i="1" s="1"/>
  <c r="J9" i="1"/>
  <c r="J10" i="1"/>
  <c r="T10" i="1" s="1"/>
  <c r="J11" i="1"/>
  <c r="T11" i="1" s="1"/>
  <c r="J12" i="1"/>
  <c r="J13" i="1"/>
  <c r="T13" i="1" s="1"/>
  <c r="J14" i="1"/>
  <c r="T14" i="1" s="1"/>
  <c r="J15" i="1"/>
  <c r="J16" i="1"/>
  <c r="T16" i="1" s="1"/>
  <c r="J17" i="1"/>
  <c r="J18" i="1"/>
  <c r="J19" i="1"/>
  <c r="J20" i="1"/>
  <c r="T20" i="1" s="1"/>
  <c r="J21" i="1"/>
  <c r="J22" i="1"/>
  <c r="J23" i="1"/>
  <c r="T23" i="1" s="1"/>
  <c r="J24" i="1"/>
  <c r="J25" i="1"/>
  <c r="T25" i="1" s="1"/>
  <c r="J26" i="1"/>
  <c r="T26" i="1" s="1"/>
  <c r="J27" i="1"/>
  <c r="T27" i="1" s="1"/>
  <c r="J28" i="1"/>
  <c r="T28" i="1" s="1"/>
  <c r="J29" i="1"/>
  <c r="J30" i="1"/>
  <c r="M32" i="1" l="1"/>
  <c r="AD32" i="1"/>
  <c r="K32" i="1"/>
  <c r="L32" i="1"/>
  <c r="L31" i="1"/>
  <c r="M31" i="1"/>
  <c r="AD31" i="1"/>
  <c r="K31" i="1"/>
  <c r="AD2" i="1"/>
  <c r="AD6" i="1"/>
  <c r="AD10" i="1"/>
  <c r="AD14" i="1"/>
  <c r="AD18" i="1"/>
  <c r="AD22" i="1"/>
  <c r="AD26" i="1"/>
  <c r="AD30" i="1"/>
  <c r="AD4" i="1"/>
  <c r="AD12" i="1"/>
  <c r="AD20" i="1"/>
  <c r="AD28" i="1"/>
  <c r="AD9" i="1"/>
  <c r="AD17" i="1"/>
  <c r="AD25" i="1"/>
  <c r="AD3" i="1"/>
  <c r="AD7" i="1"/>
  <c r="AD11" i="1"/>
  <c r="AD15" i="1"/>
  <c r="AD19" i="1"/>
  <c r="AD23" i="1"/>
  <c r="AD27" i="1"/>
  <c r="AD8" i="1"/>
  <c r="AD16" i="1"/>
  <c r="AD24" i="1"/>
  <c r="AD5" i="1"/>
  <c r="AD13" i="1"/>
  <c r="AD21" i="1"/>
  <c r="AD29" i="1"/>
  <c r="K29" i="1"/>
  <c r="K28" i="1"/>
  <c r="L4" i="1"/>
  <c r="L3" i="1"/>
  <c r="K25" i="1"/>
  <c r="K21" i="1"/>
  <c r="K17" i="1"/>
  <c r="K13" i="1"/>
  <c r="K9" i="1"/>
  <c r="K5" i="1"/>
  <c r="L29" i="1"/>
  <c r="L25" i="1"/>
  <c r="L21" i="1"/>
  <c r="L17" i="1"/>
  <c r="L13" i="1"/>
  <c r="L9" i="1"/>
  <c r="L5" i="1"/>
  <c r="K16" i="1"/>
  <c r="K8" i="1"/>
  <c r="L24" i="1"/>
  <c r="L12" i="1"/>
  <c r="K27" i="1"/>
  <c r="K19" i="1"/>
  <c r="K7" i="1"/>
  <c r="L27" i="1"/>
  <c r="L23" i="1"/>
  <c r="L19" i="1"/>
  <c r="L15" i="1"/>
  <c r="L11" i="1"/>
  <c r="L7" i="1"/>
  <c r="K24" i="1"/>
  <c r="K20" i="1"/>
  <c r="K12" i="1"/>
  <c r="K4" i="1"/>
  <c r="L28" i="1"/>
  <c r="L20" i="1"/>
  <c r="L16" i="1"/>
  <c r="L8" i="1"/>
  <c r="M2" i="1"/>
  <c r="M6" i="1"/>
  <c r="M10" i="1"/>
  <c r="M14" i="1"/>
  <c r="M18" i="1"/>
  <c r="M22" i="1"/>
  <c r="M26" i="1"/>
  <c r="M30" i="1"/>
  <c r="M23" i="1"/>
  <c r="M27" i="1"/>
  <c r="M8" i="1"/>
  <c r="M16" i="1"/>
  <c r="M20" i="1"/>
  <c r="M28" i="1"/>
  <c r="M5" i="1"/>
  <c r="M13" i="1"/>
  <c r="M21" i="1"/>
  <c r="M25" i="1"/>
  <c r="M3" i="1"/>
  <c r="M7" i="1"/>
  <c r="M11" i="1"/>
  <c r="M15" i="1"/>
  <c r="M19" i="1"/>
  <c r="M4" i="1"/>
  <c r="M12" i="1"/>
  <c r="M24" i="1"/>
  <c r="M9" i="1"/>
  <c r="M17" i="1"/>
  <c r="M29" i="1"/>
  <c r="K23" i="1"/>
  <c r="K15" i="1"/>
  <c r="K11" i="1"/>
  <c r="K3" i="1"/>
  <c r="K30" i="1"/>
  <c r="K26" i="1"/>
  <c r="K22" i="1"/>
  <c r="K18" i="1"/>
  <c r="K14" i="1"/>
  <c r="K10" i="1"/>
  <c r="K6" i="1"/>
  <c r="K2" i="1"/>
  <c r="L30" i="1"/>
  <c r="L26" i="1"/>
  <c r="L22" i="1"/>
  <c r="L18" i="1"/>
  <c r="L14" i="1"/>
  <c r="L10" i="1"/>
  <c r="L6" i="1"/>
  <c r="L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Q32" i="1" l="1"/>
  <c r="Q31" i="1"/>
  <c r="Q15" i="1"/>
  <c r="Q12" i="1"/>
  <c r="Q27" i="1"/>
  <c r="Q28" i="1"/>
  <c r="Q29" i="1"/>
  <c r="Q17" i="1"/>
  <c r="Q26" i="1"/>
  <c r="Q16" i="1"/>
  <c r="Q18" i="1"/>
  <c r="Q6" i="1"/>
  <c r="Q22" i="1"/>
  <c r="Q11" i="1"/>
  <c r="Q4" i="1"/>
  <c r="Q19" i="1"/>
  <c r="Q8" i="1"/>
  <c r="Q13" i="1"/>
  <c r="Q10" i="1"/>
  <c r="Q14" i="1"/>
  <c r="Q30" i="1"/>
  <c r="Q23" i="1"/>
  <c r="Q20" i="1"/>
  <c r="Q5" i="1"/>
  <c r="Q21" i="1"/>
  <c r="Q2" i="1"/>
  <c r="Q3" i="1"/>
  <c r="Q24" i="1"/>
  <c r="Q7" i="1"/>
  <c r="Q9" i="1"/>
  <c r="Q25" i="1"/>
  <c r="R32" i="1" l="1"/>
  <c r="S32" i="1" s="1"/>
  <c r="Y32" i="1"/>
  <c r="Y31" i="1"/>
  <c r="Y4" i="1"/>
  <c r="Y8" i="1"/>
  <c r="Y12" i="1"/>
  <c r="Y16" i="1"/>
  <c r="Y20" i="1"/>
  <c r="Y24" i="1"/>
  <c r="Y28" i="1"/>
  <c r="Y30" i="1"/>
  <c r="Y2" i="1"/>
  <c r="Y6" i="1"/>
  <c r="Y10" i="1"/>
  <c r="Y14" i="1"/>
  <c r="Y18" i="1"/>
  <c r="Y22" i="1"/>
  <c r="Y26" i="1"/>
  <c r="Y29" i="1"/>
  <c r="Y23" i="1"/>
  <c r="Y17" i="1"/>
  <c r="Y19" i="1"/>
  <c r="Y21" i="1"/>
  <c r="Y15" i="1"/>
  <c r="Y9" i="1"/>
  <c r="Y11" i="1"/>
  <c r="Y13" i="1"/>
  <c r="Y3" i="1"/>
  <c r="Y5" i="1"/>
  <c r="Y7" i="1"/>
  <c r="Y25" i="1"/>
  <c r="Y27" i="1"/>
  <c r="R31" i="1"/>
  <c r="S31" i="1" s="1"/>
  <c r="W31" i="1" s="1"/>
  <c r="X6" i="1"/>
  <c r="R15" i="1"/>
  <c r="S15" i="1" s="1"/>
  <c r="R7" i="1"/>
  <c r="S7" i="1" s="1"/>
  <c r="R23" i="1"/>
  <c r="S23" i="1" s="1"/>
  <c r="W23" i="1" s="1"/>
  <c r="R10" i="1"/>
  <c r="S10" i="1" s="1"/>
  <c r="W10" i="1" s="1"/>
  <c r="R4" i="1"/>
  <c r="S4" i="1" s="1"/>
  <c r="W4" i="1" s="1"/>
  <c r="R24" i="1"/>
  <c r="S24" i="1" s="1"/>
  <c r="R25" i="1"/>
  <c r="S25" i="1" s="1"/>
  <c r="W25" i="1" s="1"/>
  <c r="R5" i="1"/>
  <c r="S5" i="1" s="1"/>
  <c r="R9" i="1"/>
  <c r="S9" i="1" s="1"/>
  <c r="R2" i="1"/>
  <c r="R20" i="1"/>
  <c r="S20" i="1" s="1"/>
  <c r="W20" i="1" s="1"/>
  <c r="R27" i="1"/>
  <c r="S27" i="1" s="1"/>
  <c r="W27" i="1" s="1"/>
  <c r="R19" i="1"/>
  <c r="S19" i="1" s="1"/>
  <c r="R6" i="1"/>
  <c r="S6" i="1" s="1"/>
  <c r="W6" i="1" s="1"/>
  <c r="R12" i="1"/>
  <c r="S12" i="1" s="1"/>
  <c r="R18" i="1"/>
  <c r="R21" i="1"/>
  <c r="S21" i="1" s="1"/>
  <c r="R30" i="1"/>
  <c r="S30" i="1" s="1"/>
  <c r="R13" i="1"/>
  <c r="S13" i="1" s="1"/>
  <c r="R11" i="1"/>
  <c r="S11" i="1" s="1"/>
  <c r="W11" i="1" s="1"/>
  <c r="R17" i="1"/>
  <c r="S17" i="1" s="1"/>
  <c r="R29" i="1"/>
  <c r="S29" i="1" s="1"/>
  <c r="R26" i="1"/>
  <c r="S26" i="1" s="1"/>
  <c r="W26" i="1" s="1"/>
  <c r="R3" i="1"/>
  <c r="S3" i="1" s="1"/>
  <c r="R14" i="1"/>
  <c r="S14" i="1" s="1"/>
  <c r="W14" i="1" s="1"/>
  <c r="R8" i="1"/>
  <c r="S8" i="1" s="1"/>
  <c r="R22" i="1"/>
  <c r="S22" i="1" s="1"/>
  <c r="R16" i="1"/>
  <c r="S16" i="1" s="1"/>
  <c r="W16" i="1" s="1"/>
  <c r="R28" i="1"/>
  <c r="S28" i="1" s="1"/>
  <c r="W28" i="1" s="1"/>
  <c r="T33" i="1"/>
  <c r="W32" i="1" l="1"/>
  <c r="W13" i="1"/>
  <c r="X13" i="1" s="1"/>
  <c r="W17" i="1"/>
  <c r="V32" i="1"/>
  <c r="W8" i="1"/>
  <c r="X8" i="1" s="1"/>
  <c r="W19" i="1"/>
  <c r="V31" i="1"/>
  <c r="X31" i="1" s="1"/>
  <c r="S18" i="1"/>
  <c r="V29" i="1"/>
  <c r="X29" i="1" s="1"/>
  <c r="V28" i="1"/>
  <c r="X28" i="1" s="1"/>
  <c r="V4" i="1"/>
  <c r="X4" i="1" s="1"/>
  <c r="V26" i="1"/>
  <c r="X26" i="1" s="1"/>
  <c r="V11" i="1"/>
  <c r="X11" i="1" s="1"/>
  <c r="V2" i="1"/>
  <c r="X2" i="1" s="1"/>
  <c r="V18" i="1"/>
  <c r="X18" i="1" s="1"/>
  <c r="V16" i="1"/>
  <c r="X16" i="1" s="1"/>
  <c r="V30" i="1"/>
  <c r="X30" i="1" s="1"/>
  <c r="V15" i="1"/>
  <c r="X15" i="1" s="1"/>
  <c r="V10" i="1"/>
  <c r="X10" i="1" s="1"/>
  <c r="V17" i="1"/>
  <c r="X17" i="1" s="1"/>
  <c r="V19" i="1"/>
  <c r="V14" i="1"/>
  <c r="X14" i="1" s="1"/>
  <c r="V25" i="1"/>
  <c r="X25" i="1" s="1"/>
  <c r="V9" i="1"/>
  <c r="X9" i="1" s="1"/>
  <c r="V12" i="1"/>
  <c r="X12" i="1" s="1"/>
  <c r="V23" i="1"/>
  <c r="X23" i="1" s="1"/>
  <c r="V3" i="1"/>
  <c r="X3" i="1" s="1"/>
  <c r="V21" i="1"/>
  <c r="X21" i="1" s="1"/>
  <c r="V20" i="1"/>
  <c r="X20" i="1" s="1"/>
  <c r="V27" i="1"/>
  <c r="X27" i="1" s="1"/>
  <c r="V22" i="1"/>
  <c r="X22" i="1" s="1"/>
  <c r="V7" i="1"/>
  <c r="X7" i="1" s="1"/>
  <c r="V24" i="1"/>
  <c r="X24" i="1" s="1"/>
  <c r="S2" i="1"/>
  <c r="X32" i="1" l="1"/>
  <c r="X19" i="1"/>
  <c r="Z23" i="1"/>
  <c r="Z32" i="1" l="1"/>
  <c r="Z20" i="1"/>
  <c r="Z18" i="1"/>
  <c r="Z13" i="1"/>
  <c r="AA26" i="1"/>
  <c r="AA17" i="1"/>
  <c r="AA24" i="1"/>
  <c r="AA15" i="1"/>
  <c r="AA10" i="1"/>
  <c r="Z4" i="1"/>
  <c r="Z11" i="1"/>
  <c r="Z2" i="1"/>
  <c r="Z27" i="1"/>
  <c r="AA8" i="1"/>
  <c r="Z29" i="1"/>
  <c r="Z31" i="1"/>
  <c r="Z26" i="1"/>
  <c r="AB26" i="1" s="1"/>
  <c r="AC26" i="1" s="1"/>
  <c r="Z16" i="1"/>
  <c r="AA29" i="1"/>
  <c r="AA13" i="1"/>
  <c r="Z7" i="1"/>
  <c r="AA4" i="1"/>
  <c r="AB4" i="1" s="1"/>
  <c r="AC4" i="1" s="1"/>
  <c r="AA27" i="1"/>
  <c r="Z25" i="1"/>
  <c r="AA22" i="1"/>
  <c r="AB22" i="1" s="1"/>
  <c r="AC22" i="1" s="1"/>
  <c r="X33" i="1"/>
  <c r="AD33" i="1" s="1"/>
  <c r="Z12" i="1"/>
  <c r="AA9" i="1"/>
  <c r="Z3" i="1"/>
  <c r="Z30" i="1"/>
  <c r="AA23" i="1"/>
  <c r="AB23" i="1" s="1"/>
  <c r="AC23" i="1" s="1"/>
  <c r="Z21" i="1"/>
  <c r="AA18" i="1"/>
  <c r="AA2" i="1"/>
  <c r="AA32" i="1"/>
  <c r="AA20" i="1"/>
  <c r="Z14" i="1"/>
  <c r="AA11" i="1"/>
  <c r="Z9" i="1"/>
  <c r="AA6" i="1"/>
  <c r="Z28" i="1"/>
  <c r="AA25" i="1"/>
  <c r="Z19" i="1"/>
  <c r="AA16" i="1"/>
  <c r="Z10" i="1"/>
  <c r="AB10" i="1" s="1"/>
  <c r="AC10" i="1" s="1"/>
  <c r="AA7" i="1"/>
  <c r="Z5" i="1"/>
  <c r="Z24" i="1"/>
  <c r="Z8" i="1"/>
  <c r="AA21" i="1"/>
  <c r="AA5" i="1"/>
  <c r="Z15" i="1"/>
  <c r="AB15" i="1" s="1"/>
  <c r="AC15" i="1" s="1"/>
  <c r="AA28" i="1"/>
  <c r="AA12" i="1"/>
  <c r="Z22" i="1"/>
  <c r="Z6" i="1"/>
  <c r="AB6" i="1" s="1"/>
  <c r="AC6" i="1" s="1"/>
  <c r="AA19" i="1"/>
  <c r="AB19" i="1" s="1"/>
  <c r="AC19" i="1" s="1"/>
  <c r="AA3" i="1"/>
  <c r="Z17" i="1"/>
  <c r="AA30" i="1"/>
  <c r="AA14" i="1"/>
  <c r="AA31" i="1"/>
  <c r="AB29" i="1"/>
  <c r="AC29" i="1" s="1"/>
  <c r="AB13" i="1"/>
  <c r="AC13" i="1" s="1"/>
  <c r="AB5" i="1"/>
  <c r="AC5" i="1" s="1"/>
  <c r="AB32" i="1" l="1"/>
  <c r="AC32" i="1" s="1"/>
  <c r="AB31" i="1"/>
  <c r="AC31" i="1" s="1"/>
  <c r="AB25" i="1"/>
  <c r="AC25" i="1" s="1"/>
  <c r="AB2" i="1"/>
  <c r="AC2" i="1" s="1"/>
  <c r="AB8" i="1"/>
  <c r="AC8" i="1" s="1"/>
  <c r="AB7" i="1"/>
  <c r="AC7" i="1" s="1"/>
  <c r="AB20" i="1"/>
  <c r="AC20" i="1" s="1"/>
  <c r="AB11" i="1"/>
  <c r="AC11" i="1" s="1"/>
  <c r="AB3" i="1"/>
  <c r="AC3" i="1" s="1"/>
  <c r="AB30" i="1"/>
  <c r="AC30" i="1" s="1"/>
  <c r="AB24" i="1"/>
  <c r="AC24" i="1" s="1"/>
  <c r="AB28" i="1"/>
  <c r="AC28" i="1" s="1"/>
  <c r="AB14" i="1"/>
  <c r="AC14" i="1" s="1"/>
  <c r="AB18" i="1"/>
  <c r="AC18" i="1" s="1"/>
  <c r="AC33" i="1"/>
  <c r="AB16" i="1"/>
  <c r="AC16" i="1" s="1"/>
  <c r="AB21" i="1"/>
  <c r="AC21" i="1" s="1"/>
  <c r="AB17" i="1"/>
  <c r="AC17" i="1" s="1"/>
  <c r="AB9" i="1"/>
  <c r="AC9" i="1" s="1"/>
  <c r="AB12" i="1"/>
  <c r="AC12" i="1" s="1"/>
  <c r="AB27" i="1"/>
  <c r="AC27" i="1" s="1"/>
</calcChain>
</file>

<file path=xl/comments1.xml><?xml version="1.0" encoding="utf-8"?>
<comments xmlns="http://schemas.openxmlformats.org/spreadsheetml/2006/main">
  <authors>
    <author>Bruno</author>
  </authors>
  <commentList>
    <comment ref="Q33" authorId="0">
      <text>
        <r>
          <rPr>
            <b/>
            <sz val="9"/>
            <color indexed="81"/>
            <rFont val="Tahoma"/>
            <family val="2"/>
          </rPr>
          <t>COLOCAR O TOTAL APLICADO</t>
        </r>
      </text>
    </comment>
  </commentList>
</comments>
</file>

<file path=xl/sharedStrings.xml><?xml version="1.0" encoding="utf-8"?>
<sst xmlns="http://schemas.openxmlformats.org/spreadsheetml/2006/main" count="151" uniqueCount="59">
  <si>
    <t>ATIVO</t>
  </si>
  <si>
    <t>[C/V]</t>
  </si>
  <si>
    <t>QTDE</t>
  </si>
  <si>
    <t>PREÇO</t>
  </si>
  <si>
    <t>[D/N]</t>
  </si>
  <si>
    <t>VALOR</t>
  </si>
  <si>
    <t>TX LIQUID</t>
  </si>
  <si>
    <t>EMOL</t>
  </si>
  <si>
    <t>CORR. BASE</t>
  </si>
  <si>
    <t>ISS</t>
  </si>
  <si>
    <t>OUTRAS</t>
  </si>
  <si>
    <t>LÍQUIDO</t>
  </si>
  <si>
    <t>MNDL4</t>
  </si>
  <si>
    <t>V</t>
  </si>
  <si>
    <t>N</t>
  </si>
  <si>
    <t>INET3</t>
  </si>
  <si>
    <t>C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</si>
  <si>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</si>
  <si>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</si>
  <si>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</si>
  <si>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</si>
  <si>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</si>
  <si>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</si>
  <si>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</si>
  <si>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</si>
  <si>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GOLL4</t>
  </si>
  <si>
    <t>MRFG3</t>
  </si>
  <si>
    <t>JBSS3</t>
  </si>
  <si>
    <t>GFSA3</t>
  </si>
  <si>
    <t>KLBN4</t>
  </si>
  <si>
    <t>RSID3</t>
  </si>
  <si>
    <t>AGEN11</t>
  </si>
  <si>
    <t>INEP4</t>
  </si>
  <si>
    <t>(vazio)</t>
  </si>
  <si>
    <t>Total Geral</t>
  </si>
  <si>
    <t>Total</t>
  </si>
  <si>
    <t>Soma de VALOR P/ OPERAÇÃO</t>
  </si>
  <si>
    <t>DATA</t>
  </si>
  <si>
    <t>VL LIQUID</t>
  </si>
  <si>
    <t>ID</t>
  </si>
  <si>
    <t>VALOR P/ OP</t>
  </si>
  <si>
    <t>MEDIO</t>
  </si>
  <si>
    <t>FJTA4</t>
  </si>
  <si>
    <t>IRRF</t>
  </si>
  <si>
    <t>MED CP</t>
  </si>
  <si>
    <t>MED VD</t>
  </si>
  <si>
    <t>PAR</t>
  </si>
  <si>
    <t>%</t>
  </si>
  <si>
    <t>CARTEIRA</t>
  </si>
  <si>
    <t>LUCRO MÊS</t>
  </si>
  <si>
    <t>SALDO</t>
  </si>
  <si>
    <t>VOLUME</t>
  </si>
  <si>
    <t>LUCRO D</t>
  </si>
  <si>
    <t>LUCRO N</t>
  </si>
  <si>
    <t>LUCRO OP</t>
  </si>
  <si>
    <t>D BASE</t>
  </si>
  <si>
    <t>TOTAL APLIC</t>
  </si>
  <si>
    <t xml:space="preserve"> R$ 6.765,77 </t>
  </si>
  <si>
    <t>POSI3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</si>
</sst>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R$&quot;\ * #,##0.00_-;\-&quot;R$&quot;\ * #,##0.00_-;_-&quot;R$&quot;\ * &quot;-&quot;??_-;_-@_-"/>
    <numFmt numFmtId="164" formatCode="[$R$-416]\ #,##0.00;[Red]\-[$R$-416]\ #,##0.00"/>
    <numFmt numFmtId="165" formatCode="0.000%"/>
    <numFmt numFmtId="166" formatCode="0.0000%"/>
    <numFmt numFmtId="167" formatCode="d/m/yy;@"/>
    <numFmt numFmtId="168" formatCode="0.000"/>
  </numFmts>
  <fonts count="9" x14ac:knownFonts="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165" fontId="1" fillId="0" borderId="0" xfId="0" applyNumberFormat="1" applyFont="1"/>
    <xf numFmtId="166" fontId="1" fillId="0" borderId="0" xfId="0" applyNumberFormat="1" applyFont="1"/>
    <xf numFmtId="10" fontId="1" fillId="0" borderId="0" xfId="0" applyNumberFormat="1" applyFont="1"/>
    <xf numFmtId="0" fontId="0" fillId="0" borderId="2" xfId="0" applyBorder="1"/>
    <xf numFmtId="0" fontId="0" fillId="0" borderId="2" xfId="0" pivotButton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3" fillId="0" borderId="0" xfId="0" applyFont="1"/>
    <xf numFmtId="2" fontId="3" fillId="0" borderId="0" xfId="0" applyNumberFormat="1" applyFont="1"/>
    <xf numFmtId="164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7" fontId="3" fillId="0" borderId="0" xfId="0" applyNumberFormat="1" applyFont="1" applyAlignment="1"/>
    <xf numFmtId="44" fontId="3" fillId="0" borderId="0" xfId="0" applyNumberFormat="1" applyFont="1" applyAlignment="1"/>
    <xf numFmtId="0" fontId="3" fillId="0" borderId="0" xfId="0" applyFont="1" applyAlignment="1"/>
    <xf numFmtId="168" fontId="3" fillId="0" borderId="0" xfId="0" applyNumberFormat="1" applyFont="1" applyAlignment="1"/>
    <xf numFmtId="10" fontId="3" fillId="0" borderId="0" xfId="0" applyNumberFormat="1" applyFont="1" applyAlignment="1"/>
    <xf numFmtId="44" fontId="1" fillId="0" borderId="0" xfId="1" applyFont="1"/>
    <xf numFmtId="10" fontId="6" fillId="0" borderId="0" xfId="0" applyNumberFormat="1" applyFont="1" applyAlignment="1"/>
    <xf numFmtId="10" fontId="7" fillId="0" borderId="0" xfId="0" applyNumberFormat="1" applyFont="1" applyAlignment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B05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0.0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4" formatCode="_-&quot;R$&quot;\ * #,##0.00_-;\-&quot;R$&quot;\ * #,##0.00_-;_-&quot;R$&quot;\ * &quot;-&quot;??_-;_-@_-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d/m/yy;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uno" refreshedDate="40969.946527199078" createdVersion="1" refreshedVersion="4" recordCount="28" upgradeOnRefresh="1">
  <cacheSource type="worksheet">
    <worksheetSource ref="A1:O65538" sheet="Planilha1"/>
  </cacheSource>
  <cacheFields count="18">
    <cacheField name="Nº NOTA" numFmtId="0">
      <sharedItems containsString="0" containsBlank="1" containsNumber="1" containsInteger="1" minValue="2763455" maxValue="3002965"/>
    </cacheField>
    <cacheField name="ATIVO" numFmtId="0">
      <sharedItems containsBlank="1" count="11">
        <s v="GOLL4"/>
        <s v="MRFG3"/>
        <s v="JBSS3"/>
        <s v="GFSA3"/>
        <s v="KLBN4"/>
        <s v="RSID3"/>
        <s v="MNDL4"/>
        <s v="AGEN11"/>
        <s v="INEP4"/>
        <s v="INET3"/>
        <m/>
      </sharedItems>
    </cacheField>
    <cacheField name="[C/V]" numFmtId="0">
      <sharedItems containsBlank="1"/>
    </cacheField>
    <cacheField name="DATA" numFmtId="0">
      <sharedItems containsNonDate="0" containsDate="1" containsString="0" containsBlank="1" minDate="2011-12-05T00:00:00" maxDate="2012-03-06T00:00:00"/>
    </cacheField>
    <cacheField name="QTDE" numFmtId="0">
      <sharedItems containsString="0" containsBlank="1" containsNumber="1" containsInteger="1" minValue="100" maxValue="3700"/>
    </cacheField>
    <cacheField name="PREÇO" numFmtId="0">
      <sharedItems containsString="0" containsBlank="1" containsNumber="1" minValue="0.17" maxValue="16"/>
    </cacheField>
    <cacheField name="[D/N]" numFmtId="0">
      <sharedItems containsBlank="1"/>
    </cacheField>
    <cacheField name="VALOR" numFmtId="0">
      <sharedItems containsString="0" containsBlank="1" containsNumber="1" minValue="152" maxValue="2829"/>
    </cacheField>
    <cacheField name="VL LÍQUIDO" numFmtId="0">
      <sharedItems containsString="0" containsBlank="1" containsNumber="1" minValue="-3818" maxValue="3823.9999999999995"/>
    </cacheField>
    <cacheField name="TX LIQUID" numFmtId="0">
      <sharedItems containsString="0" containsBlank="1" containsNumber="1" minValue="0.04" maxValue="1.33"/>
    </cacheField>
    <cacheField name="EMOL" numFmtId="0">
      <sharedItems containsString="0" containsBlank="1" containsNumber="1" minValue="0.01" maxValue="0.34"/>
    </cacheField>
    <cacheField name="CORR. BASE" numFmtId="0">
      <sharedItems containsString="0" containsBlank="1" containsNumber="1" minValue="14.9" maxValue="44.7"/>
    </cacheField>
    <cacheField name="ISS" numFmtId="0">
      <sharedItems containsString="0" containsBlank="1" containsNumber="1" minValue="0.28999999999999998" maxValue="0.89"/>
    </cacheField>
    <cacheField name="OUTRAS TMP" numFmtId="0">
      <sharedItems containsString="0" containsBlank="1" containsNumber="1" minValue="0.57999999999999996" maxValue="0.57999999999999996"/>
    </cacheField>
    <cacheField name="OUTRAS" numFmtId="0">
      <sharedItems containsString="0" containsBlank="1" containsNumber="1" minValue="0.57999999999999996" maxValue="1.7399999999999998"/>
    </cacheField>
    <cacheField name="LÍQUIDO" numFmtId="0">
      <sharedItems containsString="0" containsBlank="1" containsNumber="1" minValue="-3850.8500000000004" maxValue="3791.139999999999"/>
    </cacheField>
    <cacheField name="VALOR P/ OPERAÇÃO" numFmtId="0">
      <sharedItems containsString="0" containsBlank="1" containsNumber="1" minValue="-2845.73" maxValue="2695.31"/>
    </cacheField>
    <cacheField name="SALDO" numFmtId="0">
      <sharedItems containsString="0" containsBlank="1" containsNumber="1" minValue="-4873.55" maxValue="481.529999999999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n v="2763455"/>
    <x v="0"/>
    <s v="C"/>
    <d v="2011-12-05T00:00:00"/>
    <n v="100"/>
    <n v="13.62"/>
    <s v="N"/>
    <n v="1362"/>
    <n v="-1362"/>
    <n v="0.37"/>
    <n v="0.09"/>
    <n v="14.9"/>
    <n v="0.28999999999999998"/>
    <n v="0.57999999999999996"/>
    <n v="0.57999999999999996"/>
    <n v="-1378.2299999999998"/>
    <n v="-1378.2299999999998"/>
    <n v="-1378.2299999999998"/>
  </r>
  <r>
    <n v="2779377"/>
    <x v="1"/>
    <s v="C"/>
    <d v="2011-12-09T00:00:00"/>
    <n v="100"/>
    <n v="8.4499999999999993"/>
    <s v="N"/>
    <n v="844.99999999999989"/>
    <n v="-844.99999999999989"/>
    <n v="0.23"/>
    <n v="0.05"/>
    <n v="14.9"/>
    <n v="0.28999999999999998"/>
    <n v="0.57999999999999996"/>
    <n v="0.57999999999999996"/>
    <n v="-861.04999999999984"/>
    <n v="-861.04999999999984"/>
    <n v="-2239.2799999999997"/>
  </r>
  <r>
    <n v="2783172"/>
    <x v="0"/>
    <s v="V"/>
    <d v="2011-12-12T00:00:00"/>
    <n v="100"/>
    <n v="16"/>
    <s v="N"/>
    <n v="1600"/>
    <n v="1600"/>
    <n v="0.44"/>
    <n v="0.11"/>
    <n v="14.9"/>
    <n v="0.28999999999999998"/>
    <n v="0.57999999999999996"/>
    <n v="0.57999999999999996"/>
    <n v="1583.68"/>
    <n v="1583.68"/>
    <n v="-655.59999999999968"/>
  </r>
  <r>
    <n v="2797072"/>
    <x v="2"/>
    <s v="C"/>
    <d v="2011-12-16T00:00:00"/>
    <n v="200"/>
    <n v="5.66"/>
    <s v="D"/>
    <n v="1132"/>
    <n v="-1132"/>
    <n v="0.2"/>
    <n v="7.0000000000000007E-2"/>
    <n v="14.9"/>
    <n v="0.28999999999999998"/>
    <n v="0.57999999999999996"/>
    <n v="0.57999999999999996"/>
    <n v="-1148.04"/>
    <n v="-1148.04"/>
    <n v="-1803.6399999999996"/>
  </r>
  <r>
    <n v="2797072"/>
    <x v="2"/>
    <s v="V"/>
    <d v="2011-12-16T00:00:00"/>
    <n v="200"/>
    <n v="5.64"/>
    <s v="D"/>
    <n v="1128"/>
    <n v="-4"/>
    <n v="0.4"/>
    <n v="0.15"/>
    <n v="29.8"/>
    <n v="0.59"/>
    <n v="0.57999999999999996"/>
    <n v="1.1599999999999999"/>
    <n v="-36.1"/>
    <n v="1111.94"/>
    <n v="-691.69999999999959"/>
  </r>
  <r>
    <n v="2797072"/>
    <x v="2"/>
    <s v="C"/>
    <d v="2011-12-16T00:00:00"/>
    <n v="200"/>
    <n v="5.65"/>
    <s v="N"/>
    <n v="1130"/>
    <n v="-1134"/>
    <n v="0.71"/>
    <n v="0.23"/>
    <n v="44.7"/>
    <n v="0.89"/>
    <n v="0.57999999999999996"/>
    <n v="1.7399999999999998"/>
    <n v="-1182.2700000000002"/>
    <n v="-1146.1700000000003"/>
    <n v="-1837.87"/>
  </r>
  <r>
    <n v="2815630"/>
    <x v="3"/>
    <s v="V"/>
    <d v="2011-12-23T00:00:00"/>
    <n v="200"/>
    <n v="4.2699999999999996"/>
    <s v="N"/>
    <n v="853.99999999999989"/>
    <n v="853.99999999999989"/>
    <n v="0.23"/>
    <n v="0.05"/>
    <n v="14.9"/>
    <n v="0.28999999999999998"/>
    <n v="0.57999999999999996"/>
    <n v="0.57999999999999996"/>
    <n v="837.94999999999993"/>
    <n v="837.94999999999993"/>
    <n v="-999.92"/>
  </r>
  <r>
    <n v="2825056"/>
    <x v="4"/>
    <s v="C"/>
    <d v="2011-12-28T00:00:00"/>
    <n v="300"/>
    <n v="7.86"/>
    <s v="N"/>
    <n v="2358"/>
    <n v="-2358"/>
    <n v="0.64"/>
    <n v="0.16"/>
    <n v="14.9"/>
    <n v="0.28999999999999998"/>
    <n v="0.57999999999999996"/>
    <n v="0.57999999999999996"/>
    <n v="-2374.5699999999997"/>
    <n v="-2374.5699999999997"/>
    <n v="-3374.49"/>
  </r>
  <r>
    <n v="2826799"/>
    <x v="2"/>
    <s v="V"/>
    <d v="2011-12-29T00:00:00"/>
    <n v="100"/>
    <n v="6.9"/>
    <s v="N"/>
    <n v="690"/>
    <n v="690"/>
    <n v="0.18"/>
    <n v="0.04"/>
    <n v="14.9"/>
    <n v="0.28999999999999998"/>
    <n v="0.57999999999999996"/>
    <n v="0.57999999999999996"/>
    <n v="674.0100000000001"/>
    <n v="674.0100000000001"/>
    <n v="-2700.4799999999996"/>
  </r>
  <r>
    <n v="2836312"/>
    <x v="2"/>
    <s v="V"/>
    <d v="2012-01-05T00:00:00"/>
    <n v="100"/>
    <n v="5.83"/>
    <s v="N"/>
    <n v="583"/>
    <n v="583"/>
    <n v="0.16"/>
    <n v="0.04"/>
    <n v="14.9"/>
    <n v="0.28999999999999998"/>
    <n v="0.57999999999999996"/>
    <n v="0.57999999999999996"/>
    <n v="567.03000000000009"/>
    <n v="567.03000000000009"/>
    <n v="-2133.4499999999994"/>
  </r>
  <r>
    <n v="2840144"/>
    <x v="2"/>
    <s v="C"/>
    <d v="2012-01-06T00:00:00"/>
    <n v="200"/>
    <n v="5.8"/>
    <s v="N"/>
    <n v="1160"/>
    <n v="-1160"/>
    <n v="0.31"/>
    <n v="0.08"/>
    <n v="14.9"/>
    <n v="0.28999999999999998"/>
    <n v="0.57999999999999996"/>
    <n v="0.57999999999999996"/>
    <n v="-1176.1599999999999"/>
    <n v="-1176.1599999999999"/>
    <n v="-3309.6099999999992"/>
  </r>
  <r>
    <n v="2864808"/>
    <x v="5"/>
    <s v="V"/>
    <d v="2012-01-17T00:00:00"/>
    <n v="300"/>
    <n v="9.0399999999999991"/>
    <s v="N"/>
    <n v="2711.9999999999995"/>
    <n v="2711.9999999999995"/>
    <n v="0.74"/>
    <n v="0.18"/>
    <n v="14.9"/>
    <n v="0.28999999999999998"/>
    <n v="0.57999999999999996"/>
    <n v="0.57999999999999996"/>
    <n v="2695.31"/>
    <n v="2695.31"/>
    <n v="-614.29999999999927"/>
  </r>
  <r>
    <n v="2864808"/>
    <x v="2"/>
    <s v="V"/>
    <d v="2012-01-17T00:00:00"/>
    <n v="200"/>
    <n v="5.56"/>
    <s v="N"/>
    <n v="1112"/>
    <n v="3823.9999999999995"/>
    <n v="1.05"/>
    <n v="0.26"/>
    <n v="29.8"/>
    <n v="0.59"/>
    <n v="0.57999999999999996"/>
    <n v="1.1599999999999999"/>
    <n v="3791.139999999999"/>
    <n v="1095.829999999999"/>
    <n v="481.52999999999975"/>
  </r>
  <r>
    <n v="2886886"/>
    <x v="6"/>
    <s v="C"/>
    <d v="2012-01-24T00:00:00"/>
    <n v="2000"/>
    <n v="0.5"/>
    <s v="N"/>
    <n v="1000"/>
    <n v="-1000"/>
    <n v="0.27"/>
    <n v="7.0000000000000007E-2"/>
    <n v="14.9"/>
    <n v="0.28999999999999998"/>
    <n v="0.57999999999999996"/>
    <n v="0.57999999999999996"/>
    <n v="-1016.11"/>
    <n v="-1016.11"/>
    <n v="-534.58000000000027"/>
  </r>
  <r>
    <n v="2899138"/>
    <x v="1"/>
    <s v="V"/>
    <d v="2012-01-30T00:00:00"/>
    <n v="100"/>
    <n v="7.89"/>
    <s v="N"/>
    <n v="789"/>
    <n v="789"/>
    <n v="0.21"/>
    <n v="0.05"/>
    <n v="14.9"/>
    <n v="0.28999999999999998"/>
    <n v="0.57999999999999996"/>
    <n v="0.57999999999999996"/>
    <n v="772.97"/>
    <n v="772.97"/>
    <n v="238.38999999999976"/>
  </r>
  <r>
    <n v="2904206"/>
    <x v="5"/>
    <s v="C"/>
    <d v="2012-01-31T00:00:00"/>
    <n v="300"/>
    <n v="9.43"/>
    <s v="N"/>
    <n v="2829"/>
    <n v="-2829"/>
    <n v="0.77"/>
    <n v="0.19"/>
    <n v="14.9"/>
    <n v="0.28999999999999998"/>
    <n v="0.57999999999999996"/>
    <n v="0.57999999999999996"/>
    <n v="-2845.73"/>
    <n v="-2845.73"/>
    <n v="-2607.34"/>
  </r>
  <r>
    <n v="2904206"/>
    <x v="7"/>
    <s v="C"/>
    <d v="2012-01-31T00:00:00"/>
    <n v="2300"/>
    <n v="0.43"/>
    <s v="N"/>
    <n v="989"/>
    <n v="-3818"/>
    <n v="1.04"/>
    <n v="0.26"/>
    <n v="29.8"/>
    <n v="0.59"/>
    <n v="0.57999999999999996"/>
    <n v="1.1599999999999999"/>
    <n v="-3850.8500000000004"/>
    <n v="-1005.1200000000003"/>
    <n v="-3612.4600000000005"/>
  </r>
  <r>
    <n v="2916301"/>
    <x v="3"/>
    <s v="C"/>
    <d v="2012-02-03T00:00:00"/>
    <n v="200"/>
    <n v="4.76"/>
    <s v="N"/>
    <n v="952"/>
    <n v="-952"/>
    <n v="0.26"/>
    <n v="0.06"/>
    <n v="14.9"/>
    <n v="0.28999999999999998"/>
    <n v="0.57999999999999996"/>
    <n v="0.57999999999999996"/>
    <n v="-968.08999999999992"/>
    <n v="-968.08999999999992"/>
    <n v="-4580.55"/>
  </r>
  <r>
    <n v="2935127"/>
    <x v="4"/>
    <s v="V"/>
    <d v="2012-02-09T00:00:00"/>
    <n v="300"/>
    <n v="7.7"/>
    <s v="N"/>
    <n v="2310"/>
    <n v="2310"/>
    <n v="0.63"/>
    <n v="0.16"/>
    <n v="14.9"/>
    <n v="0.28999999999999998"/>
    <n v="0.57999999999999996"/>
    <n v="0.57999999999999996"/>
    <n v="2293.44"/>
    <n v="2293.44"/>
    <n v="-2287.11"/>
  </r>
  <r>
    <n v="2935127"/>
    <x v="7"/>
    <s v="C"/>
    <d v="2012-02-09T00:00:00"/>
    <n v="3700"/>
    <n v="0.37"/>
    <s v="N"/>
    <n v="1369"/>
    <n v="941"/>
    <n v="1.01"/>
    <n v="0.25"/>
    <n v="29.8"/>
    <n v="0.59"/>
    <n v="0.57999999999999996"/>
    <n v="1.1599999999999999"/>
    <n v="908.19"/>
    <n v="-1385.25"/>
    <n v="-3672.36"/>
  </r>
  <r>
    <n v="2935127"/>
    <x v="8"/>
    <s v="C"/>
    <d v="2012-02-09T00:00:00"/>
    <n v="500"/>
    <n v="2.37"/>
    <s v="N"/>
    <n v="1185"/>
    <n v="-244"/>
    <n v="1.33"/>
    <n v="0.34"/>
    <n v="44.7"/>
    <n v="0.89"/>
    <n v="0.57999999999999996"/>
    <n v="1.7399999999999998"/>
    <n v="-293"/>
    <n v="-1201.19"/>
    <n v="-4873.55"/>
  </r>
  <r>
    <n v="2948844"/>
    <x v="6"/>
    <s v="V"/>
    <d v="2012-02-14T00:00:00"/>
    <n v="1600"/>
    <n v="0.4"/>
    <s v="N"/>
    <n v="640"/>
    <n v="640"/>
    <n v="0.17"/>
    <n v="0.04"/>
    <n v="14.9"/>
    <n v="0.28999999999999998"/>
    <n v="0.57999999999999996"/>
    <n v="0.57999999999999996"/>
    <n v="624.0200000000001"/>
    <n v="624.0200000000001"/>
    <n v="-4249.53"/>
  </r>
  <r>
    <n v="2948844"/>
    <x v="9"/>
    <s v="C"/>
    <d v="2012-02-14T00:00:00"/>
    <n v="3000"/>
    <n v="0.2"/>
    <s v="N"/>
    <n v="600"/>
    <n v="40"/>
    <n v="0.34"/>
    <n v="0.08"/>
    <n v="29.8"/>
    <n v="0.59"/>
    <n v="0.57999999999999996"/>
    <n v="1.1599999999999999"/>
    <n v="8.0299999999999976"/>
    <n v="-615.99000000000012"/>
    <n v="-4865.5199999999995"/>
  </r>
  <r>
    <n v="2985169"/>
    <x v="6"/>
    <s v="V"/>
    <d v="2012-02-28T00:00:00"/>
    <n v="400"/>
    <n v="0.38"/>
    <s v="N"/>
    <n v="152"/>
    <n v="152"/>
    <n v="0.04"/>
    <n v="0.01"/>
    <n v="14.9"/>
    <n v="0.28999999999999998"/>
    <n v="0.57999999999999996"/>
    <n v="0.57999999999999996"/>
    <n v="136.18"/>
    <n v="136.18"/>
    <n v="-4729.3399999999992"/>
  </r>
  <r>
    <n v="2998380"/>
    <x v="9"/>
    <s v="V"/>
    <d v="2012-03-02T00:00:00"/>
    <n v="3000"/>
    <n v="0.17"/>
    <s v="N"/>
    <n v="510.00000000000006"/>
    <n v="510.00000000000006"/>
    <n v="0.14000000000000001"/>
    <n v="0.03"/>
    <n v="14.9"/>
    <n v="0.28999999999999998"/>
    <n v="0.57999999999999996"/>
    <n v="0.57999999999999996"/>
    <n v="494.06000000000012"/>
    <n v="494.06000000000012"/>
    <n v="-4235.2799999999988"/>
  </r>
  <r>
    <n v="2998380"/>
    <x v="7"/>
    <s v="V"/>
    <d v="2012-03-02T00:00:00"/>
    <n v="3000"/>
    <n v="0.27"/>
    <s v="N"/>
    <n v="810"/>
    <n v="1320"/>
    <n v="0.36"/>
    <n v="0.09"/>
    <n v="29.8"/>
    <n v="0.59"/>
    <n v="0.57999999999999996"/>
    <n v="1.1599999999999999"/>
    <n v="1288.0000000000002"/>
    <n v="793.94"/>
    <n v="-3441.3399999999988"/>
  </r>
  <r>
    <n v="3002965"/>
    <x v="7"/>
    <s v="V"/>
    <d v="2012-03-05T00:00:00"/>
    <n v="3000"/>
    <n v="0.25"/>
    <s v="N"/>
    <n v="750"/>
    <n v="750"/>
    <n v="0.2"/>
    <n v="0.05"/>
    <n v="14.9"/>
    <n v="0.28999999999999998"/>
    <n v="0.57999999999999996"/>
    <n v="0.57999999999999996"/>
    <n v="733.98"/>
    <n v="733.98"/>
    <n v="-2707.3599999999988"/>
  </r>
  <r>
    <m/>
    <x v="10"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dataOnRows="1" applyNumberFormats="0" applyBorderFormats="0" applyFontFormats="0" applyPatternFormats="0" applyAlignmentFormats="0" applyWidthHeightFormats="1" dataCaption="Dados" updatedVersion="4" showMemberPropertyTips="0" useAutoFormatting="1" itemPrintTitles="1" createdVersion="1" indent="0" compact="0" compactData="0" gridDropZones="1">
  <location ref="A3:B16" firstHeaderRow="2" firstDataRow="2" firstDataCol="1"/>
  <pivotFields count="18">
    <pivotField compact="0" outline="0" subtotalTop="0" showAll="0" includeNewItemsInFilter="1"/>
    <pivotField axis="axisRow" compact="0" outline="0" subtotalTop="0" showAll="0" includeNewItemsInFilter="1">
      <items count="12">
        <item x="7"/>
        <item x="3"/>
        <item x="0"/>
        <item x="8"/>
        <item x="9"/>
        <item x="2"/>
        <item x="4"/>
        <item x="6"/>
        <item x="1"/>
        <item x="5"/>
        <item x="1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 P/ OPERAÇÃO" fld="16" baseField="1" baseItem="3"/>
  </dataFields>
  <pivotTableStyleInfo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NC" displayName="NC" ref="A1:AD33" totalsRowCount="1" headerRowDxfId="62" dataDxfId="61" totalsRowDxfId="60">
  <autoFilter ref="A1:AD32"/>
  <sortState ref="A2:AC30">
    <sortCondition ref="A1:A30"/>
  </sortState>
  <tableColumns count="30">
    <tableColumn id="19" name="ID" totalsRowLabel="Total" dataDxfId="59" totalsRowDxfId="30"/>
    <tableColumn id="2" name="ATIVO" dataDxfId="58" totalsRowDxfId="29"/>
    <tableColumn id="3" name="[C/V]" dataDxfId="57" totalsRowDxfId="28"/>
    <tableColumn id="4" name="DATA" dataDxfId="56" totalsRowDxfId="27"/>
    <tableColumn id="5" name="QTDE" dataDxfId="55" totalsRowDxfId="26"/>
    <tableColumn id="6" name="PREÇO" dataDxfId="54" totalsRowDxfId="25"/>
    <tableColumn id="7" name="[D/N]" dataDxfId="53" totalsRowDxfId="24"/>
    <tableColumn id="31" name="D BASE" dataDxfId="52" totalsRowDxfId="23">
      <calculatedColumnFormula>EOMONTH(NC[[#This Row],[DATA]],0)</calculatedColumnFormula>
    </tableColumn>
    <tableColumn id="21" name="PAR" dataDxfId="51" totalsRowDxfId="22">
      <calculatedColumnFormula>SUMPRODUCT(N(NC[ATIVO]=NC[[#This Row],[ATIVO]]),N(NC['[D/N']]="N"),N(NC['[C/V']]="C"))+SUMPRODUCT(N(NC[ID]&lt;NC[[#This Row],[ID]]),N(NC[ATIVO]=NC[[#This Row],[ATIVO]]),N(NC['[D/N']]="N"),N(NC[SALDO]=0))</calculatedColumnFormula>
    </tableColumn>
    <tableColumn id="8" name="VALOR" dataDxfId="50" totalsRowDxfId="21">
      <calculatedColumnFormula>NC[QTDE]*NC[PREÇO]</calculatedColumnFormula>
    </tableColumn>
    <tableColumn id="9" name="VL LIQUID" dataDxfId="49" totalsRowDxfId="20">
      <calculatedColumnFormula>SUMPRODUCT(N(NC[DATA]=NC[[#This Row],[DATA]]),N(NC[ID]&lt;=NC[[#This Row],[ID]]),N(NC['[C/V']]="V"),NC[VALOR])-SUMPRODUCT(N(NC[DATA]=NC[[#This Row],[DATA]]),N(NC[ID]&lt;=NC[[#This Row],[ID]]),N(NC['[C/V']]="C"),NC[VALOR])</calculatedColumnFormula>
    </tableColumn>
    <tableColumn id="10" name="TX LIQUID" dataDxfId="48" totalsRowDxfId="19">
      <calculatedColumnFormula>TRUNC(SUMPRODUCT(N(NC[DATA]=NC[[#This Row],[DATA]]),N(NC[ID]&lt;=NC[[#This Row],[ID]]),N(NC['[D/N']]="D"),NC[VALOR]*SETUP!$D$3)+SUMPRODUCT(N(NC[DATA]=NC[[#This Row],[DATA]]),N(NC[ID]&lt;=NC[[#This Row],[ID]]),N(NC['[D/N']]="N"),NC[VALOR]*SETUP!$B$3),2)</calculatedColumnFormula>
    </tableColumn>
    <tableColumn id="11" name="EMOL" dataDxfId="47" totalsRowDxfId="18">
      <calculatedColumnFormula>TRUNC(SUMPRODUCT(N(NC[DATA]=NC[[#This Row],[DATA]]),N(NC[ID]&lt;=NC[[#This Row],[ID]]),NC[VALOR]*SETUP!$A$3),2)</calculatedColumnFormula>
    </tableColumn>
    <tableColumn id="12" name="CORR. BASE" dataDxfId="46" totalsRowDxfId="17">
      <calculatedColumnFormula>SETUP!$E$3*SUMPRODUCT(N(NC[DATA]=NC[[#This Row],[DATA]]),N(NC[ID]&lt;=NC[[#This Row],[ID]]))</calculatedColumnFormula>
    </tableColumn>
    <tableColumn id="13" name="ISS" dataDxfId="45" totalsRowDxfId="16">
      <calculatedColumnFormula>TRUNC(NC[CORR. BASE]*SETUP!$F$3,2)</calculatedColumnFormula>
    </tableColumn>
    <tableColumn id="15" name="OUTRAS" dataDxfId="0" totalsRowDxfId="15">
      <calculatedColumnFormula>TRUNC(NC[CORR. BASE]*SETUP!$G$3,2)</calculatedColumnFormula>
    </tableColumn>
    <tableColumn id="16" name="LÍQUIDO" totalsRowLabel=" R$ 6.765,77 " dataDxfId="44" totalsRowDxfId="14">
      <calculatedColumnFormula>NC[VL LIQUID]-NC[TX LIQUID]-NC[EMOL]-NC[CORR. BASE]-NC[ISS]-NC[OUTRAS]</calculatedColumnFormula>
    </tableColumn>
    <tableColumn id="17" name="VALOR P/ OP" dataDxfId="43" totalsRowDxfId="13">
      <calculatedColumnFormula>NC[LÍQUIDO]-SUMPRODUCT(N(NC[DATA]=NC[[#This Row],[DATA]]),N(NC[ID]=(NC[[#This Row],[ID]]-1)),NC[LÍQUIDO])</calculatedColumnFormula>
    </tableColumn>
    <tableColumn id="18" name="MEDIO" dataDxfId="42" totalsRowDxfId="12">
      <calculatedColumnFormula>ABS(R2)/E2</calculatedColumnFormula>
    </tableColumn>
    <tableColumn id="20" name="IRRF" totalsRowFunction="sum" dataDxfId="41" totalsRowDxfId="11">
      <calculatedColumnFormula>TRUNC(IF(NC['[C/V']]="V",J2*SETUP!$H$3,0),2)</calculatedColumnFormula>
    </tableColumn>
    <tableColumn id="24" name="SALDO" dataDxfId="40" totalsRowDxfId="10">
      <calculatedColumnFormula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calculatedColumnFormula>
    </tableColumn>
    <tableColumn id="22" name="MED CP" dataDxfId="39" totalsRowDxfId="9">
      <calculatedColumnFormula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calculatedColumnFormula>
    </tableColumn>
    <tableColumn id="23" name="MED VD" dataDxfId="38" totalsRowDxfId="8">
      <calculatedColumnFormula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calculatedColumnFormula>
    </tableColumn>
    <tableColumn id="25" name="LUCRO OP" totalsRowFunction="sum" dataDxfId="37" totalsRowDxfId="7">
      <calculatedColumnFormula>IF(NC['[D/N']]="D",IF(NC['[C/V']]="C",0,SUMPRODUCT(N(NC[DATA]=NC[[#This Row],[DATA]]),N(NC['[C/V']]="V"),NC[LÍQUIDO])),IF(AND(NC[MED CP]&gt;0,NC[MED VD]&gt;0),(NC[MED VD]-NC[MED CP])*NC[QTDE],0))</calculatedColumnFormula>
    </tableColumn>
    <tableColumn id="27" name="CARTEIRA" dataDxfId="36" totalsRowDxfId="6">
      <calculatedColumnFormula>ABS(SUMPRODUCT(N(NC[D BASE]&lt;=NC[[#This Row],[D BASE]]),NC[LÍQUIDO]))</calculatedColumnFormula>
    </tableColumn>
    <tableColumn id="26" name="LUCRO N" dataDxfId="35" totalsRowDxfId="5">
      <calculatedColumnFormula>SUMPRODUCT(N(YEAR(NC[DATA])=YEAR(NC[[#This Row],[DATA]])),N(MONTH(NC[DATA])=MONTH(NC[[#This Row],[DATA]])),N(NC['[D/N']]="N"),NC[LUCRO OP])</calculatedColumnFormula>
    </tableColumn>
    <tableColumn id="14" name="LUCRO D" dataDxfId="34" totalsRowDxfId="4">
      <calculatedColumnFormula>SUMPRODUCT(N(YEAR(NC[DATA])=YEAR(NC[[#This Row],[DATA]])),N(MONTH(NC[DATA])=MONTH(NC[[#This Row],[DATA]])),N(NC['[D/N']]="D"),NC[LUCRO OP])</calculatedColumnFormula>
    </tableColumn>
    <tableColumn id="29" name="LUCRO MÊS" dataDxfId="33" totalsRowDxfId="3">
      <calculatedColumnFormula>NC[LUCRO N]+NC[LUCRO D]</calculatedColumnFormula>
    </tableColumn>
    <tableColumn id="28" name="%" totalsRowFunction="custom" dataDxfId="32" totalsRowDxfId="2">
      <calculatedColumnFormula>NC[LUCRO MÊS]/(NC[CARTEIRA]-NC[LUCRO MÊS])</calculatedColumnFormula>
      <totalsRowFormula>NC[[#Totals],[LUCRO OP]]/NC[[#Totals],[LÍQUIDO]]</totalsRowFormula>
    </tableColumn>
    <tableColumn id="1" name="VOLUME" totalsRowFunction="custom" dataDxfId="31" totalsRowDxfId="1">
      <calculatedColumnFormula>SUMPRODUCT(N(MONTH(NC[DATA])=MONTH(NC[[#This Row],[DATA]])),N(YEAR(NC[DATA])=YEAR(NC[[#This Row],[DATA]])),N(NC['[C/V']]="V"),NC[VALOR])</calculatedColumnFormula>
      <totalsRowFormula>IF(NC[[#Totals],[LUCRO OP]]&lt;0,ABS(NC[[#Totals],[LUCRO OP]]/(NC[[#Totals],[LUCRO OP]]+NC[[#Totals],[LÍQUIDO]])),-NC[[#Totals],[LUCRO OP]]/(NC[[#Totals],[LUCRO OP]]+NC[[#Totals],[LÍQUIDO]]))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14" sqref="A14"/>
    </sheetView>
  </sheetViews>
  <sheetFormatPr defaultRowHeight="12.75" x14ac:dyDescent="0.2"/>
  <cols>
    <col min="1" max="1" width="29.42578125" customWidth="1"/>
    <col min="2" max="2" width="8.5703125" bestFit="1" customWidth="1"/>
    <col min="3" max="3" width="10.7109375" customWidth="1"/>
    <col min="4" max="6" width="10.7109375" bestFit="1" customWidth="1"/>
    <col min="7" max="7" width="10" customWidth="1"/>
    <col min="8" max="8" width="10" bestFit="1" customWidth="1"/>
  </cols>
  <sheetData>
    <row r="3" spans="1:2" x14ac:dyDescent="0.2">
      <c r="A3" s="8" t="s">
        <v>36</v>
      </c>
      <c r="B3" s="11"/>
    </row>
    <row r="4" spans="1:2" x14ac:dyDescent="0.2">
      <c r="A4" s="8" t="s">
        <v>0</v>
      </c>
      <c r="B4" s="11" t="s">
        <v>35</v>
      </c>
    </row>
    <row r="5" spans="1:2" x14ac:dyDescent="0.2">
      <c r="A5" s="7" t="s">
        <v>31</v>
      </c>
      <c r="B5" s="12">
        <v>-862.45000000000027</v>
      </c>
    </row>
    <row r="6" spans="1:2" x14ac:dyDescent="0.2">
      <c r="A6" s="9" t="s">
        <v>28</v>
      </c>
      <c r="B6" s="13">
        <v>-130.13999999999999</v>
      </c>
    </row>
    <row r="7" spans="1:2" x14ac:dyDescent="0.2">
      <c r="A7" s="9" t="s">
        <v>25</v>
      </c>
      <c r="B7" s="13">
        <v>205.45000000000027</v>
      </c>
    </row>
    <row r="8" spans="1:2" x14ac:dyDescent="0.2">
      <c r="A8" s="9" t="s">
        <v>32</v>
      </c>
      <c r="B8" s="13">
        <v>-1201.19</v>
      </c>
    </row>
    <row r="9" spans="1:2" x14ac:dyDescent="0.2">
      <c r="A9" s="9" t="s">
        <v>15</v>
      </c>
      <c r="B9" s="13">
        <v>-121.93</v>
      </c>
    </row>
    <row r="10" spans="1:2" x14ac:dyDescent="0.2">
      <c r="A10" s="9" t="s">
        <v>27</v>
      </c>
      <c r="B10" s="13">
        <v>-21.560000000000855</v>
      </c>
    </row>
    <row r="11" spans="1:2" x14ac:dyDescent="0.2">
      <c r="A11" s="9" t="s">
        <v>29</v>
      </c>
      <c r="B11" s="13">
        <v>-81.129999999999654</v>
      </c>
    </row>
    <row r="12" spans="1:2" x14ac:dyDescent="0.2">
      <c r="A12" s="9" t="s">
        <v>12</v>
      </c>
      <c r="B12" s="13">
        <v>-255.90999999999991</v>
      </c>
    </row>
    <row r="13" spans="1:2" x14ac:dyDescent="0.2">
      <c r="A13" s="9" t="s">
        <v>26</v>
      </c>
      <c r="B13" s="13">
        <v>-88.079999999999814</v>
      </c>
    </row>
    <row r="14" spans="1:2" x14ac:dyDescent="0.2">
      <c r="A14" s="9" t="s">
        <v>30</v>
      </c>
      <c r="B14" s="13">
        <v>-150.42000000000007</v>
      </c>
    </row>
    <row r="15" spans="1:2" x14ac:dyDescent="0.2">
      <c r="A15" s="9" t="s">
        <v>33</v>
      </c>
      <c r="B15" s="13"/>
    </row>
    <row r="16" spans="1:2" x14ac:dyDescent="0.2">
      <c r="A16" s="10" t="s">
        <v>34</v>
      </c>
      <c r="B16" s="14">
        <v>-2707.36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3"/>
  <sheetViews>
    <sheetView tabSelected="1" workbookViewId="0">
      <pane xSplit="7" ySplit="1" topLeftCell="H2" activePane="bottomRight" state="frozen"/>
      <selection pane="topRight" activeCell="I1" sqref="I1"/>
      <selection pane="bottomLeft" activeCell="A2" sqref="A2"/>
      <selection pane="bottomRight" activeCell="R5" sqref="R5"/>
    </sheetView>
  </sheetViews>
  <sheetFormatPr defaultColWidth="11.5703125" defaultRowHeight="11.25" x14ac:dyDescent="0.2"/>
  <cols>
    <col min="1" max="1" width="4.7109375" style="15" bestFit="1" customWidth="1"/>
    <col min="2" max="2" width="7.42578125" style="15" bestFit="1" customWidth="1"/>
    <col min="3" max="3" width="7" style="15" bestFit="1" customWidth="1"/>
    <col min="4" max="4" width="7.28515625" style="15" bestFit="1" customWidth="1"/>
    <col min="5" max="5" width="6.85546875" style="15" bestFit="1" customWidth="1"/>
    <col min="6" max="6" width="7.7109375" style="15" bestFit="1" customWidth="1"/>
    <col min="7" max="7" width="7.140625" style="15" bestFit="1" customWidth="1"/>
    <col min="8" max="8" width="7.85546875" style="15" hidden="1" customWidth="1"/>
    <col min="9" max="9" width="10" style="16" hidden="1" customWidth="1"/>
    <col min="10" max="10" width="9.85546875" style="15" hidden="1" customWidth="1"/>
    <col min="11" max="11" width="7.140625" style="17" hidden="1" customWidth="1"/>
    <col min="12" max="12" width="10.85546875" style="15" hidden="1" customWidth="1"/>
    <col min="13" max="13" width="10.85546875" style="16" hidden="1" customWidth="1"/>
    <col min="14" max="14" width="8.5703125" style="15" hidden="1" customWidth="1"/>
    <col min="15" max="16" width="9.85546875" style="15" hidden="1" customWidth="1"/>
    <col min="17" max="17" width="9.85546875" style="15" bestFit="1" customWidth="1"/>
    <col min="18" max="18" width="11.85546875" style="15" bestFit="1" customWidth="1"/>
    <col min="19" max="19" width="7.85546875" style="15" bestFit="1" customWidth="1"/>
    <col min="20" max="20" width="6.85546875" style="15" bestFit="1" customWidth="1"/>
    <col min="21" max="21" width="7.7109375" style="15" bestFit="1" customWidth="1"/>
    <col min="22" max="22" width="8.42578125" style="15" bestFit="1" customWidth="1"/>
    <col min="23" max="23" width="8.7109375" style="15" bestFit="1" customWidth="1"/>
    <col min="24" max="26" width="9.85546875" style="15" bestFit="1" customWidth="1"/>
    <col min="27" max="27" width="9" style="15" bestFit="1" customWidth="1"/>
    <col min="28" max="28" width="10.85546875" style="15" bestFit="1" customWidth="1"/>
    <col min="29" max="29" width="6.42578125" style="15" bestFit="1" customWidth="1"/>
    <col min="30" max="30" width="9.85546875" style="15" bestFit="1" customWidth="1"/>
    <col min="31" max="16384" width="11.5703125" style="15"/>
  </cols>
  <sheetData>
    <row r="1" spans="1:30" s="18" customFormat="1" x14ac:dyDescent="0.2">
      <c r="A1" s="18" t="s">
        <v>39</v>
      </c>
      <c r="B1" s="18" t="s">
        <v>0</v>
      </c>
      <c r="C1" s="18" t="s">
        <v>1</v>
      </c>
      <c r="D1" s="18" t="s">
        <v>37</v>
      </c>
      <c r="E1" s="18" t="s">
        <v>2</v>
      </c>
      <c r="F1" s="18" t="s">
        <v>3</v>
      </c>
      <c r="G1" s="18" t="s">
        <v>4</v>
      </c>
      <c r="H1" s="18" t="s">
        <v>55</v>
      </c>
      <c r="I1" s="18" t="s">
        <v>46</v>
      </c>
      <c r="J1" s="18" t="s">
        <v>5</v>
      </c>
      <c r="K1" s="18" t="s">
        <v>38</v>
      </c>
      <c r="L1" s="19" t="s">
        <v>6</v>
      </c>
      <c r="M1" s="18" t="s">
        <v>7</v>
      </c>
      <c r="N1" s="20" t="s">
        <v>8</v>
      </c>
      <c r="O1" s="18" t="s">
        <v>9</v>
      </c>
      <c r="P1" s="20" t="s">
        <v>10</v>
      </c>
      <c r="Q1" s="18" t="s">
        <v>11</v>
      </c>
      <c r="R1" s="18" t="s">
        <v>40</v>
      </c>
      <c r="S1" s="18" t="s">
        <v>41</v>
      </c>
      <c r="T1" s="18" t="s">
        <v>43</v>
      </c>
      <c r="U1" s="18" t="s">
        <v>50</v>
      </c>
      <c r="V1" s="18" t="s">
        <v>44</v>
      </c>
      <c r="W1" s="18" t="s">
        <v>45</v>
      </c>
      <c r="X1" s="18" t="s">
        <v>54</v>
      </c>
      <c r="Y1" s="18" t="s">
        <v>48</v>
      </c>
      <c r="Z1" s="18" t="s">
        <v>53</v>
      </c>
      <c r="AA1" s="18" t="s">
        <v>52</v>
      </c>
      <c r="AB1" s="18" t="s">
        <v>49</v>
      </c>
      <c r="AC1" s="18" t="s">
        <v>47</v>
      </c>
      <c r="AD1" s="18" t="s">
        <v>51</v>
      </c>
    </row>
    <row r="2" spans="1:30" s="21" customFormat="1" x14ac:dyDescent="0.2">
      <c r="A2" s="21">
        <v>1</v>
      </c>
      <c r="B2" s="21" t="s">
        <v>25</v>
      </c>
      <c r="C2" s="21" t="s">
        <v>16</v>
      </c>
      <c r="D2" s="22">
        <v>40882</v>
      </c>
      <c r="E2" s="21">
        <v>100</v>
      </c>
      <c r="F2" s="23">
        <v>13.62</v>
      </c>
      <c r="G2" s="21" t="s">
        <v>14</v>
      </c>
      <c r="H2" s="21">
        <f>EOMONTH(NC[[#This Row],[DATA]],0)</f>
        <v>40908</v>
      </c>
      <c r="I2" s="21">
        <f>SUMPRODUCT(N(NC[ATIVO]=NC[[#This Row],[ATIVO]]),N(NC['[D/N']]="N"),N(NC['[C/V']]="C"))+SUMPRODUCT(N(NC[ID]&lt;NC[[#This Row],[ID]]),N(NC[ATIVO]=NC[[#This Row],[ATIVO]]),N(NC['[D/N']]="N"),N(NC[SALDO]=0))</f>
        <v>1</v>
      </c>
      <c r="J2" s="23">
        <f>NC[QTDE]*NC[PREÇO]</f>
        <v>1362</v>
      </c>
      <c r="K2" s="23">
        <f>SUMPRODUCT(N(NC[DATA]=NC[[#This Row],[DATA]]),N(NC[ID]&lt;=NC[[#This Row],[ID]]),N(NC['[C/V']]="V"),NC[VALOR])-SUMPRODUCT(N(NC[DATA]=NC[[#This Row],[DATA]]),N(NC[ID]&lt;=NC[[#This Row],[ID]]),N(NC['[C/V']]="C"),NC[VALOR])</f>
        <v>-1362</v>
      </c>
      <c r="L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0.37</v>
      </c>
      <c r="M2" s="23">
        <f>TRUNC(SUMPRODUCT(N(NC[DATA]=NC[[#This Row],[DATA]]),N(NC[ID]&lt;=NC[[#This Row],[ID]]),NC[VALOR]*SETUP!$A$3),2)</f>
        <v>0.09</v>
      </c>
      <c r="N2" s="23">
        <f>SETUP!$E$3*SUMPRODUCT(N(NC[DATA]=NC[[#This Row],[DATA]]),N(NC[ID]&lt;=NC[[#This Row],[ID]]))</f>
        <v>14.9</v>
      </c>
      <c r="O2" s="23">
        <f>TRUNC(NC[CORR. BASE]*SETUP!$F$3,2)</f>
        <v>0.28999999999999998</v>
      </c>
      <c r="P2" s="23">
        <f>TRUNC(NC[CORR. BASE]*SETUP!$G$3,2)</f>
        <v>0.57999999999999996</v>
      </c>
      <c r="Q2" s="23">
        <f>NC[VL LIQUID]-NC[TX LIQUID]-NC[EMOL]-NC[CORR. BASE]-NC[ISS]-NC[OUTRAS]</f>
        <v>-1378.2299999999998</v>
      </c>
      <c r="R2" s="23">
        <f>NC[LÍQUIDO]-SUMPRODUCT(N(NC[DATA]=NC[[#This Row],[DATA]]),N(NC[ID]=(NC[[#This Row],[ID]]-1)),NC[LÍQUIDO])</f>
        <v>-1378.2299999999998</v>
      </c>
      <c r="S2" s="23">
        <f t="shared" ref="S2:S31" si="0">ABS(R2)/E2</f>
        <v>13.782299999999998</v>
      </c>
      <c r="T2" s="23">
        <f>TRUNC(IF(NC['[C/V']]="V",J2*SETUP!$H$3,0),2)</f>
        <v>0</v>
      </c>
      <c r="U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V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13.782299999999998</v>
      </c>
      <c r="W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" s="23">
        <f>IF(NC['[D/N']]="D",IF(NC['[C/V']]="C",0,SUMPRODUCT(N(NC[DATA]=NC[[#This Row],[DATA]]),N(NC['[C/V']]="V"),NC[LÍQUIDO])),IF(AND(NC[MED CP]&gt;0,NC[MED VD]&gt;0),(NC[MED VD]-NC[MED CP])*NC[QTDE],0))</f>
        <v>0</v>
      </c>
      <c r="Y2" s="23">
        <f>ABS(SUMPRODUCT(N(NC[D BASE]&lt;=NC[[#This Row],[D BASE]]),NC[LÍQUIDO]))</f>
        <v>3884.619999999999</v>
      </c>
      <c r="Z2" s="23">
        <f>SUMPRODUCT(N(YEAR(NC[DATA])=YEAR(NC[[#This Row],[DATA]])),N(MONTH(NC[DATA])=MONTH(NC[[#This Row],[DATA]])),N(NC['[D/N']]="N"),NC[LUCRO OP])</f>
        <v>306.37500000000023</v>
      </c>
      <c r="AA2" s="23">
        <f>SUMPRODUCT(N(YEAR(NC[DATA])=YEAR(NC[[#This Row],[DATA]])),N(MONTH(NC[DATA])=MONTH(NC[[#This Row],[DATA]])),N(NC['[D/N']]="D"),NC[LUCRO OP])</f>
        <v>-36.1</v>
      </c>
      <c r="AB2" s="23">
        <f>NC[LUCRO N]+NC[LUCRO D]</f>
        <v>270.2750000000002</v>
      </c>
      <c r="AC2" s="26">
        <f>NC[LUCRO MÊS]/(NC[CARTEIRA]-NC[LUCRO MÊS])</f>
        <v>7.4778417666271566E-2</v>
      </c>
      <c r="AD2" s="23">
        <f>SUMPRODUCT(N(MONTH(NC[DATA])=MONTH(NC[[#This Row],[DATA]])),N(YEAR(NC[DATA])=YEAR(NC[[#This Row],[DATA]])),N(NC['[C/V']]="V"),NC[VALOR])</f>
        <v>4272</v>
      </c>
    </row>
    <row r="3" spans="1:30" s="21" customFormat="1" x14ac:dyDescent="0.2">
      <c r="A3" s="21">
        <v>2</v>
      </c>
      <c r="B3" s="21" t="s">
        <v>26</v>
      </c>
      <c r="C3" s="21" t="s">
        <v>16</v>
      </c>
      <c r="D3" s="22">
        <v>40886</v>
      </c>
      <c r="E3" s="21">
        <v>100</v>
      </c>
      <c r="F3" s="23">
        <v>8.4499999999999993</v>
      </c>
      <c r="G3" s="21" t="s">
        <v>14</v>
      </c>
      <c r="H3" s="21">
        <f>EOMONTH(NC[[#This Row],[DATA]],0)</f>
        <v>40908</v>
      </c>
      <c r="I3" s="21">
        <f>SUMPRODUCT(N(NC[ATIVO]=NC[[#This Row],[ATIVO]]),N(NC['[D/N']]="N"),N(NC['[C/V']]="C"))+SUMPRODUCT(N(NC[ID]&lt;NC[[#This Row],[ID]]),N(NC[ATIVO]=NC[[#This Row],[ATIVO]]),N(NC['[D/N']]="N"),N(NC[SALDO]=0))</f>
        <v>1</v>
      </c>
      <c r="J3" s="23">
        <f>NC[QTDE]*NC[PREÇO]</f>
        <v>844.99999999999989</v>
      </c>
      <c r="K3" s="23">
        <f>SUMPRODUCT(N(NC[DATA]=NC[[#This Row],[DATA]]),N(NC[ID]&lt;=NC[[#This Row],[ID]]),N(NC['[C/V']]="V"),NC[VALOR])-SUMPRODUCT(N(NC[DATA]=NC[[#This Row],[DATA]]),N(NC[ID]&lt;=NC[[#This Row],[ID]]),N(NC['[C/V']]="C"),NC[VALOR])</f>
        <v>-844.99999999999989</v>
      </c>
      <c r="L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M3" s="23">
        <f>TRUNC(SUMPRODUCT(N(NC[DATA]=NC[[#This Row],[DATA]]),N(NC[ID]&lt;=NC[[#This Row],[ID]]),NC[VALOR]*SETUP!$A$3),2)</f>
        <v>0.05</v>
      </c>
      <c r="N3" s="23">
        <f>SETUP!$E$3*SUMPRODUCT(N(NC[DATA]=NC[[#This Row],[DATA]]),N(NC[ID]&lt;=NC[[#This Row],[ID]]))</f>
        <v>14.9</v>
      </c>
      <c r="O3" s="23">
        <f>TRUNC(NC[CORR. BASE]*SETUP!$F$3,2)</f>
        <v>0.28999999999999998</v>
      </c>
      <c r="P3" s="23">
        <f>TRUNC(NC[CORR. BASE]*SETUP!$G$3,2)</f>
        <v>0.57999999999999996</v>
      </c>
      <c r="Q3" s="23">
        <f>NC[VL LIQUID]-NC[TX LIQUID]-NC[EMOL]-NC[CORR. BASE]-NC[ISS]-NC[OUTRAS]</f>
        <v>-861.04999999999984</v>
      </c>
      <c r="R3" s="23">
        <f>NC[LÍQUIDO]-SUMPRODUCT(N(NC[DATA]=NC[[#This Row],[DATA]]),N(NC[ID]=(NC[[#This Row],[ID]]-1)),NC[LÍQUIDO])</f>
        <v>-861.04999999999984</v>
      </c>
      <c r="S3" s="23">
        <f t="shared" si="0"/>
        <v>8.6104999999999983</v>
      </c>
      <c r="T3" s="23">
        <f>TRUNC(IF(NC['[C/V']]="V",J3*SETUP!$H$3,0),2)</f>
        <v>0</v>
      </c>
      <c r="U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V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8.6104999999999983</v>
      </c>
      <c r="W3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3" s="23">
        <f>IF(NC['[D/N']]="D",IF(NC['[C/V']]="C",0,SUMPRODUCT(N(NC[DATA]=NC[[#This Row],[DATA]]),N(NC['[C/V']]="V"),NC[LÍQUIDO])),IF(AND(NC[MED CP]&gt;0,NC[MED VD]&gt;0),(NC[MED VD]-NC[MED CP])*NC[QTDE],0))</f>
        <v>0</v>
      </c>
      <c r="Y3" s="23">
        <f>ABS(SUMPRODUCT(N(NC[D BASE]&lt;=NC[[#This Row],[D BASE]]),NC[LÍQUIDO]))</f>
        <v>3884.619999999999</v>
      </c>
      <c r="Z3" s="23">
        <f>SUMPRODUCT(N(YEAR(NC[DATA])=YEAR(NC[[#This Row],[DATA]])),N(MONTH(NC[DATA])=MONTH(NC[[#This Row],[DATA]])),N(NC['[D/N']]="N"),NC[LUCRO OP])</f>
        <v>306.37500000000023</v>
      </c>
      <c r="AA3" s="23">
        <f>SUMPRODUCT(N(YEAR(NC[DATA])=YEAR(NC[[#This Row],[DATA]])),N(MONTH(NC[DATA])=MONTH(NC[[#This Row],[DATA]])),N(NC['[D/N']]="D"),NC[LUCRO OP])</f>
        <v>-36.1</v>
      </c>
      <c r="AB3" s="23">
        <f>NC[LUCRO N]+NC[LUCRO D]</f>
        <v>270.2750000000002</v>
      </c>
      <c r="AC3" s="26">
        <f>NC[LUCRO MÊS]/(NC[CARTEIRA]-NC[LUCRO MÊS])</f>
        <v>7.4778417666271566E-2</v>
      </c>
      <c r="AD3" s="23">
        <f>SUMPRODUCT(N(MONTH(NC[DATA])=MONTH(NC[[#This Row],[DATA]])),N(YEAR(NC[DATA])=YEAR(NC[[#This Row],[DATA]])),N(NC['[C/V']]="V"),NC[VALOR])</f>
        <v>4272</v>
      </c>
    </row>
    <row r="4" spans="1:30" s="21" customFormat="1" x14ac:dyDescent="0.2">
      <c r="A4" s="21">
        <v>3</v>
      </c>
      <c r="B4" s="21" t="s">
        <v>25</v>
      </c>
      <c r="C4" s="21" t="s">
        <v>13</v>
      </c>
      <c r="D4" s="22">
        <v>40889</v>
      </c>
      <c r="E4" s="21">
        <v>100</v>
      </c>
      <c r="F4" s="23">
        <v>16</v>
      </c>
      <c r="G4" s="21" t="s">
        <v>14</v>
      </c>
      <c r="H4" s="21">
        <f>EOMONTH(NC[[#This Row],[DATA]],0)</f>
        <v>40908</v>
      </c>
      <c r="I4" s="21">
        <f>SUMPRODUCT(N(NC[ATIVO]=NC[[#This Row],[ATIVO]]),N(NC['[D/N']]="N"),N(NC['[C/V']]="C"))+SUMPRODUCT(N(NC[ID]&lt;NC[[#This Row],[ID]]),N(NC[ATIVO]=NC[[#This Row],[ATIVO]]),N(NC['[D/N']]="N"),N(NC[SALDO]=0))</f>
        <v>1</v>
      </c>
      <c r="J4" s="23">
        <f>NC[QTDE]*NC[PREÇO]</f>
        <v>1600</v>
      </c>
      <c r="K4" s="23">
        <f>SUMPRODUCT(N(NC[DATA]=NC[[#This Row],[DATA]]),N(NC[ID]&lt;=NC[[#This Row],[ID]]),N(NC['[C/V']]="V"),NC[VALOR])-SUMPRODUCT(N(NC[DATA]=NC[[#This Row],[DATA]]),N(NC[ID]&lt;=NC[[#This Row],[ID]]),N(NC['[C/V']]="C"),NC[VALOR])</f>
        <v>1600</v>
      </c>
      <c r="L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0.44</v>
      </c>
      <c r="M4" s="23">
        <f>TRUNC(SUMPRODUCT(N(NC[DATA]=NC[[#This Row],[DATA]]),N(NC[ID]&lt;=NC[[#This Row],[ID]]),NC[VALOR]*SETUP!$A$3),2)</f>
        <v>0.11</v>
      </c>
      <c r="N4" s="23">
        <f>SETUP!$E$3*SUMPRODUCT(N(NC[DATA]=NC[[#This Row],[DATA]]),N(NC[ID]&lt;=NC[[#This Row],[ID]]))</f>
        <v>14.9</v>
      </c>
      <c r="O4" s="23">
        <f>TRUNC(NC[CORR. BASE]*SETUP!$F$3,2)</f>
        <v>0.28999999999999998</v>
      </c>
      <c r="P4" s="23">
        <f>TRUNC(NC[CORR. BASE]*SETUP!$G$3,2)</f>
        <v>0.57999999999999996</v>
      </c>
      <c r="Q4" s="23">
        <f>NC[VL LIQUID]-NC[TX LIQUID]-NC[EMOL]-NC[CORR. BASE]-NC[ISS]-NC[OUTRAS]</f>
        <v>1583.68</v>
      </c>
      <c r="R4" s="23">
        <f>NC[LÍQUIDO]-SUMPRODUCT(N(NC[DATA]=NC[[#This Row],[DATA]]),N(NC[ID]=(NC[[#This Row],[ID]]-1)),NC[LÍQUIDO])</f>
        <v>1583.68</v>
      </c>
      <c r="S4" s="23">
        <f t="shared" si="0"/>
        <v>15.8368</v>
      </c>
      <c r="T4" s="23">
        <f>TRUNC(IF(NC['[C/V']]="V",J4*SETUP!$H$3,0),2)</f>
        <v>0.08</v>
      </c>
      <c r="U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13.782299999999998</v>
      </c>
      <c r="W4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15.8368</v>
      </c>
      <c r="X4" s="23">
        <f>IF(NC['[D/N']]="D",IF(NC['[C/V']]="C",0,SUMPRODUCT(N(NC[DATA]=NC[[#This Row],[DATA]]),N(NC['[C/V']]="V"),NC[LÍQUIDO])),IF(AND(NC[MED CP]&gt;0,NC[MED VD]&gt;0),(NC[MED VD]-NC[MED CP])*NC[QTDE],0))</f>
        <v>205.45000000000027</v>
      </c>
      <c r="Y4" s="23">
        <f>ABS(SUMPRODUCT(N(NC[D BASE]&lt;=NC[[#This Row],[D BASE]]),NC[LÍQUIDO]))</f>
        <v>3884.619999999999</v>
      </c>
      <c r="Z4" s="23">
        <f>SUMPRODUCT(N(YEAR(NC[DATA])=YEAR(NC[[#This Row],[DATA]])),N(MONTH(NC[DATA])=MONTH(NC[[#This Row],[DATA]])),N(NC['[D/N']]="N"),NC[LUCRO OP])</f>
        <v>306.37500000000023</v>
      </c>
      <c r="AA4" s="23">
        <f>SUMPRODUCT(N(YEAR(NC[DATA])=YEAR(NC[[#This Row],[DATA]])),N(MONTH(NC[DATA])=MONTH(NC[[#This Row],[DATA]])),N(NC['[D/N']]="D"),NC[LUCRO OP])</f>
        <v>-36.1</v>
      </c>
      <c r="AB4" s="23">
        <f>NC[LUCRO N]+NC[LUCRO D]</f>
        <v>270.2750000000002</v>
      </c>
      <c r="AC4" s="26">
        <f>NC[LUCRO MÊS]/(NC[CARTEIRA]-NC[LUCRO MÊS])</f>
        <v>7.4778417666271566E-2</v>
      </c>
      <c r="AD4" s="23">
        <f>SUMPRODUCT(N(MONTH(NC[DATA])=MONTH(NC[[#This Row],[DATA]])),N(YEAR(NC[DATA])=YEAR(NC[[#This Row],[DATA]])),N(NC['[C/V']]="V"),NC[VALOR])</f>
        <v>4272</v>
      </c>
    </row>
    <row r="5" spans="1:30" s="21" customFormat="1" x14ac:dyDescent="0.2">
      <c r="A5" s="21">
        <v>4</v>
      </c>
      <c r="B5" s="21" t="s">
        <v>27</v>
      </c>
      <c r="C5" s="21" t="s">
        <v>16</v>
      </c>
      <c r="D5" s="22">
        <v>40893</v>
      </c>
      <c r="E5" s="21">
        <v>200</v>
      </c>
      <c r="F5" s="23">
        <v>5.66</v>
      </c>
      <c r="G5" s="21" t="s">
        <v>24</v>
      </c>
      <c r="H5" s="21">
        <f>EOMONTH(NC[[#This Row],[DATA]],0)</f>
        <v>40908</v>
      </c>
      <c r="I5" s="21">
        <f>SUMPRODUCT(N(NC[ATIVO]=NC[[#This Row],[ATIVO]]),N(NC['[D/N']]="N"),N(NC['[C/V']]="C"))+SUMPRODUCT(N(NC[ID]&lt;NC[[#This Row],[ID]]),N(NC[ATIVO]=NC[[#This Row],[ATIVO]]),N(NC['[D/N']]="N"),N(NC[SALDO]=0))</f>
        <v>2</v>
      </c>
      <c r="J5" s="23">
        <f>NC[QTDE]*NC[PREÇO]</f>
        <v>1132</v>
      </c>
      <c r="K5" s="23">
        <f>SUMPRODUCT(N(NC[DATA]=NC[[#This Row],[DATA]]),N(NC[ID]&lt;=NC[[#This Row],[ID]]),N(NC['[C/V']]="V"),NC[VALOR])-SUMPRODUCT(N(NC[DATA]=NC[[#This Row],[DATA]]),N(NC[ID]&lt;=NC[[#This Row],[ID]]),N(NC['[C/V']]="C"),NC[VALOR])</f>
        <v>-1132</v>
      </c>
      <c r="L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M5" s="23">
        <f>TRUNC(SUMPRODUCT(N(NC[DATA]=NC[[#This Row],[DATA]]),N(NC[ID]&lt;=NC[[#This Row],[ID]]),NC[VALOR]*SETUP!$A$3),2)</f>
        <v>7.0000000000000007E-2</v>
      </c>
      <c r="N5" s="23">
        <f>SETUP!$E$3*SUMPRODUCT(N(NC[DATA]=NC[[#This Row],[DATA]]),N(NC[ID]&lt;=NC[[#This Row],[ID]]))</f>
        <v>14.9</v>
      </c>
      <c r="O5" s="23">
        <f>TRUNC(NC[CORR. BASE]*SETUP!$F$3,2)</f>
        <v>0.28999999999999998</v>
      </c>
      <c r="P5" s="23">
        <f>TRUNC(NC[CORR. BASE]*SETUP!$G$3,2)</f>
        <v>0.57999999999999996</v>
      </c>
      <c r="Q5" s="23">
        <f>NC[VL LIQUID]-NC[TX LIQUID]-NC[EMOL]-NC[CORR. BASE]-NC[ISS]-NC[OUTRAS]</f>
        <v>-1148.04</v>
      </c>
      <c r="R5" s="23">
        <f>NC[LÍQUIDO]-SUMPRODUCT(N(NC[DATA]=NC[[#This Row],[DATA]]),N(NC[ID]=(NC[[#This Row],[ID]]-1)),NC[LÍQUIDO])</f>
        <v>-1148.04</v>
      </c>
      <c r="S5" s="23">
        <f t="shared" si="0"/>
        <v>5.7401999999999997</v>
      </c>
      <c r="T5" s="23">
        <f>TRUNC(IF(NC['[C/V']]="V",J5*SETUP!$H$3,0),2)</f>
        <v>0</v>
      </c>
      <c r="U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5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5" s="23">
        <f>IF(NC['[D/N']]="D",IF(NC['[C/V']]="C",0,SUMPRODUCT(N(NC[DATA]=NC[[#This Row],[DATA]]),N(NC['[C/V']]="V"),NC[LÍQUIDO])),IF(AND(NC[MED CP]&gt;0,NC[MED VD]&gt;0),(NC[MED VD]-NC[MED CP])*NC[QTDE],0))</f>
        <v>0</v>
      </c>
      <c r="Y5" s="23">
        <f>ABS(SUMPRODUCT(N(NC[D BASE]&lt;=NC[[#This Row],[D BASE]]),NC[LÍQUIDO]))</f>
        <v>3884.619999999999</v>
      </c>
      <c r="Z5" s="23">
        <f>SUMPRODUCT(N(YEAR(NC[DATA])=YEAR(NC[[#This Row],[DATA]])),N(MONTH(NC[DATA])=MONTH(NC[[#This Row],[DATA]])),N(NC['[D/N']]="N"),NC[LUCRO OP])</f>
        <v>306.37500000000023</v>
      </c>
      <c r="AA5" s="23">
        <f>SUMPRODUCT(N(YEAR(NC[DATA])=YEAR(NC[[#This Row],[DATA]])),N(MONTH(NC[DATA])=MONTH(NC[[#This Row],[DATA]])),N(NC['[D/N']]="D"),NC[LUCRO OP])</f>
        <v>-36.1</v>
      </c>
      <c r="AB5" s="23">
        <f>NC[LUCRO N]+NC[LUCRO D]</f>
        <v>270.2750000000002</v>
      </c>
      <c r="AC5" s="26">
        <f>NC[LUCRO MÊS]/(NC[CARTEIRA]-NC[LUCRO MÊS])</f>
        <v>7.4778417666271566E-2</v>
      </c>
      <c r="AD5" s="23">
        <f>SUMPRODUCT(N(MONTH(NC[DATA])=MONTH(NC[[#This Row],[DATA]])),N(YEAR(NC[DATA])=YEAR(NC[[#This Row],[DATA]])),N(NC['[C/V']]="V"),NC[VALOR])</f>
        <v>4272</v>
      </c>
    </row>
    <row r="6" spans="1:30" s="21" customFormat="1" x14ac:dyDescent="0.2">
      <c r="A6" s="21">
        <v>5</v>
      </c>
      <c r="B6" s="21" t="s">
        <v>27</v>
      </c>
      <c r="C6" s="21" t="s">
        <v>13</v>
      </c>
      <c r="D6" s="22">
        <v>40893</v>
      </c>
      <c r="E6" s="21">
        <v>200</v>
      </c>
      <c r="F6" s="23">
        <v>5.64</v>
      </c>
      <c r="G6" s="21" t="s">
        <v>24</v>
      </c>
      <c r="H6" s="21">
        <f>EOMONTH(NC[[#This Row],[DATA]],0)</f>
        <v>40908</v>
      </c>
      <c r="I6" s="21">
        <f>SUMPRODUCT(N(NC[ATIVO]=NC[[#This Row],[ATIVO]]),N(NC['[D/N']]="N"),N(NC['[C/V']]="C"))+SUMPRODUCT(N(NC[ID]&lt;NC[[#This Row],[ID]]),N(NC[ATIVO]=NC[[#This Row],[ATIVO]]),N(NC['[D/N']]="N"),N(NC[SALDO]=0))</f>
        <v>2</v>
      </c>
      <c r="J6" s="23">
        <f>NC[QTDE]*NC[PREÇO]</f>
        <v>1128</v>
      </c>
      <c r="K6" s="23">
        <f>SUMPRODUCT(N(NC[DATA]=NC[[#This Row],[DATA]]),N(NC[ID]&lt;=NC[[#This Row],[ID]]),N(NC['[C/V']]="V"),NC[VALOR])-SUMPRODUCT(N(NC[DATA]=NC[[#This Row],[DATA]]),N(NC[ID]&lt;=NC[[#This Row],[ID]]),N(NC['[C/V']]="C"),NC[VALOR])</f>
        <v>-4</v>
      </c>
      <c r="L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0.4</v>
      </c>
      <c r="M6" s="23">
        <f>TRUNC(SUMPRODUCT(N(NC[DATA]=NC[[#This Row],[DATA]]),N(NC[ID]&lt;=NC[[#This Row],[ID]]),NC[VALOR]*SETUP!$A$3),2)</f>
        <v>0.15</v>
      </c>
      <c r="N6" s="23">
        <f>SETUP!$E$3*SUMPRODUCT(N(NC[DATA]=NC[[#This Row],[DATA]]),N(NC[ID]&lt;=NC[[#This Row],[ID]]))</f>
        <v>29.8</v>
      </c>
      <c r="O6" s="23">
        <f>TRUNC(NC[CORR. BASE]*SETUP!$F$3,2)</f>
        <v>0.59</v>
      </c>
      <c r="P6" s="23">
        <f>TRUNC(NC[CORR. BASE]*SETUP!$G$3,2)</f>
        <v>1.1599999999999999</v>
      </c>
      <c r="Q6" s="23">
        <f>NC[VL LIQUID]-NC[TX LIQUID]-NC[EMOL]-NC[CORR. BASE]-NC[ISS]-NC[OUTRAS]</f>
        <v>-36.1</v>
      </c>
      <c r="R6" s="23">
        <f>NC[LÍQUIDO]-SUMPRODUCT(N(NC[DATA]=NC[[#This Row],[DATA]]),N(NC[ID]=(NC[[#This Row],[ID]]-1)),NC[LÍQUIDO])</f>
        <v>1111.94</v>
      </c>
      <c r="S6" s="23">
        <f t="shared" si="0"/>
        <v>5.5597000000000003</v>
      </c>
      <c r="T6" s="23">
        <f>TRUNC(IF(NC['[C/V']]="V",J6*SETUP!$H$3,0),2)</f>
        <v>0.05</v>
      </c>
      <c r="U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6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5.5597000000000003</v>
      </c>
      <c r="X6" s="23">
        <f>IF(NC['[D/N']]="D",IF(NC['[C/V']]="C",0,SUMPRODUCT(N(NC[DATA]=NC[[#This Row],[DATA]]),N(NC['[C/V']]="V"),NC[LÍQUIDO])),IF(AND(NC[MED CP]&gt;0,NC[MED VD]&gt;0),(NC[MED VD]-NC[MED CP])*NC[QTDE],0))</f>
        <v>-36.1</v>
      </c>
      <c r="Y6" s="23">
        <f>ABS(SUMPRODUCT(N(NC[D BASE]&lt;=NC[[#This Row],[D BASE]]),NC[LÍQUIDO]))</f>
        <v>3884.619999999999</v>
      </c>
      <c r="Z6" s="23">
        <f>SUMPRODUCT(N(YEAR(NC[DATA])=YEAR(NC[[#This Row],[DATA]])),N(MONTH(NC[DATA])=MONTH(NC[[#This Row],[DATA]])),N(NC['[D/N']]="N"),NC[LUCRO OP])</f>
        <v>306.37500000000023</v>
      </c>
      <c r="AA6" s="23">
        <f>SUMPRODUCT(N(YEAR(NC[DATA])=YEAR(NC[[#This Row],[DATA]])),N(MONTH(NC[DATA])=MONTH(NC[[#This Row],[DATA]])),N(NC['[D/N']]="D"),NC[LUCRO OP])</f>
        <v>-36.1</v>
      </c>
      <c r="AB6" s="23">
        <f>NC[LUCRO N]+NC[LUCRO D]</f>
        <v>270.2750000000002</v>
      </c>
      <c r="AC6" s="26">
        <f>NC[LUCRO MÊS]/(NC[CARTEIRA]-NC[LUCRO MÊS])</f>
        <v>7.4778417666271566E-2</v>
      </c>
      <c r="AD6" s="23">
        <f>SUMPRODUCT(N(MONTH(NC[DATA])=MONTH(NC[[#This Row],[DATA]])),N(YEAR(NC[DATA])=YEAR(NC[[#This Row],[DATA]])),N(NC['[C/V']]="V"),NC[VALOR])</f>
        <v>4272</v>
      </c>
    </row>
    <row r="7" spans="1:30" s="21" customFormat="1" x14ac:dyDescent="0.2">
      <c r="A7" s="21">
        <v>6</v>
      </c>
      <c r="B7" s="21" t="s">
        <v>27</v>
      </c>
      <c r="C7" s="21" t="s">
        <v>16</v>
      </c>
      <c r="D7" s="22">
        <v>40893</v>
      </c>
      <c r="E7" s="21">
        <v>200</v>
      </c>
      <c r="F7" s="23">
        <v>5.65</v>
      </c>
      <c r="G7" s="21" t="s">
        <v>14</v>
      </c>
      <c r="H7" s="21">
        <f>EOMONTH(NC[[#This Row],[DATA]],0)</f>
        <v>40908</v>
      </c>
      <c r="I7" s="21">
        <f>SUMPRODUCT(N(NC[ATIVO]=NC[[#This Row],[ATIVO]]),N(NC['[D/N']]="N"),N(NC['[C/V']]="C"))+SUMPRODUCT(N(NC[ID]&lt;NC[[#This Row],[ID]]),N(NC[ATIVO]=NC[[#This Row],[ATIVO]]),N(NC['[D/N']]="N"),N(NC[SALDO]=0))</f>
        <v>2</v>
      </c>
      <c r="J7" s="23">
        <f>NC[QTDE]*NC[PREÇO]</f>
        <v>1130</v>
      </c>
      <c r="K7" s="23">
        <f>SUMPRODUCT(N(NC[DATA]=NC[[#This Row],[DATA]]),N(NC[ID]&lt;=NC[[#This Row],[ID]]),N(NC['[C/V']]="V"),NC[VALOR])-SUMPRODUCT(N(NC[DATA]=NC[[#This Row],[DATA]]),N(NC[ID]&lt;=NC[[#This Row],[ID]]),N(NC['[C/V']]="C"),NC[VALOR])</f>
        <v>-1134</v>
      </c>
      <c r="L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0.71</v>
      </c>
      <c r="M7" s="23">
        <f>TRUNC(SUMPRODUCT(N(NC[DATA]=NC[[#This Row],[DATA]]),N(NC[ID]&lt;=NC[[#This Row],[ID]]),NC[VALOR]*SETUP!$A$3),2)</f>
        <v>0.23</v>
      </c>
      <c r="N7" s="23">
        <f>SETUP!$E$3*SUMPRODUCT(N(NC[DATA]=NC[[#This Row],[DATA]]),N(NC[ID]&lt;=NC[[#This Row],[ID]]))</f>
        <v>44.7</v>
      </c>
      <c r="O7" s="23">
        <f>TRUNC(NC[CORR. BASE]*SETUP!$F$3,2)</f>
        <v>0.89</v>
      </c>
      <c r="P7" s="23">
        <f>TRUNC(NC[CORR. BASE]*SETUP!$G$3,2)</f>
        <v>1.74</v>
      </c>
      <c r="Q7" s="23">
        <f>NC[VL LIQUID]-NC[TX LIQUID]-NC[EMOL]-NC[CORR. BASE]-NC[ISS]-NC[OUTRAS]</f>
        <v>-1182.2700000000002</v>
      </c>
      <c r="R7" s="23">
        <f>NC[LÍQUIDO]-SUMPRODUCT(N(NC[DATA]=NC[[#This Row],[DATA]]),N(NC[ID]=(NC[[#This Row],[ID]]-1)),NC[LÍQUIDO])</f>
        <v>-1146.1700000000003</v>
      </c>
      <c r="S7" s="23">
        <f t="shared" si="0"/>
        <v>5.7308500000000011</v>
      </c>
      <c r="T7" s="23">
        <f>TRUNC(IF(NC['[C/V']]="V",J7*SETUP!$H$3,0),2)</f>
        <v>0</v>
      </c>
      <c r="U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V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W7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7" s="23">
        <f>IF(NC['[D/N']]="D",IF(NC['[C/V']]="C",0,SUMPRODUCT(N(NC[DATA]=NC[[#This Row],[DATA]]),N(NC['[C/V']]="V"),NC[LÍQUIDO])),IF(AND(NC[MED CP]&gt;0,NC[MED VD]&gt;0),(NC[MED VD]-NC[MED CP])*NC[QTDE],0))</f>
        <v>0</v>
      </c>
      <c r="Y7" s="23">
        <f>ABS(SUMPRODUCT(N(NC[D BASE]&lt;=NC[[#This Row],[D BASE]]),NC[LÍQUIDO]))</f>
        <v>3884.619999999999</v>
      </c>
      <c r="Z7" s="23">
        <f>SUMPRODUCT(N(YEAR(NC[DATA])=YEAR(NC[[#This Row],[DATA]])),N(MONTH(NC[DATA])=MONTH(NC[[#This Row],[DATA]])),N(NC['[D/N']]="N"),NC[LUCRO OP])</f>
        <v>306.37500000000023</v>
      </c>
      <c r="AA7" s="23">
        <f>SUMPRODUCT(N(YEAR(NC[DATA])=YEAR(NC[[#This Row],[DATA]])),N(MONTH(NC[DATA])=MONTH(NC[[#This Row],[DATA]])),N(NC['[D/N']]="D"),NC[LUCRO OP])</f>
        <v>-36.1</v>
      </c>
      <c r="AB7" s="23">
        <f>NC[LUCRO N]+NC[LUCRO D]</f>
        <v>270.2750000000002</v>
      </c>
      <c r="AC7" s="26">
        <f>NC[LUCRO MÊS]/(NC[CARTEIRA]-NC[LUCRO MÊS])</f>
        <v>7.4778417666271566E-2</v>
      </c>
      <c r="AD7" s="23">
        <f>SUMPRODUCT(N(MONTH(NC[DATA])=MONTH(NC[[#This Row],[DATA]])),N(YEAR(NC[DATA])=YEAR(NC[[#This Row],[DATA]])),N(NC['[C/V']]="V"),NC[VALOR])</f>
        <v>4272</v>
      </c>
    </row>
    <row r="8" spans="1:30" s="21" customFormat="1" x14ac:dyDescent="0.2">
      <c r="A8" s="21">
        <v>7</v>
      </c>
      <c r="B8" s="21" t="s">
        <v>28</v>
      </c>
      <c r="C8" s="21" t="s">
        <v>13</v>
      </c>
      <c r="D8" s="22">
        <v>40900</v>
      </c>
      <c r="E8" s="21">
        <v>200</v>
      </c>
      <c r="F8" s="23">
        <v>4.2699999999999996</v>
      </c>
      <c r="G8" s="21" t="s">
        <v>14</v>
      </c>
      <c r="H8" s="21">
        <f>EOMONTH(NC[[#This Row],[DATA]],0)</f>
        <v>40908</v>
      </c>
      <c r="I8" s="21">
        <f>SUMPRODUCT(N(NC[ATIVO]=NC[[#This Row],[ATIVO]]),N(NC['[D/N']]="N"),N(NC['[C/V']]="C"))+SUMPRODUCT(N(NC[ID]&lt;NC[[#This Row],[ID]]),N(NC[ATIVO]=NC[[#This Row],[ATIVO]]),N(NC['[D/N']]="N"),N(NC[SALDO]=0))</f>
        <v>2</v>
      </c>
      <c r="J8" s="23">
        <f>NC[QTDE]*NC[PREÇO]</f>
        <v>853.99999999999989</v>
      </c>
      <c r="K8" s="23">
        <f>SUMPRODUCT(N(NC[DATA]=NC[[#This Row],[DATA]]),N(NC[ID]&lt;=NC[[#This Row],[ID]]),N(NC['[C/V']]="V"),NC[VALOR])-SUMPRODUCT(N(NC[DATA]=NC[[#This Row],[DATA]]),N(NC[ID]&lt;=NC[[#This Row],[ID]]),N(NC['[C/V']]="C"),NC[VALOR])</f>
        <v>853.99999999999989</v>
      </c>
      <c r="L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0.23</v>
      </c>
      <c r="M8" s="23">
        <f>TRUNC(SUMPRODUCT(N(NC[DATA]=NC[[#This Row],[DATA]]),N(NC[ID]&lt;=NC[[#This Row],[ID]]),NC[VALOR]*SETUP!$A$3),2)</f>
        <v>0.05</v>
      </c>
      <c r="N8" s="23">
        <f>SETUP!$E$3*SUMPRODUCT(N(NC[DATA]=NC[[#This Row],[DATA]]),N(NC[ID]&lt;=NC[[#This Row],[ID]]))</f>
        <v>14.9</v>
      </c>
      <c r="O8" s="23">
        <f>TRUNC(NC[CORR. BASE]*SETUP!$F$3,2)</f>
        <v>0.28999999999999998</v>
      </c>
      <c r="P8" s="23">
        <f>TRUNC(NC[CORR. BASE]*SETUP!$G$3,2)</f>
        <v>0.57999999999999996</v>
      </c>
      <c r="Q8" s="23">
        <f>NC[VL LIQUID]-NC[TX LIQUID]-NC[EMOL]-NC[CORR. BASE]-NC[ISS]-NC[OUTRAS]</f>
        <v>837.94999999999993</v>
      </c>
      <c r="R8" s="23">
        <f>NC[LÍQUIDO]-SUMPRODUCT(N(NC[DATA]=NC[[#This Row],[DATA]]),N(NC[ID]=(NC[[#This Row],[ID]]-1)),NC[LÍQUIDO])</f>
        <v>837.94999999999993</v>
      </c>
      <c r="S8" s="23">
        <f t="shared" si="0"/>
        <v>4.1897500000000001</v>
      </c>
      <c r="T8" s="23">
        <f>TRUNC(IF(NC['[C/V']]="V",J8*SETUP!$H$3,0),2)</f>
        <v>0.04</v>
      </c>
      <c r="U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-200</v>
      </c>
      <c r="V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8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4.1897500000000001</v>
      </c>
      <c r="X8" s="23">
        <f>IF(NC['[D/N']]="D",IF(NC['[C/V']]="C",0,SUMPRODUCT(N(NC[DATA]=NC[[#This Row],[DATA]]),N(NC['[C/V']]="V"),NC[LÍQUIDO])),IF(AND(NC[MED CP]&gt;0,NC[MED VD]&gt;0),(NC[MED VD]-NC[MED CP])*NC[QTDE],0))</f>
        <v>0</v>
      </c>
      <c r="Y8" s="23">
        <f>ABS(SUMPRODUCT(N(NC[D BASE]&lt;=NC[[#This Row],[D BASE]]),NC[LÍQUIDO]))</f>
        <v>3884.619999999999</v>
      </c>
      <c r="Z8" s="23">
        <f>SUMPRODUCT(N(YEAR(NC[DATA])=YEAR(NC[[#This Row],[DATA]])),N(MONTH(NC[DATA])=MONTH(NC[[#This Row],[DATA]])),N(NC['[D/N']]="N"),NC[LUCRO OP])</f>
        <v>306.37500000000023</v>
      </c>
      <c r="AA8" s="23">
        <f>SUMPRODUCT(N(YEAR(NC[DATA])=YEAR(NC[[#This Row],[DATA]])),N(MONTH(NC[DATA])=MONTH(NC[[#This Row],[DATA]])),N(NC['[D/N']]="D"),NC[LUCRO OP])</f>
        <v>-36.1</v>
      </c>
      <c r="AB8" s="23">
        <f>NC[LUCRO N]+NC[LUCRO D]</f>
        <v>270.2750000000002</v>
      </c>
      <c r="AC8" s="26">
        <f>NC[LUCRO MÊS]/(NC[CARTEIRA]-NC[LUCRO MÊS])</f>
        <v>7.4778417666271566E-2</v>
      </c>
      <c r="AD8" s="23">
        <f>SUMPRODUCT(N(MONTH(NC[DATA])=MONTH(NC[[#This Row],[DATA]])),N(YEAR(NC[DATA])=YEAR(NC[[#This Row],[DATA]])),N(NC['[C/V']]="V"),NC[VALOR])</f>
        <v>4272</v>
      </c>
    </row>
    <row r="9" spans="1:30" s="21" customFormat="1" x14ac:dyDescent="0.2">
      <c r="A9" s="21">
        <v>8</v>
      </c>
      <c r="B9" s="21" t="s">
        <v>29</v>
      </c>
      <c r="C9" s="21" t="s">
        <v>16</v>
      </c>
      <c r="D9" s="22">
        <v>40905</v>
      </c>
      <c r="E9" s="21">
        <v>300</v>
      </c>
      <c r="F9" s="23">
        <v>7.86</v>
      </c>
      <c r="G9" s="21" t="s">
        <v>14</v>
      </c>
      <c r="H9" s="21">
        <f>EOMONTH(NC[[#This Row],[DATA]],0)</f>
        <v>40908</v>
      </c>
      <c r="I9" s="21">
        <f>SUMPRODUCT(N(NC[ATIVO]=NC[[#This Row],[ATIVO]]),N(NC['[D/N']]="N"),N(NC['[C/V']]="C"))+SUMPRODUCT(N(NC[ID]&lt;NC[[#This Row],[ID]]),N(NC[ATIVO]=NC[[#This Row],[ATIVO]]),N(NC['[D/N']]="N"),N(NC[SALDO]=0))</f>
        <v>1</v>
      </c>
      <c r="J9" s="23">
        <f>NC[QTDE]*NC[PREÇO]</f>
        <v>2358</v>
      </c>
      <c r="K9" s="23">
        <f>SUMPRODUCT(N(NC[DATA]=NC[[#This Row],[DATA]]),N(NC[ID]&lt;=NC[[#This Row],[ID]]),N(NC['[C/V']]="V"),NC[VALOR])-SUMPRODUCT(N(NC[DATA]=NC[[#This Row],[DATA]]),N(NC[ID]&lt;=NC[[#This Row],[ID]]),N(NC['[C/V']]="C"),NC[VALOR])</f>
        <v>-2358</v>
      </c>
      <c r="L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0.64</v>
      </c>
      <c r="M9" s="23">
        <f>TRUNC(SUMPRODUCT(N(NC[DATA]=NC[[#This Row],[DATA]]),N(NC[ID]&lt;=NC[[#This Row],[ID]]),NC[VALOR]*SETUP!$A$3),2)</f>
        <v>0.16</v>
      </c>
      <c r="N9" s="23">
        <f>SETUP!$E$3*SUMPRODUCT(N(NC[DATA]=NC[[#This Row],[DATA]]),N(NC[ID]&lt;=NC[[#This Row],[ID]]))</f>
        <v>14.9</v>
      </c>
      <c r="O9" s="23">
        <f>TRUNC(NC[CORR. BASE]*SETUP!$F$3,2)</f>
        <v>0.28999999999999998</v>
      </c>
      <c r="P9" s="23">
        <f>TRUNC(NC[CORR. BASE]*SETUP!$G$3,2)</f>
        <v>0.57999999999999996</v>
      </c>
      <c r="Q9" s="23">
        <f>NC[VL LIQUID]-NC[TX LIQUID]-NC[EMOL]-NC[CORR. BASE]-NC[ISS]-NC[OUTRAS]</f>
        <v>-2374.5699999999997</v>
      </c>
      <c r="R9" s="23">
        <f>NC[LÍQUIDO]-SUMPRODUCT(N(NC[DATA]=NC[[#This Row],[DATA]]),N(NC[ID]=(NC[[#This Row],[ID]]-1)),NC[LÍQUIDO])</f>
        <v>-2374.5699999999997</v>
      </c>
      <c r="S9" s="23">
        <f t="shared" si="0"/>
        <v>7.9152333333333322</v>
      </c>
      <c r="T9" s="23">
        <f>TRUNC(IF(NC['[C/V']]="V",J9*SETUP!$H$3,0),2)</f>
        <v>0</v>
      </c>
      <c r="U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</v>
      </c>
      <c r="V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7.9152333333333322</v>
      </c>
      <c r="W9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9" s="23">
        <f>IF(NC['[D/N']]="D",IF(NC['[C/V']]="C",0,SUMPRODUCT(N(NC[DATA]=NC[[#This Row],[DATA]]),N(NC['[C/V']]="V"),NC[LÍQUIDO])),IF(AND(NC[MED CP]&gt;0,NC[MED VD]&gt;0),(NC[MED VD]-NC[MED CP])*NC[QTDE],0))</f>
        <v>0</v>
      </c>
      <c r="Y9" s="23">
        <f>ABS(SUMPRODUCT(N(NC[D BASE]&lt;=NC[[#This Row],[D BASE]]),NC[LÍQUIDO]))</f>
        <v>3884.619999999999</v>
      </c>
      <c r="Z9" s="23">
        <f>SUMPRODUCT(N(YEAR(NC[DATA])=YEAR(NC[[#This Row],[DATA]])),N(MONTH(NC[DATA])=MONTH(NC[[#This Row],[DATA]])),N(NC['[D/N']]="N"),NC[LUCRO OP])</f>
        <v>306.37500000000023</v>
      </c>
      <c r="AA9" s="23">
        <f>SUMPRODUCT(N(YEAR(NC[DATA])=YEAR(NC[[#This Row],[DATA]])),N(MONTH(NC[DATA])=MONTH(NC[[#This Row],[DATA]])),N(NC['[D/N']]="D"),NC[LUCRO OP])</f>
        <v>-36.1</v>
      </c>
      <c r="AB9" s="23">
        <f>NC[LUCRO N]+NC[LUCRO D]</f>
        <v>270.2750000000002</v>
      </c>
      <c r="AC9" s="26">
        <f>NC[LUCRO MÊS]/(NC[CARTEIRA]-NC[LUCRO MÊS])</f>
        <v>7.4778417666271566E-2</v>
      </c>
      <c r="AD9" s="23">
        <f>SUMPRODUCT(N(MONTH(NC[DATA])=MONTH(NC[[#This Row],[DATA]])),N(YEAR(NC[DATA])=YEAR(NC[[#This Row],[DATA]])),N(NC['[C/V']]="V"),NC[VALOR])</f>
        <v>4272</v>
      </c>
    </row>
    <row r="10" spans="1:30" s="21" customFormat="1" x14ac:dyDescent="0.2">
      <c r="A10" s="21">
        <v>9</v>
      </c>
      <c r="B10" s="21" t="s">
        <v>27</v>
      </c>
      <c r="C10" s="21" t="s">
        <v>13</v>
      </c>
      <c r="D10" s="22">
        <v>40906</v>
      </c>
      <c r="E10" s="21">
        <v>100</v>
      </c>
      <c r="F10" s="23">
        <v>6.9</v>
      </c>
      <c r="G10" s="21" t="s">
        <v>14</v>
      </c>
      <c r="H10" s="21">
        <f>EOMONTH(NC[[#This Row],[DATA]],0)</f>
        <v>40908</v>
      </c>
      <c r="I10" s="21">
        <f>SUMPRODUCT(N(NC[ATIVO]=NC[[#This Row],[ATIVO]]),N(NC['[D/N']]="N"),N(NC['[C/V']]="C"))+SUMPRODUCT(N(NC[ID]&lt;NC[[#This Row],[ID]]),N(NC[ATIVO]=NC[[#This Row],[ATIVO]]),N(NC['[D/N']]="N"),N(NC[SALDO]=0))</f>
        <v>2</v>
      </c>
      <c r="J10" s="23">
        <f>NC[QTDE]*NC[PREÇO]</f>
        <v>690</v>
      </c>
      <c r="K10" s="23">
        <f>SUMPRODUCT(N(NC[DATA]=NC[[#This Row],[DATA]]),N(NC[ID]&lt;=NC[[#This Row],[ID]]),N(NC['[C/V']]="V"),NC[VALOR])-SUMPRODUCT(N(NC[DATA]=NC[[#This Row],[DATA]]),N(NC[ID]&lt;=NC[[#This Row],[ID]]),N(NC['[C/V']]="C"),NC[VALOR])</f>
        <v>690</v>
      </c>
      <c r="L1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0.18</v>
      </c>
      <c r="M10" s="23">
        <f>TRUNC(SUMPRODUCT(N(NC[DATA]=NC[[#This Row],[DATA]]),N(NC[ID]&lt;=NC[[#This Row],[ID]]),NC[VALOR]*SETUP!$A$3),2)</f>
        <v>0.04</v>
      </c>
      <c r="N10" s="23">
        <f>SETUP!$E$3*SUMPRODUCT(N(NC[DATA]=NC[[#This Row],[DATA]]),N(NC[ID]&lt;=NC[[#This Row],[ID]]))</f>
        <v>14.9</v>
      </c>
      <c r="O10" s="23">
        <f>TRUNC(NC[CORR. BASE]*SETUP!$F$3,2)</f>
        <v>0.28999999999999998</v>
      </c>
      <c r="P10" s="23">
        <f>TRUNC(NC[CORR. BASE]*SETUP!$G$3,2)</f>
        <v>0.57999999999999996</v>
      </c>
      <c r="Q10" s="23">
        <f>NC[VL LIQUID]-NC[TX LIQUID]-NC[EMOL]-NC[CORR. BASE]-NC[ISS]-NC[OUTRAS]</f>
        <v>674.0100000000001</v>
      </c>
      <c r="R10" s="23">
        <f>NC[LÍQUIDO]-SUMPRODUCT(N(NC[DATA]=NC[[#This Row],[DATA]]),N(NC[ID]=(NC[[#This Row],[ID]]-1)),NC[LÍQUIDO])</f>
        <v>674.0100000000001</v>
      </c>
      <c r="S10" s="23">
        <f t="shared" si="0"/>
        <v>6.7401000000000009</v>
      </c>
      <c r="T10" s="23">
        <f>TRUNC(IF(NC['[C/V']]="V",J10*SETUP!$H$3,0),2)</f>
        <v>0.03</v>
      </c>
      <c r="U1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100</v>
      </c>
      <c r="V1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W10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6.7401000000000009</v>
      </c>
      <c r="X10" s="23">
        <f>IF(NC['[D/N']]="D",IF(NC['[C/V']]="C",0,SUMPRODUCT(N(NC[DATA]=NC[[#This Row],[DATA]]),N(NC['[C/V']]="V"),NC[LÍQUIDO])),IF(AND(NC[MED CP]&gt;0,NC[MED VD]&gt;0),(NC[MED VD]-NC[MED CP])*NC[QTDE],0))</f>
        <v>100.92499999999998</v>
      </c>
      <c r="Y10" s="23">
        <f>ABS(SUMPRODUCT(N(NC[D BASE]&lt;=NC[[#This Row],[D BASE]]),NC[LÍQUIDO]))</f>
        <v>3884.619999999999</v>
      </c>
      <c r="Z10" s="23">
        <f>SUMPRODUCT(N(YEAR(NC[DATA])=YEAR(NC[[#This Row],[DATA]])),N(MONTH(NC[DATA])=MONTH(NC[[#This Row],[DATA]])),N(NC['[D/N']]="N"),NC[LUCRO OP])</f>
        <v>306.37500000000023</v>
      </c>
      <c r="AA10" s="23">
        <f>SUMPRODUCT(N(YEAR(NC[DATA])=YEAR(NC[[#This Row],[DATA]])),N(MONTH(NC[DATA])=MONTH(NC[[#This Row],[DATA]])),N(NC['[D/N']]="D"),NC[LUCRO OP])</f>
        <v>-36.1</v>
      </c>
      <c r="AB10" s="23">
        <f>NC[LUCRO N]+NC[LUCRO D]</f>
        <v>270.2750000000002</v>
      </c>
      <c r="AC10" s="26">
        <f>NC[LUCRO MÊS]/(NC[CARTEIRA]-NC[LUCRO MÊS])</f>
        <v>7.4778417666271566E-2</v>
      </c>
      <c r="AD10" s="23">
        <f>SUMPRODUCT(N(MONTH(NC[DATA])=MONTH(NC[[#This Row],[DATA]])),N(YEAR(NC[DATA])=YEAR(NC[[#This Row],[DATA]])),N(NC['[C/V']]="V"),NC[VALOR])</f>
        <v>4272</v>
      </c>
    </row>
    <row r="11" spans="1:30" s="21" customFormat="1" x14ac:dyDescent="0.2">
      <c r="A11" s="21">
        <v>10</v>
      </c>
      <c r="B11" s="21" t="s">
        <v>27</v>
      </c>
      <c r="C11" s="21" t="s">
        <v>13</v>
      </c>
      <c r="D11" s="22">
        <v>40913</v>
      </c>
      <c r="E11" s="21">
        <v>100</v>
      </c>
      <c r="F11" s="23">
        <v>5.83</v>
      </c>
      <c r="G11" s="21" t="s">
        <v>14</v>
      </c>
      <c r="H11" s="21">
        <f>EOMONTH(NC[[#This Row],[DATA]],0)</f>
        <v>40939</v>
      </c>
      <c r="I11" s="21">
        <f>SUMPRODUCT(N(NC[ATIVO]=NC[[#This Row],[ATIVO]]),N(NC['[D/N']]="N"),N(NC['[C/V']]="C"))+SUMPRODUCT(N(NC[ID]&lt;NC[[#This Row],[ID]]),N(NC[ATIVO]=NC[[#This Row],[ATIVO]]),N(NC['[D/N']]="N"),N(NC[SALDO]=0))</f>
        <v>2</v>
      </c>
      <c r="J11" s="23">
        <f>NC[QTDE]*NC[PREÇO]</f>
        <v>583</v>
      </c>
      <c r="K11" s="23">
        <f>SUMPRODUCT(N(NC[DATA]=NC[[#This Row],[DATA]]),N(NC[ID]&lt;=NC[[#This Row],[ID]]),N(NC['[C/V']]="V"),NC[VALOR])-SUMPRODUCT(N(NC[DATA]=NC[[#This Row],[DATA]]),N(NC[ID]&lt;=NC[[#This Row],[ID]]),N(NC['[C/V']]="C"),NC[VALOR])</f>
        <v>583</v>
      </c>
      <c r="L1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0.16</v>
      </c>
      <c r="M11" s="23">
        <f>TRUNC(SUMPRODUCT(N(NC[DATA]=NC[[#This Row],[DATA]]),N(NC[ID]&lt;=NC[[#This Row],[ID]]),NC[VALOR]*SETUP!$A$3),2)</f>
        <v>0.04</v>
      </c>
      <c r="N11" s="23">
        <f>SETUP!$E$3*SUMPRODUCT(N(NC[DATA]=NC[[#This Row],[DATA]]),N(NC[ID]&lt;=NC[[#This Row],[ID]]))</f>
        <v>14.9</v>
      </c>
      <c r="O11" s="23">
        <f>TRUNC(NC[CORR. BASE]*SETUP!$F$3,2)</f>
        <v>0.28999999999999998</v>
      </c>
      <c r="P11" s="23">
        <f>TRUNC(NC[CORR. BASE]*SETUP!$G$3,2)</f>
        <v>0.57999999999999996</v>
      </c>
      <c r="Q11" s="23">
        <f>NC[VL LIQUID]-NC[TX LIQUID]-NC[EMOL]-NC[CORR. BASE]-NC[ISS]-NC[OUTRAS]</f>
        <v>567.03000000000009</v>
      </c>
      <c r="R11" s="23">
        <f>NC[LÍQUIDO]-SUMPRODUCT(N(NC[DATA]=NC[[#This Row],[DATA]]),N(NC[ID]=(NC[[#This Row],[ID]]-1)),NC[LÍQUIDO])</f>
        <v>567.03000000000009</v>
      </c>
      <c r="S11" s="23">
        <f t="shared" si="0"/>
        <v>5.670300000000001</v>
      </c>
      <c r="T11" s="23">
        <f>TRUNC(IF(NC['[C/V']]="V",J11*SETUP!$H$3,0),2)</f>
        <v>0.02</v>
      </c>
      <c r="U1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5.7308500000000011</v>
      </c>
      <c r="W11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5.670300000000001</v>
      </c>
      <c r="X11" s="23">
        <f>IF(NC['[D/N']]="D",IF(NC['[C/V']]="C",0,SUMPRODUCT(N(NC[DATA]=NC[[#This Row],[DATA]]),N(NC['[C/V']]="V"),NC[LÍQUIDO])),IF(AND(NC[MED CP]&gt;0,NC[MED VD]&gt;0),(NC[MED VD]-NC[MED CP])*NC[QTDE],0))</f>
        <v>-6.0550000000000104</v>
      </c>
      <c r="Y11" s="23">
        <f>ABS(SUMPRODUCT(N(NC[D BASE]&lt;=NC[[#This Row],[D BASE]]),NC[LÍQUIDO]))</f>
        <v>4947.0199999999995</v>
      </c>
      <c r="Z11" s="23">
        <f>SUMPRODUCT(N(YEAR(NC[DATA])=YEAR(NC[[#This Row],[DATA]])),N(MONTH(NC[DATA])=MONTH(NC[[#This Row],[DATA]])),N(NC['[D/N']]="N"),NC[LUCRO OP])</f>
        <v>-324.88500000000062</v>
      </c>
      <c r="AA11" s="23">
        <f>SUMPRODUCT(N(YEAR(NC[DATA])=YEAR(NC[[#This Row],[DATA]])),N(MONTH(NC[DATA])=MONTH(NC[[#This Row],[DATA]])),N(NC['[D/N']]="D"),NC[LUCRO OP])</f>
        <v>0</v>
      </c>
      <c r="AB11" s="23">
        <f>NC[LUCRO N]+NC[LUCRO D]</f>
        <v>-324.88500000000062</v>
      </c>
      <c r="AC11" s="26">
        <f>NC[LUCRO MÊS]/(NC[CARTEIRA]-NC[LUCRO MÊS])</f>
        <v>-6.1625731116171596E-2</v>
      </c>
      <c r="AD11" s="23">
        <f>SUMPRODUCT(N(MONTH(NC[DATA])=MONTH(NC[[#This Row],[DATA]])),N(YEAR(NC[DATA])=YEAR(NC[[#This Row],[DATA]])),N(NC['[C/V']]="V"),NC[VALOR])</f>
        <v>5196</v>
      </c>
    </row>
    <row r="12" spans="1:30" s="21" customFormat="1" x14ac:dyDescent="0.2">
      <c r="A12" s="21">
        <v>11</v>
      </c>
      <c r="B12" s="21" t="s">
        <v>27</v>
      </c>
      <c r="C12" s="21" t="s">
        <v>16</v>
      </c>
      <c r="D12" s="22">
        <v>40914</v>
      </c>
      <c r="E12" s="21">
        <v>200</v>
      </c>
      <c r="F12" s="23">
        <v>5.8</v>
      </c>
      <c r="G12" s="21" t="s">
        <v>14</v>
      </c>
      <c r="H12" s="21">
        <f>EOMONTH(NC[[#This Row],[DATA]],0)</f>
        <v>40939</v>
      </c>
      <c r="I12" s="21">
        <f>SUMPRODUCT(N(NC[ATIVO]=NC[[#This Row],[ATIVO]]),N(NC['[D/N']]="N"),N(NC['[C/V']]="C"))+SUMPRODUCT(N(NC[ID]&lt;NC[[#This Row],[ID]]),N(NC[ATIVO]=NC[[#This Row],[ATIVO]]),N(NC['[D/N']]="N"),N(NC[SALDO]=0))</f>
        <v>3</v>
      </c>
      <c r="J12" s="23">
        <f>NC[QTDE]*NC[PREÇO]</f>
        <v>1160</v>
      </c>
      <c r="K12" s="23">
        <f>SUMPRODUCT(N(NC[DATA]=NC[[#This Row],[DATA]]),N(NC[ID]&lt;=NC[[#This Row],[ID]]),N(NC['[C/V']]="V"),NC[VALOR])-SUMPRODUCT(N(NC[DATA]=NC[[#This Row],[DATA]]),N(NC[ID]&lt;=NC[[#This Row],[ID]]),N(NC['[C/V']]="C"),NC[VALOR])</f>
        <v>-1160</v>
      </c>
      <c r="L1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0.31</v>
      </c>
      <c r="M12" s="23">
        <f>TRUNC(SUMPRODUCT(N(NC[DATA]=NC[[#This Row],[DATA]]),N(NC[ID]&lt;=NC[[#This Row],[ID]]),NC[VALOR]*SETUP!$A$3),2)</f>
        <v>0.08</v>
      </c>
      <c r="N12" s="23">
        <f>SETUP!$E$3*SUMPRODUCT(N(NC[DATA]=NC[[#This Row],[DATA]]),N(NC[ID]&lt;=NC[[#This Row],[ID]]))</f>
        <v>14.9</v>
      </c>
      <c r="O12" s="23">
        <f>TRUNC(NC[CORR. BASE]*SETUP!$F$3,2)</f>
        <v>0.28999999999999998</v>
      </c>
      <c r="P12" s="23">
        <f>TRUNC(NC[CORR. BASE]*SETUP!$G$3,2)</f>
        <v>0.57999999999999996</v>
      </c>
      <c r="Q12" s="23">
        <f>NC[VL LIQUID]-NC[TX LIQUID]-NC[EMOL]-NC[CORR. BASE]-NC[ISS]-NC[OUTRAS]</f>
        <v>-1176.1599999999999</v>
      </c>
      <c r="R12" s="23">
        <f>NC[LÍQUIDO]-SUMPRODUCT(N(NC[DATA]=NC[[#This Row],[DATA]]),N(NC[ID]=(NC[[#This Row],[ID]]-1)),NC[LÍQUIDO])</f>
        <v>-1176.1599999999999</v>
      </c>
      <c r="S12" s="23">
        <f t="shared" si="0"/>
        <v>5.8807999999999989</v>
      </c>
      <c r="T12" s="23">
        <f>TRUNC(IF(NC['[C/V']]="V",J12*SETUP!$H$3,0),2)</f>
        <v>0</v>
      </c>
      <c r="U1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V1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5.8807999999999989</v>
      </c>
      <c r="W1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12" s="23">
        <f>IF(NC['[D/N']]="D",IF(NC['[C/V']]="C",0,SUMPRODUCT(N(NC[DATA]=NC[[#This Row],[DATA]]),N(NC['[C/V']]="V"),NC[LÍQUIDO])),IF(AND(NC[MED CP]&gt;0,NC[MED VD]&gt;0),(NC[MED VD]-NC[MED CP])*NC[QTDE],0))</f>
        <v>0</v>
      </c>
      <c r="Y12" s="23">
        <f>ABS(SUMPRODUCT(N(NC[D BASE]&lt;=NC[[#This Row],[D BASE]]),NC[LÍQUIDO]))</f>
        <v>4947.0199999999995</v>
      </c>
      <c r="Z12" s="23">
        <f>SUMPRODUCT(N(YEAR(NC[DATA])=YEAR(NC[[#This Row],[DATA]])),N(MONTH(NC[DATA])=MONTH(NC[[#This Row],[DATA]])),N(NC['[D/N']]="N"),NC[LUCRO OP])</f>
        <v>-324.88500000000062</v>
      </c>
      <c r="AA12" s="23">
        <f>SUMPRODUCT(N(YEAR(NC[DATA])=YEAR(NC[[#This Row],[DATA]])),N(MONTH(NC[DATA])=MONTH(NC[[#This Row],[DATA]])),N(NC['[D/N']]="D"),NC[LUCRO OP])</f>
        <v>0</v>
      </c>
      <c r="AB12" s="23">
        <f>NC[LUCRO N]+NC[LUCRO D]</f>
        <v>-324.88500000000062</v>
      </c>
      <c r="AC12" s="26">
        <f>NC[LUCRO MÊS]/(NC[CARTEIRA]-NC[LUCRO MÊS])</f>
        <v>-6.1625731116171596E-2</v>
      </c>
      <c r="AD12" s="23">
        <f>SUMPRODUCT(N(MONTH(NC[DATA])=MONTH(NC[[#This Row],[DATA]])),N(YEAR(NC[DATA])=YEAR(NC[[#This Row],[DATA]])),N(NC['[C/V']]="V"),NC[VALOR])</f>
        <v>5196</v>
      </c>
    </row>
    <row r="13" spans="1:30" s="21" customFormat="1" x14ac:dyDescent="0.2">
      <c r="A13" s="21">
        <v>12</v>
      </c>
      <c r="B13" s="21" t="s">
        <v>30</v>
      </c>
      <c r="C13" s="21" t="s">
        <v>13</v>
      </c>
      <c r="D13" s="22">
        <v>40925</v>
      </c>
      <c r="E13" s="21">
        <v>300</v>
      </c>
      <c r="F13" s="23">
        <v>9.0399999999999991</v>
      </c>
      <c r="G13" s="21" t="s">
        <v>14</v>
      </c>
      <c r="H13" s="21">
        <f>EOMONTH(NC[[#This Row],[DATA]],0)</f>
        <v>40939</v>
      </c>
      <c r="I13" s="21">
        <f>SUMPRODUCT(N(NC[ATIVO]=NC[[#This Row],[ATIVO]]),N(NC['[D/N']]="N"),N(NC['[C/V']]="C"))+SUMPRODUCT(N(NC[ID]&lt;NC[[#This Row],[ID]]),N(NC[ATIVO]=NC[[#This Row],[ATIVO]]),N(NC['[D/N']]="N"),N(NC[SALDO]=0))</f>
        <v>1</v>
      </c>
      <c r="J13" s="23">
        <f>NC[QTDE]*NC[PREÇO]</f>
        <v>2711.9999999999995</v>
      </c>
      <c r="K13" s="23">
        <f>SUMPRODUCT(N(NC[DATA]=NC[[#This Row],[DATA]]),N(NC[ID]&lt;=NC[[#This Row],[ID]]),N(NC['[C/V']]="V"),NC[VALOR])-SUMPRODUCT(N(NC[DATA]=NC[[#This Row],[DATA]]),N(NC[ID]&lt;=NC[[#This Row],[ID]]),N(NC['[C/V']]="C"),NC[VALOR])</f>
        <v>2711.9999999999995</v>
      </c>
      <c r="L1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0.74</v>
      </c>
      <c r="M13" s="23">
        <f>TRUNC(SUMPRODUCT(N(NC[DATA]=NC[[#This Row],[DATA]]),N(NC[ID]&lt;=NC[[#This Row],[ID]]),NC[VALOR]*SETUP!$A$3),2)</f>
        <v>0.18</v>
      </c>
      <c r="N13" s="23">
        <f>SETUP!$E$3*SUMPRODUCT(N(NC[DATA]=NC[[#This Row],[DATA]]),N(NC[ID]&lt;=NC[[#This Row],[ID]]))</f>
        <v>14.9</v>
      </c>
      <c r="O13" s="23">
        <f>TRUNC(NC[CORR. BASE]*SETUP!$F$3,2)</f>
        <v>0.28999999999999998</v>
      </c>
      <c r="P13" s="23">
        <f>TRUNC(NC[CORR. BASE]*SETUP!$G$3,2)</f>
        <v>0.57999999999999996</v>
      </c>
      <c r="Q13" s="23">
        <f>NC[VL LIQUID]-NC[TX LIQUID]-NC[EMOL]-NC[CORR. BASE]-NC[ISS]-NC[OUTRAS]</f>
        <v>2695.31</v>
      </c>
      <c r="R13" s="23">
        <f>NC[LÍQUIDO]-SUMPRODUCT(N(NC[DATA]=NC[[#This Row],[DATA]]),N(NC[ID]=(NC[[#This Row],[ID]]-1)),NC[LÍQUIDO])</f>
        <v>2695.31</v>
      </c>
      <c r="S13" s="23">
        <f t="shared" si="0"/>
        <v>8.9843666666666664</v>
      </c>
      <c r="T13" s="23">
        <f>TRUNC(IF(NC['[C/V']]="V",J13*SETUP!$H$3,0),2)</f>
        <v>0.13</v>
      </c>
      <c r="U1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-300</v>
      </c>
      <c r="V1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13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8.9843666666666664</v>
      </c>
      <c r="X13" s="23">
        <f>IF(NC['[D/N']]="D",IF(NC['[C/V']]="C",0,SUMPRODUCT(N(NC[DATA]=NC[[#This Row],[DATA]]),N(NC['[C/V']]="V"),NC[LÍQUIDO])),IF(AND(NC[MED CP]&gt;0,NC[MED VD]&gt;0),(NC[MED VD]-NC[MED CP])*NC[QTDE],0))</f>
        <v>0</v>
      </c>
      <c r="Y13" s="23">
        <f>ABS(SUMPRODUCT(N(NC[D BASE]&lt;=NC[[#This Row],[D BASE]]),NC[LÍQUIDO]))</f>
        <v>4947.0199999999995</v>
      </c>
      <c r="Z13" s="23">
        <f>SUMPRODUCT(N(YEAR(NC[DATA])=YEAR(NC[[#This Row],[DATA]])),N(MONTH(NC[DATA])=MONTH(NC[[#This Row],[DATA]])),N(NC['[D/N']]="N"),NC[LUCRO OP])</f>
        <v>-324.88500000000062</v>
      </c>
      <c r="AA13" s="23">
        <f>SUMPRODUCT(N(YEAR(NC[DATA])=YEAR(NC[[#This Row],[DATA]])),N(MONTH(NC[DATA])=MONTH(NC[[#This Row],[DATA]])),N(NC['[D/N']]="D"),NC[LUCRO OP])</f>
        <v>0</v>
      </c>
      <c r="AB13" s="23">
        <f>NC[LUCRO N]+NC[LUCRO D]</f>
        <v>-324.88500000000062</v>
      </c>
      <c r="AC13" s="26">
        <f>NC[LUCRO MÊS]/(NC[CARTEIRA]-NC[LUCRO MÊS])</f>
        <v>-6.1625731116171596E-2</v>
      </c>
      <c r="AD13" s="23">
        <f>SUMPRODUCT(N(MONTH(NC[DATA])=MONTH(NC[[#This Row],[DATA]])),N(YEAR(NC[DATA])=YEAR(NC[[#This Row],[DATA]])),N(NC['[C/V']]="V"),NC[VALOR])</f>
        <v>5196</v>
      </c>
    </row>
    <row r="14" spans="1:30" s="21" customFormat="1" x14ac:dyDescent="0.2">
      <c r="A14" s="21">
        <v>13</v>
      </c>
      <c r="B14" s="21" t="s">
        <v>27</v>
      </c>
      <c r="C14" s="21" t="s">
        <v>13</v>
      </c>
      <c r="D14" s="22">
        <v>40925</v>
      </c>
      <c r="E14" s="21">
        <v>200</v>
      </c>
      <c r="F14" s="23">
        <v>5.56</v>
      </c>
      <c r="G14" s="21" t="s">
        <v>14</v>
      </c>
      <c r="H14" s="21">
        <f>EOMONTH(NC[[#This Row],[DATA]],0)</f>
        <v>40939</v>
      </c>
      <c r="I14" s="21">
        <f>SUMPRODUCT(N(NC[ATIVO]=NC[[#This Row],[ATIVO]]),N(NC['[D/N']]="N"),N(NC['[C/V']]="C"))+SUMPRODUCT(N(NC[ID]&lt;NC[[#This Row],[ID]]),N(NC[ATIVO]=NC[[#This Row],[ATIVO]]),N(NC['[D/N']]="N"),N(NC[SALDO]=0))</f>
        <v>3</v>
      </c>
      <c r="J14" s="23">
        <f>NC[QTDE]*NC[PREÇO]</f>
        <v>1112</v>
      </c>
      <c r="K14" s="23">
        <f>SUMPRODUCT(N(NC[DATA]=NC[[#This Row],[DATA]]),N(NC[ID]&lt;=NC[[#This Row],[ID]]),N(NC['[C/V']]="V"),NC[VALOR])-SUMPRODUCT(N(NC[DATA]=NC[[#This Row],[DATA]]),N(NC[ID]&lt;=NC[[#This Row],[ID]]),N(NC['[C/V']]="C"),NC[VALOR])</f>
        <v>3823.9999999999995</v>
      </c>
      <c r="L1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1.05</v>
      </c>
      <c r="M14" s="23">
        <f>TRUNC(SUMPRODUCT(N(NC[DATA]=NC[[#This Row],[DATA]]),N(NC[ID]&lt;=NC[[#This Row],[ID]]),NC[VALOR]*SETUP!$A$3),2)</f>
        <v>0.26</v>
      </c>
      <c r="N14" s="23">
        <f>SETUP!$E$3*SUMPRODUCT(N(NC[DATA]=NC[[#This Row],[DATA]]),N(NC[ID]&lt;=NC[[#This Row],[ID]]))</f>
        <v>29.8</v>
      </c>
      <c r="O14" s="23">
        <f>TRUNC(NC[CORR. BASE]*SETUP!$F$3,2)</f>
        <v>0.59</v>
      </c>
      <c r="P14" s="23">
        <f>TRUNC(NC[CORR. BASE]*SETUP!$G$3,2)</f>
        <v>1.1599999999999999</v>
      </c>
      <c r="Q14" s="23">
        <f>NC[VL LIQUID]-NC[TX LIQUID]-NC[EMOL]-NC[CORR. BASE]-NC[ISS]-NC[OUTRAS]</f>
        <v>3791.139999999999</v>
      </c>
      <c r="R14" s="23">
        <f>NC[LÍQUIDO]-SUMPRODUCT(N(NC[DATA]=NC[[#This Row],[DATA]]),N(NC[ID]=(NC[[#This Row],[ID]]-1)),NC[LÍQUIDO])</f>
        <v>1095.829999999999</v>
      </c>
      <c r="S14" s="23">
        <f t="shared" si="0"/>
        <v>5.4791499999999953</v>
      </c>
      <c r="T14" s="23">
        <f>TRUNC(IF(NC['[C/V']]="V",J14*SETUP!$H$3,0),2)</f>
        <v>0.05</v>
      </c>
      <c r="U1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5.8807999999999989</v>
      </c>
      <c r="W14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5.4791499999999953</v>
      </c>
      <c r="X14" s="23">
        <f>IF(NC['[D/N']]="D",IF(NC['[C/V']]="C",0,SUMPRODUCT(N(NC[DATA]=NC[[#This Row],[DATA]]),N(NC['[C/V']]="V"),NC[LÍQUIDO])),IF(AND(NC[MED CP]&gt;0,NC[MED VD]&gt;0),(NC[MED VD]-NC[MED CP])*NC[QTDE],0))</f>
        <v>-80.330000000000723</v>
      </c>
      <c r="Y14" s="23">
        <f>ABS(SUMPRODUCT(N(NC[D BASE]&lt;=NC[[#This Row],[D BASE]]),NC[LÍQUIDO]))</f>
        <v>4947.0199999999995</v>
      </c>
      <c r="Z14" s="23">
        <f>SUMPRODUCT(N(YEAR(NC[DATA])=YEAR(NC[[#This Row],[DATA]])),N(MONTH(NC[DATA])=MONTH(NC[[#This Row],[DATA]])),N(NC['[D/N']]="N"),NC[LUCRO OP])</f>
        <v>-324.88500000000062</v>
      </c>
      <c r="AA14" s="23">
        <f>SUMPRODUCT(N(YEAR(NC[DATA])=YEAR(NC[[#This Row],[DATA]])),N(MONTH(NC[DATA])=MONTH(NC[[#This Row],[DATA]])),N(NC['[D/N']]="D"),NC[LUCRO OP])</f>
        <v>0</v>
      </c>
      <c r="AB14" s="23">
        <f>NC[LUCRO N]+NC[LUCRO D]</f>
        <v>-324.88500000000062</v>
      </c>
      <c r="AC14" s="26">
        <f>NC[LUCRO MÊS]/(NC[CARTEIRA]-NC[LUCRO MÊS])</f>
        <v>-6.1625731116171596E-2</v>
      </c>
      <c r="AD14" s="23">
        <f>SUMPRODUCT(N(MONTH(NC[DATA])=MONTH(NC[[#This Row],[DATA]])),N(YEAR(NC[DATA])=YEAR(NC[[#This Row],[DATA]])),N(NC['[C/V']]="V"),NC[VALOR])</f>
        <v>5196</v>
      </c>
    </row>
    <row r="15" spans="1:30" s="21" customFormat="1" x14ac:dyDescent="0.2">
      <c r="A15" s="21">
        <v>14</v>
      </c>
      <c r="B15" s="21" t="s">
        <v>12</v>
      </c>
      <c r="C15" s="21" t="s">
        <v>16</v>
      </c>
      <c r="D15" s="22">
        <v>40932</v>
      </c>
      <c r="E15" s="21">
        <v>2000</v>
      </c>
      <c r="F15" s="23">
        <v>0.5</v>
      </c>
      <c r="G15" s="21" t="s">
        <v>14</v>
      </c>
      <c r="H15" s="21">
        <f>EOMONTH(NC[[#This Row],[DATA]],0)</f>
        <v>40939</v>
      </c>
      <c r="I15" s="21">
        <f>SUMPRODUCT(N(NC[ATIVO]=NC[[#This Row],[ATIVO]]),N(NC['[D/N']]="N"),N(NC['[C/V']]="C"))+SUMPRODUCT(N(NC[ID]&lt;NC[[#This Row],[ID]]),N(NC[ATIVO]=NC[[#This Row],[ATIVO]]),N(NC['[D/N']]="N"),N(NC[SALDO]=0))</f>
        <v>1</v>
      </c>
      <c r="J15" s="23">
        <f>NC[QTDE]*NC[PREÇO]</f>
        <v>1000</v>
      </c>
      <c r="K15" s="23">
        <f>SUMPRODUCT(N(NC[DATA]=NC[[#This Row],[DATA]]),N(NC[ID]&lt;=NC[[#This Row],[ID]]),N(NC['[C/V']]="V"),NC[VALOR])-SUMPRODUCT(N(NC[DATA]=NC[[#This Row],[DATA]]),N(NC[ID]&lt;=NC[[#This Row],[ID]]),N(NC['[C/V']]="C"),NC[VALOR])</f>
        <v>-1000</v>
      </c>
      <c r="L1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0.27</v>
      </c>
      <c r="M15" s="23">
        <f>TRUNC(SUMPRODUCT(N(NC[DATA]=NC[[#This Row],[DATA]]),N(NC[ID]&lt;=NC[[#This Row],[ID]]),NC[VALOR]*SETUP!$A$3),2)</f>
        <v>7.0000000000000007E-2</v>
      </c>
      <c r="N15" s="23">
        <f>SETUP!$E$3*SUMPRODUCT(N(NC[DATA]=NC[[#This Row],[DATA]]),N(NC[ID]&lt;=NC[[#This Row],[ID]]))</f>
        <v>14.9</v>
      </c>
      <c r="O15" s="23">
        <f>TRUNC(NC[CORR. BASE]*SETUP!$F$3,2)</f>
        <v>0.28999999999999998</v>
      </c>
      <c r="P15" s="23">
        <f>TRUNC(NC[CORR. BASE]*SETUP!$G$3,2)</f>
        <v>0.57999999999999996</v>
      </c>
      <c r="Q15" s="23">
        <f>NC[VL LIQUID]-NC[TX LIQUID]-NC[EMOL]-NC[CORR. BASE]-NC[ISS]-NC[OUTRAS]</f>
        <v>-1016.11</v>
      </c>
      <c r="R15" s="23">
        <f>NC[LÍQUIDO]-SUMPRODUCT(N(NC[DATA]=NC[[#This Row],[DATA]]),N(NC[ID]=(NC[[#This Row],[ID]]-1)),NC[LÍQUIDO])</f>
        <v>-1016.11</v>
      </c>
      <c r="S15" s="23">
        <f t="shared" si="0"/>
        <v>0.50805500000000003</v>
      </c>
      <c r="T15" s="23">
        <f>TRUNC(IF(NC['[C/V']]="V",J15*SETUP!$H$3,0),2)</f>
        <v>0</v>
      </c>
      <c r="U1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2000</v>
      </c>
      <c r="V1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W15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15" s="23">
        <f>IF(NC['[D/N']]="D",IF(NC['[C/V']]="C",0,SUMPRODUCT(N(NC[DATA]=NC[[#This Row],[DATA]]),N(NC['[C/V']]="V"),NC[LÍQUIDO])),IF(AND(NC[MED CP]&gt;0,NC[MED VD]&gt;0),(NC[MED VD]-NC[MED CP])*NC[QTDE],0))</f>
        <v>0</v>
      </c>
      <c r="Y15" s="23">
        <f>ABS(SUMPRODUCT(N(NC[D BASE]&lt;=NC[[#This Row],[D BASE]]),NC[LÍQUIDO]))</f>
        <v>4947.0199999999995</v>
      </c>
      <c r="Z15" s="23">
        <f>SUMPRODUCT(N(YEAR(NC[DATA])=YEAR(NC[[#This Row],[DATA]])),N(MONTH(NC[DATA])=MONTH(NC[[#This Row],[DATA]])),N(NC['[D/N']]="N"),NC[LUCRO OP])</f>
        <v>-324.88500000000062</v>
      </c>
      <c r="AA15" s="23">
        <f>SUMPRODUCT(N(YEAR(NC[DATA])=YEAR(NC[[#This Row],[DATA]])),N(MONTH(NC[DATA])=MONTH(NC[[#This Row],[DATA]])),N(NC['[D/N']]="D"),NC[LUCRO OP])</f>
        <v>0</v>
      </c>
      <c r="AB15" s="23">
        <f>NC[LUCRO N]+NC[LUCRO D]</f>
        <v>-324.88500000000062</v>
      </c>
      <c r="AC15" s="26">
        <f>NC[LUCRO MÊS]/(NC[CARTEIRA]-NC[LUCRO MÊS])</f>
        <v>-6.1625731116171596E-2</v>
      </c>
      <c r="AD15" s="23">
        <f>SUMPRODUCT(N(MONTH(NC[DATA])=MONTH(NC[[#This Row],[DATA]])),N(YEAR(NC[DATA])=YEAR(NC[[#This Row],[DATA]])),N(NC['[C/V']]="V"),NC[VALOR])</f>
        <v>5196</v>
      </c>
    </row>
    <row r="16" spans="1:30" s="21" customFormat="1" x14ac:dyDescent="0.2">
      <c r="A16" s="21">
        <v>15</v>
      </c>
      <c r="B16" s="21" t="s">
        <v>26</v>
      </c>
      <c r="C16" s="21" t="s">
        <v>13</v>
      </c>
      <c r="D16" s="22">
        <v>40938</v>
      </c>
      <c r="E16" s="21">
        <v>100</v>
      </c>
      <c r="F16" s="23">
        <v>7.89</v>
      </c>
      <c r="G16" s="21" t="s">
        <v>14</v>
      </c>
      <c r="H16" s="21">
        <f>EOMONTH(NC[[#This Row],[DATA]],0)</f>
        <v>40939</v>
      </c>
      <c r="I16" s="21">
        <f>SUMPRODUCT(N(NC[ATIVO]=NC[[#This Row],[ATIVO]]),N(NC['[D/N']]="N"),N(NC['[C/V']]="C"))+SUMPRODUCT(N(NC[ID]&lt;NC[[#This Row],[ID]]),N(NC[ATIVO]=NC[[#This Row],[ATIVO]]),N(NC['[D/N']]="N"),N(NC[SALDO]=0))</f>
        <v>1</v>
      </c>
      <c r="J16" s="23">
        <f>NC[QTDE]*NC[PREÇO]</f>
        <v>789</v>
      </c>
      <c r="K16" s="23">
        <f>SUMPRODUCT(N(NC[DATA]=NC[[#This Row],[DATA]]),N(NC[ID]&lt;=NC[[#This Row],[ID]]),N(NC['[C/V']]="V"),NC[VALOR])-SUMPRODUCT(N(NC[DATA]=NC[[#This Row],[DATA]]),N(NC[ID]&lt;=NC[[#This Row],[ID]]),N(NC['[C/V']]="C"),NC[VALOR])</f>
        <v>789</v>
      </c>
      <c r="L1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0.21</v>
      </c>
      <c r="M16" s="23">
        <f>TRUNC(SUMPRODUCT(N(NC[DATA]=NC[[#This Row],[DATA]]),N(NC[ID]&lt;=NC[[#This Row],[ID]]),NC[VALOR]*SETUP!$A$3),2)</f>
        <v>0.05</v>
      </c>
      <c r="N16" s="23">
        <f>SETUP!$E$3*SUMPRODUCT(N(NC[DATA]=NC[[#This Row],[DATA]]),N(NC[ID]&lt;=NC[[#This Row],[ID]]))</f>
        <v>14.9</v>
      </c>
      <c r="O16" s="23">
        <f>TRUNC(NC[CORR. BASE]*SETUP!$F$3,2)</f>
        <v>0.28999999999999998</v>
      </c>
      <c r="P16" s="23">
        <f>TRUNC(NC[CORR. BASE]*SETUP!$G$3,2)</f>
        <v>0.57999999999999996</v>
      </c>
      <c r="Q16" s="23">
        <f>NC[VL LIQUID]-NC[TX LIQUID]-NC[EMOL]-NC[CORR. BASE]-NC[ISS]-NC[OUTRAS]</f>
        <v>772.97</v>
      </c>
      <c r="R16" s="23">
        <f>NC[LÍQUIDO]-SUMPRODUCT(N(NC[DATA]=NC[[#This Row],[DATA]]),N(NC[ID]=(NC[[#This Row],[ID]]-1)),NC[LÍQUIDO])</f>
        <v>772.97</v>
      </c>
      <c r="S16" s="23">
        <f t="shared" si="0"/>
        <v>7.7297000000000002</v>
      </c>
      <c r="T16" s="23">
        <f>TRUNC(IF(NC['[C/V']]="V",J16*SETUP!$H$3,0),2)</f>
        <v>0.03</v>
      </c>
      <c r="U1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8.6104999999999983</v>
      </c>
      <c r="W16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7.7297000000000002</v>
      </c>
      <c r="X16" s="23">
        <f>IF(NC['[D/N']]="D",IF(NC['[C/V']]="C",0,SUMPRODUCT(N(NC[DATA]=NC[[#This Row],[DATA]]),N(NC['[C/V']]="V"),NC[LÍQUIDO])),IF(AND(NC[MED CP]&gt;0,NC[MED VD]&gt;0),(NC[MED VD]-NC[MED CP])*NC[QTDE],0))</f>
        <v>-88.079999999999799</v>
      </c>
      <c r="Y16" s="23">
        <f>ABS(SUMPRODUCT(N(NC[D BASE]&lt;=NC[[#This Row],[D BASE]]),NC[LÍQUIDO]))</f>
        <v>4947.0199999999995</v>
      </c>
      <c r="Z16" s="23">
        <f>SUMPRODUCT(N(YEAR(NC[DATA])=YEAR(NC[[#This Row],[DATA]])),N(MONTH(NC[DATA])=MONTH(NC[[#This Row],[DATA]])),N(NC['[D/N']]="N"),NC[LUCRO OP])</f>
        <v>-324.88500000000062</v>
      </c>
      <c r="AA16" s="23">
        <f>SUMPRODUCT(N(YEAR(NC[DATA])=YEAR(NC[[#This Row],[DATA]])),N(MONTH(NC[DATA])=MONTH(NC[[#This Row],[DATA]])),N(NC['[D/N']]="D"),NC[LUCRO OP])</f>
        <v>0</v>
      </c>
      <c r="AB16" s="23">
        <f>NC[LUCRO N]+NC[LUCRO D]</f>
        <v>-324.88500000000062</v>
      </c>
      <c r="AC16" s="26">
        <f>NC[LUCRO MÊS]/(NC[CARTEIRA]-NC[LUCRO MÊS])</f>
        <v>-6.1625731116171596E-2</v>
      </c>
      <c r="AD16" s="23">
        <f>SUMPRODUCT(N(MONTH(NC[DATA])=MONTH(NC[[#This Row],[DATA]])),N(YEAR(NC[DATA])=YEAR(NC[[#This Row],[DATA]])),N(NC['[C/V']]="V"),NC[VALOR])</f>
        <v>5196</v>
      </c>
    </row>
    <row r="17" spans="1:30" s="21" customFormat="1" x14ac:dyDescent="0.2">
      <c r="A17" s="21">
        <v>16</v>
      </c>
      <c r="B17" s="21" t="s">
        <v>30</v>
      </c>
      <c r="C17" s="21" t="s">
        <v>16</v>
      </c>
      <c r="D17" s="22">
        <v>40939</v>
      </c>
      <c r="E17" s="21">
        <v>300</v>
      </c>
      <c r="F17" s="23">
        <v>9.43</v>
      </c>
      <c r="G17" s="21" t="s">
        <v>14</v>
      </c>
      <c r="H17" s="21">
        <f>EOMONTH(NC[[#This Row],[DATA]],0)</f>
        <v>40939</v>
      </c>
      <c r="I17" s="21">
        <f>SUMPRODUCT(N(NC[ATIVO]=NC[[#This Row],[ATIVO]]),N(NC['[D/N']]="N"),N(NC['[C/V']]="C"))+SUMPRODUCT(N(NC[ID]&lt;NC[[#This Row],[ID]]),N(NC[ATIVO]=NC[[#This Row],[ATIVO]]),N(NC['[D/N']]="N"),N(NC[SALDO]=0))</f>
        <v>1</v>
      </c>
      <c r="J17" s="23">
        <f>NC[QTDE]*NC[PREÇO]</f>
        <v>2829</v>
      </c>
      <c r="K17" s="23">
        <f>SUMPRODUCT(N(NC[DATA]=NC[[#This Row],[DATA]]),N(NC[ID]&lt;=NC[[#This Row],[ID]]),N(NC['[C/V']]="V"),NC[VALOR])-SUMPRODUCT(N(NC[DATA]=NC[[#This Row],[DATA]]),N(NC[ID]&lt;=NC[[#This Row],[ID]]),N(NC['[C/V']]="C"),NC[VALOR])</f>
        <v>-2829</v>
      </c>
      <c r="L1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0.77</v>
      </c>
      <c r="M17" s="23">
        <f>TRUNC(SUMPRODUCT(N(NC[DATA]=NC[[#This Row],[DATA]]),N(NC[ID]&lt;=NC[[#This Row],[ID]]),NC[VALOR]*SETUP!$A$3),2)</f>
        <v>0.19</v>
      </c>
      <c r="N17" s="23">
        <f>SETUP!$E$3*SUMPRODUCT(N(NC[DATA]=NC[[#This Row],[DATA]]),N(NC[ID]&lt;=NC[[#This Row],[ID]]))</f>
        <v>14.9</v>
      </c>
      <c r="O17" s="23">
        <f>TRUNC(NC[CORR. BASE]*SETUP!$F$3,2)</f>
        <v>0.28999999999999998</v>
      </c>
      <c r="P17" s="23">
        <f>TRUNC(NC[CORR. BASE]*SETUP!$G$3,2)</f>
        <v>0.57999999999999996</v>
      </c>
      <c r="Q17" s="23">
        <f>NC[VL LIQUID]-NC[TX LIQUID]-NC[EMOL]-NC[CORR. BASE]-NC[ISS]-NC[OUTRAS]</f>
        <v>-2845.73</v>
      </c>
      <c r="R17" s="23">
        <f>NC[LÍQUIDO]-SUMPRODUCT(N(NC[DATA]=NC[[#This Row],[DATA]]),N(NC[ID]=(NC[[#This Row],[ID]]-1)),NC[LÍQUIDO])</f>
        <v>-2845.73</v>
      </c>
      <c r="S17" s="23">
        <f t="shared" si="0"/>
        <v>9.4857666666666667</v>
      </c>
      <c r="T17" s="23">
        <f>TRUNC(IF(NC['[C/V']]="V",J17*SETUP!$H$3,0),2)</f>
        <v>0</v>
      </c>
      <c r="U1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9.4857666666666667</v>
      </c>
      <c r="W17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8.9843666666666664</v>
      </c>
      <c r="X17" s="23">
        <f>IF(NC['[D/N']]="D",IF(NC['[C/V']]="C",0,SUMPRODUCT(N(NC[DATA]=NC[[#This Row],[DATA]]),N(NC['[C/V']]="V"),NC[LÍQUIDO])),IF(AND(NC[MED CP]&gt;0,NC[MED VD]&gt;0),(NC[MED VD]-NC[MED CP])*NC[QTDE],0))</f>
        <v>-150.42000000000007</v>
      </c>
      <c r="Y17" s="23">
        <f>ABS(SUMPRODUCT(N(NC[D BASE]&lt;=NC[[#This Row],[D BASE]]),NC[LÍQUIDO]))</f>
        <v>4947.0199999999995</v>
      </c>
      <c r="Z17" s="23">
        <f>SUMPRODUCT(N(YEAR(NC[DATA])=YEAR(NC[[#This Row],[DATA]])),N(MONTH(NC[DATA])=MONTH(NC[[#This Row],[DATA]])),N(NC['[D/N']]="N"),NC[LUCRO OP])</f>
        <v>-324.88500000000062</v>
      </c>
      <c r="AA17" s="23">
        <f>SUMPRODUCT(N(YEAR(NC[DATA])=YEAR(NC[[#This Row],[DATA]])),N(MONTH(NC[DATA])=MONTH(NC[[#This Row],[DATA]])),N(NC['[D/N']]="D"),NC[LUCRO OP])</f>
        <v>0</v>
      </c>
      <c r="AB17" s="23">
        <f>NC[LUCRO N]+NC[LUCRO D]</f>
        <v>-324.88500000000062</v>
      </c>
      <c r="AC17" s="26">
        <f>NC[LUCRO MÊS]/(NC[CARTEIRA]-NC[LUCRO MÊS])</f>
        <v>-6.1625731116171596E-2</v>
      </c>
      <c r="AD17" s="23">
        <f>SUMPRODUCT(N(MONTH(NC[DATA])=MONTH(NC[[#This Row],[DATA]])),N(YEAR(NC[DATA])=YEAR(NC[[#This Row],[DATA]])),N(NC['[C/V']]="V"),NC[VALOR])</f>
        <v>5196</v>
      </c>
    </row>
    <row r="18" spans="1:30" s="21" customFormat="1" x14ac:dyDescent="0.2">
      <c r="A18" s="21">
        <v>17</v>
      </c>
      <c r="B18" s="21" t="s">
        <v>31</v>
      </c>
      <c r="C18" s="21" t="s">
        <v>16</v>
      </c>
      <c r="D18" s="22">
        <v>40939</v>
      </c>
      <c r="E18" s="21">
        <v>2300</v>
      </c>
      <c r="F18" s="23">
        <v>0.43</v>
      </c>
      <c r="G18" s="21" t="s">
        <v>14</v>
      </c>
      <c r="H18" s="21">
        <f>EOMONTH(NC[[#This Row],[DATA]],0)</f>
        <v>40939</v>
      </c>
      <c r="I18" s="21">
        <f>SUMPRODUCT(N(NC[ATIVO]=NC[[#This Row],[ATIVO]]),N(NC['[D/N']]="N"),N(NC['[C/V']]="C"))+SUMPRODUCT(N(NC[ID]&lt;NC[[#This Row],[ID]]),N(NC[ATIVO]=NC[[#This Row],[ATIVO]]),N(NC['[D/N']]="N"),N(NC[SALDO]=0))</f>
        <v>2</v>
      </c>
      <c r="J18" s="23">
        <f>NC[QTDE]*NC[PREÇO]</f>
        <v>989</v>
      </c>
      <c r="K18" s="23">
        <f>SUMPRODUCT(N(NC[DATA]=NC[[#This Row],[DATA]]),N(NC[ID]&lt;=NC[[#This Row],[ID]]),N(NC['[C/V']]="V"),NC[VALOR])-SUMPRODUCT(N(NC[DATA]=NC[[#This Row],[DATA]]),N(NC[ID]&lt;=NC[[#This Row],[ID]]),N(NC['[C/V']]="C"),NC[VALOR])</f>
        <v>-3818</v>
      </c>
      <c r="L1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1.04</v>
      </c>
      <c r="M18" s="23">
        <f>TRUNC(SUMPRODUCT(N(NC[DATA]=NC[[#This Row],[DATA]]),N(NC[ID]&lt;=NC[[#This Row],[ID]]),NC[VALOR]*SETUP!$A$3),2)</f>
        <v>0.26</v>
      </c>
      <c r="N18" s="23">
        <f>SETUP!$E$3*SUMPRODUCT(N(NC[DATA]=NC[[#This Row],[DATA]]),N(NC[ID]&lt;=NC[[#This Row],[ID]]))</f>
        <v>29.8</v>
      </c>
      <c r="O18" s="23">
        <f>TRUNC(NC[CORR. BASE]*SETUP!$F$3,2)</f>
        <v>0.59</v>
      </c>
      <c r="P18" s="23">
        <f>TRUNC(NC[CORR. BASE]*SETUP!$G$3,2)</f>
        <v>1.1599999999999999</v>
      </c>
      <c r="Q18" s="23">
        <f>NC[VL LIQUID]-NC[TX LIQUID]-NC[EMOL]-NC[CORR. BASE]-NC[ISS]-NC[OUTRAS]</f>
        <v>-3850.8500000000004</v>
      </c>
      <c r="R18" s="23">
        <f>NC[LÍQUIDO]-SUMPRODUCT(N(NC[DATA]=NC[[#This Row],[DATA]]),N(NC[ID]=(NC[[#This Row],[ID]]-1)),NC[LÍQUIDO])</f>
        <v>-1005.1200000000003</v>
      </c>
      <c r="S18" s="23">
        <f t="shared" si="0"/>
        <v>0.43700869565217404</v>
      </c>
      <c r="T18" s="23">
        <f>TRUNC(IF(NC['[C/V']]="V",J18*SETUP!$H$3,0),2)</f>
        <v>0</v>
      </c>
      <c r="U1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2300</v>
      </c>
      <c r="V1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0.43700869565217404</v>
      </c>
      <c r="W18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18" s="23">
        <f>IF(NC['[D/N']]="D",IF(NC['[C/V']]="C",0,SUMPRODUCT(N(NC[DATA]=NC[[#This Row],[DATA]]),N(NC['[C/V']]="V"),NC[LÍQUIDO])),IF(AND(NC[MED CP]&gt;0,NC[MED VD]&gt;0),(NC[MED VD]-NC[MED CP])*NC[QTDE],0))</f>
        <v>0</v>
      </c>
      <c r="Y18" s="23">
        <f>ABS(SUMPRODUCT(N(NC[D BASE]&lt;=NC[[#This Row],[D BASE]]),NC[LÍQUIDO]))</f>
        <v>4947.0199999999995</v>
      </c>
      <c r="Z18" s="23">
        <f>SUMPRODUCT(N(YEAR(NC[DATA])=YEAR(NC[[#This Row],[DATA]])),N(MONTH(NC[DATA])=MONTH(NC[[#This Row],[DATA]])),N(NC['[D/N']]="N"),NC[LUCRO OP])</f>
        <v>-324.88500000000062</v>
      </c>
      <c r="AA18" s="23">
        <f>SUMPRODUCT(N(YEAR(NC[DATA])=YEAR(NC[[#This Row],[DATA]])),N(MONTH(NC[DATA])=MONTH(NC[[#This Row],[DATA]])),N(NC['[D/N']]="D"),NC[LUCRO OP])</f>
        <v>0</v>
      </c>
      <c r="AB18" s="23">
        <f>NC[LUCRO N]+NC[LUCRO D]</f>
        <v>-324.88500000000062</v>
      </c>
      <c r="AC18" s="26">
        <f>NC[LUCRO MÊS]/(NC[CARTEIRA]-NC[LUCRO MÊS])</f>
        <v>-6.1625731116171596E-2</v>
      </c>
      <c r="AD18" s="23">
        <f>SUMPRODUCT(N(MONTH(NC[DATA])=MONTH(NC[[#This Row],[DATA]])),N(YEAR(NC[DATA])=YEAR(NC[[#This Row],[DATA]])),N(NC['[C/V']]="V"),NC[VALOR])</f>
        <v>5196</v>
      </c>
    </row>
    <row r="19" spans="1:30" s="21" customFormat="1" x14ac:dyDescent="0.2">
      <c r="A19" s="21">
        <v>18</v>
      </c>
      <c r="B19" s="21" t="s">
        <v>28</v>
      </c>
      <c r="C19" s="21" t="s">
        <v>16</v>
      </c>
      <c r="D19" s="22">
        <v>40942</v>
      </c>
      <c r="E19" s="21">
        <v>200</v>
      </c>
      <c r="F19" s="23">
        <v>4.76</v>
      </c>
      <c r="G19" s="21" t="s">
        <v>14</v>
      </c>
      <c r="H19" s="21">
        <f>EOMONTH(NC[[#This Row],[DATA]],0)</f>
        <v>40968</v>
      </c>
      <c r="I19" s="21">
        <f>SUMPRODUCT(N(NC[ATIVO]=NC[[#This Row],[ATIVO]]),N(NC['[D/N']]="N"),N(NC['[C/V']]="C"))+SUMPRODUCT(N(NC[ID]&lt;NC[[#This Row],[ID]]),N(NC[ATIVO]=NC[[#This Row],[ATIVO]]),N(NC['[D/N']]="N"),N(NC[SALDO]=0))</f>
        <v>2</v>
      </c>
      <c r="J19" s="23">
        <f>NC[QTDE]*NC[PREÇO]</f>
        <v>952</v>
      </c>
      <c r="K19" s="23">
        <f>SUMPRODUCT(N(NC[DATA]=NC[[#This Row],[DATA]]),N(NC[ID]&lt;=NC[[#This Row],[ID]]),N(NC['[C/V']]="V"),NC[VALOR])-SUMPRODUCT(N(NC[DATA]=NC[[#This Row],[DATA]]),N(NC[ID]&lt;=NC[[#This Row],[ID]]),N(NC['[C/V']]="C"),NC[VALOR])</f>
        <v>-952</v>
      </c>
      <c r="L1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0.26</v>
      </c>
      <c r="M19" s="23">
        <f>TRUNC(SUMPRODUCT(N(NC[DATA]=NC[[#This Row],[DATA]]),N(NC[ID]&lt;=NC[[#This Row],[ID]]),NC[VALOR]*SETUP!$A$3),2)</f>
        <v>0.06</v>
      </c>
      <c r="N19" s="23">
        <f>SETUP!$E$3*SUMPRODUCT(N(NC[DATA]=NC[[#This Row],[DATA]]),N(NC[ID]&lt;=NC[[#This Row],[ID]]))</f>
        <v>14.9</v>
      </c>
      <c r="O19" s="23">
        <f>TRUNC(NC[CORR. BASE]*SETUP!$F$3,2)</f>
        <v>0.28999999999999998</v>
      </c>
      <c r="P19" s="23">
        <f>TRUNC(NC[CORR. BASE]*SETUP!$G$3,2)</f>
        <v>0.57999999999999996</v>
      </c>
      <c r="Q19" s="23">
        <f>NC[VL LIQUID]-NC[TX LIQUID]-NC[EMOL]-NC[CORR. BASE]-NC[ISS]-NC[OUTRAS]</f>
        <v>-968.08999999999992</v>
      </c>
      <c r="R19" s="23">
        <f>NC[LÍQUIDO]-SUMPRODUCT(N(NC[DATA]=NC[[#This Row],[DATA]]),N(NC[ID]=(NC[[#This Row],[ID]]-1)),NC[LÍQUIDO])</f>
        <v>-968.08999999999992</v>
      </c>
      <c r="S19" s="23">
        <f t="shared" si="0"/>
        <v>4.8404499999999997</v>
      </c>
      <c r="T19" s="23">
        <f>TRUNC(IF(NC['[C/V']]="V",J19*SETUP!$H$3,0),2)</f>
        <v>0</v>
      </c>
      <c r="U1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1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4.8404499999999997</v>
      </c>
      <c r="W19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4.1897500000000001</v>
      </c>
      <c r="X19" s="23">
        <f>IF(NC['[D/N']]="D",IF(NC['[C/V']]="C",0,SUMPRODUCT(N(NC[DATA]=NC[[#This Row],[DATA]]),N(NC['[C/V']]="V"),NC[LÍQUIDO])),IF(AND(NC[MED CP]&gt;0,NC[MED VD]&gt;0),(NC[MED VD]-NC[MED CP])*NC[QTDE],0))</f>
        <v>-130.13999999999993</v>
      </c>
      <c r="Y19" s="23">
        <f>ABS(SUMPRODUCT(N(NC[D BASE]&lt;=NC[[#This Row],[D BASE]]),NC[LÍQUIDO]))</f>
        <v>2238.2499999999995</v>
      </c>
      <c r="Z19" s="23">
        <f>SUMPRODUCT(N(YEAR(NC[DATA])=YEAR(NC[[#This Row],[DATA]])),N(MONTH(NC[DATA])=MONTH(NC[[#This Row],[DATA]])),N(NC['[D/N']]="N"),NC[LUCRO OP])</f>
        <v>-467.17999999999961</v>
      </c>
      <c r="AA19" s="23">
        <f>SUMPRODUCT(N(YEAR(NC[DATA])=YEAR(NC[[#This Row],[DATA]])),N(MONTH(NC[DATA])=MONTH(NC[[#This Row],[DATA]])),N(NC['[D/N']]="D"),NC[LUCRO OP])</f>
        <v>0</v>
      </c>
      <c r="AB19" s="23">
        <f>NC[LUCRO N]+NC[LUCRO D]</f>
        <v>-467.17999999999961</v>
      </c>
      <c r="AC19" s="26">
        <f>NC[LUCRO MÊS]/(NC[CARTEIRA]-NC[LUCRO MÊS])</f>
        <v>-0.17268234624440468</v>
      </c>
      <c r="AD19" s="23">
        <f>SUMPRODUCT(N(MONTH(NC[DATA])=MONTH(NC[[#This Row],[DATA]])),N(YEAR(NC[DATA])=YEAR(NC[[#This Row],[DATA]])),N(NC['[C/V']]="V"),NC[VALOR])</f>
        <v>3102</v>
      </c>
    </row>
    <row r="20" spans="1:30" s="21" customFormat="1" x14ac:dyDescent="0.2">
      <c r="A20" s="21">
        <v>19</v>
      </c>
      <c r="B20" s="21" t="s">
        <v>29</v>
      </c>
      <c r="C20" s="21" t="s">
        <v>13</v>
      </c>
      <c r="D20" s="22">
        <v>40948</v>
      </c>
      <c r="E20" s="21">
        <v>300</v>
      </c>
      <c r="F20" s="23">
        <v>7.7</v>
      </c>
      <c r="G20" s="21" t="s">
        <v>14</v>
      </c>
      <c r="H20" s="21">
        <f>EOMONTH(NC[[#This Row],[DATA]],0)</f>
        <v>40968</v>
      </c>
      <c r="I20" s="21">
        <f>SUMPRODUCT(N(NC[ATIVO]=NC[[#This Row],[ATIVO]]),N(NC['[D/N']]="N"),N(NC['[C/V']]="C"))+SUMPRODUCT(N(NC[ID]&lt;NC[[#This Row],[ID]]),N(NC[ATIVO]=NC[[#This Row],[ATIVO]]),N(NC['[D/N']]="N"),N(NC[SALDO]=0))</f>
        <v>1</v>
      </c>
      <c r="J20" s="23">
        <f>NC[QTDE]*NC[PREÇO]</f>
        <v>2310</v>
      </c>
      <c r="K20" s="23">
        <f>SUMPRODUCT(N(NC[DATA]=NC[[#This Row],[DATA]]),N(NC[ID]&lt;=NC[[#This Row],[ID]]),N(NC['[C/V']]="V"),NC[VALOR])-SUMPRODUCT(N(NC[DATA]=NC[[#This Row],[DATA]]),N(NC[ID]&lt;=NC[[#This Row],[ID]]),N(NC['[C/V']]="C"),NC[VALOR])</f>
        <v>2310</v>
      </c>
      <c r="L2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0.63</v>
      </c>
      <c r="M20" s="23">
        <f>TRUNC(SUMPRODUCT(N(NC[DATA]=NC[[#This Row],[DATA]]),N(NC[ID]&lt;=NC[[#This Row],[ID]]),NC[VALOR]*SETUP!$A$3),2)</f>
        <v>0.16</v>
      </c>
      <c r="N20" s="23">
        <f>SETUP!$E$3*SUMPRODUCT(N(NC[DATA]=NC[[#This Row],[DATA]]),N(NC[ID]&lt;=NC[[#This Row],[ID]]))</f>
        <v>14.9</v>
      </c>
      <c r="O20" s="23">
        <f>TRUNC(NC[CORR. BASE]*SETUP!$F$3,2)</f>
        <v>0.28999999999999998</v>
      </c>
      <c r="P20" s="23">
        <f>TRUNC(NC[CORR. BASE]*SETUP!$G$3,2)</f>
        <v>0.57999999999999996</v>
      </c>
      <c r="Q20" s="23">
        <f>NC[VL LIQUID]-NC[TX LIQUID]-NC[EMOL]-NC[CORR. BASE]-NC[ISS]-NC[OUTRAS]</f>
        <v>2293.44</v>
      </c>
      <c r="R20" s="23">
        <f>NC[LÍQUIDO]-SUMPRODUCT(N(NC[DATA]=NC[[#This Row],[DATA]]),N(NC[ID]=(NC[[#This Row],[ID]]-1)),NC[LÍQUIDO])</f>
        <v>2293.44</v>
      </c>
      <c r="S20" s="23">
        <f t="shared" si="0"/>
        <v>7.6448</v>
      </c>
      <c r="T20" s="23">
        <f>TRUNC(IF(NC['[C/V']]="V",J20*SETUP!$H$3,0),2)</f>
        <v>0.11</v>
      </c>
      <c r="U2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7.9152333333333322</v>
      </c>
      <c r="W20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7.6448</v>
      </c>
      <c r="X20" s="23">
        <f>IF(NC['[D/N']]="D",IF(NC['[C/V']]="C",0,SUMPRODUCT(N(NC[DATA]=NC[[#This Row],[DATA]]),N(NC['[C/V']]="V"),NC[LÍQUIDO])),IF(AND(NC[MED CP]&gt;0,NC[MED VD]&gt;0),(NC[MED VD]-NC[MED CP])*NC[QTDE],0))</f>
        <v>-81.129999999999654</v>
      </c>
      <c r="Y20" s="23">
        <f>ABS(SUMPRODUCT(N(NC[D BASE]&lt;=NC[[#This Row],[D BASE]]),NC[LÍQUIDO]))</f>
        <v>2238.2499999999995</v>
      </c>
      <c r="Z20" s="23">
        <f>SUMPRODUCT(N(YEAR(NC[DATA])=YEAR(NC[[#This Row],[DATA]])),N(MONTH(NC[DATA])=MONTH(NC[[#This Row],[DATA]])),N(NC['[D/N']]="N"),NC[LUCRO OP])</f>
        <v>-467.17999999999961</v>
      </c>
      <c r="AA20" s="23">
        <f>SUMPRODUCT(N(YEAR(NC[DATA])=YEAR(NC[[#This Row],[DATA]])),N(MONTH(NC[DATA])=MONTH(NC[[#This Row],[DATA]])),N(NC['[D/N']]="D"),NC[LUCRO OP])</f>
        <v>0</v>
      </c>
      <c r="AB20" s="23">
        <f>NC[LUCRO N]+NC[LUCRO D]</f>
        <v>-467.17999999999961</v>
      </c>
      <c r="AC20" s="26">
        <f>NC[LUCRO MÊS]/(NC[CARTEIRA]-NC[LUCRO MÊS])</f>
        <v>-0.17268234624440468</v>
      </c>
      <c r="AD20" s="23">
        <f>SUMPRODUCT(N(MONTH(NC[DATA])=MONTH(NC[[#This Row],[DATA]])),N(YEAR(NC[DATA])=YEAR(NC[[#This Row],[DATA]])),N(NC['[C/V']]="V"),NC[VALOR])</f>
        <v>3102</v>
      </c>
    </row>
    <row r="21" spans="1:30" s="21" customFormat="1" x14ac:dyDescent="0.2">
      <c r="A21" s="21">
        <v>20</v>
      </c>
      <c r="B21" s="21" t="s">
        <v>31</v>
      </c>
      <c r="C21" s="21" t="s">
        <v>16</v>
      </c>
      <c r="D21" s="22">
        <v>40948</v>
      </c>
      <c r="E21" s="21">
        <v>3700</v>
      </c>
      <c r="F21" s="23">
        <v>0.37</v>
      </c>
      <c r="G21" s="21" t="s">
        <v>14</v>
      </c>
      <c r="H21" s="21">
        <f>EOMONTH(NC[[#This Row],[DATA]],0)</f>
        <v>40968</v>
      </c>
      <c r="I21" s="21">
        <f>SUMPRODUCT(N(NC[ATIVO]=NC[[#This Row],[ATIVO]]),N(NC['[D/N']]="N"),N(NC['[C/V']]="C"))+SUMPRODUCT(N(NC[ID]&lt;NC[[#This Row],[ID]]),N(NC[ATIVO]=NC[[#This Row],[ATIVO]]),N(NC['[D/N']]="N"),N(NC[SALDO]=0))</f>
        <v>2</v>
      </c>
      <c r="J21" s="23">
        <f>NC[QTDE]*NC[PREÇO]</f>
        <v>1369</v>
      </c>
      <c r="K21" s="23">
        <f>SUMPRODUCT(N(NC[DATA]=NC[[#This Row],[DATA]]),N(NC[ID]&lt;=NC[[#This Row],[ID]]),N(NC['[C/V']]="V"),NC[VALOR])-SUMPRODUCT(N(NC[DATA]=NC[[#This Row],[DATA]]),N(NC[ID]&lt;=NC[[#This Row],[ID]]),N(NC['[C/V']]="C"),NC[VALOR])</f>
        <v>941</v>
      </c>
      <c r="L2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1.01</v>
      </c>
      <c r="M21" s="23">
        <f>TRUNC(SUMPRODUCT(N(NC[DATA]=NC[[#This Row],[DATA]]),N(NC[ID]&lt;=NC[[#This Row],[ID]]),NC[VALOR]*SETUP!$A$3),2)</f>
        <v>0.25</v>
      </c>
      <c r="N21" s="23">
        <f>SETUP!$E$3*SUMPRODUCT(N(NC[DATA]=NC[[#This Row],[DATA]]),N(NC[ID]&lt;=NC[[#This Row],[ID]]))</f>
        <v>29.8</v>
      </c>
      <c r="O21" s="23">
        <f>TRUNC(NC[CORR. BASE]*SETUP!$F$3,2)</f>
        <v>0.59</v>
      </c>
      <c r="P21" s="23">
        <f>TRUNC(NC[CORR. BASE]*SETUP!$G$3,2)</f>
        <v>1.1599999999999999</v>
      </c>
      <c r="Q21" s="23">
        <f>NC[VL LIQUID]-NC[TX LIQUID]-NC[EMOL]-NC[CORR. BASE]-NC[ISS]-NC[OUTRAS]</f>
        <v>908.19</v>
      </c>
      <c r="R21" s="23">
        <f>NC[LÍQUIDO]-SUMPRODUCT(N(NC[DATA]=NC[[#This Row],[DATA]]),N(NC[ID]=(NC[[#This Row],[ID]]-1)),NC[LÍQUIDO])</f>
        <v>-1385.25</v>
      </c>
      <c r="S21" s="23">
        <f t="shared" si="0"/>
        <v>0.37439189189189187</v>
      </c>
      <c r="T21" s="23">
        <f>TRUNC(IF(NC['[C/V']]="V",J21*SETUP!$H$3,0),2)</f>
        <v>0</v>
      </c>
      <c r="U2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6000</v>
      </c>
      <c r="V2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W21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1" s="23">
        <f>IF(NC['[D/N']]="D",IF(NC['[C/V']]="C",0,SUMPRODUCT(N(NC[DATA]=NC[[#This Row],[DATA]]),N(NC['[C/V']]="V"),NC[LÍQUIDO])),IF(AND(NC[MED CP]&gt;0,NC[MED VD]&gt;0),(NC[MED VD]-NC[MED CP])*NC[QTDE],0))</f>
        <v>0</v>
      </c>
      <c r="Y21" s="23">
        <f>ABS(SUMPRODUCT(N(NC[D BASE]&lt;=NC[[#This Row],[D BASE]]),NC[LÍQUIDO]))</f>
        <v>2238.2499999999995</v>
      </c>
      <c r="Z21" s="23">
        <f>SUMPRODUCT(N(YEAR(NC[DATA])=YEAR(NC[[#This Row],[DATA]])),N(MONTH(NC[DATA])=MONTH(NC[[#This Row],[DATA]])),N(NC['[D/N']]="N"),NC[LUCRO OP])</f>
        <v>-467.17999999999961</v>
      </c>
      <c r="AA21" s="23">
        <f>SUMPRODUCT(N(YEAR(NC[DATA])=YEAR(NC[[#This Row],[DATA]])),N(MONTH(NC[DATA])=MONTH(NC[[#This Row],[DATA]])),N(NC['[D/N']]="D"),NC[LUCRO OP])</f>
        <v>0</v>
      </c>
      <c r="AB21" s="23">
        <f>NC[LUCRO N]+NC[LUCRO D]</f>
        <v>-467.17999999999961</v>
      </c>
      <c r="AC21" s="26">
        <f>NC[LUCRO MÊS]/(NC[CARTEIRA]-NC[LUCRO MÊS])</f>
        <v>-0.17268234624440468</v>
      </c>
      <c r="AD21" s="23">
        <f>SUMPRODUCT(N(MONTH(NC[DATA])=MONTH(NC[[#This Row],[DATA]])),N(YEAR(NC[DATA])=YEAR(NC[[#This Row],[DATA]])),N(NC['[C/V']]="V"),NC[VALOR])</f>
        <v>3102</v>
      </c>
    </row>
    <row r="22" spans="1:30" s="21" customFormat="1" x14ac:dyDescent="0.2">
      <c r="A22" s="21">
        <v>21</v>
      </c>
      <c r="B22" s="21" t="s">
        <v>32</v>
      </c>
      <c r="C22" s="21" t="s">
        <v>16</v>
      </c>
      <c r="D22" s="22">
        <v>40948</v>
      </c>
      <c r="E22" s="21">
        <v>500</v>
      </c>
      <c r="F22" s="23">
        <v>2.37</v>
      </c>
      <c r="G22" s="21" t="s">
        <v>14</v>
      </c>
      <c r="H22" s="21">
        <f>EOMONTH(NC[[#This Row],[DATA]],0)</f>
        <v>40968</v>
      </c>
      <c r="I22" s="21">
        <f>SUMPRODUCT(N(NC[ATIVO]=NC[[#This Row],[ATIVO]]),N(NC['[D/N']]="N"),N(NC['[C/V']]="C"))+SUMPRODUCT(N(NC[ID]&lt;NC[[#This Row],[ID]]),N(NC[ATIVO]=NC[[#This Row],[ATIVO]]),N(NC['[D/N']]="N"),N(NC[SALDO]=0))</f>
        <v>1</v>
      </c>
      <c r="J22" s="23">
        <f>NC[QTDE]*NC[PREÇO]</f>
        <v>1185</v>
      </c>
      <c r="K22" s="23">
        <f>SUMPRODUCT(N(NC[DATA]=NC[[#This Row],[DATA]]),N(NC[ID]&lt;=NC[[#This Row],[ID]]),N(NC['[C/V']]="V"),NC[VALOR])-SUMPRODUCT(N(NC[DATA]=NC[[#This Row],[DATA]]),N(NC[ID]&lt;=NC[[#This Row],[ID]]),N(NC['[C/V']]="C"),NC[VALOR])</f>
        <v>-244</v>
      </c>
      <c r="L2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1.33</v>
      </c>
      <c r="M22" s="23">
        <f>TRUNC(SUMPRODUCT(N(NC[DATA]=NC[[#This Row],[DATA]]),N(NC[ID]&lt;=NC[[#This Row],[ID]]),NC[VALOR]*SETUP!$A$3),2)</f>
        <v>0.34</v>
      </c>
      <c r="N22" s="23">
        <f>SETUP!$E$3*SUMPRODUCT(N(NC[DATA]=NC[[#This Row],[DATA]]),N(NC[ID]&lt;=NC[[#This Row],[ID]]))</f>
        <v>44.7</v>
      </c>
      <c r="O22" s="23">
        <f>TRUNC(NC[CORR. BASE]*SETUP!$F$3,2)</f>
        <v>0.89</v>
      </c>
      <c r="P22" s="23">
        <f>TRUNC(NC[CORR. BASE]*SETUP!$G$3,2)</f>
        <v>1.74</v>
      </c>
      <c r="Q22" s="23">
        <f>NC[VL LIQUID]-NC[TX LIQUID]-NC[EMOL]-NC[CORR. BASE]-NC[ISS]-NC[OUTRAS]</f>
        <v>-293</v>
      </c>
      <c r="R22" s="23">
        <f>NC[LÍQUIDO]-SUMPRODUCT(N(NC[DATA]=NC[[#This Row],[DATA]]),N(NC[ID]=(NC[[#This Row],[ID]]-1)),NC[LÍQUIDO])</f>
        <v>-1201.19</v>
      </c>
      <c r="S22" s="23">
        <f t="shared" si="0"/>
        <v>2.40238</v>
      </c>
      <c r="T22" s="23">
        <f>TRUNC(IF(NC['[C/V']]="V",J22*SETUP!$H$3,0),2)</f>
        <v>0</v>
      </c>
      <c r="U2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V2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2.40238</v>
      </c>
      <c r="W2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2" s="23">
        <f>IF(NC['[D/N']]="D",IF(NC['[C/V']]="C",0,SUMPRODUCT(N(NC[DATA]=NC[[#This Row],[DATA]]),N(NC['[C/V']]="V"),NC[LÍQUIDO])),IF(AND(NC[MED CP]&gt;0,NC[MED VD]&gt;0),(NC[MED VD]-NC[MED CP])*NC[QTDE],0))</f>
        <v>0</v>
      </c>
      <c r="Y22" s="23">
        <f>ABS(SUMPRODUCT(N(NC[D BASE]&lt;=NC[[#This Row],[D BASE]]),NC[LÍQUIDO]))</f>
        <v>2238.2499999999995</v>
      </c>
      <c r="Z22" s="23">
        <f>SUMPRODUCT(N(YEAR(NC[DATA])=YEAR(NC[[#This Row],[DATA]])),N(MONTH(NC[DATA])=MONTH(NC[[#This Row],[DATA]])),N(NC['[D/N']]="N"),NC[LUCRO OP])</f>
        <v>-467.17999999999961</v>
      </c>
      <c r="AA22" s="23">
        <f>SUMPRODUCT(N(YEAR(NC[DATA])=YEAR(NC[[#This Row],[DATA]])),N(MONTH(NC[DATA])=MONTH(NC[[#This Row],[DATA]])),N(NC['[D/N']]="D"),NC[LUCRO OP])</f>
        <v>0</v>
      </c>
      <c r="AB22" s="23">
        <f>NC[LUCRO N]+NC[LUCRO D]</f>
        <v>-467.17999999999961</v>
      </c>
      <c r="AC22" s="26">
        <f>NC[LUCRO MÊS]/(NC[CARTEIRA]-NC[LUCRO MÊS])</f>
        <v>-0.17268234624440468</v>
      </c>
      <c r="AD22" s="23">
        <f>SUMPRODUCT(N(MONTH(NC[DATA])=MONTH(NC[[#This Row],[DATA]])),N(YEAR(NC[DATA])=YEAR(NC[[#This Row],[DATA]])),N(NC['[C/V']]="V"),NC[VALOR])</f>
        <v>3102</v>
      </c>
    </row>
    <row r="23" spans="1:30" s="21" customFormat="1" x14ac:dyDescent="0.2">
      <c r="A23" s="21">
        <v>22</v>
      </c>
      <c r="B23" s="21" t="s">
        <v>12</v>
      </c>
      <c r="C23" s="21" t="s">
        <v>13</v>
      </c>
      <c r="D23" s="22">
        <v>40953</v>
      </c>
      <c r="E23" s="21">
        <v>1600</v>
      </c>
      <c r="F23" s="23">
        <v>0.4</v>
      </c>
      <c r="G23" s="21" t="s">
        <v>14</v>
      </c>
      <c r="H23" s="21">
        <f>EOMONTH(NC[[#This Row],[DATA]],0)</f>
        <v>40968</v>
      </c>
      <c r="I23" s="21">
        <f>SUMPRODUCT(N(NC[ATIVO]=NC[[#This Row],[ATIVO]]),N(NC['[D/N']]="N"),N(NC['[C/V']]="C"))+SUMPRODUCT(N(NC[ID]&lt;NC[[#This Row],[ID]]),N(NC[ATIVO]=NC[[#This Row],[ATIVO]]),N(NC['[D/N']]="N"),N(NC[SALDO]=0))</f>
        <v>1</v>
      </c>
      <c r="J23" s="23">
        <f>NC[QTDE]*NC[PREÇO]</f>
        <v>640</v>
      </c>
      <c r="K23" s="23">
        <f>SUMPRODUCT(N(NC[DATA]=NC[[#This Row],[DATA]]),N(NC[ID]&lt;=NC[[#This Row],[ID]]),N(NC['[C/V']]="V"),NC[VALOR])-SUMPRODUCT(N(NC[DATA]=NC[[#This Row],[DATA]]),N(NC[ID]&lt;=NC[[#This Row],[ID]]),N(NC['[C/V']]="C"),NC[VALOR])</f>
        <v>640</v>
      </c>
      <c r="L23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0.17</v>
      </c>
      <c r="M23" s="23">
        <f>TRUNC(SUMPRODUCT(N(NC[DATA]=NC[[#This Row],[DATA]]),N(NC[ID]&lt;=NC[[#This Row],[ID]]),NC[VALOR]*SETUP!$A$3),2)</f>
        <v>0.04</v>
      </c>
      <c r="N23" s="23">
        <f>SETUP!$E$3*SUMPRODUCT(N(NC[DATA]=NC[[#This Row],[DATA]]),N(NC[ID]&lt;=NC[[#This Row],[ID]]))</f>
        <v>14.9</v>
      </c>
      <c r="O23" s="23">
        <f>TRUNC(NC[CORR. BASE]*SETUP!$F$3,2)</f>
        <v>0.28999999999999998</v>
      </c>
      <c r="P23" s="23">
        <f>TRUNC(NC[CORR. BASE]*SETUP!$G$3,2)</f>
        <v>0.57999999999999996</v>
      </c>
      <c r="Q23" s="23">
        <f>NC[VL LIQUID]-NC[TX LIQUID]-NC[EMOL]-NC[CORR. BASE]-NC[ISS]-NC[OUTRAS]</f>
        <v>624.0200000000001</v>
      </c>
      <c r="R23" s="23">
        <f>NC[LÍQUIDO]-SUMPRODUCT(N(NC[DATA]=NC[[#This Row],[DATA]]),N(NC[ID]=(NC[[#This Row],[ID]]-1)),NC[LÍQUIDO])</f>
        <v>624.0200000000001</v>
      </c>
      <c r="S23" s="23">
        <f t="shared" si="0"/>
        <v>0.39001250000000004</v>
      </c>
      <c r="T23" s="23">
        <f>TRUNC(IF(NC['[C/V']]="V",J23*SETUP!$H$3,0),2)</f>
        <v>0.03</v>
      </c>
      <c r="U23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400</v>
      </c>
      <c r="V23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W23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0.39001250000000004</v>
      </c>
      <c r="X23" s="23">
        <f>IF(NC['[D/N']]="D",IF(NC['[C/V']]="C",0,SUMPRODUCT(N(NC[DATA]=NC[[#This Row],[DATA]]),N(NC['[C/V']]="V"),NC[LÍQUIDO])),IF(AND(NC[MED CP]&gt;0,NC[MED VD]&gt;0),(NC[MED VD]-NC[MED CP])*NC[QTDE],0))</f>
        <v>-188.86799999999999</v>
      </c>
      <c r="Y23" s="23">
        <f>ABS(SUMPRODUCT(N(NC[D BASE]&lt;=NC[[#This Row],[D BASE]]),NC[LÍQUIDO]))</f>
        <v>2238.2499999999995</v>
      </c>
      <c r="Z23" s="23">
        <f>SUMPRODUCT(N(YEAR(NC[DATA])=YEAR(NC[[#This Row],[DATA]])),N(MONTH(NC[DATA])=MONTH(NC[[#This Row],[DATA]])),N(NC['[D/N']]="N"),NC[LUCRO OP])</f>
        <v>-467.17999999999961</v>
      </c>
      <c r="AA23" s="23">
        <f>SUMPRODUCT(N(YEAR(NC[DATA])=YEAR(NC[[#This Row],[DATA]])),N(MONTH(NC[DATA])=MONTH(NC[[#This Row],[DATA]])),N(NC['[D/N']]="D"),NC[LUCRO OP])</f>
        <v>0</v>
      </c>
      <c r="AB23" s="23">
        <f>NC[LUCRO N]+NC[LUCRO D]</f>
        <v>-467.17999999999961</v>
      </c>
      <c r="AC23" s="26">
        <f>NC[LUCRO MÊS]/(NC[CARTEIRA]-NC[LUCRO MÊS])</f>
        <v>-0.17268234624440468</v>
      </c>
      <c r="AD23" s="23">
        <f>SUMPRODUCT(N(MONTH(NC[DATA])=MONTH(NC[[#This Row],[DATA]])),N(YEAR(NC[DATA])=YEAR(NC[[#This Row],[DATA]])),N(NC['[C/V']]="V"),NC[VALOR])</f>
        <v>3102</v>
      </c>
    </row>
    <row r="24" spans="1:30" s="21" customFormat="1" x14ac:dyDescent="0.2">
      <c r="A24" s="21">
        <v>23</v>
      </c>
      <c r="B24" s="21" t="s">
        <v>15</v>
      </c>
      <c r="C24" s="21" t="s">
        <v>16</v>
      </c>
      <c r="D24" s="22">
        <v>40953</v>
      </c>
      <c r="E24" s="21">
        <v>3000</v>
      </c>
      <c r="F24" s="23">
        <v>0.2</v>
      </c>
      <c r="G24" s="21" t="s">
        <v>14</v>
      </c>
      <c r="H24" s="21">
        <f>EOMONTH(NC[[#This Row],[DATA]],0)</f>
        <v>40968</v>
      </c>
      <c r="I24" s="21">
        <f>SUMPRODUCT(N(NC[ATIVO]=NC[[#This Row],[ATIVO]]),N(NC['[D/N']]="N"),N(NC['[C/V']]="C"))+SUMPRODUCT(N(NC[ID]&lt;NC[[#This Row],[ID]]),N(NC[ATIVO]=NC[[#This Row],[ATIVO]]),N(NC['[D/N']]="N"),N(NC[SALDO]=0))</f>
        <v>1</v>
      </c>
      <c r="J24" s="23">
        <f>NC[QTDE]*NC[PREÇO]</f>
        <v>600</v>
      </c>
      <c r="K24" s="23">
        <f>SUMPRODUCT(N(NC[DATA]=NC[[#This Row],[DATA]]),N(NC[ID]&lt;=NC[[#This Row],[ID]]),N(NC['[C/V']]="V"),NC[VALOR])-SUMPRODUCT(N(NC[DATA]=NC[[#This Row],[DATA]]),N(NC[ID]&lt;=NC[[#This Row],[ID]]),N(NC['[C/V']]="C"),NC[VALOR])</f>
        <v>40</v>
      </c>
      <c r="L24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0.34</v>
      </c>
      <c r="M24" s="23">
        <f>TRUNC(SUMPRODUCT(N(NC[DATA]=NC[[#This Row],[DATA]]),N(NC[ID]&lt;=NC[[#This Row],[ID]]),NC[VALOR]*SETUP!$A$3),2)</f>
        <v>0.08</v>
      </c>
      <c r="N24" s="23">
        <f>SETUP!$E$3*SUMPRODUCT(N(NC[DATA]=NC[[#This Row],[DATA]]),N(NC[ID]&lt;=NC[[#This Row],[ID]]))</f>
        <v>29.8</v>
      </c>
      <c r="O24" s="23">
        <f>TRUNC(NC[CORR. BASE]*SETUP!$F$3,2)</f>
        <v>0.59</v>
      </c>
      <c r="P24" s="23">
        <f>TRUNC(NC[CORR. BASE]*SETUP!$G$3,2)</f>
        <v>1.1599999999999999</v>
      </c>
      <c r="Q24" s="23">
        <f>NC[VL LIQUID]-NC[TX LIQUID]-NC[EMOL]-NC[CORR. BASE]-NC[ISS]-NC[OUTRAS]</f>
        <v>8.0299999999999976</v>
      </c>
      <c r="R24" s="23">
        <f>NC[LÍQUIDO]-SUMPRODUCT(N(NC[DATA]=NC[[#This Row],[DATA]]),N(NC[ID]=(NC[[#This Row],[ID]]-1)),NC[LÍQUIDO])</f>
        <v>-615.99000000000012</v>
      </c>
      <c r="S24" s="23">
        <f t="shared" si="0"/>
        <v>0.20533000000000004</v>
      </c>
      <c r="T24" s="23">
        <f>TRUNC(IF(NC['[C/V']]="V",J24*SETUP!$H$3,0),2)</f>
        <v>0</v>
      </c>
      <c r="U24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V24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0.20533000000000004</v>
      </c>
      <c r="W24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4" s="23">
        <f>IF(NC['[D/N']]="D",IF(NC['[C/V']]="C",0,SUMPRODUCT(N(NC[DATA]=NC[[#This Row],[DATA]]),N(NC['[C/V']]="V"),NC[LÍQUIDO])),IF(AND(NC[MED CP]&gt;0,NC[MED VD]&gt;0),(NC[MED VD]-NC[MED CP])*NC[QTDE],0))</f>
        <v>0</v>
      </c>
      <c r="Y24" s="23">
        <f>ABS(SUMPRODUCT(N(NC[D BASE]&lt;=NC[[#This Row],[D BASE]]),NC[LÍQUIDO]))</f>
        <v>2238.2499999999995</v>
      </c>
      <c r="Z24" s="23">
        <f>SUMPRODUCT(N(YEAR(NC[DATA])=YEAR(NC[[#This Row],[DATA]])),N(MONTH(NC[DATA])=MONTH(NC[[#This Row],[DATA]])),N(NC['[D/N']]="N"),NC[LUCRO OP])</f>
        <v>-467.17999999999961</v>
      </c>
      <c r="AA24" s="23">
        <f>SUMPRODUCT(N(YEAR(NC[DATA])=YEAR(NC[[#This Row],[DATA]])),N(MONTH(NC[DATA])=MONTH(NC[[#This Row],[DATA]])),N(NC['[D/N']]="D"),NC[LUCRO OP])</f>
        <v>0</v>
      </c>
      <c r="AB24" s="23">
        <f>NC[LUCRO N]+NC[LUCRO D]</f>
        <v>-467.17999999999961</v>
      </c>
      <c r="AC24" s="26">
        <f>NC[LUCRO MÊS]/(NC[CARTEIRA]-NC[LUCRO MÊS])</f>
        <v>-0.17268234624440468</v>
      </c>
      <c r="AD24" s="23">
        <f>SUMPRODUCT(N(MONTH(NC[DATA])=MONTH(NC[[#This Row],[DATA]])),N(YEAR(NC[DATA])=YEAR(NC[[#This Row],[DATA]])),N(NC['[C/V']]="V"),NC[VALOR])</f>
        <v>3102</v>
      </c>
    </row>
    <row r="25" spans="1:30" s="21" customFormat="1" x14ac:dyDescent="0.2">
      <c r="A25" s="21">
        <v>24</v>
      </c>
      <c r="B25" s="21" t="s">
        <v>12</v>
      </c>
      <c r="C25" s="21" t="s">
        <v>13</v>
      </c>
      <c r="D25" s="22">
        <v>40967</v>
      </c>
      <c r="E25" s="21">
        <v>400</v>
      </c>
      <c r="F25" s="23">
        <v>0.38</v>
      </c>
      <c r="G25" s="21" t="s">
        <v>14</v>
      </c>
      <c r="H25" s="21">
        <f>EOMONTH(NC[[#This Row],[DATA]],0)</f>
        <v>40968</v>
      </c>
      <c r="I25" s="21">
        <f>SUMPRODUCT(N(NC[ATIVO]=NC[[#This Row],[ATIVO]]),N(NC['[D/N']]="N"),N(NC['[C/V']]="C"))+SUMPRODUCT(N(NC[ID]&lt;NC[[#This Row],[ID]]),N(NC[ATIVO]=NC[[#This Row],[ATIVO]]),N(NC['[D/N']]="N"),N(NC[SALDO]=0))</f>
        <v>1</v>
      </c>
      <c r="J25" s="23">
        <f>NC[QTDE]*NC[PREÇO]</f>
        <v>152</v>
      </c>
      <c r="K25" s="23">
        <f>SUMPRODUCT(N(NC[DATA]=NC[[#This Row],[DATA]]),N(NC[ID]&lt;=NC[[#This Row],[ID]]),N(NC['[C/V']]="V"),NC[VALOR])-SUMPRODUCT(N(NC[DATA]=NC[[#This Row],[DATA]]),N(NC[ID]&lt;=NC[[#This Row],[ID]]),N(NC['[C/V']]="C"),NC[VALOR])</f>
        <v>152</v>
      </c>
      <c r="L25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0.04</v>
      </c>
      <c r="M25" s="23">
        <f>TRUNC(SUMPRODUCT(N(NC[DATA]=NC[[#This Row],[DATA]]),N(NC[ID]&lt;=NC[[#This Row],[ID]]),NC[VALOR]*SETUP!$A$3),2)</f>
        <v>0.01</v>
      </c>
      <c r="N25" s="23">
        <f>SETUP!$E$3*SUMPRODUCT(N(NC[DATA]=NC[[#This Row],[DATA]]),N(NC[ID]&lt;=NC[[#This Row],[ID]]))</f>
        <v>14.9</v>
      </c>
      <c r="O25" s="23">
        <f>TRUNC(NC[CORR. BASE]*SETUP!$F$3,2)</f>
        <v>0.28999999999999998</v>
      </c>
      <c r="P25" s="23">
        <f>TRUNC(NC[CORR. BASE]*SETUP!$G$3,2)</f>
        <v>0.57999999999999996</v>
      </c>
      <c r="Q25" s="23">
        <f>NC[VL LIQUID]-NC[TX LIQUID]-NC[EMOL]-NC[CORR. BASE]-NC[ISS]-NC[OUTRAS]</f>
        <v>136.18</v>
      </c>
      <c r="R25" s="23">
        <f>NC[LÍQUIDO]-SUMPRODUCT(N(NC[DATA]=NC[[#This Row],[DATA]]),N(NC[ID]=(NC[[#This Row],[ID]]-1)),NC[LÍQUIDO])</f>
        <v>136.18</v>
      </c>
      <c r="S25" s="23">
        <f t="shared" si="0"/>
        <v>0.34045000000000003</v>
      </c>
      <c r="T25" s="23">
        <f>TRUNC(IF(NC['[C/V']]="V",J25*SETUP!$H$3,0),2)</f>
        <v>0</v>
      </c>
      <c r="U25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5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0.50805500000000003</v>
      </c>
      <c r="W25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0.34045000000000003</v>
      </c>
      <c r="X25" s="23">
        <f>IF(NC['[D/N']]="D",IF(NC['[C/V']]="C",0,SUMPRODUCT(N(NC[DATA]=NC[[#This Row],[DATA]]),N(NC['[C/V']]="V"),NC[LÍQUIDO])),IF(AND(NC[MED CP]&gt;0,NC[MED VD]&gt;0),(NC[MED VD]-NC[MED CP])*NC[QTDE],0))</f>
        <v>-67.042000000000002</v>
      </c>
      <c r="Y25" s="23">
        <f>ABS(SUMPRODUCT(N(NC[D BASE]&lt;=NC[[#This Row],[D BASE]]),NC[LÍQUIDO]))</f>
        <v>2238.2499999999995</v>
      </c>
      <c r="Z25" s="23">
        <f>SUMPRODUCT(N(YEAR(NC[DATA])=YEAR(NC[[#This Row],[DATA]])),N(MONTH(NC[DATA])=MONTH(NC[[#This Row],[DATA]])),N(NC['[D/N']]="N"),NC[LUCRO OP])</f>
        <v>-467.17999999999961</v>
      </c>
      <c r="AA25" s="23">
        <f>SUMPRODUCT(N(YEAR(NC[DATA])=YEAR(NC[[#This Row],[DATA]])),N(MONTH(NC[DATA])=MONTH(NC[[#This Row],[DATA]])),N(NC['[D/N']]="D"),NC[LUCRO OP])</f>
        <v>0</v>
      </c>
      <c r="AB25" s="23">
        <f>NC[LUCRO N]+NC[LUCRO D]</f>
        <v>-467.17999999999961</v>
      </c>
      <c r="AC25" s="26">
        <f>NC[LUCRO MÊS]/(NC[CARTEIRA]-NC[LUCRO MÊS])</f>
        <v>-0.17268234624440468</v>
      </c>
      <c r="AD25" s="23">
        <f>SUMPRODUCT(N(MONTH(NC[DATA])=MONTH(NC[[#This Row],[DATA]])),N(YEAR(NC[DATA])=YEAR(NC[[#This Row],[DATA]])),N(NC['[C/V']]="V"),NC[VALOR])</f>
        <v>3102</v>
      </c>
    </row>
    <row r="26" spans="1:30" s="21" customFormat="1" x14ac:dyDescent="0.2">
      <c r="A26" s="21">
        <v>25</v>
      </c>
      <c r="B26" s="21" t="s">
        <v>15</v>
      </c>
      <c r="C26" s="21" t="s">
        <v>13</v>
      </c>
      <c r="D26" s="22">
        <v>40970</v>
      </c>
      <c r="E26" s="21">
        <v>3000</v>
      </c>
      <c r="F26" s="23">
        <v>0.17</v>
      </c>
      <c r="G26" s="21" t="s">
        <v>14</v>
      </c>
      <c r="H26" s="21">
        <f>EOMONTH(NC[[#This Row],[DATA]],0)</f>
        <v>40999</v>
      </c>
      <c r="I26" s="21">
        <f>SUMPRODUCT(N(NC[ATIVO]=NC[[#This Row],[ATIVO]]),N(NC['[D/N']]="N"),N(NC['[C/V']]="C"))+SUMPRODUCT(N(NC[ID]&lt;NC[[#This Row],[ID]]),N(NC[ATIVO]=NC[[#This Row],[ATIVO]]),N(NC['[D/N']]="N"),N(NC[SALDO]=0))</f>
        <v>1</v>
      </c>
      <c r="J26" s="23">
        <f>NC[QTDE]*NC[PREÇO]</f>
        <v>510.00000000000006</v>
      </c>
      <c r="K26" s="23">
        <f>SUMPRODUCT(N(NC[DATA]=NC[[#This Row],[DATA]]),N(NC[ID]&lt;=NC[[#This Row],[ID]]),N(NC['[C/V']]="V"),NC[VALOR])-SUMPRODUCT(N(NC[DATA]=NC[[#This Row],[DATA]]),N(NC[ID]&lt;=NC[[#This Row],[ID]]),N(NC['[C/V']]="C"),NC[VALOR])</f>
        <v>510.00000000000006</v>
      </c>
      <c r="L26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0.14000000000000001</v>
      </c>
      <c r="M26" s="23">
        <f>TRUNC(SUMPRODUCT(N(NC[DATA]=NC[[#This Row],[DATA]]),N(NC[ID]&lt;=NC[[#This Row],[ID]]),NC[VALOR]*SETUP!$A$3),2)</f>
        <v>0.03</v>
      </c>
      <c r="N26" s="23">
        <f>SETUP!$E$3*SUMPRODUCT(N(NC[DATA]=NC[[#This Row],[DATA]]),N(NC[ID]&lt;=NC[[#This Row],[ID]]))</f>
        <v>14.9</v>
      </c>
      <c r="O26" s="23">
        <f>TRUNC(NC[CORR. BASE]*SETUP!$F$3,2)</f>
        <v>0.28999999999999998</v>
      </c>
      <c r="P26" s="23">
        <f>TRUNC(NC[CORR. BASE]*SETUP!$G$3,2)</f>
        <v>0.57999999999999996</v>
      </c>
      <c r="Q26" s="23">
        <f>NC[VL LIQUID]-NC[TX LIQUID]-NC[EMOL]-NC[CORR. BASE]-NC[ISS]-NC[OUTRAS]</f>
        <v>494.06000000000012</v>
      </c>
      <c r="R26" s="23">
        <f>NC[LÍQUIDO]-SUMPRODUCT(N(NC[DATA]=NC[[#This Row],[DATA]]),N(NC[ID]=(NC[[#This Row],[ID]]-1)),NC[LÍQUIDO])</f>
        <v>494.06000000000012</v>
      </c>
      <c r="S26" s="23">
        <f t="shared" si="0"/>
        <v>0.1646866666666667</v>
      </c>
      <c r="T26" s="23">
        <f>TRUNC(IF(NC['[C/V']]="V",J26*SETUP!$H$3,0),2)</f>
        <v>0.02</v>
      </c>
      <c r="U26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6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0.20533000000000004</v>
      </c>
      <c r="W26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0.1646866666666667</v>
      </c>
      <c r="X26" s="23">
        <f>IF(NC['[D/N']]="D",IF(NC['[C/V']]="C",0,SUMPRODUCT(N(NC[DATA]=NC[[#This Row],[DATA]]),N(NC['[C/V']]="V"),NC[LÍQUIDO])),IF(AND(NC[MED CP]&gt;0,NC[MED VD]&gt;0),(NC[MED VD]-NC[MED CP])*NC[QTDE],0))</f>
        <v>-121.93</v>
      </c>
      <c r="Y26" s="23">
        <f>ABS(SUMPRODUCT(N(NC[D BASE]&lt;=NC[[#This Row],[D BASE]]),NC[LÍQUIDO]))</f>
        <v>1262.6899999999991</v>
      </c>
      <c r="Z26" s="23">
        <f>SUMPRODUCT(N(YEAR(NC[DATA])=YEAR(NC[[#This Row],[DATA]])),N(MONTH(NC[DATA])=MONTH(NC[[#This Row],[DATA]])),N(NC['[D/N']]="N"),NC[LUCRO OP])</f>
        <v>-1056.6299999999999</v>
      </c>
      <c r="AA26" s="23">
        <f>SUMPRODUCT(N(YEAR(NC[DATA])=YEAR(NC[[#This Row],[DATA]])),N(MONTH(NC[DATA])=MONTH(NC[[#This Row],[DATA]])),N(NC['[D/N']]="D"),NC[LUCRO OP])</f>
        <v>0</v>
      </c>
      <c r="AB26" s="23">
        <f>NC[LUCRO N]+NC[LUCRO D]</f>
        <v>-1056.6299999999999</v>
      </c>
      <c r="AC26" s="26">
        <f>NC[LUCRO MÊS]/(NC[CARTEIRA]-NC[LUCRO MÊS])</f>
        <v>-0.45557749685252591</v>
      </c>
      <c r="AD26" s="23">
        <f>SUMPRODUCT(N(MONTH(NC[DATA])=MONTH(NC[[#This Row],[DATA]])),N(YEAR(NC[DATA])=YEAR(NC[[#This Row],[DATA]])),N(NC['[C/V']]="V"),NC[VALOR])</f>
        <v>3720</v>
      </c>
    </row>
    <row r="27" spans="1:30" s="21" customFormat="1" x14ac:dyDescent="0.2">
      <c r="A27" s="21">
        <v>26</v>
      </c>
      <c r="B27" s="21" t="s">
        <v>31</v>
      </c>
      <c r="C27" s="21" t="s">
        <v>13</v>
      </c>
      <c r="D27" s="22">
        <v>40970</v>
      </c>
      <c r="E27" s="21">
        <v>3000</v>
      </c>
      <c r="F27" s="23">
        <v>0.27</v>
      </c>
      <c r="G27" s="21" t="s">
        <v>14</v>
      </c>
      <c r="H27" s="21">
        <f>EOMONTH(NC[[#This Row],[DATA]],0)</f>
        <v>40999</v>
      </c>
      <c r="I27" s="21">
        <f>SUMPRODUCT(N(NC[ATIVO]=NC[[#This Row],[ATIVO]]),N(NC['[D/N']]="N"),N(NC['[C/V']]="C"))+SUMPRODUCT(N(NC[ID]&lt;NC[[#This Row],[ID]]),N(NC[ATIVO]=NC[[#This Row],[ATIVO]]),N(NC['[D/N']]="N"),N(NC[SALDO]=0))</f>
        <v>2</v>
      </c>
      <c r="J27" s="23">
        <f>NC[QTDE]*NC[PREÇO]</f>
        <v>810</v>
      </c>
      <c r="K27" s="23">
        <f>SUMPRODUCT(N(NC[DATA]=NC[[#This Row],[DATA]]),N(NC[ID]&lt;=NC[[#This Row],[ID]]),N(NC['[C/V']]="V"),NC[VALOR])-SUMPRODUCT(N(NC[DATA]=NC[[#This Row],[DATA]]),N(NC[ID]&lt;=NC[[#This Row],[ID]]),N(NC['[C/V']]="C"),NC[VALOR])</f>
        <v>1320</v>
      </c>
      <c r="L27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0.36</v>
      </c>
      <c r="M27" s="23">
        <f>TRUNC(SUMPRODUCT(N(NC[DATA]=NC[[#This Row],[DATA]]),N(NC[ID]&lt;=NC[[#This Row],[ID]]),NC[VALOR]*SETUP!$A$3),2)</f>
        <v>0.09</v>
      </c>
      <c r="N27" s="23">
        <f>SETUP!$E$3*SUMPRODUCT(N(NC[DATA]=NC[[#This Row],[DATA]]),N(NC[ID]&lt;=NC[[#This Row],[ID]]))</f>
        <v>29.8</v>
      </c>
      <c r="O27" s="23">
        <f>TRUNC(NC[CORR. BASE]*SETUP!$F$3,2)</f>
        <v>0.59</v>
      </c>
      <c r="P27" s="23">
        <f>TRUNC(NC[CORR. BASE]*SETUP!$G$3,2)</f>
        <v>1.1599999999999999</v>
      </c>
      <c r="Q27" s="23">
        <f>NC[VL LIQUID]-NC[TX LIQUID]-NC[EMOL]-NC[CORR. BASE]-NC[ISS]-NC[OUTRAS]</f>
        <v>1288.0000000000002</v>
      </c>
      <c r="R27" s="23">
        <f>NC[LÍQUIDO]-SUMPRODUCT(N(NC[DATA]=NC[[#This Row],[DATA]]),N(NC[ID]=(NC[[#This Row],[ID]]-1)),NC[LÍQUIDO])</f>
        <v>793.94</v>
      </c>
      <c r="S27" s="23">
        <f t="shared" si="0"/>
        <v>0.2646466666666667</v>
      </c>
      <c r="T27" s="23">
        <f>TRUNC(IF(NC['[C/V']]="V",J27*SETUP!$H$3,0),2)</f>
        <v>0.04</v>
      </c>
      <c r="U27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3000</v>
      </c>
      <c r="V27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W27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0.2646466666666667</v>
      </c>
      <c r="X27" s="23">
        <f>IF(NC['[D/N']]="D",IF(NC['[C/V']]="C",0,SUMPRODUCT(N(NC[DATA]=NC[[#This Row],[DATA]]),N(NC['[C/V']]="V"),NC[LÍQUIDO])),IF(AND(NC[MED CP]&gt;0,NC[MED VD]&gt;0),(NC[MED VD]-NC[MED CP])*NC[QTDE],0))</f>
        <v>-401.24500000000006</v>
      </c>
      <c r="Y27" s="23">
        <f>ABS(SUMPRODUCT(N(NC[D BASE]&lt;=NC[[#This Row],[D BASE]]),NC[LÍQUIDO]))</f>
        <v>1262.6899999999991</v>
      </c>
      <c r="Z27" s="23">
        <f>SUMPRODUCT(N(YEAR(NC[DATA])=YEAR(NC[[#This Row],[DATA]])),N(MONTH(NC[DATA])=MONTH(NC[[#This Row],[DATA]])),N(NC['[D/N']]="N"),NC[LUCRO OP])</f>
        <v>-1056.6299999999999</v>
      </c>
      <c r="AA27" s="23">
        <f>SUMPRODUCT(N(YEAR(NC[DATA])=YEAR(NC[[#This Row],[DATA]])),N(MONTH(NC[DATA])=MONTH(NC[[#This Row],[DATA]])),N(NC['[D/N']]="D"),NC[LUCRO OP])</f>
        <v>0</v>
      </c>
      <c r="AB27" s="23">
        <f>NC[LUCRO N]+NC[LUCRO D]</f>
        <v>-1056.6299999999999</v>
      </c>
      <c r="AC27" s="26">
        <f>NC[LUCRO MÊS]/(NC[CARTEIRA]-NC[LUCRO MÊS])</f>
        <v>-0.45557749685252591</v>
      </c>
      <c r="AD27" s="23">
        <f>SUMPRODUCT(N(MONTH(NC[DATA])=MONTH(NC[[#This Row],[DATA]])),N(YEAR(NC[DATA])=YEAR(NC[[#This Row],[DATA]])),N(NC['[C/V']]="V"),NC[VALOR])</f>
        <v>3720</v>
      </c>
    </row>
    <row r="28" spans="1:30" x14ac:dyDescent="0.2">
      <c r="A28" s="21">
        <v>27</v>
      </c>
      <c r="B28" s="21" t="s">
        <v>31</v>
      </c>
      <c r="C28" s="21" t="s">
        <v>13</v>
      </c>
      <c r="D28" s="22">
        <v>40973</v>
      </c>
      <c r="E28" s="21">
        <v>3000</v>
      </c>
      <c r="F28" s="23">
        <v>0.25</v>
      </c>
      <c r="G28" s="21" t="s">
        <v>14</v>
      </c>
      <c r="H28" s="21">
        <f>EOMONTH(NC[[#This Row],[DATA]],0)</f>
        <v>40999</v>
      </c>
      <c r="I28" s="21">
        <f>SUMPRODUCT(N(NC[ATIVO]=NC[[#This Row],[ATIVO]]),N(NC['[D/N']]="N"),N(NC['[C/V']]="C"))+SUMPRODUCT(N(NC[ID]&lt;NC[[#This Row],[ID]]),N(NC[ATIVO]=NC[[#This Row],[ATIVO]]),N(NC['[D/N']]="N"),N(NC[SALDO]=0))</f>
        <v>2</v>
      </c>
      <c r="J28" s="23">
        <f>NC[QTDE]*NC[PREÇO]</f>
        <v>750</v>
      </c>
      <c r="K28" s="23">
        <f>SUMPRODUCT(N(NC[DATA]=NC[[#This Row],[DATA]]),N(NC[ID]&lt;=NC[[#This Row],[ID]]),N(NC['[C/V']]="V"),NC[VALOR])-SUMPRODUCT(N(NC[DATA]=NC[[#This Row],[DATA]]),N(NC[ID]&lt;=NC[[#This Row],[ID]]),N(NC['[C/V']]="C"),NC[VALOR])</f>
        <v>750</v>
      </c>
      <c r="L28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</v>
      </c>
      <c r="M28" s="23">
        <f>TRUNC(SUMPRODUCT(N(NC[DATA]=NC[[#This Row],[DATA]]),N(NC[ID]&lt;=NC[[#This Row],[ID]]),NC[VALOR]*SETUP!$A$3),2)</f>
        <v>0.05</v>
      </c>
      <c r="N28" s="23">
        <f>SETUP!$E$3*SUMPRODUCT(N(NC[DATA]=NC[[#This Row],[DATA]]),N(NC[ID]&lt;=NC[[#This Row],[ID]]))</f>
        <v>14.9</v>
      </c>
      <c r="O28" s="23">
        <f>TRUNC(NC[CORR. BASE]*SETUP!$F$3,2)</f>
        <v>0.28999999999999998</v>
      </c>
      <c r="P28" s="23">
        <f>TRUNC(NC[CORR. BASE]*SETUP!$G$3,2)</f>
        <v>0.57999999999999996</v>
      </c>
      <c r="Q28" s="23">
        <f>NC[VL LIQUID]-NC[TX LIQUID]-NC[EMOL]-NC[CORR. BASE]-NC[ISS]-NC[OUTRAS]</f>
        <v>733.98</v>
      </c>
      <c r="R28" s="23">
        <f>NC[LÍQUIDO]-SUMPRODUCT(N(NC[DATA]=NC[[#This Row],[DATA]]),N(NC[ID]=(NC[[#This Row],[ID]]-1)),NC[LÍQUIDO])</f>
        <v>733.98</v>
      </c>
      <c r="S28" s="23">
        <f t="shared" si="0"/>
        <v>0.24466000000000002</v>
      </c>
      <c r="T28" s="23">
        <f>TRUNC(IF(NC['[C/V']]="V",J28*SETUP!$H$3,0),2)</f>
        <v>0.03</v>
      </c>
      <c r="U28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28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0.39839500000000005</v>
      </c>
      <c r="W28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0.24466000000000002</v>
      </c>
      <c r="X28" s="23">
        <f>IF(NC['[D/N']]="D",IF(NC['[C/V']]="C",0,SUMPRODUCT(N(NC[DATA]=NC[[#This Row],[DATA]]),N(NC['[C/V']]="V"),NC[LÍQUIDO])),IF(AND(NC[MED CP]&gt;0,NC[MED VD]&gt;0),(NC[MED VD]-NC[MED CP])*NC[QTDE],0))</f>
        <v>-461.2050000000001</v>
      </c>
      <c r="Y28" s="23">
        <f>ABS(SUMPRODUCT(N(NC[D BASE]&lt;=NC[[#This Row],[D BASE]]),NC[LÍQUIDO]))</f>
        <v>1262.6899999999991</v>
      </c>
      <c r="Z28" s="23">
        <f>SUMPRODUCT(N(YEAR(NC[DATA])=YEAR(NC[[#This Row],[DATA]])),N(MONTH(NC[DATA])=MONTH(NC[[#This Row],[DATA]])),N(NC['[D/N']]="N"),NC[LUCRO OP])</f>
        <v>-1056.6299999999999</v>
      </c>
      <c r="AA28" s="23">
        <f>SUMPRODUCT(N(YEAR(NC[DATA])=YEAR(NC[[#This Row],[DATA]])),N(MONTH(NC[DATA])=MONTH(NC[[#This Row],[DATA]])),N(NC['[D/N']]="D"),NC[LUCRO OP])</f>
        <v>0</v>
      </c>
      <c r="AB28" s="23">
        <f>NC[LUCRO N]+NC[LUCRO D]</f>
        <v>-1056.6299999999999</v>
      </c>
      <c r="AC28" s="26">
        <f>NC[LUCRO MÊS]/(NC[CARTEIRA]-NC[LUCRO MÊS])</f>
        <v>-0.45557749685252591</v>
      </c>
      <c r="AD28" s="23">
        <f>SUMPRODUCT(N(MONTH(NC[DATA])=MONTH(NC[[#This Row],[DATA]])),N(YEAR(NC[DATA])=YEAR(NC[[#This Row],[DATA]])),N(NC['[C/V']]="V"),NC[VALOR])</f>
        <v>3720</v>
      </c>
    </row>
    <row r="29" spans="1:30" x14ac:dyDescent="0.2">
      <c r="A29" s="21">
        <v>28</v>
      </c>
      <c r="B29" s="21" t="s">
        <v>42</v>
      </c>
      <c r="C29" s="21" t="s">
        <v>16</v>
      </c>
      <c r="D29" s="22">
        <v>40975</v>
      </c>
      <c r="E29" s="21">
        <v>500</v>
      </c>
      <c r="F29" s="23">
        <v>2.12</v>
      </c>
      <c r="G29" s="21" t="s">
        <v>14</v>
      </c>
      <c r="H29" s="21">
        <f>EOMONTH(NC[[#This Row],[DATA]],0)</f>
        <v>40999</v>
      </c>
      <c r="I29" s="21">
        <f>SUMPRODUCT(N(NC[ATIVO]=NC[[#This Row],[ATIVO]]),N(NC['[D/N']]="N"),N(NC['[C/V']]="C"))+SUMPRODUCT(N(NC[ID]&lt;NC[[#This Row],[ID]]),N(NC[ATIVO]=NC[[#This Row],[ATIVO]]),N(NC['[D/N']]="N"),N(NC[SALDO]=0))</f>
        <v>1</v>
      </c>
      <c r="J29" s="23">
        <f>NC[QTDE]*NC[PREÇO]</f>
        <v>1060</v>
      </c>
      <c r="K29" s="23">
        <f>SUMPRODUCT(N(NC[DATA]=NC[[#This Row],[DATA]]),N(NC[ID]&lt;=NC[[#This Row],[ID]]),N(NC['[C/V']]="V"),NC[VALOR])-SUMPRODUCT(N(NC[DATA]=NC[[#This Row],[DATA]]),N(NC[ID]&lt;=NC[[#This Row],[ID]]),N(NC['[C/V']]="C"),NC[VALOR])</f>
        <v>-1060</v>
      </c>
      <c r="L29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0.28999999999999998</v>
      </c>
      <c r="M29" s="23">
        <f>TRUNC(SUMPRODUCT(N(NC[DATA]=NC[[#This Row],[DATA]]),N(NC[ID]&lt;=NC[[#This Row],[ID]]),NC[VALOR]*SETUP!$A$3),2)</f>
        <v>7.0000000000000007E-2</v>
      </c>
      <c r="N29" s="23">
        <f>SETUP!$E$3*SUMPRODUCT(N(NC[DATA]=NC[[#This Row],[DATA]]),N(NC[ID]&lt;=NC[[#This Row],[ID]]))</f>
        <v>14.9</v>
      </c>
      <c r="O29" s="23">
        <f>TRUNC(NC[CORR. BASE]*SETUP!$F$3,2)</f>
        <v>0.28999999999999998</v>
      </c>
      <c r="P29" s="23">
        <f>TRUNC(NC[CORR. BASE]*SETUP!$G$3,2)</f>
        <v>0.57999999999999996</v>
      </c>
      <c r="Q29" s="23">
        <f>NC[VL LIQUID]-NC[TX LIQUID]-NC[EMOL]-NC[CORR. BASE]-NC[ISS]-NC[OUTRAS]</f>
        <v>-1076.1299999999999</v>
      </c>
      <c r="R29" s="23">
        <f>NC[LÍQUIDO]-SUMPRODUCT(N(NC[DATA]=NC[[#This Row],[DATA]]),N(NC[ID]=(NC[[#This Row],[ID]]-1)),NC[LÍQUIDO])</f>
        <v>-1076.1299999999999</v>
      </c>
      <c r="S29" s="23">
        <f t="shared" si="0"/>
        <v>2.1522599999999996</v>
      </c>
      <c r="T29" s="23">
        <f>TRUNC(IF(NC['[C/V']]="V",J29*SETUP!$H$3,0),2)</f>
        <v>0</v>
      </c>
      <c r="U29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500</v>
      </c>
      <c r="V29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2.1522599999999996</v>
      </c>
      <c r="W29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29" s="23">
        <f>IF(NC['[D/N']]="D",IF(NC['[C/V']]="C",0,SUMPRODUCT(N(NC[DATA]=NC[[#This Row],[DATA]]),N(NC['[C/V']]="V"),NC[LÍQUIDO])),IF(AND(NC[MED CP]&gt;0,NC[MED VD]&gt;0),(NC[MED VD]-NC[MED CP])*NC[QTDE],0))</f>
        <v>0</v>
      </c>
      <c r="Y29" s="23">
        <f>ABS(SUMPRODUCT(N(NC[D BASE]&lt;=NC[[#This Row],[D BASE]]),NC[LÍQUIDO]))</f>
        <v>1262.6899999999991</v>
      </c>
      <c r="Z29" s="23">
        <f>SUMPRODUCT(N(YEAR(NC[DATA])=YEAR(NC[[#This Row],[DATA]])),N(MONTH(NC[DATA])=MONTH(NC[[#This Row],[DATA]])),N(NC['[D/N']]="N"),NC[LUCRO OP])</f>
        <v>-1056.6299999999999</v>
      </c>
      <c r="AA29" s="23">
        <f>SUMPRODUCT(N(YEAR(NC[DATA])=YEAR(NC[[#This Row],[DATA]])),N(MONTH(NC[DATA])=MONTH(NC[[#This Row],[DATA]])),N(NC['[D/N']]="D"),NC[LUCRO OP])</f>
        <v>0</v>
      </c>
      <c r="AB29" s="23">
        <f>NC[LUCRO N]+NC[LUCRO D]</f>
        <v>-1056.6299999999999</v>
      </c>
      <c r="AC29" s="26">
        <f>NC[LUCRO MÊS]/(NC[CARTEIRA]-NC[LUCRO MÊS])</f>
        <v>-0.45557749685252591</v>
      </c>
      <c r="AD29" s="23">
        <f>SUMPRODUCT(N(MONTH(NC[DATA])=MONTH(NC[[#This Row],[DATA]])),N(YEAR(NC[DATA])=YEAR(NC[[#This Row],[DATA]])),N(NC['[C/V']]="V"),NC[VALOR])</f>
        <v>3720</v>
      </c>
    </row>
    <row r="30" spans="1:30" x14ac:dyDescent="0.2">
      <c r="A30" s="21">
        <v>29</v>
      </c>
      <c r="B30" s="21" t="s">
        <v>28</v>
      </c>
      <c r="C30" s="21" t="s">
        <v>16</v>
      </c>
      <c r="D30" s="22">
        <v>40975</v>
      </c>
      <c r="E30" s="21">
        <v>200</v>
      </c>
      <c r="F30" s="23">
        <v>4.95</v>
      </c>
      <c r="G30" s="21" t="s">
        <v>14</v>
      </c>
      <c r="H30" s="21">
        <f>EOMONTH(NC[[#This Row],[DATA]],0)</f>
        <v>40999</v>
      </c>
      <c r="I30" s="21">
        <f>SUMPRODUCT(N(NC[ATIVO]=NC[[#This Row],[ATIVO]]),N(NC['[D/N']]="N"),N(NC['[C/V']]="C"))+SUMPRODUCT(N(NC[ID]&lt;NC[[#This Row],[ID]]),N(NC[ATIVO]=NC[[#This Row],[ATIVO]]),N(NC['[D/N']]="N"),N(NC[SALDO]=0))</f>
        <v>3</v>
      </c>
      <c r="J30" s="23">
        <f>NC[QTDE]*NC[PREÇO]</f>
        <v>990</v>
      </c>
      <c r="K30" s="23">
        <f>SUMPRODUCT(N(NC[DATA]=NC[[#This Row],[DATA]]),N(NC[ID]&lt;=NC[[#This Row],[ID]]),N(NC['[C/V']]="V"),NC[VALOR])-SUMPRODUCT(N(NC[DATA]=NC[[#This Row],[DATA]]),N(NC[ID]&lt;=NC[[#This Row],[ID]]),N(NC['[C/V']]="C"),NC[VALOR])</f>
        <v>-2050</v>
      </c>
      <c r="L30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0.56000000000000005</v>
      </c>
      <c r="M30" s="23">
        <f>TRUNC(SUMPRODUCT(N(NC[DATA]=NC[[#This Row],[DATA]]),N(NC[ID]&lt;=NC[[#This Row],[ID]]),NC[VALOR]*SETUP!$A$3),2)</f>
        <v>0.14000000000000001</v>
      </c>
      <c r="N30" s="23">
        <f>SETUP!$E$3*SUMPRODUCT(N(NC[DATA]=NC[[#This Row],[DATA]]),N(NC[ID]&lt;=NC[[#This Row],[ID]]))</f>
        <v>29.8</v>
      </c>
      <c r="O30" s="23">
        <f>TRUNC(NC[CORR. BASE]*SETUP!$F$3,2)</f>
        <v>0.59</v>
      </c>
      <c r="P30" s="23">
        <f>TRUNC(NC[CORR. BASE]*SETUP!$G$3,2)</f>
        <v>1.1599999999999999</v>
      </c>
      <c r="Q30" s="23">
        <f>NC[VL LIQUID]-NC[TX LIQUID]-NC[EMOL]-NC[CORR. BASE]-NC[ISS]-NC[OUTRAS]</f>
        <v>-2082.25</v>
      </c>
      <c r="R30" s="23">
        <f>NC[LÍQUIDO]-SUMPRODUCT(N(NC[DATA]=NC[[#This Row],[DATA]]),N(NC[ID]=(NC[[#This Row],[ID]]-1)),NC[LÍQUIDO])</f>
        <v>-1006.1200000000001</v>
      </c>
      <c r="S30" s="23">
        <f t="shared" si="0"/>
        <v>5.0306000000000006</v>
      </c>
      <c r="T30" s="23">
        <f>TRUNC(IF(NC['[C/V']]="V",J30*SETUP!$H$3,0),2)</f>
        <v>0</v>
      </c>
      <c r="U30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200</v>
      </c>
      <c r="V30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5.0306000000000006</v>
      </c>
      <c r="W30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0</v>
      </c>
      <c r="X30" s="23">
        <f>IF(NC['[D/N']]="D",IF(NC['[C/V']]="C",0,SUMPRODUCT(N(NC[DATA]=NC[[#This Row],[DATA]]),N(NC['[C/V']]="V"),NC[LÍQUIDO])),IF(AND(NC[MED CP]&gt;0,NC[MED VD]&gt;0),(NC[MED VD]-NC[MED CP])*NC[QTDE],0))</f>
        <v>0</v>
      </c>
      <c r="Y30" s="23">
        <f>ABS(SUMPRODUCT(N(NC[D BASE]&lt;=NC[[#This Row],[D BASE]]),NC[LÍQUIDO]))</f>
        <v>1262.6899999999991</v>
      </c>
      <c r="Z30" s="23">
        <f>SUMPRODUCT(N(YEAR(NC[DATA])=YEAR(NC[[#This Row],[DATA]])),N(MONTH(NC[DATA])=MONTH(NC[[#This Row],[DATA]])),N(NC['[D/N']]="N"),NC[LUCRO OP])</f>
        <v>-1056.6299999999999</v>
      </c>
      <c r="AA30" s="23">
        <f>SUMPRODUCT(N(YEAR(NC[DATA])=YEAR(NC[[#This Row],[DATA]])),N(MONTH(NC[DATA])=MONTH(NC[[#This Row],[DATA]])),N(NC['[D/N']]="D"),NC[LUCRO OP])</f>
        <v>0</v>
      </c>
      <c r="AB30" s="23">
        <f>NC[LUCRO N]+NC[LUCRO D]</f>
        <v>-1056.6299999999999</v>
      </c>
      <c r="AC30" s="26">
        <f>NC[LUCRO MÊS]/(NC[CARTEIRA]-NC[LUCRO MÊS])</f>
        <v>-0.45557749685252591</v>
      </c>
      <c r="AD30" s="23">
        <f>SUMPRODUCT(N(MONTH(NC[DATA])=MONTH(NC[[#This Row],[DATA]])),N(YEAR(NC[DATA])=YEAR(NC[[#This Row],[DATA]])),N(NC['[C/V']]="V"),NC[VALOR])</f>
        <v>3720</v>
      </c>
    </row>
    <row r="31" spans="1:30" x14ac:dyDescent="0.2">
      <c r="A31" s="21">
        <v>30</v>
      </c>
      <c r="B31" s="21" t="s">
        <v>42</v>
      </c>
      <c r="C31" s="21" t="s">
        <v>13</v>
      </c>
      <c r="D31" s="22">
        <v>40977</v>
      </c>
      <c r="E31" s="21">
        <v>500</v>
      </c>
      <c r="F31" s="23">
        <v>2.04</v>
      </c>
      <c r="G31" s="21" t="s">
        <v>14</v>
      </c>
      <c r="H31" s="21">
        <f>EOMONTH(NC[[#This Row],[DATA]],0)</f>
        <v>40999</v>
      </c>
      <c r="I31" s="21">
        <f>SUMPRODUCT(N(NC[ATIVO]=NC[[#This Row],[ATIVO]]),N(NC['[D/N']]="N"),N(NC['[C/V']]="C"))+SUMPRODUCT(N(NC[ID]&lt;NC[[#This Row],[ID]]),N(NC[ATIVO]=NC[[#This Row],[ATIVO]]),N(NC['[D/N']]="N"),N(NC[SALDO]=0))</f>
        <v>1</v>
      </c>
      <c r="J31" s="23">
        <f>NC[QTDE]*NC[PREÇO]</f>
        <v>1020</v>
      </c>
      <c r="K31" s="23">
        <f>SUMPRODUCT(N(NC[DATA]=NC[[#This Row],[DATA]]),N(NC[ID]&lt;=NC[[#This Row],[ID]]),N(NC['[C/V']]="V"),NC[VALOR])-SUMPRODUCT(N(NC[DATA]=NC[[#This Row],[DATA]]),N(NC[ID]&lt;=NC[[#This Row],[ID]]),N(NC['[C/V']]="C"),NC[VALOR])</f>
        <v>1020</v>
      </c>
      <c r="L31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0.28000000000000003</v>
      </c>
      <c r="M31" s="23">
        <f>TRUNC(SUMPRODUCT(N(NC[DATA]=NC[[#This Row],[DATA]]),N(NC[ID]&lt;=NC[[#This Row],[ID]]),NC[VALOR]*SETUP!$A$3),2)</f>
        <v>7.0000000000000007E-2</v>
      </c>
      <c r="N31" s="23">
        <f>SETUP!$E$3*SUMPRODUCT(N(NC[DATA]=NC[[#This Row],[DATA]]),N(NC[ID]&lt;=NC[[#This Row],[ID]]))</f>
        <v>14.9</v>
      </c>
      <c r="O31" s="23">
        <f>TRUNC(NC[CORR. BASE]*SETUP!$F$3,2)</f>
        <v>0.28999999999999998</v>
      </c>
      <c r="P31" s="23">
        <f>TRUNC(NC[CORR. BASE]*SETUP!$G$3,2)</f>
        <v>0.57999999999999996</v>
      </c>
      <c r="Q31" s="23">
        <f>NC[VL LIQUID]-NC[TX LIQUID]-NC[EMOL]-NC[CORR. BASE]-NC[ISS]-NC[OUTRAS]</f>
        <v>1003.88</v>
      </c>
      <c r="R31" s="23">
        <f>NC[LÍQUIDO]-SUMPRODUCT(N(NC[DATA]=NC[[#This Row],[DATA]]),N(NC[ID]=(NC[[#This Row],[ID]]-1)),NC[LÍQUIDO])</f>
        <v>1003.88</v>
      </c>
      <c r="S31" s="23">
        <f t="shared" si="0"/>
        <v>2.0077600000000002</v>
      </c>
      <c r="T31" s="23">
        <f>TRUNC(IF(NC['[C/V']]="V",J31*SETUP!$H$3,0),2)</f>
        <v>0.05</v>
      </c>
      <c r="U31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0</v>
      </c>
      <c r="V31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2.1522599999999996</v>
      </c>
      <c r="W31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2.0077600000000002</v>
      </c>
      <c r="X31" s="23">
        <f>IF(NC['[D/N']]="D",IF(NC['[C/V']]="C",0,SUMPRODUCT(N(NC[DATA]=NC[[#This Row],[DATA]]),N(NC['[C/V']]="V"),NC[LÍQUIDO])),IF(AND(NC[MED CP]&gt;0,NC[MED VD]&gt;0),(NC[MED VD]-NC[MED CP])*NC[QTDE],0))</f>
        <v>-72.249999999999702</v>
      </c>
      <c r="Y31" s="23">
        <f>ABS(SUMPRODUCT(N(NC[D BASE]&lt;=NC[[#This Row],[D BASE]]),NC[LÍQUIDO]))</f>
        <v>1262.6899999999991</v>
      </c>
      <c r="Z31" s="23">
        <f>SUMPRODUCT(N(YEAR(NC[DATA])=YEAR(NC[[#This Row],[DATA]])),N(MONTH(NC[DATA])=MONTH(NC[[#This Row],[DATA]])),N(NC['[D/N']]="N"),NC[LUCRO OP])</f>
        <v>-1056.6299999999999</v>
      </c>
      <c r="AA31" s="23">
        <f>SUMPRODUCT(N(YEAR(NC[DATA])=YEAR(NC[[#This Row],[DATA]])),N(MONTH(NC[DATA])=MONTH(NC[[#This Row],[DATA]])),N(NC['[D/N']]="D"),NC[LUCRO OP])</f>
        <v>0</v>
      </c>
      <c r="AB31" s="23">
        <f>NC[LUCRO N]+NC[LUCRO D]</f>
        <v>-1056.6299999999999</v>
      </c>
      <c r="AC31" s="26">
        <f>NC[LUCRO MÊS]/(NC[CARTEIRA]-NC[LUCRO MÊS])</f>
        <v>-0.45557749685252591</v>
      </c>
      <c r="AD31" s="23">
        <f>SUMPRODUCT(N(MONTH(NC[DATA])=MONTH(NC[[#This Row],[DATA]])),N(YEAR(NC[DATA])=YEAR(NC[[#This Row],[DATA]])),N(NC['[C/V']]="V"),NC[VALOR])</f>
        <v>3720</v>
      </c>
    </row>
    <row r="32" spans="1:30" x14ac:dyDescent="0.2">
      <c r="A32" s="21">
        <v>31</v>
      </c>
      <c r="B32" s="21" t="s">
        <v>58</v>
      </c>
      <c r="C32" s="21" t="s">
        <v>13</v>
      </c>
      <c r="D32" s="22">
        <v>40978</v>
      </c>
      <c r="E32" s="21">
        <v>100</v>
      </c>
      <c r="F32" s="23">
        <v>6.3</v>
      </c>
      <c r="G32" s="21" t="s">
        <v>14</v>
      </c>
      <c r="H32" s="21">
        <f>EOMONTH(NC[[#This Row],[DATA]],0)</f>
        <v>40999</v>
      </c>
      <c r="I32" s="21">
        <f>SUMPRODUCT(N(NC[ATIVO]=NC[[#This Row],[ATIVO]]),N(NC['[D/N']]="N"),N(NC['[C/V']]="C"))+SUMPRODUCT(N(NC[ID]&lt;NC[[#This Row],[ID]]),N(NC[ATIVO]=NC[[#This Row],[ATIVO]]),N(NC['[D/N']]="N"),N(NC[SALDO]=0))</f>
        <v>0</v>
      </c>
      <c r="J32" s="23">
        <f>NC[QTDE]*NC[PREÇO]</f>
        <v>630</v>
      </c>
      <c r="K32" s="23">
        <f>SUMPRODUCT(N(NC[DATA]=NC[[#This Row],[DATA]]),N(NC[ID]&lt;=NC[[#This Row],[ID]]),N(NC['[C/V']]="V"),NC[VALOR])-SUMPRODUCT(N(NC[DATA]=NC[[#This Row],[DATA]]),N(NC[ID]&lt;=NC[[#This Row],[ID]]),N(NC['[C/V']]="C"),NC[VALOR])</f>
        <v>630</v>
      </c>
      <c r="L32" s="23">
        <f>TRUNC(SUMPRODUCT(N(NC[DATA]=NC[[#This Row],[DATA]]),N(NC[ID]&lt;=NC[[#This Row],[ID]]),N(NC['[D/N']]="D"),NC[VALOR]*SETUP!$D$3)+SUMPRODUCT(N(NC[DATA]=NC[[#This Row],[DATA]]),N(NC[ID]&lt;=NC[[#This Row],[ID]]),N(NC['[D/N']]="N"),NC[VALOR]*SETUP!$B$3),2)</f>
        <v>0.17</v>
      </c>
      <c r="M32" s="23">
        <f>TRUNC(SUMPRODUCT(N(NC[DATA]=NC[[#This Row],[DATA]]),N(NC[ID]&lt;=NC[[#This Row],[ID]]),NC[VALOR]*SETUP!$A$3),2)</f>
        <v>0.04</v>
      </c>
      <c r="N32" s="23">
        <f>SETUP!$E$3*SUMPRODUCT(N(NC[DATA]=NC[[#This Row],[DATA]]),N(NC[ID]&lt;=NC[[#This Row],[ID]]))</f>
        <v>14.9</v>
      </c>
      <c r="O32" s="23">
        <f>TRUNC(NC[CORR. BASE]*SETUP!$F$3,2)</f>
        <v>0.28999999999999998</v>
      </c>
      <c r="P32" s="23">
        <f>TRUNC(NC[CORR. BASE]*SETUP!$G$3,2)</f>
        <v>0.57999999999999996</v>
      </c>
      <c r="Q32" s="23">
        <f>NC[VL LIQUID]-NC[TX LIQUID]-NC[EMOL]-NC[CORR. BASE]-NC[ISS]-NC[OUTRAS]</f>
        <v>614.0200000000001</v>
      </c>
      <c r="R32" s="23">
        <f>NC[LÍQUIDO]-SUMPRODUCT(N(NC[DATA]=NC[[#This Row],[DATA]]),N(NC[ID]=(NC[[#This Row],[ID]]-1)),NC[LÍQUIDO])</f>
        <v>614.0200000000001</v>
      </c>
      <c r="S32" s="23">
        <f>ABS(R32)/E32</f>
        <v>6.140200000000001</v>
      </c>
      <c r="T32" s="23">
        <f>TRUNC(IF(NC['[C/V']]="V",J32*SETUP!$H$3,0),2)</f>
        <v>0.03</v>
      </c>
      <c r="U32" s="21">
        <f>IF(NC['[D/N']]="D",0,SUMPRODUCT(N(NC[ATIVO]=NC[[#This Row],[ATIVO]]),N(NC['[C/V']]="C"),N(NC['[D/N']]="N"),N(NC[ID]&lt;=NC[[#This Row],[ID]]),NC[QTDE])-SUMPRODUCT(N(NC[ATIVO]=NC[[#This Row],[ATIVO]]),N(NC['[C/V']]="V"),N(NC['[D/N']]="N"),N(NC[ID]&lt;=NC[[#This Row],[ID]]),NC[QTDE]))</f>
        <v>-100</v>
      </c>
      <c r="V32" s="25">
        <f>IF(NC[SALDO]&lt;0,0,IF(NC['[D/N']]="D",0,ABS(SUMPRODUCT(N(NC[ATIVO]=NC[[#This Row],[ATIVO]]),N(NC['[C/V']]="C"),N(NC['[D/N']]="N"),N(NC[ID]&lt;=NC[[#This Row],[ID]]),N(NC[PAR]=NC[[#This Row],[PAR]]),NC[VALOR P/ OP]))/SUMPRODUCT(N(NC[ATIVO]=NC[[#This Row],[ATIVO]]),N(NC['[C/V']]="C"),N(NC['[D/N']]="N"),N(NC[ID]&lt;=NC[[#This Row],[ID]]),N(NC[PAR]=NC[[#This Row],[PAR]]),NC[QTDE])))</f>
        <v>0</v>
      </c>
      <c r="W32" s="25">
        <f>IF(SUMPRODUCT(N(NC[ID]&lt;=NC[[#This Row],[ID]]),N(NC[ATIVO]=NC[[#This Row],[ATIVO]]),NC[SALDO])&lt;0,ABS(SUMPRODUCT(N(NC[ATIVO]=NC[[#This Row],[ATIVO]]),N(NC['[C/V']]="V"),N(NC['[D/N']]="N"),N(NC[ID]&lt;=NC[[#This Row],[ID]]),N(NC[PAR]=NC[[#This Row],[PAR]]),NC[VALOR P/ OP]))/SUMPRODUCT(N(NC[ATIVO]=NC[[#This Row],[ATIVO]]),N(NC['[C/V']]="V"),N(NC['[D/N']]="N"),N(NC[ID]&lt;=NC[[#This Row],[ID]]),N(NC[PAR]=NC[[#This Row],[PAR]]),NC[QTDE]),IF(NC['[C/V']]="V",NC[MEDIO],0))</f>
        <v>6.140200000000001</v>
      </c>
      <c r="X32" s="23">
        <f>IF(NC['[D/N']]="D",IF(NC['[C/V']]="C",0,SUMPRODUCT(N(NC[DATA]=NC[[#This Row],[DATA]]),N(NC['[C/V']]="V"),NC[LÍQUIDO])),IF(AND(NC[MED CP]&gt;0,NC[MED VD]&gt;0),(NC[MED VD]-NC[MED CP])*NC[QTDE],0))</f>
        <v>0</v>
      </c>
      <c r="Y32" s="23">
        <f>ABS(SUMPRODUCT(N(NC[D BASE]&lt;=NC[[#This Row],[D BASE]]),NC[LÍQUIDO]))</f>
        <v>1262.6899999999991</v>
      </c>
      <c r="Z32" s="23">
        <f>SUMPRODUCT(N(YEAR(NC[DATA])=YEAR(NC[[#This Row],[DATA]])),N(MONTH(NC[DATA])=MONTH(NC[[#This Row],[DATA]])),N(NC['[D/N']]="N"),NC[LUCRO OP])</f>
        <v>-1056.6299999999999</v>
      </c>
      <c r="AA32" s="23">
        <f>SUMPRODUCT(N(YEAR(NC[DATA])=YEAR(NC[[#This Row],[DATA]])),N(MONTH(NC[DATA])=MONTH(NC[[#This Row],[DATA]])),N(NC['[D/N']]="D"),NC[LUCRO OP])</f>
        <v>0</v>
      </c>
      <c r="AB32" s="23">
        <f>NC[LUCRO N]+NC[LUCRO D]</f>
        <v>-1056.6299999999999</v>
      </c>
      <c r="AC32" s="26">
        <f>NC[LUCRO MÊS]/(NC[CARTEIRA]-NC[LUCRO MÊS])</f>
        <v>-0.45557749685252591</v>
      </c>
      <c r="AD32" s="23">
        <f>SUMPRODUCT(N(MONTH(NC[DATA])=MONTH(NC[[#This Row],[DATA]])),N(YEAR(NC[DATA])=YEAR(NC[[#This Row],[DATA]])),N(NC['[C/V']]="V"),NC[VALOR])</f>
        <v>3720</v>
      </c>
    </row>
    <row r="33" spans="1:30" x14ac:dyDescent="0.2">
      <c r="A33" s="24" t="s">
        <v>35</v>
      </c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3" t="s">
        <v>57</v>
      </c>
      <c r="R33" s="24"/>
      <c r="S33" s="24"/>
      <c r="T33" s="23">
        <f>SUBTOTAL(109,NC[IRRF])</f>
        <v>0.7400000000000001</v>
      </c>
      <c r="U33" s="23"/>
      <c r="V33" s="24"/>
      <c r="W33" s="24"/>
      <c r="X33" s="23">
        <f>SUBTOTAL(109,NC[LUCRO OP])</f>
        <v>-1578.42</v>
      </c>
      <c r="Y33" s="23"/>
      <c r="Z33" s="26"/>
      <c r="AA33" s="26"/>
      <c r="AC33" s="28">
        <f>NC[[#Totals],[LUCRO OP]]/NC[[#Totals],[LÍQUIDO]]</f>
        <v>-0.23329495386334445</v>
      </c>
      <c r="AD33" s="29">
        <f>IF(NC[[#Totals],[LUCRO OP]]&lt;0,ABS(NC[[#Totals],[LUCRO OP]]/(NC[[#Totals],[LUCRO OP]]+NC[[#Totals],[LÍQUIDO]])),-NC[[#Totals],[LUCRO OP]]/(NC[[#Totals],[LUCRO OP]]+NC[[#Totals],[LÍQUIDO]]))</f>
        <v>0.30428253347084733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4" sqref="G4"/>
    </sheetView>
  </sheetViews>
  <sheetFormatPr defaultColWidth="11.5703125" defaultRowHeight="11.25" x14ac:dyDescent="0.2"/>
  <cols>
    <col min="1" max="1" width="7" style="1" customWidth="1"/>
    <col min="2" max="2" width="7.85546875" style="1" customWidth="1"/>
    <col min="3" max="3" width="7" style="1" customWidth="1"/>
    <col min="4" max="4" width="7.85546875" style="1" customWidth="1"/>
    <col min="5" max="5" width="13" style="1" customWidth="1"/>
    <col min="6" max="6" width="6.140625" style="1" customWidth="1"/>
    <col min="7" max="7" width="8.5703125" style="1" customWidth="1"/>
    <col min="8" max="8" width="7" style="1" customWidth="1"/>
    <col min="9" max="16384" width="11.5703125" style="1"/>
  </cols>
  <sheetData>
    <row r="1" spans="1:9" x14ac:dyDescent="0.2">
      <c r="A1" s="31" t="s">
        <v>17</v>
      </c>
      <c r="B1" s="31"/>
      <c r="C1" s="31" t="s">
        <v>18</v>
      </c>
      <c r="D1" s="31"/>
      <c r="E1" s="30" t="s">
        <v>19</v>
      </c>
      <c r="F1" s="30" t="s">
        <v>9</v>
      </c>
      <c r="G1" s="30" t="s">
        <v>20</v>
      </c>
      <c r="H1" s="30" t="s">
        <v>21</v>
      </c>
      <c r="I1" s="30" t="s">
        <v>56</v>
      </c>
    </row>
    <row r="2" spans="1:9" x14ac:dyDescent="0.2">
      <c r="A2" s="3" t="s">
        <v>22</v>
      </c>
      <c r="B2" s="3" t="s">
        <v>23</v>
      </c>
      <c r="C2" s="3" t="s">
        <v>22</v>
      </c>
      <c r="D2" s="3" t="s">
        <v>23</v>
      </c>
      <c r="E2" s="30"/>
      <c r="F2" s="30"/>
      <c r="G2" s="30"/>
      <c r="H2" s="30"/>
      <c r="I2" s="30"/>
    </row>
    <row r="3" spans="1:9" x14ac:dyDescent="0.2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27">
        <v>6765.77</v>
      </c>
    </row>
  </sheetData>
  <sheetProtection selectLockedCells="1" selectUnlockedCells="1"/>
  <mergeCells count="7"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ColWidth="11.5703125" defaultRowHeight="12.75" x14ac:dyDescent="0.2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Plan3</vt:lpstr>
      <vt:lpstr>Planilha1</vt:lpstr>
      <vt:lpstr>SETUP</vt:lpstr>
      <vt:lpstr>Planilha3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Bruno</cp:lastModifiedBy>
  <dcterms:created xsi:type="dcterms:W3CDTF">2012-03-04T21:31:14Z</dcterms:created>
  <dcterms:modified xsi:type="dcterms:W3CDTF">2012-03-07T22:58:50Z</dcterms:modified>
</cp:coreProperties>
</file>