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/>
  <bookViews>
    <workbookView xWindow="0" yWindow="60" windowWidth="15480" windowHeight="6240" tabRatio="347"/>
  </bookViews>
  <sheets>
    <sheet name="Notas" sheetId="1" r:id="rId1"/>
    <sheet name="IR" sheetId="3" r:id="rId2"/>
    <sheet name="SETUP" sheetId="2" r:id="rId3"/>
  </sheets>
  <calcPr calcId="124519"/>
  <fileRecoveryPr repairLoad="1"/>
</workbook>
</file>

<file path=xl/calcChain.xml><?xml version="1.0" encoding="utf-8"?>
<calcChain xmlns="http://schemas.openxmlformats.org/spreadsheetml/2006/main">
  <c r="J58" i="1"/>
  <c r="K58"/>
  <c r="M58"/>
  <c r="R58"/>
  <c r="S58"/>
  <c r="T58"/>
  <c r="X58"/>
  <c r="Y58"/>
  <c r="AC58"/>
  <c r="J57"/>
  <c r="K57"/>
  <c r="M57"/>
  <c r="R57"/>
  <c r="S57"/>
  <c r="T57"/>
  <c r="X57"/>
  <c r="Y57"/>
  <c r="Z57"/>
  <c r="AC57"/>
  <c r="J54"/>
  <c r="K54"/>
  <c r="M54"/>
  <c r="R54"/>
  <c r="S54"/>
  <c r="T54"/>
  <c r="X54"/>
  <c r="Y54"/>
  <c r="AC54"/>
  <c r="J53"/>
  <c r="K53"/>
  <c r="M53"/>
  <c r="R53"/>
  <c r="S53"/>
  <c r="T53"/>
  <c r="X53"/>
  <c r="Y53"/>
  <c r="AA53"/>
  <c r="AC53"/>
  <c r="J56" l="1"/>
  <c r="K56"/>
  <c r="M56"/>
  <c r="R56"/>
  <c r="S56"/>
  <c r="T56"/>
  <c r="X56"/>
  <c r="Y56"/>
  <c r="AC56"/>
  <c r="I5" i="3"/>
  <c r="K5" s="1"/>
  <c r="H5"/>
  <c r="J5" s="1"/>
  <c r="L5" s="1"/>
  <c r="M5" s="1"/>
  <c r="I4"/>
  <c r="K4" s="1"/>
  <c r="H4"/>
  <c r="J4" s="1"/>
  <c r="L4" s="1"/>
  <c r="M4" s="1"/>
  <c r="I3"/>
  <c r="K3" s="1"/>
  <c r="H3"/>
  <c r="J3" s="1"/>
  <c r="L3" s="1"/>
  <c r="M3" s="1"/>
  <c r="I2"/>
  <c r="K2" s="1"/>
  <c r="H2"/>
  <c r="J2" s="1"/>
  <c r="L2" s="1"/>
  <c r="M2" s="1"/>
  <c r="M6" s="1"/>
  <c r="J52" i="1"/>
  <c r="K52"/>
  <c r="M52"/>
  <c r="R52"/>
  <c r="S52"/>
  <c r="T52"/>
  <c r="X52"/>
  <c r="Y52"/>
  <c r="AC52"/>
  <c r="J51"/>
  <c r="K51"/>
  <c r="M51"/>
  <c r="R51"/>
  <c r="S51"/>
  <c r="T51"/>
  <c r="X51"/>
  <c r="Y51"/>
  <c r="AC51"/>
  <c r="J55"/>
  <c r="K55"/>
  <c r="M55"/>
  <c r="R55"/>
  <c r="S55"/>
  <c r="T55"/>
  <c r="X55"/>
  <c r="Y55"/>
  <c r="AC55"/>
  <c r="J49"/>
  <c r="K49"/>
  <c r="M49"/>
  <c r="R49"/>
  <c r="S49"/>
  <c r="T49"/>
  <c r="X49"/>
  <c r="Y49"/>
  <c r="AA49"/>
  <c r="AC49"/>
  <c r="M2" l="1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50"/>
  <c r="M47"/>
  <c r="M59"/>
  <c r="M48"/>
  <c r="N58" l="1"/>
  <c r="O58"/>
  <c r="P58"/>
  <c r="Q58"/>
  <c r="N57"/>
  <c r="O57"/>
  <c r="P57"/>
  <c r="Q57"/>
  <c r="N54"/>
  <c r="O54"/>
  <c r="P54"/>
  <c r="Q54"/>
  <c r="N53"/>
  <c r="O53"/>
  <c r="P53"/>
  <c r="Q53"/>
  <c r="N56"/>
  <c r="O56"/>
  <c r="P56"/>
  <c r="Q56"/>
  <c r="N52"/>
  <c r="O52"/>
  <c r="P52"/>
  <c r="Q52"/>
  <c r="N51"/>
  <c r="O51"/>
  <c r="P51"/>
  <c r="Q51"/>
  <c r="N55"/>
  <c r="O55"/>
  <c r="P55"/>
  <c r="Q55"/>
  <c r="N49"/>
  <c r="O49"/>
  <c r="P49"/>
  <c r="Q49"/>
  <c r="J48"/>
  <c r="K48"/>
  <c r="R48"/>
  <c r="S48" s="1"/>
  <c r="X48"/>
  <c r="Y48"/>
  <c r="AC48"/>
  <c r="J59"/>
  <c r="K59"/>
  <c r="R59"/>
  <c r="S59" s="1"/>
  <c r="X59"/>
  <c r="Y59"/>
  <c r="AC59"/>
  <c r="J47"/>
  <c r="K47" s="1"/>
  <c r="R47"/>
  <c r="S47" s="1"/>
  <c r="X47"/>
  <c r="Y47"/>
  <c r="AC47"/>
  <c r="J50"/>
  <c r="K50" s="1"/>
  <c r="R50"/>
  <c r="T50" s="1"/>
  <c r="X50"/>
  <c r="Y50"/>
  <c r="AC50"/>
  <c r="J46"/>
  <c r="K46" s="1"/>
  <c r="R46"/>
  <c r="T46" s="1"/>
  <c r="X46"/>
  <c r="Y46"/>
  <c r="AC46"/>
  <c r="J45"/>
  <c r="K45" s="1"/>
  <c r="X45"/>
  <c r="R45"/>
  <c r="S45" s="1"/>
  <c r="Y45"/>
  <c r="AC45"/>
  <c r="J44"/>
  <c r="K44" s="1"/>
  <c r="X44"/>
  <c r="R44"/>
  <c r="S44" s="1"/>
  <c r="Y44"/>
  <c r="AC44"/>
  <c r="J43"/>
  <c r="K43" s="1"/>
  <c r="X43"/>
  <c r="R43"/>
  <c r="T43" s="1"/>
  <c r="Y43"/>
  <c r="Z43"/>
  <c r="AC43"/>
  <c r="AB5"/>
  <c r="AB37"/>
  <c r="AB41"/>
  <c r="J42"/>
  <c r="K42" s="1"/>
  <c r="R42"/>
  <c r="T42" s="1"/>
  <c r="X42"/>
  <c r="Y42"/>
  <c r="AC42"/>
  <c r="J41"/>
  <c r="K41" s="1"/>
  <c r="X41"/>
  <c r="R41"/>
  <c r="S41" s="1"/>
  <c r="Y41"/>
  <c r="Z41"/>
  <c r="AC41"/>
  <c r="U58" l="1"/>
  <c r="U57"/>
  <c r="U54"/>
  <c r="U53"/>
  <c r="U56"/>
  <c r="U52"/>
  <c r="U51"/>
  <c r="U55"/>
  <c r="U49"/>
  <c r="T48"/>
  <c r="T47"/>
  <c r="S50"/>
  <c r="T59"/>
  <c r="T41"/>
  <c r="T44"/>
  <c r="S43"/>
  <c r="T45"/>
  <c r="S42"/>
  <c r="S46"/>
  <c r="J40"/>
  <c r="K40"/>
  <c r="R40"/>
  <c r="T40" s="1"/>
  <c r="X40"/>
  <c r="Y40"/>
  <c r="AC40"/>
  <c r="J39"/>
  <c r="K39" s="1"/>
  <c r="X39"/>
  <c r="R39"/>
  <c r="T39" s="1"/>
  <c r="Y39"/>
  <c r="Z39"/>
  <c r="AC39"/>
  <c r="S39" l="1"/>
  <c r="S40"/>
  <c r="J38"/>
  <c r="K38" s="1"/>
  <c r="X38"/>
  <c r="R38"/>
  <c r="S38" s="1"/>
  <c r="Y38"/>
  <c r="AC38"/>
  <c r="J37"/>
  <c r="K37" s="1"/>
  <c r="R37"/>
  <c r="S37" s="1"/>
  <c r="X37"/>
  <c r="Y37"/>
  <c r="AA37"/>
  <c r="AC37"/>
  <c r="T38" l="1"/>
  <c r="T37"/>
  <c r="J36"/>
  <c r="X36"/>
  <c r="R36"/>
  <c r="S36" s="1"/>
  <c r="Y36"/>
  <c r="AC36"/>
  <c r="J35"/>
  <c r="R35"/>
  <c r="S35" s="1"/>
  <c r="X35"/>
  <c r="Y35"/>
  <c r="AC35"/>
  <c r="T36" l="1"/>
  <c r="K35"/>
  <c r="K36"/>
  <c r="T35"/>
  <c r="J34" l="1"/>
  <c r="X34"/>
  <c r="R34"/>
  <c r="T34" s="1"/>
  <c r="Y34"/>
  <c r="Z34"/>
  <c r="AC34"/>
  <c r="J33"/>
  <c r="R33"/>
  <c r="T33" s="1"/>
  <c r="X33"/>
  <c r="Y33"/>
  <c r="AC33"/>
  <c r="K33" l="1"/>
  <c r="K34"/>
  <c r="S33"/>
  <c r="S34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AC2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H58" l="1"/>
  <c r="AH57"/>
  <c r="AH54"/>
  <c r="AH53"/>
  <c r="AH56"/>
  <c r="AH52"/>
  <c r="AH51"/>
  <c r="AH55"/>
  <c r="AH49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AA2"/>
  <c r="AA3"/>
  <c r="AA5"/>
  <c r="AA6"/>
  <c r="AA7"/>
  <c r="AA9"/>
  <c r="AA12"/>
  <c r="AA15"/>
  <c r="AA18"/>
  <c r="AA21"/>
  <c r="AA22"/>
  <c r="AA24"/>
  <c r="AA29"/>
  <c r="AA30"/>
  <c r="Z5"/>
  <c r="Z6"/>
  <c r="Z8"/>
  <c r="Z13"/>
  <c r="Z32"/>
  <c r="Y2"/>
  <c r="X2"/>
  <c r="X3"/>
  <c r="X5"/>
  <c r="X7"/>
  <c r="X9"/>
  <c r="X12"/>
  <c r="X15"/>
  <c r="X17"/>
  <c r="X18"/>
  <c r="X19"/>
  <c r="X21"/>
  <c r="X22"/>
  <c r="X24"/>
  <c r="X29"/>
  <c r="X30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L58" l="1"/>
  <c r="L57"/>
  <c r="L54"/>
  <c r="L53"/>
  <c r="L56"/>
  <c r="L52"/>
  <c r="L51"/>
  <c r="L55"/>
  <c r="L49"/>
  <c r="L48"/>
  <c r="L59"/>
  <c r="L47"/>
  <c r="L50"/>
  <c r="L46"/>
  <c r="L45"/>
  <c r="L44"/>
  <c r="L43"/>
  <c r="L42"/>
  <c r="L41"/>
  <c r="L40"/>
  <c r="L39"/>
  <c r="L38"/>
  <c r="L37"/>
  <c r="L36"/>
  <c r="L35"/>
  <c r="L34"/>
  <c r="L33"/>
  <c r="L2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X32"/>
  <c r="R32"/>
  <c r="S32" s="1"/>
  <c r="T32" l="1"/>
  <c r="X31"/>
  <c r="R31"/>
  <c r="S31" l="1"/>
  <c r="T31"/>
  <c r="R2" l="1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X4"/>
  <c r="X6"/>
  <c r="X8"/>
  <c r="X10"/>
  <c r="X11"/>
  <c r="X13"/>
  <c r="X14"/>
  <c r="X16"/>
  <c r="X20"/>
  <c r="X23"/>
  <c r="X25"/>
  <c r="X26"/>
  <c r="X27"/>
  <c r="X28"/>
  <c r="N48" l="1"/>
  <c r="P48"/>
  <c r="AH48"/>
  <c r="O48"/>
  <c r="Q48"/>
  <c r="N59"/>
  <c r="O59"/>
  <c r="P59"/>
  <c r="Q59"/>
  <c r="AH59"/>
  <c r="N47"/>
  <c r="O47"/>
  <c r="P47"/>
  <c r="Q47"/>
  <c r="AH47"/>
  <c r="N50"/>
  <c r="O50"/>
  <c r="P50"/>
  <c r="Q50"/>
  <c r="AH50"/>
  <c r="N46"/>
  <c r="O46"/>
  <c r="P46"/>
  <c r="Q46"/>
  <c r="AH46"/>
  <c r="N45"/>
  <c r="O45"/>
  <c r="P45"/>
  <c r="Q45"/>
  <c r="AH45"/>
  <c r="N44"/>
  <c r="O44"/>
  <c r="P44"/>
  <c r="Q44"/>
  <c r="AH44"/>
  <c r="N43"/>
  <c r="O43"/>
  <c r="P43"/>
  <c r="Q43"/>
  <c r="AH43"/>
  <c r="N42"/>
  <c r="O42"/>
  <c r="P42"/>
  <c r="Q42"/>
  <c r="AH42"/>
  <c r="N41"/>
  <c r="O41"/>
  <c r="P41"/>
  <c r="Q41"/>
  <c r="AH41"/>
  <c r="N40"/>
  <c r="O40"/>
  <c r="P40"/>
  <c r="Q40"/>
  <c r="AH40"/>
  <c r="N39"/>
  <c r="O39"/>
  <c r="P39"/>
  <c r="Q39"/>
  <c r="AH39"/>
  <c r="N38"/>
  <c r="O38"/>
  <c r="P38"/>
  <c r="Q38"/>
  <c r="AH38"/>
  <c r="N37"/>
  <c r="O37"/>
  <c r="P37"/>
  <c r="Q37"/>
  <c r="AH37"/>
  <c r="O36"/>
  <c r="P36"/>
  <c r="Q36"/>
  <c r="N36"/>
  <c r="U36" s="1"/>
  <c r="AH36"/>
  <c r="O35"/>
  <c r="P35"/>
  <c r="Q35"/>
  <c r="N35"/>
  <c r="U35" s="1"/>
  <c r="AH35"/>
  <c r="N34"/>
  <c r="O34"/>
  <c r="P34"/>
  <c r="Q34"/>
  <c r="AH34"/>
  <c r="N33"/>
  <c r="O33"/>
  <c r="P33"/>
  <c r="Q33"/>
  <c r="AH33"/>
  <c r="AH21"/>
  <c r="AH5"/>
  <c r="AH24"/>
  <c r="AH8"/>
  <c r="AH27"/>
  <c r="AH11"/>
  <c r="AH30"/>
  <c r="AH14"/>
  <c r="AH29"/>
  <c r="AH32"/>
  <c r="AH3"/>
  <c r="AH6"/>
  <c r="AH9"/>
  <c r="AH12"/>
  <c r="AH15"/>
  <c r="AH18"/>
  <c r="AH17"/>
  <c r="AH20"/>
  <c r="AH4"/>
  <c r="AH23"/>
  <c r="AH7"/>
  <c r="AH26"/>
  <c r="AH10"/>
  <c r="AH13"/>
  <c r="AH16"/>
  <c r="AH19"/>
  <c r="AH22"/>
  <c r="AH25"/>
  <c r="AH28"/>
  <c r="AH31"/>
  <c r="AH2"/>
  <c r="Q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P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O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U31" s="1"/>
  <c r="N32"/>
  <c r="U32" s="1"/>
  <c r="N2"/>
  <c r="S30"/>
  <c r="T30"/>
  <c r="S29"/>
  <c r="T29"/>
  <c r="S28"/>
  <c r="T28"/>
  <c r="S27"/>
  <c r="T27"/>
  <c r="S26"/>
  <c r="T26"/>
  <c r="S25"/>
  <c r="T25"/>
  <c r="S24"/>
  <c r="T24"/>
  <c r="S23"/>
  <c r="T23"/>
  <c r="S22"/>
  <c r="T22"/>
  <c r="S21"/>
  <c r="T21"/>
  <c r="S20"/>
  <c r="T20"/>
  <c r="S19"/>
  <c r="T19"/>
  <c r="S18"/>
  <c r="T18"/>
  <c r="S17"/>
  <c r="T17"/>
  <c r="S16"/>
  <c r="T16"/>
  <c r="S15"/>
  <c r="T15"/>
  <c r="S14"/>
  <c r="T14"/>
  <c r="S13"/>
  <c r="T13"/>
  <c r="S12"/>
  <c r="T12"/>
  <c r="S11"/>
  <c r="T11"/>
  <c r="S10"/>
  <c r="T10"/>
  <c r="S9"/>
  <c r="T9"/>
  <c r="S8"/>
  <c r="T8"/>
  <c r="S7"/>
  <c r="T7"/>
  <c r="S6"/>
  <c r="T6"/>
  <c r="S5"/>
  <c r="T5"/>
  <c r="S4"/>
  <c r="T4"/>
  <c r="S3"/>
  <c r="T3"/>
  <c r="S2"/>
  <c r="T2"/>
  <c r="U2" l="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U33"/>
  <c r="U34"/>
  <c r="U37"/>
  <c r="U38"/>
  <c r="U39"/>
  <c r="U40"/>
  <c r="U41"/>
  <c r="U42"/>
  <c r="U43"/>
  <c r="U44"/>
  <c r="U45"/>
  <c r="U46"/>
  <c r="U50"/>
  <c r="U47"/>
  <c r="U59"/>
  <c r="U48"/>
  <c r="X60"/>
  <c r="V58" l="1"/>
  <c r="V57"/>
  <c r="V54"/>
  <c r="V53"/>
  <c r="V56"/>
  <c r="V52"/>
  <c r="V51"/>
  <c r="V55"/>
  <c r="V49"/>
  <c r="V48"/>
  <c r="V59"/>
  <c r="V47"/>
  <c r="V50"/>
  <c r="V46"/>
  <c r="V45"/>
  <c r="V44"/>
  <c r="AB6"/>
  <c r="AB38"/>
  <c r="AB42"/>
  <c r="V43"/>
  <c r="V42"/>
  <c r="V41"/>
  <c r="AD41" s="1"/>
  <c r="V40"/>
  <c r="V39"/>
  <c r="V38"/>
  <c r="V37"/>
  <c r="AD37" s="1"/>
  <c r="V36"/>
  <c r="V35"/>
  <c r="W35" s="1"/>
  <c r="Z35" s="1"/>
  <c r="V34"/>
  <c r="V33"/>
  <c r="V20"/>
  <c r="W20" s="1"/>
  <c r="AA20" s="1"/>
  <c r="V13"/>
  <c r="W13" s="1"/>
  <c r="V25"/>
  <c r="W25" s="1"/>
  <c r="AA25" s="1"/>
  <c r="V23"/>
  <c r="W23" s="1"/>
  <c r="AA23" s="1"/>
  <c r="V22"/>
  <c r="W22" s="1"/>
  <c r="V26"/>
  <c r="W26" s="1"/>
  <c r="AA26" s="1"/>
  <c r="V32"/>
  <c r="W32" s="1"/>
  <c r="V3"/>
  <c r="W3" s="1"/>
  <c r="V11"/>
  <c r="W11" s="1"/>
  <c r="AA11" s="1"/>
  <c r="V19"/>
  <c r="W19" s="1"/>
  <c r="Z19" s="1"/>
  <c r="V12"/>
  <c r="W12" s="1"/>
  <c r="V7"/>
  <c r="W7" s="1"/>
  <c r="V15"/>
  <c r="W15" s="1"/>
  <c r="V27"/>
  <c r="W27" s="1"/>
  <c r="AA27" s="1"/>
  <c r="V31"/>
  <c r="W31" s="1"/>
  <c r="AA31" s="1"/>
  <c r="V4"/>
  <c r="W4" s="1"/>
  <c r="AA4" s="1"/>
  <c r="V16"/>
  <c r="W16" s="1"/>
  <c r="AA16" s="1"/>
  <c r="V28"/>
  <c r="W28" s="1"/>
  <c r="AA28" s="1"/>
  <c r="V8"/>
  <c r="W8" s="1"/>
  <c r="V30"/>
  <c r="W30" s="1"/>
  <c r="V24"/>
  <c r="W24" s="1"/>
  <c r="V14"/>
  <c r="W14" s="1"/>
  <c r="AA14" s="1"/>
  <c r="V17"/>
  <c r="W17" s="1"/>
  <c r="Z17" s="1"/>
  <c r="V21"/>
  <c r="W21" s="1"/>
  <c r="V9"/>
  <c r="W9" s="1"/>
  <c r="V29"/>
  <c r="W29" s="1"/>
  <c r="V6"/>
  <c r="W6" s="1"/>
  <c r="V2"/>
  <c r="V18"/>
  <c r="W18" s="1"/>
  <c r="V5"/>
  <c r="AD5" s="1"/>
  <c r="V10"/>
  <c r="W10" s="1"/>
  <c r="AA10" s="1"/>
  <c r="AA58" l="1"/>
  <c r="AA57"/>
  <c r="AB57" s="1"/>
  <c r="W58"/>
  <c r="Z58" s="1"/>
  <c r="W57"/>
  <c r="AD57"/>
  <c r="Z54"/>
  <c r="W54"/>
  <c r="AA54" s="1"/>
  <c r="Z53"/>
  <c r="AB53" s="1"/>
  <c r="W53"/>
  <c r="AD53"/>
  <c r="AA56"/>
  <c r="W56"/>
  <c r="Z56" s="1"/>
  <c r="AB56" s="1"/>
  <c r="AD56"/>
  <c r="AA52"/>
  <c r="W52"/>
  <c r="Z52" s="1"/>
  <c r="Z51"/>
  <c r="W51"/>
  <c r="AA51" s="1"/>
  <c r="W55"/>
  <c r="Z55" s="1"/>
  <c r="Z49"/>
  <c r="AB49" s="1"/>
  <c r="W49"/>
  <c r="AD49"/>
  <c r="AD42"/>
  <c r="AD38"/>
  <c r="AD6"/>
  <c r="AA48"/>
  <c r="W48"/>
  <c r="Z48" s="1"/>
  <c r="AA59"/>
  <c r="AA47"/>
  <c r="AA50"/>
  <c r="AA46"/>
  <c r="W59"/>
  <c r="Z59" s="1"/>
  <c r="W47"/>
  <c r="Z47" s="1"/>
  <c r="W50"/>
  <c r="Z50" s="1"/>
  <c r="W46"/>
  <c r="Z46" s="1"/>
  <c r="AA45"/>
  <c r="W45"/>
  <c r="Z45" s="1"/>
  <c r="AA44"/>
  <c r="W44"/>
  <c r="Z44" s="1"/>
  <c r="AA43"/>
  <c r="AB43" s="1"/>
  <c r="AD43" s="1"/>
  <c r="W43"/>
  <c r="AA42"/>
  <c r="W42"/>
  <c r="Z42" s="1"/>
  <c r="AA41"/>
  <c r="W41"/>
  <c r="AA39"/>
  <c r="AB39" s="1"/>
  <c r="AD39" s="1"/>
  <c r="W40"/>
  <c r="AA40" s="1"/>
  <c r="W39"/>
  <c r="Z38"/>
  <c r="W38"/>
  <c r="AA38" s="1"/>
  <c r="Z37"/>
  <c r="W37"/>
  <c r="Z36"/>
  <c r="W36"/>
  <c r="AA36" s="1"/>
  <c r="AA35"/>
  <c r="AA34"/>
  <c r="W34"/>
  <c r="W33"/>
  <c r="AA33" s="1"/>
  <c r="W2"/>
  <c r="Z16"/>
  <c r="Z30"/>
  <c r="Z11"/>
  <c r="Z26"/>
  <c r="Z4"/>
  <c r="W5"/>
  <c r="Z22"/>
  <c r="AA19"/>
  <c r="AA8"/>
  <c r="Z25"/>
  <c r="Z15"/>
  <c r="Z3"/>
  <c r="Z28"/>
  <c r="Z24"/>
  <c r="Z20"/>
  <c r="Z14"/>
  <c r="Z9"/>
  <c r="Z2"/>
  <c r="AB2" s="1"/>
  <c r="AA13"/>
  <c r="Z29"/>
  <c r="Z21"/>
  <c r="Z10"/>
  <c r="AA17"/>
  <c r="Z31"/>
  <c r="Z27"/>
  <c r="Z23"/>
  <c r="Z18"/>
  <c r="Z12"/>
  <c r="Z7"/>
  <c r="AA32"/>
  <c r="AB58" l="1"/>
  <c r="AD58" s="1"/>
  <c r="AB54"/>
  <c r="AD54" s="1"/>
  <c r="AB52"/>
  <c r="AD52" s="1"/>
  <c r="AB51"/>
  <c r="AD51" s="1"/>
  <c r="AA55"/>
  <c r="AB55" s="1"/>
  <c r="AD55" s="1"/>
  <c r="AD2"/>
  <c r="AB48"/>
  <c r="AD48" s="1"/>
  <c r="AB46"/>
  <c r="AD46" s="1"/>
  <c r="AB59"/>
  <c r="AD59" s="1"/>
  <c r="AB47"/>
  <c r="AD47" s="1"/>
  <c r="AB50"/>
  <c r="AD50" s="1"/>
  <c r="AB45"/>
  <c r="AD45" s="1"/>
  <c r="AB44"/>
  <c r="AD44" s="1"/>
  <c r="AB32"/>
  <c r="AD32" s="1"/>
  <c r="AB7"/>
  <c r="AD7" s="1"/>
  <c r="AB12"/>
  <c r="AD12" s="1"/>
  <c r="AB18"/>
  <c r="AD18" s="1"/>
  <c r="AB23"/>
  <c r="AD23" s="1"/>
  <c r="AB27"/>
  <c r="AD27" s="1"/>
  <c r="AB31"/>
  <c r="AD31" s="1"/>
  <c r="AB10"/>
  <c r="AD10" s="1"/>
  <c r="AB21"/>
  <c r="AD21" s="1"/>
  <c r="AB29"/>
  <c r="AD29" s="1"/>
  <c r="AB13"/>
  <c r="AD13" s="1"/>
  <c r="AB9"/>
  <c r="AD9" s="1"/>
  <c r="AB14"/>
  <c r="AD14" s="1"/>
  <c r="AB20"/>
  <c r="AD20" s="1"/>
  <c r="AB24"/>
  <c r="AD24" s="1"/>
  <c r="AB28"/>
  <c r="AD28" s="1"/>
  <c r="AB3"/>
  <c r="AD3" s="1"/>
  <c r="AB15"/>
  <c r="AD15" s="1"/>
  <c r="AB25"/>
  <c r="AD25" s="1"/>
  <c r="AB8"/>
  <c r="AD8" s="1"/>
  <c r="AB22"/>
  <c r="AD22" s="1"/>
  <c r="AB4"/>
  <c r="AD4" s="1"/>
  <c r="AB26"/>
  <c r="AD26" s="1"/>
  <c r="AB11"/>
  <c r="AD11" s="1"/>
  <c r="AB30"/>
  <c r="AD30" s="1"/>
  <c r="AB16"/>
  <c r="AD16" s="1"/>
  <c r="AB34"/>
  <c r="AD34" s="1"/>
  <c r="AB36"/>
  <c r="AD36" s="1"/>
  <c r="AB35"/>
  <c r="AD35" s="1"/>
  <c r="AB19"/>
  <c r="AD19" s="1"/>
  <c r="AB17"/>
  <c r="AD17" s="1"/>
  <c r="Z40"/>
  <c r="Z33"/>
  <c r="AB33" l="1"/>
  <c r="AD33" s="1"/>
  <c r="AB40"/>
  <c r="AD40" s="1"/>
  <c r="AC60"/>
  <c r="AE58" l="1"/>
  <c r="AF58"/>
  <c r="AE57"/>
  <c r="AF57"/>
  <c r="AE54"/>
  <c r="AF54"/>
  <c r="AE53"/>
  <c r="AF53"/>
  <c r="AE56"/>
  <c r="AF56"/>
  <c r="AE52"/>
  <c r="AF52"/>
  <c r="AE51"/>
  <c r="AF51"/>
  <c r="AE55"/>
  <c r="AF55"/>
  <c r="AE49"/>
  <c r="AF49"/>
  <c r="AF7"/>
  <c r="AF20"/>
  <c r="AF38"/>
  <c r="AF9"/>
  <c r="AF5"/>
  <c r="AF8"/>
  <c r="AF41"/>
  <c r="AF31"/>
  <c r="AF19"/>
  <c r="AF34"/>
  <c r="AF35"/>
  <c r="AE48"/>
  <c r="AF4"/>
  <c r="AF18"/>
  <c r="AF48"/>
  <c r="AF23"/>
  <c r="AF32"/>
  <c r="AF11"/>
  <c r="AF24"/>
  <c r="AF21"/>
  <c r="AF42"/>
  <c r="AF26"/>
  <c r="AB60"/>
  <c r="AH60" s="1"/>
  <c r="AF29"/>
  <c r="AF3"/>
  <c r="AF13"/>
  <c r="AF16"/>
  <c r="AF12"/>
  <c r="AF6"/>
  <c r="AF14"/>
  <c r="AF27"/>
  <c r="AF37"/>
  <c r="AF22"/>
  <c r="AF2"/>
  <c r="AF39"/>
  <c r="AF28"/>
  <c r="AF10"/>
  <c r="AF17"/>
  <c r="AF25"/>
  <c r="AF30"/>
  <c r="AF15"/>
  <c r="AF33"/>
  <c r="AF36"/>
  <c r="AF40"/>
  <c r="AF43"/>
  <c r="AE59"/>
  <c r="AF59"/>
  <c r="AE47"/>
  <c r="AF47"/>
  <c r="AE46"/>
  <c r="AF50"/>
  <c r="AE50"/>
  <c r="AF46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AE6"/>
  <c r="AE5"/>
  <c r="AE4"/>
  <c r="AE3"/>
  <c r="AE45"/>
  <c r="AF45"/>
  <c r="AE2"/>
  <c r="AE41"/>
  <c r="AE42"/>
  <c r="AE43"/>
  <c r="AE44"/>
  <c r="AE39"/>
  <c r="AE40"/>
  <c r="AE37"/>
  <c r="AE38"/>
  <c r="AG38" s="1"/>
  <c r="AE35"/>
  <c r="AE36"/>
  <c r="AE34"/>
  <c r="AE33"/>
  <c r="AF44"/>
  <c r="AG58" l="1"/>
  <c r="AG57"/>
  <c r="AG54"/>
  <c r="AG53"/>
  <c r="AG56"/>
  <c r="AG52"/>
  <c r="AG51"/>
  <c r="AG55"/>
  <c r="AG49"/>
  <c r="AG7"/>
  <c r="AG20"/>
  <c r="AG36"/>
  <c r="AG23"/>
  <c r="AG27"/>
  <c r="AG31"/>
  <c r="AG39"/>
  <c r="AG2"/>
  <c r="AG34"/>
  <c r="AG9"/>
  <c r="AG35"/>
  <c r="AG13"/>
  <c r="AG37"/>
  <c r="AG5"/>
  <c r="AG17"/>
  <c r="AG21"/>
  <c r="AG25"/>
  <c r="AG29"/>
  <c r="AG30"/>
  <c r="AG22"/>
  <c r="AG6"/>
  <c r="AG60"/>
  <c r="AG33"/>
  <c r="AG16"/>
  <c r="AG24"/>
  <c r="AG41"/>
  <c r="AG19"/>
  <c r="AG48"/>
  <c r="AG18"/>
  <c r="AG4"/>
  <c r="AG8"/>
  <c r="AG12"/>
  <c r="AG28"/>
  <c r="AG32"/>
  <c r="AG3"/>
  <c r="AG11"/>
  <c r="AG15"/>
  <c r="AG43"/>
  <c r="AG40"/>
  <c r="AG42"/>
  <c r="AG10"/>
  <c r="AG14"/>
  <c r="AG26"/>
  <c r="AG50"/>
  <c r="AG46"/>
  <c r="AG47"/>
  <c r="AG44"/>
  <c r="AG59"/>
  <c r="AG45"/>
</calcChain>
</file>

<file path=xl/comments1.xml><?xml version="1.0" encoding="utf-8"?>
<comments xmlns="http://schemas.openxmlformats.org/spreadsheetml/2006/main">
  <authors>
    <author>Engelbert</author>
    <author>Bruno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A=AÇÃO
O=OPÇÃO</t>
        </r>
      </text>
    </comment>
    <comment ref="U60" authorId="1">
      <text>
        <r>
          <rPr>
            <b/>
            <sz val="9"/>
            <color indexed="81"/>
            <rFont val="Tahoma"/>
            <family val="2"/>
          </rPr>
          <t>COLOCAR O TOTAL APLICADO</t>
        </r>
      </text>
    </comment>
  </commentList>
</comments>
</file>

<file path=xl/sharedStrings.xml><?xml version="1.0" encoding="utf-8"?>
<sst xmlns="http://schemas.openxmlformats.org/spreadsheetml/2006/main" count="302" uniqueCount="82">
  <si>
    <t>ATIVO</t>
  </si>
  <si>
    <t>QTDE</t>
  </si>
  <si>
    <t>PREÇO</t>
  </si>
  <si>
    <t>[D/N]</t>
  </si>
  <si>
    <t>VALOR</t>
  </si>
  <si>
    <t>TX LIQUID</t>
  </si>
  <si>
    <t>EMOL</t>
  </si>
  <si>
    <t>CORR. BASE</t>
  </si>
  <si>
    <t>ISS</t>
  </si>
  <si>
    <t>OUTRAS</t>
  </si>
  <si>
    <t>LÍQUIDO</t>
  </si>
  <si>
    <t>MNDL4</t>
  </si>
  <si>
    <t>N</t>
  </si>
  <si>
    <t>INET3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</si>
  <si>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</si>
  <si>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</si>
  <si>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</si>
  <si>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</si>
  <si>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</si>
  <si>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</si>
  <si>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</si>
  <si>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</si>
  <si>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GOLL4</t>
  </si>
  <si>
    <t>MRFG3</t>
  </si>
  <si>
    <t>JBSS3</t>
  </si>
  <si>
    <t>GFSA3</t>
  </si>
  <si>
    <t>KLBN4</t>
  </si>
  <si>
    <t>RSID3</t>
  </si>
  <si>
    <t>AGEN11</t>
  </si>
  <si>
    <t>INEP4</t>
  </si>
  <si>
    <t>Total</t>
  </si>
  <si>
    <t>DATA</t>
  </si>
  <si>
    <t>VL LIQUID</t>
  </si>
  <si>
    <t>ID</t>
  </si>
  <si>
    <t>VALOR P/ OP</t>
  </si>
  <si>
    <t>MEDIO</t>
  </si>
  <si>
    <t>FJTA4</t>
  </si>
  <si>
    <t>IRRF</t>
  </si>
  <si>
    <t>MED CP</t>
  </si>
  <si>
    <t>MED VD</t>
  </si>
  <si>
    <t>PAR</t>
  </si>
  <si>
    <t>LUCRO MÊS</t>
  </si>
  <si>
    <t>SALDO</t>
  </si>
  <si>
    <t>VOLUME</t>
  </si>
  <si>
    <t>LUCRO D</t>
  </si>
  <si>
    <t>LUCRO OP</t>
  </si>
  <si>
    <t>D BASE</t>
  </si>
  <si>
    <t>TOTAL APLIC</t>
  </si>
  <si>
    <t xml:space="preserve"> R$ 6.765,77 </t>
  </si>
  <si>
    <t>BEEF3</t>
  </si>
  <si>
    <t>OPER/TIPO</t>
  </si>
  <si>
    <t>CC</t>
  </si>
  <si>
    <t>CV</t>
  </si>
  <si>
    <t>VV</t>
  </si>
  <si>
    <t>VC</t>
  </si>
  <si>
    <t>OPÇÕES</t>
  </si>
  <si>
    <t>REGISTRO</t>
  </si>
  <si>
    <t>[A/O]</t>
  </si>
  <si>
    <t>A</t>
  </si>
  <si>
    <t>% LUCRO</t>
  </si>
  <si>
    <t>IRRF OPÇÃO</t>
  </si>
  <si>
    <t>D LIQUID</t>
  </si>
  <si>
    <t>LUCRO N [A]</t>
  </si>
  <si>
    <t>PDGR3</t>
  </si>
  <si>
    <t>BBAS3</t>
  </si>
  <si>
    <t>BRKM5</t>
  </si>
  <si>
    <t>CORREÇÃO</t>
  </si>
  <si>
    <t>OGXP3</t>
  </si>
  <si>
    <t>BVMF3</t>
  </si>
  <si>
    <t>LUCRO [N]</t>
  </si>
  <si>
    <t>DEDUÇÃO [N]</t>
  </si>
  <si>
    <t>IRRF [N]</t>
  </si>
  <si>
    <t>LUCRO [D]</t>
  </si>
  <si>
    <t>DEDUÇÃO [D]</t>
  </si>
  <si>
    <t>IRRF [D]</t>
  </si>
  <si>
    <t>ACC [N]</t>
  </si>
  <si>
    <t>ACC [D]</t>
  </si>
  <si>
    <t>IR DEVIDO [N]</t>
  </si>
  <si>
    <t>IR DEVIDO [D]</t>
  </si>
  <si>
    <t>IR DEVIDO</t>
  </si>
  <si>
    <t>LUCRO TOTAL</t>
  </si>
  <si>
    <t>ALLL3</t>
  </si>
</sst>
</file>

<file path=xl/styles.xml><?xml version="1.0" encoding="utf-8"?>
<styleSheet xmlns="http://schemas.openxmlformats.org/spreadsheetml/2006/main">
  <numFmts count="6"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</numFmts>
  <fonts count="14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scheme val="minor"/>
    </font>
    <font>
      <sz val="8"/>
      <color rgb="FF00B05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indexed="8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4" fontId="3" fillId="0" borderId="0" xfId="0" applyNumberFormat="1" applyFont="1"/>
    <xf numFmtId="10" fontId="3" fillId="0" borderId="0" xfId="2" applyNumberFormat="1" applyFont="1" applyAlignment="1"/>
    <xf numFmtId="164" fontId="3" fillId="0" borderId="0" xfId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64" fontId="8" fillId="0" borderId="0" xfId="0" applyNumberFormat="1" applyFont="1" applyAlignment="1"/>
    <xf numFmtId="169" fontId="8" fillId="0" borderId="0" xfId="0" applyNumberFormat="1" applyFont="1" applyAlignment="1"/>
    <xf numFmtId="164" fontId="8" fillId="0" borderId="0" xfId="1" applyNumberFormat="1" applyFont="1" applyAlignment="1"/>
    <xf numFmtId="10" fontId="8" fillId="0" borderId="0" xfId="2" applyNumberFormat="1" applyFont="1" applyAlignment="1"/>
    <xf numFmtId="164" fontId="3" fillId="0" borderId="0" xfId="1" applyNumberFormat="1" applyFont="1" applyAlignment="1"/>
    <xf numFmtId="0" fontId="9" fillId="0" borderId="0" xfId="0" applyNumberFormat="1" applyFont="1" applyAlignment="1"/>
    <xf numFmtId="168" fontId="9" fillId="0" borderId="0" xfId="0" applyNumberFormat="1" applyFont="1" applyAlignment="1"/>
    <xf numFmtId="164" fontId="9" fillId="0" borderId="0" xfId="0" applyNumberFormat="1" applyFont="1" applyAlignment="1"/>
    <xf numFmtId="169" fontId="9" fillId="0" borderId="0" xfId="0" applyNumberFormat="1" applyFont="1" applyAlignment="1"/>
    <xf numFmtId="164" fontId="9" fillId="0" borderId="0" xfId="1" applyNumberFormat="1" applyFont="1" applyAlignment="1"/>
    <xf numFmtId="10" fontId="9" fillId="0" borderId="0" xfId="2" applyNumberFormat="1" applyFont="1" applyAlignment="1"/>
    <xf numFmtId="164" fontId="4" fillId="0" borderId="0" xfId="1" applyFont="1" applyAlignment="1">
      <alignment horizontal="left"/>
    </xf>
    <xf numFmtId="164" fontId="8" fillId="0" borderId="0" xfId="1" applyFont="1" applyAlignment="1"/>
    <xf numFmtId="164" fontId="9" fillId="0" borderId="0" xfId="1" applyFont="1" applyAlignment="1"/>
    <xf numFmtId="164" fontId="10" fillId="0" borderId="0" xfId="1" applyFont="1" applyAlignment="1"/>
    <xf numFmtId="164" fontId="3" fillId="0" borderId="0" xfId="1" applyFont="1"/>
    <xf numFmtId="164" fontId="10" fillId="0" borderId="0" xfId="0" applyNumberFormat="1" applyFont="1" applyAlignment="1"/>
    <xf numFmtId="0" fontId="10" fillId="0" borderId="0" xfId="0" applyNumberFormat="1" applyFont="1" applyAlignment="1"/>
    <xf numFmtId="168" fontId="10" fillId="0" borderId="0" xfId="0" applyNumberFormat="1" applyFont="1" applyAlignment="1"/>
    <xf numFmtId="169" fontId="10" fillId="0" borderId="0" xfId="0" applyNumberFormat="1" applyFont="1" applyAlignment="1"/>
    <xf numFmtId="164" fontId="10" fillId="0" borderId="0" xfId="1" applyNumberFormat="1" applyFont="1" applyAlignment="1"/>
    <xf numFmtId="10" fontId="10" fillId="0" borderId="0" xfId="2" applyNumberFormat="1" applyFont="1" applyAlignment="1"/>
    <xf numFmtId="0" fontId="11" fillId="0" borderId="0" xfId="0" applyNumberFormat="1" applyFont="1" applyAlignment="1"/>
    <xf numFmtId="168" fontId="11" fillId="0" borderId="0" xfId="0" applyNumberFormat="1" applyFont="1" applyAlignment="1"/>
    <xf numFmtId="164" fontId="11" fillId="0" borderId="0" xfId="0" applyNumberFormat="1" applyFont="1" applyAlignment="1"/>
    <xf numFmtId="169" fontId="11" fillId="0" borderId="0" xfId="0" applyNumberFormat="1" applyFont="1" applyAlignment="1"/>
    <xf numFmtId="164" fontId="11" fillId="0" borderId="0" xfId="1" applyNumberFormat="1" applyFont="1" applyAlignment="1"/>
    <xf numFmtId="10" fontId="11" fillId="0" borderId="0" xfId="2" applyNumberFormat="1" applyFont="1" applyAlignment="1"/>
    <xf numFmtId="17" fontId="3" fillId="0" borderId="0" xfId="0" applyNumberFormat="1" applyFont="1"/>
    <xf numFmtId="164" fontId="3" fillId="0" borderId="0" xfId="1" applyNumberFormat="1" applyFont="1"/>
    <xf numFmtId="164" fontId="3" fillId="0" borderId="0" xfId="1" applyFont="1" applyBorder="1"/>
    <xf numFmtId="0" fontId="3" fillId="0" borderId="0" xfId="0" applyNumberFormat="1" applyFont="1"/>
    <xf numFmtId="164" fontId="3" fillId="0" borderId="0" xfId="0" applyNumberFormat="1" applyFont="1"/>
    <xf numFmtId="0" fontId="12" fillId="0" borderId="0" xfId="0" applyNumberFormat="1" applyFont="1" applyAlignment="1"/>
    <xf numFmtId="168" fontId="12" fillId="0" borderId="0" xfId="0" applyNumberFormat="1" applyFont="1" applyAlignment="1"/>
    <xf numFmtId="164" fontId="12" fillId="0" borderId="0" xfId="0" applyNumberFormat="1" applyFont="1" applyAlignment="1"/>
    <xf numFmtId="169" fontId="12" fillId="0" borderId="0" xfId="0" applyNumberFormat="1" applyFont="1" applyAlignment="1"/>
    <xf numFmtId="164" fontId="12" fillId="0" borderId="0" xfId="1" applyNumberFormat="1" applyFont="1" applyAlignment="1"/>
    <xf numFmtId="10" fontId="12" fillId="0" borderId="0" xfId="2" applyNumberFormat="1" applyFont="1" applyAlignment="1"/>
    <xf numFmtId="0" fontId="12" fillId="0" borderId="0" xfId="0" applyFont="1" applyAlignment="1"/>
    <xf numFmtId="10" fontId="12" fillId="0" borderId="0" xfId="0" applyNumberFormat="1" applyFont="1" applyAlignment="1"/>
    <xf numFmtId="10" fontId="13" fillId="0" borderId="0" xfId="0" applyNumberFormat="1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9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B050"/>
        <name val="Calibri"/>
        <scheme val="minor"/>
      </font>
      <numFmt numFmtId="14" formatCode="0.00%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NC" displayName="NC" ref="A1:AH60" totalsRowCount="1" headerRowDxfId="98" dataDxfId="97" totalsRowDxfId="96">
  <autoFilter ref="A1:AH59">
    <filterColumn colId="6"/>
  </autoFilter>
  <sortState ref="A2:AH59">
    <sortCondition ref="D1:D59"/>
  </sortState>
  <tableColumns count="34">
    <tableColumn id="19" name="ID" totalsRowLabel="Total" dataDxfId="95" totalsRowDxfId="33"/>
    <tableColumn id="2" name="ATIVO" dataDxfId="94" totalsRowDxfId="32"/>
    <tableColumn id="3" name="OPER/TIPO" dataDxfId="93" totalsRowDxfId="31"/>
    <tableColumn id="4" name="DATA" dataDxfId="92" totalsRowDxfId="30"/>
    <tableColumn id="5" name="QTDE" dataDxfId="91" totalsRowDxfId="29"/>
    <tableColumn id="6" name="PREÇO" dataDxfId="90" totalsRowDxfId="28"/>
    <tableColumn id="33" name="CORREÇÃO" dataDxfId="89" totalsRowDxfId="27" dataCellStyle="Moeda"/>
    <tableColumn id="27" name="[A/O]" dataDxfId="88" totalsRowDxfId="26"/>
    <tableColumn id="7" name="[D/N]" dataDxfId="87" totalsRowDxfId="25"/>
    <tableColumn id="34" name="D LIQUID" dataDxfId="86" totalsRowDxfId="24">
      <calculatedColumnFormula>WORKDAY(NC[[#This Row],[DATA]],IF(['[A/O']]="A",3,1))</calculatedColumnFormula>
    </tableColumn>
    <tableColumn id="31" name="D BASE" dataDxfId="85" totalsRowDxfId="23">
      <calculatedColumnFormula>EOMONTH(NC[[#This Row],[D LIQUID]],0)</calculatedColumnFormula>
    </tableColumn>
    <tableColumn id="21" name="PAR" dataDxfId="84" totalsRowDxfId="22">
      <calculatedColumnFormula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calculatedColumnFormula>
    </tableColumn>
    <tableColumn id="8" name="VALOR" dataDxfId="83" totalsRowDxfId="21">
      <calculatedColumnFormula>[QTDE]*[PREÇO]+[CORREÇÃO]</calculatedColumnFormula>
    </tableColumn>
    <tableColumn id="9" name="VL LIQUID" dataDxfId="82" totalsRowDxfId="20">
      <calculatedColumnFormula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calculatedColumnFormula>
    </tableColumn>
    <tableColumn id="10" name="TX LIQUID" dataDxfId="81" totalsRowDxfId="19">
      <calculatedColumnFormula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calculatedColumnFormula>
    </tableColumn>
    <tableColumn id="11" name="EMOL" dataDxfId="80" totalsRowDxfId="18">
      <calculatedColumnFormula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calculatedColumnFormula>
    </tableColumn>
    <tableColumn id="28" name="REGISTRO" dataDxfId="79" totalsRowDxfId="17">
      <calculatedColumnFormula>TRUNC(SUMPRODUCT(N([DATA]=NC[[#This Row],[DATA]]),N([ID]&lt;=NC[[#This Row],[ID]]),N(['[A/O']]="O"),N(['[D/N']]="N"),[VALOR]*SETUP!$C$7)  +  SUMPRODUCT(N([DATA]=NC[[#This Row],[DATA]]),N([ID]&lt;=NC[[#This Row],[ID]]),N(['[A/O']]="O"),N(['[D/N']]="D"),[VALOR]*SETUP!$F$7),2)</calculatedColumnFormula>
    </tableColumn>
    <tableColumn id="12" name="CORR. BASE" dataDxfId="78" totalsRowDxfId="16">
      <calculatedColumnFormula>SETUP!$E$3*SUMPRODUCT(N([DATA]=NC[[#This Row],[DATA]]),N([ID]&lt;=NC[[#This Row],[ID]]))</calculatedColumnFormula>
    </tableColumn>
    <tableColumn id="13" name="ISS" dataDxfId="77" totalsRowDxfId="15">
      <calculatedColumnFormula>TRUNC([CORR. BASE]*SETUP!$F$3,2)</calculatedColumnFormula>
    </tableColumn>
    <tableColumn id="15" name="OUTRAS" dataDxfId="76" totalsRowDxfId="14">
      <calculatedColumnFormula>TRUNC([CORR. BASE]*SETUP!$G$3,2)</calculatedColumnFormula>
    </tableColumn>
    <tableColumn id="16" name="LÍQUIDO" totalsRowLabel=" R$ 6.765,77 " dataDxfId="75" totalsRowDxfId="13">
      <calculatedColumnFormula>[VL LIQUID]-[TX LIQUID]-[EMOL]-[REGISTRO]-[CORR. BASE]-[ISS]-[OUTRAS]</calculatedColumnFormula>
    </tableColumn>
    <tableColumn id="17" name="VALOR P/ OP" dataDxfId="74" totalsRowDxfId="12">
      <calculatedColumnFormula>[LÍQUIDO]-SUMPRODUCT(N([DATA]=NC[[#This Row],[DATA]]),N([ID]=(NC[[#This Row],[ID]]-1)),[LÍQUIDO])</calculatedColumnFormula>
    </tableColumn>
    <tableColumn id="18" name="MEDIO" dataDxfId="73" totalsRowDxfId="11">
      <calculatedColumnFormula>ABS(V2)/E2</calculatedColumnFormula>
    </tableColumn>
    <tableColumn id="20" name="IRRF" totalsRowFunction="sum" dataDxfId="72" totalsRowDxfId="10">
      <calculatedColumnFormula>TRUNC(IF(OR([OPER/TIPO]="CV",[OPER/TIPO]="VV"),     M2*SETUP!$H$3,     0),2)</calculatedColumnFormula>
    </tableColumn>
    <tableColumn id="24" name="SALDO" dataDxfId="71" totalsRowDxfId="9">
      <calculatedColumnFormula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calculatedColumnFormula>
    </tableColumn>
    <tableColumn id="22" name="MED CP" dataDxfId="70" totalsRowDxfId="8">
      <calculatedColumnFormula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calculatedColumnFormula>
    </tableColumn>
    <tableColumn id="23" name="MED VD" dataDxfId="69" totalsRowDxfId="7">
      <calculatedColumnFormula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calculatedColumnFormula>
    </tableColumn>
    <tableColumn id="25" name="LUCRO OP" totalsRowFunction="custom" dataDxfId="68" totalsRowDxfId="6">
      <calculatedColumnFormula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calculatedColumnFormula>
      <totalsRowFormula>SUBTOTAL(109,[LUCRO OP])-NC[[#Totals],[IRRF OPÇÃO]]</totalsRowFormula>
    </tableColumn>
    <tableColumn id="32" name="IRRF OPÇÃO" totalsRowFunction="sum" dataDxfId="67" totalsRowDxfId="5" dataCellStyle="Moeda">
      <calculatedColumnFormula>IF(['[A/O']]="O",[LUCRO OP]*0.15,0)</calculatedColumnFormula>
    </tableColumn>
    <tableColumn id="30" name="% LUCRO" dataDxfId="66" totalsRowDxfId="4" dataCellStyle="Porcentagem">
      <calculatedColumnFormula>[LUCRO OP]/ABS([VALOR P/ OP])</calculatedColumnFormula>
    </tableColumn>
    <tableColumn id="26" name="LUCRO N [A]" dataDxfId="65" totalsRowDxfId="3">
      <calculatedColumnFormula>SUMPRODUCT(N(YEAR([D LIQUID])=YEAR(NC[[#This Row],[D LIQUID]])),N(MONTH([D LIQUID])=MONTH(NC[[#This Row],[D LIQUID]])),N(['[D/N']]="N"),[LUCRO OP])</calculatedColumnFormula>
    </tableColumn>
    <tableColumn id="14" name="LUCRO D" dataDxfId="64" totalsRowDxfId="2">
      <calculatedColumnFormula>SUMPRODUCT(N(YEAR([D LIQUID])=YEAR(NC[[#This Row],[D LIQUID]])),N(MONTH([D LIQUID])=MONTH(NC[[#This Row],[D LIQUID]])),N(['[D/N']]="D"),[LUCRO OP])</calculatedColumnFormula>
    </tableColumn>
    <tableColumn id="29" name="LUCRO MÊS" totalsRowFunction="custom" dataDxfId="63" totalsRowDxfId="1">
      <calculatedColumnFormula>[LUCRO N '[A']]+[LUCRO D]</calculatedColumnFormula>
      <totalsRowFormula>NC[[#Totals],[LUCRO OP]]/NC[[#Totals],[LÍQUIDO]]</totalsRowFormula>
    </tableColumn>
    <tableColumn id="1" name="VOLUME" totalsRowFunction="custom" dataDxfId="62" totalsRowDxfId="0">
      <calculatedColumnFormula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calculatedColumnFormula>
      <totalsRowFormula>IF(NC[[#Totals],[LUCRO OP]]&lt;0,ABS(NC[[#Totals],[LUCRO OP]]/(NC[[#Totals],[LUCRO OP]]+NC[[#Totals],[LÍQUIDO]])),-NC[[#Totals],[LUCRO OP]]/(NC[[#Totals],[LUCRO OP]]+NC[[#Totals],[LÍQUIDO]]))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7" displayName="Tabela7" ref="A1:M6" totalsRowCount="1" headerRowDxfId="61" dataDxfId="60">
  <autoFilter ref="A1:M5"/>
  <tableColumns count="13">
    <tableColumn id="1" name="DATA" totalsRowLabel="Total" dataDxfId="59" totalsRowDxfId="58"/>
    <tableColumn id="2" name="LUCRO [N]" dataDxfId="57" totalsRowDxfId="56" dataCellStyle="Moeda"/>
    <tableColumn id="3" name="DEDUÇÃO [N]" dataDxfId="55" totalsRowDxfId="54" dataCellStyle="Moeda"/>
    <tableColumn id="8" name="IRRF [N]" dataDxfId="53" totalsRowDxfId="52" dataCellStyle="Moeda"/>
    <tableColumn id="4" name="LUCRO [D]" dataDxfId="51" totalsRowDxfId="50" dataCellStyle="Moeda"/>
    <tableColumn id="5" name="DEDUÇÃO [D]" dataDxfId="49" totalsRowDxfId="48" dataCellStyle="Moeda"/>
    <tableColumn id="9" name="IRRF [D]" dataDxfId="47" totalsRowDxfId="46" dataCellStyle="Moeda"/>
    <tableColumn id="6" name="ACC [N]" dataDxfId="45" totalsRowDxfId="44" dataCellStyle="Moeda">
      <calculatedColumnFormula>IF([LUCRO '[N']] + [DEDUÇÃO '[N']] &gt; 0, 0, [LUCRO '[N']] + [DEDUÇÃO '[N']])</calculatedColumnFormula>
    </tableColumn>
    <tableColumn id="12" name="ACC [D]" dataDxfId="43" totalsRowDxfId="42" dataCellStyle="Moeda">
      <calculatedColumnFormula>IF([LUCRO '[D']] + [DEDUÇÃO '[D']] &gt; 0, 0, [LUCRO '[D']] + [DEDUÇÃO '[D']])</calculatedColumnFormula>
    </tableColumn>
    <tableColumn id="7" name="IR DEVIDO [N]" dataDxfId="41" totalsRowDxfId="40" dataCellStyle="Moeda">
      <calculatedColumnFormula>IF([ACC '[N']] = 0, ROUND(([LUCRO '[N']] + [DEDUÇÃO '[N']]) * 15%, 2) - [IRRF '[N']], 0)</calculatedColumnFormula>
    </tableColumn>
    <tableColumn id="10" name="IR DEVIDO [D]" dataDxfId="39" totalsRowDxfId="38" dataCellStyle="Moeda">
      <calculatedColumnFormula>IF([ACC '[D']] = 0, ROUND(([LUCRO '[D']] + [DEDUÇÃO '[D']]) * 20%, 2) - [IRRF '[D']], 0)</calculatedColumnFormula>
    </tableColumn>
    <tableColumn id="11" name="IR DEVIDO" dataDxfId="37" totalsRowDxfId="36" dataCellStyle="Moeda">
      <calculatedColumnFormula>[IR DEVIDO '[N']] + [IR DEVIDO '[D']]</calculatedColumnFormula>
    </tableColumn>
    <tableColumn id="13" name="LUCRO TOTAL" totalsRowFunction="sum" dataDxfId="35" totalsRowDxfId="34" dataCellStyle="Moeda">
      <calculatedColumnFormula>[LUCRO '[N']] + [LUCRO '[D']] - [IR DEVIDO] - IF([IR DEVIDO] &gt; 0, 8.9, 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AH61"/>
  <sheetViews>
    <sheetView tabSelected="1" workbookViewId="0">
      <pane xSplit="20" ySplit="1" topLeftCell="U41" activePane="bottomRight" state="frozen"/>
      <selection pane="topRight" activeCell="U1" sqref="U1"/>
      <selection pane="bottomLeft" activeCell="A2" sqref="A2"/>
      <selection pane="bottomRight" activeCell="V58" sqref="V58"/>
    </sheetView>
  </sheetViews>
  <sheetFormatPr defaultColWidth="11.5703125" defaultRowHeight="11.25"/>
  <cols>
    <col min="1" max="1" width="4.7109375" style="7" bestFit="1" customWidth="1"/>
    <col min="2" max="2" width="7.42578125" style="7" bestFit="1" customWidth="1"/>
    <col min="3" max="3" width="10.28515625" style="7" bestFit="1" customWidth="1"/>
    <col min="4" max="4" width="8.140625" style="7" bestFit="1" customWidth="1"/>
    <col min="5" max="5" width="6.85546875" style="7" bestFit="1" customWidth="1"/>
    <col min="6" max="6" width="7.7109375" style="7" bestFit="1" customWidth="1"/>
    <col min="7" max="7" width="11.140625" style="39" bestFit="1" customWidth="1"/>
    <col min="8" max="8" width="7" style="7" bestFit="1" customWidth="1"/>
    <col min="9" max="9" width="9.140625" style="7" customWidth="1"/>
    <col min="10" max="10" width="7.85546875" style="7" hidden="1" customWidth="1"/>
    <col min="11" max="11" width="5.85546875" style="8" hidden="1" customWidth="1"/>
    <col min="12" max="12" width="9.85546875" style="7" hidden="1" customWidth="1"/>
    <col min="13" max="13" width="9.85546875" style="9" hidden="1" customWidth="1"/>
    <col min="14" max="14" width="10.85546875" style="7" hidden="1" customWidth="1"/>
    <col min="15" max="15" width="7" style="8" hidden="1" customWidth="1"/>
    <col min="16" max="16" width="9.42578125" style="8" hidden="1" customWidth="1"/>
    <col min="17" max="17" width="10.7109375" style="7" hidden="1" customWidth="1"/>
    <col min="18" max="18" width="6.85546875" style="7" hidden="1" customWidth="1"/>
    <col min="19" max="19" width="9.85546875" style="7" hidden="1" customWidth="1"/>
    <col min="20" max="20" width="10.7109375" style="7" hidden="1" customWidth="1"/>
    <col min="21" max="21" width="11.85546875" style="7" bestFit="1" customWidth="1"/>
    <col min="22" max="22" width="11.7109375" style="7" bestFit="1" customWidth="1"/>
    <col min="23" max="23" width="7.7109375" style="7" bestFit="1" customWidth="1"/>
    <col min="24" max="24" width="7.5703125" style="7" bestFit="1" customWidth="1"/>
    <col min="25" max="25" width="8.28515625" style="7" bestFit="1" customWidth="1"/>
    <col min="26" max="26" width="8.5703125" style="7" hidden="1" customWidth="1"/>
    <col min="27" max="27" width="10.7109375" style="7" hidden="1" customWidth="1"/>
    <col min="28" max="28" width="11.140625" style="7" customWidth="1"/>
    <col min="29" max="29" width="9" style="7" hidden="1" customWidth="1"/>
    <col min="30" max="30" width="10.85546875" style="7" bestFit="1" customWidth="1"/>
    <col min="31" max="31" width="9.85546875" style="7" bestFit="1" customWidth="1"/>
    <col min="32" max="32" width="11" style="7" bestFit="1" customWidth="1"/>
    <col min="33" max="16384" width="11.5703125" style="7"/>
  </cols>
  <sheetData>
    <row r="1" spans="1:34" s="10" customFormat="1">
      <c r="A1" s="10" t="s">
        <v>33</v>
      </c>
      <c r="B1" s="10" t="s">
        <v>0</v>
      </c>
      <c r="C1" s="10" t="s">
        <v>50</v>
      </c>
      <c r="D1" s="10" t="s">
        <v>31</v>
      </c>
      <c r="E1" s="10" t="s">
        <v>1</v>
      </c>
      <c r="F1" s="10" t="s">
        <v>2</v>
      </c>
      <c r="G1" s="35" t="s">
        <v>66</v>
      </c>
      <c r="H1" s="10" t="s">
        <v>57</v>
      </c>
      <c r="I1" s="10" t="s">
        <v>3</v>
      </c>
      <c r="J1" s="10" t="s">
        <v>61</v>
      </c>
      <c r="K1" s="10" t="s">
        <v>46</v>
      </c>
      <c r="L1" s="10" t="s">
        <v>40</v>
      </c>
      <c r="M1" s="10" t="s">
        <v>4</v>
      </c>
      <c r="N1" s="10" t="s">
        <v>32</v>
      </c>
      <c r="O1" s="11" t="s">
        <v>5</v>
      </c>
      <c r="P1" s="10" t="s">
        <v>6</v>
      </c>
      <c r="Q1" s="10" t="s">
        <v>56</v>
      </c>
      <c r="R1" s="12" t="s">
        <v>7</v>
      </c>
      <c r="S1" s="10" t="s">
        <v>8</v>
      </c>
      <c r="T1" s="12" t="s">
        <v>9</v>
      </c>
      <c r="U1" s="10" t="s">
        <v>10</v>
      </c>
      <c r="V1" s="10" t="s">
        <v>34</v>
      </c>
      <c r="W1" s="10" t="s">
        <v>35</v>
      </c>
      <c r="X1" s="10" t="s">
        <v>37</v>
      </c>
      <c r="Y1" s="10" t="s">
        <v>42</v>
      </c>
      <c r="Z1" s="10" t="s">
        <v>38</v>
      </c>
      <c r="AA1" s="10" t="s">
        <v>39</v>
      </c>
      <c r="AB1" s="10" t="s">
        <v>45</v>
      </c>
      <c r="AC1" s="10" t="s">
        <v>60</v>
      </c>
      <c r="AD1" s="10" t="s">
        <v>59</v>
      </c>
      <c r="AE1" s="10" t="s">
        <v>62</v>
      </c>
      <c r="AF1" s="10" t="s">
        <v>44</v>
      </c>
      <c r="AG1" s="10" t="s">
        <v>41</v>
      </c>
      <c r="AH1" s="10" t="s">
        <v>43</v>
      </c>
    </row>
    <row r="2" spans="1:34" s="13" customFormat="1">
      <c r="A2" s="13">
        <v>1</v>
      </c>
      <c r="B2" s="13" t="s">
        <v>22</v>
      </c>
      <c r="C2" s="13" t="s">
        <v>51</v>
      </c>
      <c r="D2" s="14">
        <v>40877</v>
      </c>
      <c r="E2" s="13">
        <v>100</v>
      </c>
      <c r="F2" s="15">
        <v>13.62</v>
      </c>
      <c r="G2" s="21">
        <v>0</v>
      </c>
      <c r="H2" s="15" t="s">
        <v>58</v>
      </c>
      <c r="I2" s="13" t="s">
        <v>12</v>
      </c>
      <c r="J2" s="14">
        <f>WORKDAY(NC[[#This Row],[DATA]],IF(['[A/O']]="A",3,1))</f>
        <v>40882</v>
      </c>
      <c r="K2" s="13">
        <f>EOMONTH(NC[[#This Row],[D LIQUID]],0)</f>
        <v>40908</v>
      </c>
      <c r="L2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2" s="15">
        <f>[QTDE]*[PREÇO]+[CORREÇÃO]</f>
        <v>1362</v>
      </c>
      <c r="N2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-1362</v>
      </c>
      <c r="O2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0.37</v>
      </c>
      <c r="P2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0.09</v>
      </c>
      <c r="Q2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" s="15">
        <f>SETUP!$E$3*SUMPRODUCT(N([DATA]=NC[[#This Row],[DATA]]),N([ID]&lt;=NC[[#This Row],[ID]]))</f>
        <v>14.9</v>
      </c>
      <c r="S2" s="15">
        <f>TRUNC([CORR. BASE]*SETUP!$F$3,2)</f>
        <v>0.28999999999999998</v>
      </c>
      <c r="T2" s="15">
        <f>TRUNC([CORR. BASE]*SETUP!$G$3,2)</f>
        <v>0.57999999999999996</v>
      </c>
      <c r="U2" s="15">
        <f>[VL LIQUID]-[TX LIQUID]-[EMOL]-[REGISTRO]-[CORR. BASE]-[ISS]-[OUTRAS]</f>
        <v>-1378.2299999999998</v>
      </c>
      <c r="V2" s="15">
        <f>[LÍQUIDO]-SUMPRODUCT(N([DATA]=NC[[#This Row],[DATA]]),N([ID]=(NC[[#This Row],[ID]]-1)),[LÍQUIDO])</f>
        <v>-1378.2299999999998</v>
      </c>
      <c r="W2" s="15">
        <f>ABS(V2)/E2</f>
        <v>13.782299999999998</v>
      </c>
      <c r="X2" s="15">
        <f>TRUNC(IF(OR([OPER/TIPO]="CV",[OPER/TIPO]="VV"),     M2*SETUP!$H$3,     0),2)</f>
        <v>0</v>
      </c>
      <c r="Y2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100</v>
      </c>
      <c r="Z2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13.782299999999998</v>
      </c>
      <c r="AA2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2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2" s="21">
        <f>IF(['[A/O']]="O",[LUCRO OP]*0.15,0)</f>
        <v>0</v>
      </c>
      <c r="AD2" s="20">
        <f>[LUCRO OP]/ABS([VALOR P/ OP])</f>
        <v>0</v>
      </c>
      <c r="AE2" s="15">
        <f>SUMPRODUCT(N(YEAR([D LIQUID])=YEAR(NC[[#This Row],[D LIQUID]])),N(MONTH([D LIQUID])=MONTH(NC[[#This Row],[D LIQUID]])),N(['[D/N']]="N"),[LUCRO OP])</f>
        <v>306.37500000000023</v>
      </c>
      <c r="AF2" s="15">
        <f>SUMPRODUCT(N(YEAR([D LIQUID])=YEAR(NC[[#This Row],[D LIQUID]])),N(MONTH([D LIQUID])=MONTH(NC[[#This Row],[D LIQUID]])),N(['[D/N']]="D"),[LUCRO OP])</f>
        <v>-36.1</v>
      </c>
      <c r="AG2" s="15">
        <f>[LUCRO N '[A']]+[LUCRO D]</f>
        <v>270.2750000000002</v>
      </c>
      <c r="AH2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3" spans="1:34" s="13" customFormat="1">
      <c r="A3" s="13">
        <v>2</v>
      </c>
      <c r="B3" s="13" t="s">
        <v>23</v>
      </c>
      <c r="C3" s="13" t="s">
        <v>51</v>
      </c>
      <c r="D3" s="14">
        <v>40883</v>
      </c>
      <c r="E3" s="13">
        <v>100</v>
      </c>
      <c r="F3" s="15">
        <v>8.4499999999999993</v>
      </c>
      <c r="G3" s="21">
        <v>0</v>
      </c>
      <c r="H3" s="15" t="s">
        <v>58</v>
      </c>
      <c r="I3" s="13" t="s">
        <v>12</v>
      </c>
      <c r="J3" s="14">
        <f>WORKDAY(NC[[#This Row],[DATA]],IF(['[A/O']]="A",3,1))</f>
        <v>40886</v>
      </c>
      <c r="K3" s="13">
        <f>EOMONTH(NC[[#This Row],[D LIQUID]],0)</f>
        <v>40908</v>
      </c>
      <c r="L3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3" s="15">
        <f>[QTDE]*[PREÇO]+[CORREÇÃO]</f>
        <v>844.99999999999989</v>
      </c>
      <c r="N3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-844.99999999999989</v>
      </c>
      <c r="O3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0.23</v>
      </c>
      <c r="P3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0.05</v>
      </c>
      <c r="Q3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" s="15">
        <f>SETUP!$E$3*SUMPRODUCT(N([DATA]=NC[[#This Row],[DATA]]),N([ID]&lt;=NC[[#This Row],[ID]]))</f>
        <v>14.9</v>
      </c>
      <c r="S3" s="15">
        <f>TRUNC([CORR. BASE]*SETUP!$F$3,2)</f>
        <v>0.28999999999999998</v>
      </c>
      <c r="T3" s="15">
        <f>TRUNC([CORR. BASE]*SETUP!$G$3,2)</f>
        <v>0.57999999999999996</v>
      </c>
      <c r="U3" s="15">
        <f>[VL LIQUID]-[TX LIQUID]-[EMOL]-[REGISTRO]-[CORR. BASE]-[ISS]-[OUTRAS]</f>
        <v>-861.04999999999984</v>
      </c>
      <c r="V3" s="15">
        <f>[LÍQUIDO]-SUMPRODUCT(N([DATA]=NC[[#This Row],[DATA]]),N([ID]=(NC[[#This Row],[ID]]-1)),[LÍQUIDO])</f>
        <v>-861.04999999999984</v>
      </c>
      <c r="W3" s="15">
        <f>ABS(V3)/E3</f>
        <v>8.6104999999999983</v>
      </c>
      <c r="X3" s="15">
        <f>TRUNC(IF(OR([OPER/TIPO]="CV",[OPER/TIPO]="VV"),     M3*SETUP!$H$3,     0),2)</f>
        <v>0</v>
      </c>
      <c r="Y3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100</v>
      </c>
      <c r="Z3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8.6104999999999983</v>
      </c>
      <c r="AA3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3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3" s="21">
        <f>IF(['[A/O']]="O",[LUCRO OP]*0.15,0)</f>
        <v>0</v>
      </c>
      <c r="AD3" s="20">
        <f>[LUCRO OP]/ABS([VALOR P/ OP])</f>
        <v>0</v>
      </c>
      <c r="AE3" s="15">
        <f>SUMPRODUCT(N(YEAR([D LIQUID])=YEAR(NC[[#This Row],[D LIQUID]])),N(MONTH([D LIQUID])=MONTH(NC[[#This Row],[D LIQUID]])),N(['[D/N']]="N"),[LUCRO OP])</f>
        <v>306.37500000000023</v>
      </c>
      <c r="AF3" s="15">
        <f>SUMPRODUCT(N(YEAR([D LIQUID])=YEAR(NC[[#This Row],[D LIQUID]])),N(MONTH([D LIQUID])=MONTH(NC[[#This Row],[D LIQUID]])),N(['[D/N']]="D"),[LUCRO OP])</f>
        <v>-36.1</v>
      </c>
      <c r="AG3" s="15">
        <f>[LUCRO N '[A']]+[LUCRO D]</f>
        <v>270.2750000000002</v>
      </c>
      <c r="AH3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4" spans="1:34" s="13" customFormat="1">
      <c r="A4" s="13">
        <v>3</v>
      </c>
      <c r="B4" s="13" t="s">
        <v>22</v>
      </c>
      <c r="C4" s="13" t="s">
        <v>52</v>
      </c>
      <c r="D4" s="14">
        <v>40884</v>
      </c>
      <c r="E4" s="13">
        <v>100</v>
      </c>
      <c r="F4" s="15">
        <v>16</v>
      </c>
      <c r="G4" s="21">
        <v>0</v>
      </c>
      <c r="H4" s="15" t="s">
        <v>58</v>
      </c>
      <c r="I4" s="13" t="s">
        <v>12</v>
      </c>
      <c r="J4" s="14">
        <f>WORKDAY(NC[[#This Row],[DATA]],IF(['[A/O']]="A",3,1))</f>
        <v>40889</v>
      </c>
      <c r="K4" s="13">
        <f>EOMONTH(NC[[#This Row],[D LIQUID]],0)</f>
        <v>40908</v>
      </c>
      <c r="L4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4" s="15">
        <f>[QTDE]*[PREÇO]+[CORREÇÃO]</f>
        <v>1600</v>
      </c>
      <c r="N4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1600</v>
      </c>
      <c r="O4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0.44</v>
      </c>
      <c r="P4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0.11</v>
      </c>
      <c r="Q4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" s="15">
        <f>SETUP!$E$3*SUMPRODUCT(N([DATA]=NC[[#This Row],[DATA]]),N([ID]&lt;=NC[[#This Row],[ID]]))</f>
        <v>14.9</v>
      </c>
      <c r="S4" s="15">
        <f>TRUNC([CORR. BASE]*SETUP!$F$3,2)</f>
        <v>0.28999999999999998</v>
      </c>
      <c r="T4" s="15">
        <f>TRUNC([CORR. BASE]*SETUP!$G$3,2)</f>
        <v>0.57999999999999996</v>
      </c>
      <c r="U4" s="15">
        <f>[VL LIQUID]-[TX LIQUID]-[EMOL]-[REGISTRO]-[CORR. BASE]-[ISS]-[OUTRAS]</f>
        <v>1583.68</v>
      </c>
      <c r="V4" s="15">
        <f>[LÍQUIDO]-SUMPRODUCT(N([DATA]=NC[[#This Row],[DATA]]),N([ID]=(NC[[#This Row],[ID]]-1)),[LÍQUIDO])</f>
        <v>1583.68</v>
      </c>
      <c r="W4" s="15">
        <f>ABS(V4)/E4</f>
        <v>15.8368</v>
      </c>
      <c r="X4" s="15">
        <f>TRUNC(IF(OR([OPER/TIPO]="CV",[OPER/TIPO]="VV"),     M4*SETUP!$H$3,     0),2)</f>
        <v>0.08</v>
      </c>
      <c r="Y4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4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13.782299999999998</v>
      </c>
      <c r="AA4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15.8368</v>
      </c>
      <c r="AB4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205.45000000000027</v>
      </c>
      <c r="AC4" s="21">
        <f>IF(['[A/O']]="O",[LUCRO OP]*0.15,0)</f>
        <v>0</v>
      </c>
      <c r="AD4" s="20">
        <f>[LUCRO OP]/ABS([VALOR P/ OP])</f>
        <v>0.12972949080622365</v>
      </c>
      <c r="AE4" s="15">
        <f>SUMPRODUCT(N(YEAR([D LIQUID])=YEAR(NC[[#This Row],[D LIQUID]])),N(MONTH([D LIQUID])=MONTH(NC[[#This Row],[D LIQUID]])),N(['[D/N']]="N"),[LUCRO OP])</f>
        <v>306.37500000000023</v>
      </c>
      <c r="AF4" s="15">
        <f>SUMPRODUCT(N(YEAR([D LIQUID])=YEAR(NC[[#This Row],[D LIQUID]])),N(MONTH([D LIQUID])=MONTH(NC[[#This Row],[D LIQUID]])),N(['[D/N']]="D"),[LUCRO OP])</f>
        <v>-36.1</v>
      </c>
      <c r="AG4" s="15">
        <f>[LUCRO N '[A']]+[LUCRO D]</f>
        <v>270.2750000000002</v>
      </c>
      <c r="AH4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5" spans="1:34" s="13" customFormat="1">
      <c r="A5" s="13">
        <v>4</v>
      </c>
      <c r="B5" s="13" t="s">
        <v>24</v>
      </c>
      <c r="C5" s="13" t="s">
        <v>51</v>
      </c>
      <c r="D5" s="14">
        <v>40890</v>
      </c>
      <c r="E5" s="13">
        <v>200</v>
      </c>
      <c r="F5" s="15">
        <v>5.66</v>
      </c>
      <c r="G5" s="21">
        <v>0</v>
      </c>
      <c r="H5" s="15" t="s">
        <v>58</v>
      </c>
      <c r="I5" s="13" t="s">
        <v>21</v>
      </c>
      <c r="J5" s="14">
        <f>WORKDAY(NC[[#This Row],[DATA]],IF(['[A/O']]="A",3,1))</f>
        <v>40893</v>
      </c>
      <c r="K5" s="13">
        <f>EOMONTH(NC[[#This Row],[D LIQUID]],0)</f>
        <v>40908</v>
      </c>
      <c r="L5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5" s="15">
        <f>[QTDE]*[PREÇO]+[CORREÇÃO]</f>
        <v>1132</v>
      </c>
      <c r="N5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-1132</v>
      </c>
      <c r="O5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</v>
      </c>
      <c r="P5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7.0000000000000007E-2</v>
      </c>
      <c r="Q5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5" s="15">
        <f>SETUP!$E$3*SUMPRODUCT(N([DATA]=NC[[#This Row],[DATA]]),N([ID]&lt;=NC[[#This Row],[ID]]))</f>
        <v>14.9</v>
      </c>
      <c r="S5" s="15">
        <f>TRUNC([CORR. BASE]*SETUP!$F$3,2)</f>
        <v>0.28999999999999998</v>
      </c>
      <c r="T5" s="15">
        <f>TRUNC([CORR. BASE]*SETUP!$G$3,2)</f>
        <v>0.57999999999999996</v>
      </c>
      <c r="U5" s="15">
        <f>[VL LIQUID]-[TX LIQUID]-[EMOL]-[REGISTRO]-[CORR. BASE]-[ISS]-[OUTRAS]</f>
        <v>-1148.04</v>
      </c>
      <c r="V5" s="15">
        <f>[LÍQUIDO]-SUMPRODUCT(N([DATA]=NC[[#This Row],[DATA]]),N([ID]=(NC[[#This Row],[ID]]-1)),[LÍQUIDO])</f>
        <v>-1148.04</v>
      </c>
      <c r="W5" s="15">
        <f>ABS(V5)/E5</f>
        <v>5.7401999999999997</v>
      </c>
      <c r="X5" s="15">
        <f>TRUNC(IF(OR([OPER/TIPO]="CV",[OPER/TIPO]="VV"),     M5*SETUP!$H$3,     0),2)</f>
        <v>0</v>
      </c>
      <c r="Y5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5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5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5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5" s="21">
        <f>IF(['[A/O']]="O",[LUCRO OP]*0.15,0)</f>
        <v>0</v>
      </c>
      <c r="AD5" s="20">
        <f>[LUCRO OP]/ABS([VALOR P/ OP])</f>
        <v>0</v>
      </c>
      <c r="AE5" s="15">
        <f>SUMPRODUCT(N(YEAR([D LIQUID])=YEAR(NC[[#This Row],[D LIQUID]])),N(MONTH([D LIQUID])=MONTH(NC[[#This Row],[D LIQUID]])),N(['[D/N']]="N"),[LUCRO OP])</f>
        <v>306.37500000000023</v>
      </c>
      <c r="AF5" s="15">
        <f>SUMPRODUCT(N(YEAR([D LIQUID])=YEAR(NC[[#This Row],[D LIQUID]])),N(MONTH([D LIQUID])=MONTH(NC[[#This Row],[D LIQUID]])),N(['[D/N']]="D"),[LUCRO OP])</f>
        <v>-36.1</v>
      </c>
      <c r="AG5" s="15">
        <f>[LUCRO N '[A']]+[LUCRO D]</f>
        <v>270.2750000000002</v>
      </c>
      <c r="AH5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6" spans="1:34" s="13" customFormat="1">
      <c r="A6" s="13">
        <v>5</v>
      </c>
      <c r="B6" s="13" t="s">
        <v>24</v>
      </c>
      <c r="C6" s="13" t="s">
        <v>52</v>
      </c>
      <c r="D6" s="14">
        <v>40890</v>
      </c>
      <c r="E6" s="13">
        <v>200</v>
      </c>
      <c r="F6" s="15">
        <v>5.64</v>
      </c>
      <c r="G6" s="21">
        <v>0</v>
      </c>
      <c r="H6" s="15" t="s">
        <v>58</v>
      </c>
      <c r="I6" s="13" t="s">
        <v>21</v>
      </c>
      <c r="J6" s="14">
        <f>WORKDAY(NC[[#This Row],[DATA]],IF(['[A/O']]="A",3,1))</f>
        <v>40893</v>
      </c>
      <c r="K6" s="13">
        <f>EOMONTH(NC[[#This Row],[D LIQUID]],0)</f>
        <v>40908</v>
      </c>
      <c r="L6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6" s="15">
        <f>[QTDE]*[PREÇO]+[CORREÇÃO]</f>
        <v>1128</v>
      </c>
      <c r="N6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-4</v>
      </c>
      <c r="O6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0.4</v>
      </c>
      <c r="P6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0.15</v>
      </c>
      <c r="Q6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6" s="15">
        <f>SETUP!$E$3*SUMPRODUCT(N([DATA]=NC[[#This Row],[DATA]]),N([ID]&lt;=NC[[#This Row],[ID]]))</f>
        <v>29.8</v>
      </c>
      <c r="S6" s="15">
        <f>TRUNC([CORR. BASE]*SETUP!$F$3,2)</f>
        <v>0.59</v>
      </c>
      <c r="T6" s="15">
        <f>TRUNC([CORR. BASE]*SETUP!$G$3,2)</f>
        <v>1.1599999999999999</v>
      </c>
      <c r="U6" s="15">
        <f>[VL LIQUID]-[TX LIQUID]-[EMOL]-[REGISTRO]-[CORR. BASE]-[ISS]-[OUTRAS]</f>
        <v>-36.1</v>
      </c>
      <c r="V6" s="15">
        <f>[LÍQUIDO]-SUMPRODUCT(N([DATA]=NC[[#This Row],[DATA]]),N([ID]=(NC[[#This Row],[ID]]-1)),[LÍQUIDO])</f>
        <v>1111.94</v>
      </c>
      <c r="W6" s="15">
        <f>ABS(V6)/E6</f>
        <v>5.5597000000000003</v>
      </c>
      <c r="X6" s="15">
        <f>TRUNC(IF(OR([OPER/TIPO]="CV",[OPER/TIPO]="VV"),     M6*SETUP!$H$3,     0),2)</f>
        <v>0.05</v>
      </c>
      <c r="Y6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6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6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6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-36.1</v>
      </c>
      <c r="AC6" s="21">
        <f>IF(['[A/O']]="O",[LUCRO OP]*0.15,0)</f>
        <v>0</v>
      </c>
      <c r="AD6" s="20">
        <f>[LUCRO OP]/ABS([VALOR P/ OP])</f>
        <v>-3.2465780527726314E-2</v>
      </c>
      <c r="AE6" s="15">
        <f>SUMPRODUCT(N(YEAR([D LIQUID])=YEAR(NC[[#This Row],[D LIQUID]])),N(MONTH([D LIQUID])=MONTH(NC[[#This Row],[D LIQUID]])),N(['[D/N']]="N"),[LUCRO OP])</f>
        <v>306.37500000000023</v>
      </c>
      <c r="AF6" s="15">
        <f>SUMPRODUCT(N(YEAR([D LIQUID])=YEAR(NC[[#This Row],[D LIQUID]])),N(MONTH([D LIQUID])=MONTH(NC[[#This Row],[D LIQUID]])),N(['[D/N']]="D"),[LUCRO OP])</f>
        <v>-36.1</v>
      </c>
      <c r="AG6" s="15">
        <f>[LUCRO N '[A']]+[LUCRO D]</f>
        <v>270.2750000000002</v>
      </c>
      <c r="AH6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7" spans="1:34" s="13" customFormat="1">
      <c r="A7" s="13">
        <v>6</v>
      </c>
      <c r="B7" s="13" t="s">
        <v>24</v>
      </c>
      <c r="C7" s="13" t="s">
        <v>51</v>
      </c>
      <c r="D7" s="14">
        <v>40890</v>
      </c>
      <c r="E7" s="13">
        <v>200</v>
      </c>
      <c r="F7" s="15">
        <v>5.65</v>
      </c>
      <c r="G7" s="21">
        <v>0</v>
      </c>
      <c r="H7" s="15" t="s">
        <v>58</v>
      </c>
      <c r="I7" s="13" t="s">
        <v>12</v>
      </c>
      <c r="J7" s="14">
        <f>WORKDAY(NC[[#This Row],[DATA]],IF(['[A/O']]="A",3,1))</f>
        <v>40893</v>
      </c>
      <c r="K7" s="13">
        <f>EOMONTH(NC[[#This Row],[D LIQUID]],0)</f>
        <v>40908</v>
      </c>
      <c r="L7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7" s="15">
        <f>[QTDE]*[PREÇO]+[CORREÇÃO]</f>
        <v>1130</v>
      </c>
      <c r="N7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-1134</v>
      </c>
      <c r="O7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0.71</v>
      </c>
      <c r="P7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0.23</v>
      </c>
      <c r="Q7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7" s="15">
        <f>SETUP!$E$3*SUMPRODUCT(N([DATA]=NC[[#This Row],[DATA]]),N([ID]&lt;=NC[[#This Row],[ID]]))</f>
        <v>44.7</v>
      </c>
      <c r="S7" s="15">
        <f>TRUNC([CORR. BASE]*SETUP!$F$3,2)</f>
        <v>0.89</v>
      </c>
      <c r="T7" s="15">
        <f>TRUNC([CORR. BASE]*SETUP!$G$3,2)</f>
        <v>1.74</v>
      </c>
      <c r="U7" s="15">
        <f>[VL LIQUID]-[TX LIQUID]-[EMOL]-[REGISTRO]-[CORR. BASE]-[ISS]-[OUTRAS]</f>
        <v>-1182.2700000000002</v>
      </c>
      <c r="V7" s="15">
        <f>[LÍQUIDO]-SUMPRODUCT(N([DATA]=NC[[#This Row],[DATA]]),N([ID]=(NC[[#This Row],[ID]]-1)),[LÍQUIDO])</f>
        <v>-1146.1700000000003</v>
      </c>
      <c r="W7" s="15">
        <f>ABS(V7)/E7</f>
        <v>5.7308500000000011</v>
      </c>
      <c r="X7" s="15">
        <f>TRUNC(IF(OR([OPER/TIPO]="CV",[OPER/TIPO]="VV"),     M7*SETUP!$H$3,     0),2)</f>
        <v>0</v>
      </c>
      <c r="Y7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200</v>
      </c>
      <c r="Z7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5.7308500000000011</v>
      </c>
      <c r="AA7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7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7" s="21">
        <f>IF(['[A/O']]="O",[LUCRO OP]*0.15,0)</f>
        <v>0</v>
      </c>
      <c r="AD7" s="20">
        <f>[LUCRO OP]/ABS([VALOR P/ OP])</f>
        <v>0</v>
      </c>
      <c r="AE7" s="15">
        <f>SUMPRODUCT(N(YEAR([D LIQUID])=YEAR(NC[[#This Row],[D LIQUID]])),N(MONTH([D LIQUID])=MONTH(NC[[#This Row],[D LIQUID]])),N(['[D/N']]="N"),[LUCRO OP])</f>
        <v>306.37500000000023</v>
      </c>
      <c r="AF7" s="15">
        <f>SUMPRODUCT(N(YEAR([D LIQUID])=YEAR(NC[[#This Row],[D LIQUID]])),N(MONTH([D LIQUID])=MONTH(NC[[#This Row],[D LIQUID]])),N(['[D/N']]="D"),[LUCRO OP])</f>
        <v>-36.1</v>
      </c>
      <c r="AG7" s="15">
        <f>[LUCRO N '[A']]+[LUCRO D]</f>
        <v>270.2750000000002</v>
      </c>
      <c r="AH7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8" spans="1:34" s="13" customFormat="1">
      <c r="A8" s="13">
        <v>7</v>
      </c>
      <c r="B8" s="13" t="s">
        <v>25</v>
      </c>
      <c r="C8" s="13" t="s">
        <v>53</v>
      </c>
      <c r="D8" s="14">
        <v>40897</v>
      </c>
      <c r="E8" s="13">
        <v>200</v>
      </c>
      <c r="F8" s="15">
        <v>4.2699999999999996</v>
      </c>
      <c r="G8" s="21">
        <v>0</v>
      </c>
      <c r="H8" s="15" t="s">
        <v>58</v>
      </c>
      <c r="I8" s="13" t="s">
        <v>12</v>
      </c>
      <c r="J8" s="14">
        <f>WORKDAY(NC[[#This Row],[DATA]],IF(['[A/O']]="A",3,1))</f>
        <v>40900</v>
      </c>
      <c r="K8" s="13">
        <f>EOMONTH(NC[[#This Row],[D LIQUID]],0)</f>
        <v>40908</v>
      </c>
      <c r="L8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8" s="15">
        <f>[QTDE]*[PREÇO]+[CORREÇÃO]</f>
        <v>853.99999999999989</v>
      </c>
      <c r="N8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853.99999999999989</v>
      </c>
      <c r="O8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0.23</v>
      </c>
      <c r="P8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0.05</v>
      </c>
      <c r="Q8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8" s="15">
        <f>SETUP!$E$3*SUMPRODUCT(N([DATA]=NC[[#This Row],[DATA]]),N([ID]&lt;=NC[[#This Row],[ID]]))</f>
        <v>14.9</v>
      </c>
      <c r="S8" s="15">
        <f>TRUNC([CORR. BASE]*SETUP!$F$3,2)</f>
        <v>0.28999999999999998</v>
      </c>
      <c r="T8" s="15">
        <f>TRUNC([CORR. BASE]*SETUP!$G$3,2)</f>
        <v>0.57999999999999996</v>
      </c>
      <c r="U8" s="15">
        <f>[VL LIQUID]-[TX LIQUID]-[EMOL]-[REGISTRO]-[CORR. BASE]-[ISS]-[OUTRAS]</f>
        <v>837.94999999999993</v>
      </c>
      <c r="V8" s="15">
        <f>[LÍQUIDO]-SUMPRODUCT(N([DATA]=NC[[#This Row],[DATA]]),N([ID]=(NC[[#This Row],[ID]]-1)),[LÍQUIDO])</f>
        <v>837.94999999999993</v>
      </c>
      <c r="W8" s="15">
        <f>ABS(V8)/E8</f>
        <v>4.1897500000000001</v>
      </c>
      <c r="X8" s="15">
        <f>TRUNC(IF(OR([OPER/TIPO]="CV",[OPER/TIPO]="VV"),     M8*SETUP!$H$3,     0),2)</f>
        <v>0.04</v>
      </c>
      <c r="Y8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-200</v>
      </c>
      <c r="Z8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8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4.1897500000000001</v>
      </c>
      <c r="AB8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8" s="21">
        <f>IF(['[A/O']]="O",[LUCRO OP]*0.15,0)</f>
        <v>0</v>
      </c>
      <c r="AD8" s="20">
        <f>[LUCRO OP]/ABS([VALOR P/ OP])</f>
        <v>0</v>
      </c>
      <c r="AE8" s="15">
        <f>SUMPRODUCT(N(YEAR([D LIQUID])=YEAR(NC[[#This Row],[D LIQUID]])),N(MONTH([D LIQUID])=MONTH(NC[[#This Row],[D LIQUID]])),N(['[D/N']]="N"),[LUCRO OP])</f>
        <v>306.37500000000023</v>
      </c>
      <c r="AF8" s="15">
        <f>SUMPRODUCT(N(YEAR([D LIQUID])=YEAR(NC[[#This Row],[D LIQUID]])),N(MONTH([D LIQUID])=MONTH(NC[[#This Row],[D LIQUID]])),N(['[D/N']]="D"),[LUCRO OP])</f>
        <v>-36.1</v>
      </c>
      <c r="AG8" s="15">
        <f>[LUCRO N '[A']]+[LUCRO D]</f>
        <v>270.2750000000002</v>
      </c>
      <c r="AH8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9" spans="1:34" s="13" customFormat="1">
      <c r="A9" s="13">
        <v>8</v>
      </c>
      <c r="B9" s="13" t="s">
        <v>26</v>
      </c>
      <c r="C9" s="13" t="s">
        <v>51</v>
      </c>
      <c r="D9" s="14">
        <v>40900</v>
      </c>
      <c r="E9" s="13">
        <v>300</v>
      </c>
      <c r="F9" s="15">
        <v>7.86</v>
      </c>
      <c r="G9" s="21">
        <v>0</v>
      </c>
      <c r="H9" s="15" t="s">
        <v>58</v>
      </c>
      <c r="I9" s="13" t="s">
        <v>12</v>
      </c>
      <c r="J9" s="14">
        <f>WORKDAY(NC[[#This Row],[DATA]],IF(['[A/O']]="A",3,1))</f>
        <v>40905</v>
      </c>
      <c r="K9" s="13">
        <f>EOMONTH(NC[[#This Row],[D LIQUID]],0)</f>
        <v>40908</v>
      </c>
      <c r="L9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9" s="15">
        <f>[QTDE]*[PREÇO]+[CORREÇÃO]</f>
        <v>2358</v>
      </c>
      <c r="N9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-2358</v>
      </c>
      <c r="O9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0.64</v>
      </c>
      <c r="P9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0.16</v>
      </c>
      <c r="Q9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9" s="15">
        <f>SETUP!$E$3*SUMPRODUCT(N([DATA]=NC[[#This Row],[DATA]]),N([ID]&lt;=NC[[#This Row],[ID]]))</f>
        <v>14.9</v>
      </c>
      <c r="S9" s="15">
        <f>TRUNC([CORR. BASE]*SETUP!$F$3,2)</f>
        <v>0.28999999999999998</v>
      </c>
      <c r="T9" s="15">
        <f>TRUNC([CORR. BASE]*SETUP!$G$3,2)</f>
        <v>0.57999999999999996</v>
      </c>
      <c r="U9" s="15">
        <f>[VL LIQUID]-[TX LIQUID]-[EMOL]-[REGISTRO]-[CORR. BASE]-[ISS]-[OUTRAS]</f>
        <v>-2374.5699999999997</v>
      </c>
      <c r="V9" s="15">
        <f>[LÍQUIDO]-SUMPRODUCT(N([DATA]=NC[[#This Row],[DATA]]),N([ID]=(NC[[#This Row],[ID]]-1)),[LÍQUIDO])</f>
        <v>-2374.5699999999997</v>
      </c>
      <c r="W9" s="15">
        <f>ABS(V9)/E9</f>
        <v>7.9152333333333322</v>
      </c>
      <c r="X9" s="15">
        <f>TRUNC(IF(OR([OPER/TIPO]="CV",[OPER/TIPO]="VV"),     M9*SETUP!$H$3,     0),2)</f>
        <v>0</v>
      </c>
      <c r="Y9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300</v>
      </c>
      <c r="Z9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7.9152333333333322</v>
      </c>
      <c r="AA9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9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9" s="21">
        <f>IF(['[A/O']]="O",[LUCRO OP]*0.15,0)</f>
        <v>0</v>
      </c>
      <c r="AD9" s="20">
        <f>[LUCRO OP]/ABS([VALOR P/ OP])</f>
        <v>0</v>
      </c>
      <c r="AE9" s="15">
        <f>SUMPRODUCT(N(YEAR([D LIQUID])=YEAR(NC[[#This Row],[D LIQUID]])),N(MONTH([D LIQUID])=MONTH(NC[[#This Row],[D LIQUID]])),N(['[D/N']]="N"),[LUCRO OP])</f>
        <v>306.37500000000023</v>
      </c>
      <c r="AF9" s="15">
        <f>SUMPRODUCT(N(YEAR([D LIQUID])=YEAR(NC[[#This Row],[D LIQUID]])),N(MONTH([D LIQUID])=MONTH(NC[[#This Row],[D LIQUID]])),N(['[D/N']]="D"),[LUCRO OP])</f>
        <v>-36.1</v>
      </c>
      <c r="AG9" s="15">
        <f>[LUCRO N '[A']]+[LUCRO D]</f>
        <v>270.2750000000002</v>
      </c>
      <c r="AH9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10" spans="1:34" s="13" customFormat="1">
      <c r="A10" s="13">
        <v>9</v>
      </c>
      <c r="B10" s="13" t="s">
        <v>24</v>
      </c>
      <c r="C10" s="13" t="s">
        <v>52</v>
      </c>
      <c r="D10" s="14">
        <v>40903</v>
      </c>
      <c r="E10" s="13">
        <v>100</v>
      </c>
      <c r="F10" s="15">
        <v>6.9</v>
      </c>
      <c r="G10" s="21">
        <v>0</v>
      </c>
      <c r="H10" s="15" t="s">
        <v>58</v>
      </c>
      <c r="I10" s="13" t="s">
        <v>12</v>
      </c>
      <c r="J10" s="14">
        <f>WORKDAY(NC[[#This Row],[DATA]],IF(['[A/O']]="A",3,1))</f>
        <v>40906</v>
      </c>
      <c r="K10" s="13">
        <f>EOMONTH(NC[[#This Row],[D LIQUID]],0)</f>
        <v>40908</v>
      </c>
      <c r="L10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10" s="15">
        <f>[QTDE]*[PREÇO]+[CORREÇÃO]</f>
        <v>690</v>
      </c>
      <c r="N10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690</v>
      </c>
      <c r="O10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0.18</v>
      </c>
      <c r="P10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0.04</v>
      </c>
      <c r="Q10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0" s="15">
        <f>SETUP!$E$3*SUMPRODUCT(N([DATA]=NC[[#This Row],[DATA]]),N([ID]&lt;=NC[[#This Row],[ID]]))</f>
        <v>14.9</v>
      </c>
      <c r="S10" s="15">
        <f>TRUNC([CORR. BASE]*SETUP!$F$3,2)</f>
        <v>0.28999999999999998</v>
      </c>
      <c r="T10" s="15">
        <f>TRUNC([CORR. BASE]*SETUP!$G$3,2)</f>
        <v>0.57999999999999996</v>
      </c>
      <c r="U10" s="15">
        <f>[VL LIQUID]-[TX LIQUID]-[EMOL]-[REGISTRO]-[CORR. BASE]-[ISS]-[OUTRAS]</f>
        <v>674.0100000000001</v>
      </c>
      <c r="V10" s="15">
        <f>[LÍQUIDO]-SUMPRODUCT(N([DATA]=NC[[#This Row],[DATA]]),N([ID]=(NC[[#This Row],[ID]]-1)),[LÍQUIDO])</f>
        <v>674.0100000000001</v>
      </c>
      <c r="W10" s="15">
        <f>ABS(V10)/E10</f>
        <v>6.7401000000000009</v>
      </c>
      <c r="X10" s="15">
        <f>TRUNC(IF(OR([OPER/TIPO]="CV",[OPER/TIPO]="VV"),     M10*SETUP!$H$3,     0),2)</f>
        <v>0.03</v>
      </c>
      <c r="Y10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100</v>
      </c>
      <c r="Z10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5.7308500000000011</v>
      </c>
      <c r="AA10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6.7401000000000009</v>
      </c>
      <c r="AB10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100.92499999999998</v>
      </c>
      <c r="AC10" s="21">
        <f>IF(['[A/O']]="O",[LUCRO OP]*0.15,0)</f>
        <v>0</v>
      </c>
      <c r="AD10" s="20">
        <f>[LUCRO OP]/ABS([VALOR P/ OP])</f>
        <v>0.14973813444904374</v>
      </c>
      <c r="AE10" s="15">
        <f>SUMPRODUCT(N(YEAR([D LIQUID])=YEAR(NC[[#This Row],[D LIQUID]])),N(MONTH([D LIQUID])=MONTH(NC[[#This Row],[D LIQUID]])),N(['[D/N']]="N"),[LUCRO OP])</f>
        <v>306.37500000000023</v>
      </c>
      <c r="AF10" s="15">
        <f>SUMPRODUCT(N(YEAR([D LIQUID])=YEAR(NC[[#This Row],[D LIQUID]])),N(MONTH([D LIQUID])=MONTH(NC[[#This Row],[D LIQUID]])),N(['[D/N']]="D"),[LUCRO OP])</f>
        <v>-36.1</v>
      </c>
      <c r="AG10" s="15">
        <f>[LUCRO N '[A']]+[LUCRO D]</f>
        <v>270.2750000000002</v>
      </c>
      <c r="AH10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11" spans="1:34" s="13" customFormat="1">
      <c r="A11" s="13">
        <v>10</v>
      </c>
      <c r="B11" s="13" t="s">
        <v>24</v>
      </c>
      <c r="C11" s="13" t="s">
        <v>52</v>
      </c>
      <c r="D11" s="14">
        <v>40910</v>
      </c>
      <c r="E11" s="13">
        <v>100</v>
      </c>
      <c r="F11" s="15">
        <v>5.83</v>
      </c>
      <c r="G11" s="21">
        <v>0</v>
      </c>
      <c r="H11" s="15" t="s">
        <v>58</v>
      </c>
      <c r="I11" s="13" t="s">
        <v>12</v>
      </c>
      <c r="J11" s="14">
        <f>WORKDAY(NC[[#This Row],[DATA]],IF(['[A/O']]="A",3,1))</f>
        <v>40913</v>
      </c>
      <c r="K11" s="13">
        <f>EOMONTH(NC[[#This Row],[D LIQUID]],0)</f>
        <v>40939</v>
      </c>
      <c r="L11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11" s="15">
        <f>[QTDE]*[PREÇO]+[CORREÇÃO]</f>
        <v>583</v>
      </c>
      <c r="N11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583</v>
      </c>
      <c r="O11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0.16</v>
      </c>
      <c r="P11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0.04</v>
      </c>
      <c r="Q11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1" s="15">
        <f>SETUP!$E$3*SUMPRODUCT(N([DATA]=NC[[#This Row],[DATA]]),N([ID]&lt;=NC[[#This Row],[ID]]))</f>
        <v>14.9</v>
      </c>
      <c r="S11" s="15">
        <f>TRUNC([CORR. BASE]*SETUP!$F$3,2)</f>
        <v>0.28999999999999998</v>
      </c>
      <c r="T11" s="15">
        <f>TRUNC([CORR. BASE]*SETUP!$G$3,2)</f>
        <v>0.57999999999999996</v>
      </c>
      <c r="U11" s="15">
        <f>[VL LIQUID]-[TX LIQUID]-[EMOL]-[REGISTRO]-[CORR. BASE]-[ISS]-[OUTRAS]</f>
        <v>567.03000000000009</v>
      </c>
      <c r="V11" s="15">
        <f>[LÍQUIDO]-SUMPRODUCT(N([DATA]=NC[[#This Row],[DATA]]),N([ID]=(NC[[#This Row],[ID]]-1)),[LÍQUIDO])</f>
        <v>567.03000000000009</v>
      </c>
      <c r="W11" s="15">
        <f>ABS(V11)/E11</f>
        <v>5.670300000000001</v>
      </c>
      <c r="X11" s="15">
        <f>TRUNC(IF(OR([OPER/TIPO]="CV",[OPER/TIPO]="VV"),     M11*SETUP!$H$3,     0),2)</f>
        <v>0.02</v>
      </c>
      <c r="Y11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11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5.7308500000000011</v>
      </c>
      <c r="AA11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5.670300000000001</v>
      </c>
      <c r="AB11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-6.0550000000000104</v>
      </c>
      <c r="AC11" s="21">
        <f>IF(['[A/O']]="O",[LUCRO OP]*0.15,0)</f>
        <v>0</v>
      </c>
      <c r="AD11" s="20">
        <f>[LUCRO OP]/ABS([VALOR P/ OP])</f>
        <v>-1.0678447348464825E-2</v>
      </c>
      <c r="AE11" s="15">
        <f>SUMPRODUCT(N(YEAR([D LIQUID])=YEAR(NC[[#This Row],[D LIQUID]])),N(MONTH([D LIQUID])=MONTH(NC[[#This Row],[D LIQUID]])),N(['[D/N']]="N"),[LUCRO OP])</f>
        <v>-324.88500000000062</v>
      </c>
      <c r="AF11" s="15">
        <f>SUMPRODUCT(N(YEAR([D LIQUID])=YEAR(NC[[#This Row],[D LIQUID]])),N(MONTH([D LIQUID])=MONTH(NC[[#This Row],[D LIQUID]])),N(['[D/N']]="D"),[LUCRO OP])</f>
        <v>0</v>
      </c>
      <c r="AG11" s="15">
        <f>[LUCRO N '[A']]+[LUCRO D]</f>
        <v>-324.88500000000062</v>
      </c>
      <c r="AH11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2" spans="1:34" s="13" customFormat="1">
      <c r="A12" s="13">
        <v>11</v>
      </c>
      <c r="B12" s="13" t="s">
        <v>24</v>
      </c>
      <c r="C12" s="13" t="s">
        <v>51</v>
      </c>
      <c r="D12" s="14">
        <v>40911</v>
      </c>
      <c r="E12" s="13">
        <v>200</v>
      </c>
      <c r="F12" s="15">
        <v>5.8</v>
      </c>
      <c r="G12" s="21">
        <v>0</v>
      </c>
      <c r="H12" s="15" t="s">
        <v>58</v>
      </c>
      <c r="I12" s="13" t="s">
        <v>12</v>
      </c>
      <c r="J12" s="14">
        <f>WORKDAY(NC[[#This Row],[DATA]],IF(['[A/O']]="A",3,1))</f>
        <v>40914</v>
      </c>
      <c r="K12" s="13">
        <f>EOMONTH(NC[[#This Row],[D LIQUID]],0)</f>
        <v>40939</v>
      </c>
      <c r="L12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3</v>
      </c>
      <c r="M12" s="15">
        <f>[QTDE]*[PREÇO]+[CORREÇÃO]</f>
        <v>1160</v>
      </c>
      <c r="N12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-1160</v>
      </c>
      <c r="O12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0.31</v>
      </c>
      <c r="P12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0.08</v>
      </c>
      <c r="Q12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2" s="15">
        <f>SETUP!$E$3*SUMPRODUCT(N([DATA]=NC[[#This Row],[DATA]]),N([ID]&lt;=NC[[#This Row],[ID]]))</f>
        <v>14.9</v>
      </c>
      <c r="S12" s="15">
        <f>TRUNC([CORR. BASE]*SETUP!$F$3,2)</f>
        <v>0.28999999999999998</v>
      </c>
      <c r="T12" s="15">
        <f>TRUNC([CORR. BASE]*SETUP!$G$3,2)</f>
        <v>0.57999999999999996</v>
      </c>
      <c r="U12" s="15">
        <f>[VL LIQUID]-[TX LIQUID]-[EMOL]-[REGISTRO]-[CORR. BASE]-[ISS]-[OUTRAS]</f>
        <v>-1176.1599999999999</v>
      </c>
      <c r="V12" s="15">
        <f>[LÍQUIDO]-SUMPRODUCT(N([DATA]=NC[[#This Row],[DATA]]),N([ID]=(NC[[#This Row],[ID]]-1)),[LÍQUIDO])</f>
        <v>-1176.1599999999999</v>
      </c>
      <c r="W12" s="15">
        <f>ABS(V12)/E12</f>
        <v>5.8807999999999989</v>
      </c>
      <c r="X12" s="15">
        <f>TRUNC(IF(OR([OPER/TIPO]="CV",[OPER/TIPO]="VV"),     M12*SETUP!$H$3,     0),2)</f>
        <v>0</v>
      </c>
      <c r="Y12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200</v>
      </c>
      <c r="Z12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5.8807999999999989</v>
      </c>
      <c r="AA12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12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12" s="21">
        <f>IF(['[A/O']]="O",[LUCRO OP]*0.15,0)</f>
        <v>0</v>
      </c>
      <c r="AD12" s="20">
        <f>[LUCRO OP]/ABS([VALOR P/ OP])</f>
        <v>0</v>
      </c>
      <c r="AE12" s="15">
        <f>SUMPRODUCT(N(YEAR([D LIQUID])=YEAR(NC[[#This Row],[D LIQUID]])),N(MONTH([D LIQUID])=MONTH(NC[[#This Row],[D LIQUID]])),N(['[D/N']]="N"),[LUCRO OP])</f>
        <v>-324.88500000000062</v>
      </c>
      <c r="AF12" s="15">
        <f>SUMPRODUCT(N(YEAR([D LIQUID])=YEAR(NC[[#This Row],[D LIQUID]])),N(MONTH([D LIQUID])=MONTH(NC[[#This Row],[D LIQUID]])),N(['[D/N']]="D"),[LUCRO OP])</f>
        <v>0</v>
      </c>
      <c r="AG12" s="15">
        <f>[LUCRO N '[A']]+[LUCRO D]</f>
        <v>-324.88500000000062</v>
      </c>
      <c r="AH12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3" spans="1:34" s="13" customFormat="1">
      <c r="A13" s="13">
        <v>12</v>
      </c>
      <c r="B13" s="13" t="s">
        <v>27</v>
      </c>
      <c r="C13" s="13" t="s">
        <v>53</v>
      </c>
      <c r="D13" s="14">
        <v>40920</v>
      </c>
      <c r="E13" s="13">
        <v>300</v>
      </c>
      <c r="F13" s="15">
        <v>9.0399999999999991</v>
      </c>
      <c r="G13" s="21">
        <v>0</v>
      </c>
      <c r="H13" s="15" t="s">
        <v>58</v>
      </c>
      <c r="I13" s="13" t="s">
        <v>12</v>
      </c>
      <c r="J13" s="14">
        <f>WORKDAY(NC[[#This Row],[DATA]],IF(['[A/O']]="A",3,1))</f>
        <v>40925</v>
      </c>
      <c r="K13" s="13">
        <f>EOMONTH(NC[[#This Row],[D LIQUID]],0)</f>
        <v>40939</v>
      </c>
      <c r="L13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13" s="15">
        <f>[QTDE]*[PREÇO]+[CORREÇÃO]</f>
        <v>2711.9999999999995</v>
      </c>
      <c r="N13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2711.9999999999995</v>
      </c>
      <c r="O13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0.74</v>
      </c>
      <c r="P13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0.18</v>
      </c>
      <c r="Q13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3" s="15">
        <f>SETUP!$E$3*SUMPRODUCT(N([DATA]=NC[[#This Row],[DATA]]),N([ID]&lt;=NC[[#This Row],[ID]]))</f>
        <v>14.9</v>
      </c>
      <c r="S13" s="15">
        <f>TRUNC([CORR. BASE]*SETUP!$F$3,2)</f>
        <v>0.28999999999999998</v>
      </c>
      <c r="T13" s="15">
        <f>TRUNC([CORR. BASE]*SETUP!$G$3,2)</f>
        <v>0.57999999999999996</v>
      </c>
      <c r="U13" s="15">
        <f>[VL LIQUID]-[TX LIQUID]-[EMOL]-[REGISTRO]-[CORR. BASE]-[ISS]-[OUTRAS]</f>
        <v>2695.31</v>
      </c>
      <c r="V13" s="15">
        <f>[LÍQUIDO]-SUMPRODUCT(N([DATA]=NC[[#This Row],[DATA]]),N([ID]=(NC[[#This Row],[ID]]-1)),[LÍQUIDO])</f>
        <v>2695.31</v>
      </c>
      <c r="W13" s="15">
        <f>ABS(V13)/E13</f>
        <v>8.9843666666666664</v>
      </c>
      <c r="X13" s="15">
        <f>TRUNC(IF(OR([OPER/TIPO]="CV",[OPER/TIPO]="VV"),     M13*SETUP!$H$3,     0),2)</f>
        <v>0.13</v>
      </c>
      <c r="Y13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-300</v>
      </c>
      <c r="Z13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13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8.9843666666666664</v>
      </c>
      <c r="AB13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13" s="21">
        <f>IF(['[A/O']]="O",[LUCRO OP]*0.15,0)</f>
        <v>0</v>
      </c>
      <c r="AD13" s="20">
        <f>[LUCRO OP]/ABS([VALOR P/ OP])</f>
        <v>0</v>
      </c>
      <c r="AE13" s="15">
        <f>SUMPRODUCT(N(YEAR([D LIQUID])=YEAR(NC[[#This Row],[D LIQUID]])),N(MONTH([D LIQUID])=MONTH(NC[[#This Row],[D LIQUID]])),N(['[D/N']]="N"),[LUCRO OP])</f>
        <v>-324.88500000000062</v>
      </c>
      <c r="AF13" s="15">
        <f>SUMPRODUCT(N(YEAR([D LIQUID])=YEAR(NC[[#This Row],[D LIQUID]])),N(MONTH([D LIQUID])=MONTH(NC[[#This Row],[D LIQUID]])),N(['[D/N']]="D"),[LUCRO OP])</f>
        <v>0</v>
      </c>
      <c r="AG13" s="15">
        <f>[LUCRO N '[A']]+[LUCRO D]</f>
        <v>-324.88500000000062</v>
      </c>
      <c r="AH13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4" spans="1:34" s="13" customFormat="1">
      <c r="A14" s="13">
        <v>13</v>
      </c>
      <c r="B14" s="13" t="s">
        <v>24</v>
      </c>
      <c r="C14" s="13" t="s">
        <v>52</v>
      </c>
      <c r="D14" s="14">
        <v>40920</v>
      </c>
      <c r="E14" s="13">
        <v>200</v>
      </c>
      <c r="F14" s="15">
        <v>5.56</v>
      </c>
      <c r="G14" s="21">
        <v>0</v>
      </c>
      <c r="H14" s="15" t="s">
        <v>58</v>
      </c>
      <c r="I14" s="13" t="s">
        <v>12</v>
      </c>
      <c r="J14" s="14">
        <f>WORKDAY(NC[[#This Row],[DATA]],IF(['[A/O']]="A",3,1))</f>
        <v>40925</v>
      </c>
      <c r="K14" s="13">
        <f>EOMONTH(NC[[#This Row],[D LIQUID]],0)</f>
        <v>40939</v>
      </c>
      <c r="L14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3</v>
      </c>
      <c r="M14" s="15">
        <f>[QTDE]*[PREÇO]+[CORREÇÃO]</f>
        <v>1112</v>
      </c>
      <c r="N14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3823.9999999999995</v>
      </c>
      <c r="O14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1.05</v>
      </c>
      <c r="P14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0.26</v>
      </c>
      <c r="Q14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4" s="15">
        <f>SETUP!$E$3*SUMPRODUCT(N([DATA]=NC[[#This Row],[DATA]]),N([ID]&lt;=NC[[#This Row],[ID]]))</f>
        <v>29.8</v>
      </c>
      <c r="S14" s="15">
        <f>TRUNC([CORR. BASE]*SETUP!$F$3,2)</f>
        <v>0.59</v>
      </c>
      <c r="T14" s="15">
        <f>TRUNC([CORR. BASE]*SETUP!$G$3,2)</f>
        <v>1.1599999999999999</v>
      </c>
      <c r="U14" s="15">
        <f>[VL LIQUID]-[TX LIQUID]-[EMOL]-[REGISTRO]-[CORR. BASE]-[ISS]-[OUTRAS]</f>
        <v>3791.139999999999</v>
      </c>
      <c r="V14" s="15">
        <f>[LÍQUIDO]-SUMPRODUCT(N([DATA]=NC[[#This Row],[DATA]]),N([ID]=(NC[[#This Row],[ID]]-1)),[LÍQUIDO])</f>
        <v>1095.829999999999</v>
      </c>
      <c r="W14" s="15">
        <f>ABS(V14)/E14</f>
        <v>5.4791499999999953</v>
      </c>
      <c r="X14" s="15">
        <f>TRUNC(IF(OR([OPER/TIPO]="CV",[OPER/TIPO]="VV"),     M14*SETUP!$H$3,     0),2)</f>
        <v>0.05</v>
      </c>
      <c r="Y14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14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5.8807999999999989</v>
      </c>
      <c r="AA14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5.4791499999999953</v>
      </c>
      <c r="AB14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-80.330000000000723</v>
      </c>
      <c r="AC14" s="21">
        <f>IF(['[A/O']]="O",[LUCRO OP]*0.15,0)</f>
        <v>0</v>
      </c>
      <c r="AD14" s="20">
        <f>[LUCRO OP]/ABS([VALOR P/ OP])</f>
        <v>-7.3305165947273571E-2</v>
      </c>
      <c r="AE14" s="15">
        <f>SUMPRODUCT(N(YEAR([D LIQUID])=YEAR(NC[[#This Row],[D LIQUID]])),N(MONTH([D LIQUID])=MONTH(NC[[#This Row],[D LIQUID]])),N(['[D/N']]="N"),[LUCRO OP])</f>
        <v>-324.88500000000062</v>
      </c>
      <c r="AF14" s="15">
        <f>SUMPRODUCT(N(YEAR([D LIQUID])=YEAR(NC[[#This Row],[D LIQUID]])),N(MONTH([D LIQUID])=MONTH(NC[[#This Row],[D LIQUID]])),N(['[D/N']]="D"),[LUCRO OP])</f>
        <v>0</v>
      </c>
      <c r="AG14" s="15">
        <f>[LUCRO N '[A']]+[LUCRO D]</f>
        <v>-324.88500000000062</v>
      </c>
      <c r="AH14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5" spans="1:34" s="13" customFormat="1">
      <c r="A15" s="13">
        <v>14</v>
      </c>
      <c r="B15" s="13" t="s">
        <v>11</v>
      </c>
      <c r="C15" s="13" t="s">
        <v>51</v>
      </c>
      <c r="D15" s="14">
        <v>40927</v>
      </c>
      <c r="E15" s="13">
        <v>2000</v>
      </c>
      <c r="F15" s="15">
        <v>0.5</v>
      </c>
      <c r="G15" s="21">
        <v>0</v>
      </c>
      <c r="H15" s="15" t="s">
        <v>58</v>
      </c>
      <c r="I15" s="13" t="s">
        <v>12</v>
      </c>
      <c r="J15" s="14">
        <f>WORKDAY(NC[[#This Row],[DATA]],IF(['[A/O']]="A",3,1))</f>
        <v>40932</v>
      </c>
      <c r="K15" s="13">
        <f>EOMONTH(NC[[#This Row],[D LIQUID]],0)</f>
        <v>40939</v>
      </c>
      <c r="L15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15" s="15">
        <f>[QTDE]*[PREÇO]+[CORREÇÃO]</f>
        <v>1000</v>
      </c>
      <c r="N15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-1000</v>
      </c>
      <c r="O15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0.27</v>
      </c>
      <c r="P15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7.0000000000000007E-2</v>
      </c>
      <c r="Q15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5" s="15">
        <f>SETUP!$E$3*SUMPRODUCT(N([DATA]=NC[[#This Row],[DATA]]),N([ID]&lt;=NC[[#This Row],[ID]]))</f>
        <v>14.9</v>
      </c>
      <c r="S15" s="15">
        <f>TRUNC([CORR. BASE]*SETUP!$F$3,2)</f>
        <v>0.28999999999999998</v>
      </c>
      <c r="T15" s="15">
        <f>TRUNC([CORR. BASE]*SETUP!$G$3,2)</f>
        <v>0.57999999999999996</v>
      </c>
      <c r="U15" s="15">
        <f>[VL LIQUID]-[TX LIQUID]-[EMOL]-[REGISTRO]-[CORR. BASE]-[ISS]-[OUTRAS]</f>
        <v>-1016.11</v>
      </c>
      <c r="V15" s="15">
        <f>[LÍQUIDO]-SUMPRODUCT(N([DATA]=NC[[#This Row],[DATA]]),N([ID]=(NC[[#This Row],[ID]]-1)),[LÍQUIDO])</f>
        <v>-1016.11</v>
      </c>
      <c r="W15" s="15">
        <f>ABS(V15)/E15</f>
        <v>0.50805500000000003</v>
      </c>
      <c r="X15" s="15">
        <f>TRUNC(IF(OR([OPER/TIPO]="CV",[OPER/TIPO]="VV"),     M15*SETUP!$H$3,     0),2)</f>
        <v>0</v>
      </c>
      <c r="Y15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2000</v>
      </c>
      <c r="Z15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0.50805500000000003</v>
      </c>
      <c r="AA15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15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15" s="21">
        <f>IF(['[A/O']]="O",[LUCRO OP]*0.15,0)</f>
        <v>0</v>
      </c>
      <c r="AD15" s="20">
        <f>[LUCRO OP]/ABS([VALOR P/ OP])</f>
        <v>0</v>
      </c>
      <c r="AE15" s="15">
        <f>SUMPRODUCT(N(YEAR([D LIQUID])=YEAR(NC[[#This Row],[D LIQUID]])),N(MONTH([D LIQUID])=MONTH(NC[[#This Row],[D LIQUID]])),N(['[D/N']]="N"),[LUCRO OP])</f>
        <v>-324.88500000000062</v>
      </c>
      <c r="AF15" s="15">
        <f>SUMPRODUCT(N(YEAR([D LIQUID])=YEAR(NC[[#This Row],[D LIQUID]])),N(MONTH([D LIQUID])=MONTH(NC[[#This Row],[D LIQUID]])),N(['[D/N']]="D"),[LUCRO OP])</f>
        <v>0</v>
      </c>
      <c r="AG15" s="15">
        <f>[LUCRO N '[A']]+[LUCRO D]</f>
        <v>-324.88500000000062</v>
      </c>
      <c r="AH15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6" spans="1:34" s="13" customFormat="1">
      <c r="A16" s="13">
        <v>15</v>
      </c>
      <c r="B16" s="13" t="s">
        <v>23</v>
      </c>
      <c r="C16" s="13" t="s">
        <v>52</v>
      </c>
      <c r="D16" s="14">
        <v>40932</v>
      </c>
      <c r="E16" s="13">
        <v>100</v>
      </c>
      <c r="F16" s="15">
        <v>7.89</v>
      </c>
      <c r="G16" s="21">
        <v>0</v>
      </c>
      <c r="H16" s="15" t="s">
        <v>58</v>
      </c>
      <c r="I16" s="13" t="s">
        <v>12</v>
      </c>
      <c r="J16" s="14">
        <f>WORKDAY(NC[[#This Row],[DATA]],IF(['[A/O']]="A",3,1))</f>
        <v>40935</v>
      </c>
      <c r="K16" s="13">
        <f>EOMONTH(NC[[#This Row],[D LIQUID]],0)</f>
        <v>40939</v>
      </c>
      <c r="L16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16" s="15">
        <f>[QTDE]*[PREÇO]+[CORREÇÃO]</f>
        <v>789</v>
      </c>
      <c r="N16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789</v>
      </c>
      <c r="O16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0.21</v>
      </c>
      <c r="P16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0.05</v>
      </c>
      <c r="Q16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6" s="15">
        <f>SETUP!$E$3*SUMPRODUCT(N([DATA]=NC[[#This Row],[DATA]]),N([ID]&lt;=NC[[#This Row],[ID]]))</f>
        <v>14.9</v>
      </c>
      <c r="S16" s="15">
        <f>TRUNC([CORR. BASE]*SETUP!$F$3,2)</f>
        <v>0.28999999999999998</v>
      </c>
      <c r="T16" s="15">
        <f>TRUNC([CORR. BASE]*SETUP!$G$3,2)</f>
        <v>0.57999999999999996</v>
      </c>
      <c r="U16" s="15">
        <f>[VL LIQUID]-[TX LIQUID]-[EMOL]-[REGISTRO]-[CORR. BASE]-[ISS]-[OUTRAS]</f>
        <v>772.97</v>
      </c>
      <c r="V16" s="15">
        <f>[LÍQUIDO]-SUMPRODUCT(N([DATA]=NC[[#This Row],[DATA]]),N([ID]=(NC[[#This Row],[ID]]-1)),[LÍQUIDO])</f>
        <v>772.97</v>
      </c>
      <c r="W16" s="15">
        <f>ABS(V16)/E16</f>
        <v>7.7297000000000002</v>
      </c>
      <c r="X16" s="15">
        <f>TRUNC(IF(OR([OPER/TIPO]="CV",[OPER/TIPO]="VV"),     M16*SETUP!$H$3,     0),2)</f>
        <v>0.03</v>
      </c>
      <c r="Y16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16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8.6104999999999983</v>
      </c>
      <c r="AA16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7.7297000000000002</v>
      </c>
      <c r="AB16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-88.079999999999799</v>
      </c>
      <c r="AC16" s="21">
        <f>IF(['[A/O']]="O",[LUCRO OP]*0.15,0)</f>
        <v>0</v>
      </c>
      <c r="AD16" s="20">
        <f>[LUCRO OP]/ABS([VALOR P/ OP])</f>
        <v>-0.11395008861922169</v>
      </c>
      <c r="AE16" s="15">
        <f>SUMPRODUCT(N(YEAR([D LIQUID])=YEAR(NC[[#This Row],[D LIQUID]])),N(MONTH([D LIQUID])=MONTH(NC[[#This Row],[D LIQUID]])),N(['[D/N']]="N"),[LUCRO OP])</f>
        <v>-324.88500000000062</v>
      </c>
      <c r="AF16" s="15">
        <f>SUMPRODUCT(N(YEAR([D LIQUID])=YEAR(NC[[#This Row],[D LIQUID]])),N(MONTH([D LIQUID])=MONTH(NC[[#This Row],[D LIQUID]])),N(['[D/N']]="D"),[LUCRO OP])</f>
        <v>0</v>
      </c>
      <c r="AG16" s="15">
        <f>[LUCRO N '[A']]+[LUCRO D]</f>
        <v>-324.88500000000062</v>
      </c>
      <c r="AH16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7" spans="1:34" s="13" customFormat="1">
      <c r="A17" s="13">
        <v>16</v>
      </c>
      <c r="B17" s="13" t="s">
        <v>27</v>
      </c>
      <c r="C17" s="13" t="s">
        <v>54</v>
      </c>
      <c r="D17" s="14">
        <v>40934</v>
      </c>
      <c r="E17" s="13">
        <v>300</v>
      </c>
      <c r="F17" s="15">
        <v>9.43</v>
      </c>
      <c r="G17" s="21">
        <v>0</v>
      </c>
      <c r="H17" s="15" t="s">
        <v>58</v>
      </c>
      <c r="I17" s="13" t="s">
        <v>12</v>
      </c>
      <c r="J17" s="14">
        <f>WORKDAY(NC[[#This Row],[DATA]],IF(['[A/O']]="A",3,1))</f>
        <v>40939</v>
      </c>
      <c r="K17" s="13">
        <f>EOMONTH(NC[[#This Row],[D LIQUID]],0)</f>
        <v>40939</v>
      </c>
      <c r="L17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17" s="15">
        <f>[QTDE]*[PREÇO]+[CORREÇÃO]</f>
        <v>2829</v>
      </c>
      <c r="N17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-2829</v>
      </c>
      <c r="O17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0.77</v>
      </c>
      <c r="P17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0.19</v>
      </c>
      <c r="Q17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7" s="15">
        <f>SETUP!$E$3*SUMPRODUCT(N([DATA]=NC[[#This Row],[DATA]]),N([ID]&lt;=NC[[#This Row],[ID]]))</f>
        <v>14.9</v>
      </c>
      <c r="S17" s="15">
        <f>TRUNC([CORR. BASE]*SETUP!$F$3,2)</f>
        <v>0.28999999999999998</v>
      </c>
      <c r="T17" s="15">
        <f>TRUNC([CORR. BASE]*SETUP!$G$3,2)</f>
        <v>0.57999999999999996</v>
      </c>
      <c r="U17" s="15">
        <f>[VL LIQUID]-[TX LIQUID]-[EMOL]-[REGISTRO]-[CORR. BASE]-[ISS]-[OUTRAS]</f>
        <v>-2845.73</v>
      </c>
      <c r="V17" s="15">
        <f>[LÍQUIDO]-SUMPRODUCT(N([DATA]=NC[[#This Row],[DATA]]),N([ID]=(NC[[#This Row],[ID]]-1)),[LÍQUIDO])</f>
        <v>-2845.73</v>
      </c>
      <c r="W17" s="15">
        <f>ABS(V17)/E17</f>
        <v>9.4857666666666667</v>
      </c>
      <c r="X17" s="15">
        <f>TRUNC(IF(OR([OPER/TIPO]="CV",[OPER/TIPO]="VV"),     M17*SETUP!$H$3,     0),2)</f>
        <v>0</v>
      </c>
      <c r="Y17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17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9.4857666666666667</v>
      </c>
      <c r="AA17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8.9843666666666664</v>
      </c>
      <c r="AB17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-150.42000000000007</v>
      </c>
      <c r="AC17" s="21">
        <f>IF(['[A/O']]="O",[LUCRO OP]*0.15,0)</f>
        <v>0</v>
      </c>
      <c r="AD17" s="20">
        <f>[LUCRO OP]/ABS([VALOR P/ OP])</f>
        <v>-5.2858141847610306E-2</v>
      </c>
      <c r="AE17" s="15">
        <f>SUMPRODUCT(N(YEAR([D LIQUID])=YEAR(NC[[#This Row],[D LIQUID]])),N(MONTH([D LIQUID])=MONTH(NC[[#This Row],[D LIQUID]])),N(['[D/N']]="N"),[LUCRO OP])</f>
        <v>-324.88500000000062</v>
      </c>
      <c r="AF17" s="15">
        <f>SUMPRODUCT(N(YEAR([D LIQUID])=YEAR(NC[[#This Row],[D LIQUID]])),N(MONTH([D LIQUID])=MONTH(NC[[#This Row],[D LIQUID]])),N(['[D/N']]="D"),[LUCRO OP])</f>
        <v>0</v>
      </c>
      <c r="AG17" s="15">
        <f>[LUCRO N '[A']]+[LUCRO D]</f>
        <v>-324.88500000000062</v>
      </c>
      <c r="AH17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8" spans="1:34" s="13" customFormat="1">
      <c r="A18" s="13">
        <v>17</v>
      </c>
      <c r="B18" s="13" t="s">
        <v>28</v>
      </c>
      <c r="C18" s="13" t="s">
        <v>51</v>
      </c>
      <c r="D18" s="14">
        <v>40934</v>
      </c>
      <c r="E18" s="13">
        <v>2300</v>
      </c>
      <c r="F18" s="15">
        <v>0.43</v>
      </c>
      <c r="G18" s="21">
        <v>0</v>
      </c>
      <c r="H18" s="15" t="s">
        <v>58</v>
      </c>
      <c r="I18" s="13" t="s">
        <v>12</v>
      </c>
      <c r="J18" s="14">
        <f>WORKDAY(NC[[#This Row],[DATA]],IF(['[A/O']]="A",3,1))</f>
        <v>40939</v>
      </c>
      <c r="K18" s="13">
        <f>EOMONTH(NC[[#This Row],[D LIQUID]],0)</f>
        <v>40939</v>
      </c>
      <c r="L18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18" s="15">
        <f>[QTDE]*[PREÇO]+[CORREÇÃO]</f>
        <v>989</v>
      </c>
      <c r="N18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-3818</v>
      </c>
      <c r="O18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1.04</v>
      </c>
      <c r="P18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0.26</v>
      </c>
      <c r="Q18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8" s="15">
        <f>SETUP!$E$3*SUMPRODUCT(N([DATA]=NC[[#This Row],[DATA]]),N([ID]&lt;=NC[[#This Row],[ID]]))</f>
        <v>29.8</v>
      </c>
      <c r="S18" s="15">
        <f>TRUNC([CORR. BASE]*SETUP!$F$3,2)</f>
        <v>0.59</v>
      </c>
      <c r="T18" s="15">
        <f>TRUNC([CORR. BASE]*SETUP!$G$3,2)</f>
        <v>1.1599999999999999</v>
      </c>
      <c r="U18" s="15">
        <f>[VL LIQUID]-[TX LIQUID]-[EMOL]-[REGISTRO]-[CORR. BASE]-[ISS]-[OUTRAS]</f>
        <v>-3850.8500000000004</v>
      </c>
      <c r="V18" s="15">
        <f>[LÍQUIDO]-SUMPRODUCT(N([DATA]=NC[[#This Row],[DATA]]),N([ID]=(NC[[#This Row],[ID]]-1)),[LÍQUIDO])</f>
        <v>-1005.1200000000003</v>
      </c>
      <c r="W18" s="15">
        <f>ABS(V18)/E18</f>
        <v>0.43700869565217404</v>
      </c>
      <c r="X18" s="15">
        <f>TRUNC(IF(OR([OPER/TIPO]="CV",[OPER/TIPO]="VV"),     M18*SETUP!$H$3,     0),2)</f>
        <v>0</v>
      </c>
      <c r="Y18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2300</v>
      </c>
      <c r="Z18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0.43700869565217404</v>
      </c>
      <c r="AA18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18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18" s="21">
        <f>IF(['[A/O']]="O",[LUCRO OP]*0.15,0)</f>
        <v>0</v>
      </c>
      <c r="AD18" s="20">
        <f>[LUCRO OP]/ABS([VALOR P/ OP])</f>
        <v>0</v>
      </c>
      <c r="AE18" s="15">
        <f>SUMPRODUCT(N(YEAR([D LIQUID])=YEAR(NC[[#This Row],[D LIQUID]])),N(MONTH([D LIQUID])=MONTH(NC[[#This Row],[D LIQUID]])),N(['[D/N']]="N"),[LUCRO OP])</f>
        <v>-324.88500000000062</v>
      </c>
      <c r="AF18" s="15">
        <f>SUMPRODUCT(N(YEAR([D LIQUID])=YEAR(NC[[#This Row],[D LIQUID]])),N(MONTH([D LIQUID])=MONTH(NC[[#This Row],[D LIQUID]])),N(['[D/N']]="D"),[LUCRO OP])</f>
        <v>0</v>
      </c>
      <c r="AG18" s="15">
        <f>[LUCRO N '[A']]+[LUCRO D]</f>
        <v>-324.88500000000062</v>
      </c>
      <c r="AH18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9" spans="1:34" s="13" customFormat="1">
      <c r="A19" s="13">
        <v>18</v>
      </c>
      <c r="B19" s="13" t="s">
        <v>25</v>
      </c>
      <c r="C19" s="13" t="s">
        <v>54</v>
      </c>
      <c r="D19" s="14">
        <v>40939</v>
      </c>
      <c r="E19" s="13">
        <v>200</v>
      </c>
      <c r="F19" s="15">
        <v>4.76</v>
      </c>
      <c r="G19" s="21">
        <v>0</v>
      </c>
      <c r="H19" s="15" t="s">
        <v>58</v>
      </c>
      <c r="I19" s="13" t="s">
        <v>12</v>
      </c>
      <c r="J19" s="14">
        <f>WORKDAY(NC[[#This Row],[DATA]],IF(['[A/O']]="A",3,1))</f>
        <v>40942</v>
      </c>
      <c r="K19" s="13">
        <f>EOMONTH(NC[[#This Row],[D LIQUID]],0)</f>
        <v>40968</v>
      </c>
      <c r="L19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19" s="15">
        <f>[QTDE]*[PREÇO]+[CORREÇÃO]</f>
        <v>952</v>
      </c>
      <c r="N19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-952</v>
      </c>
      <c r="O19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0.26</v>
      </c>
      <c r="P19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0.06</v>
      </c>
      <c r="Q19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9" s="15">
        <f>SETUP!$E$3*SUMPRODUCT(N([DATA]=NC[[#This Row],[DATA]]),N([ID]&lt;=NC[[#This Row],[ID]]))</f>
        <v>14.9</v>
      </c>
      <c r="S19" s="15">
        <f>TRUNC([CORR. BASE]*SETUP!$F$3,2)</f>
        <v>0.28999999999999998</v>
      </c>
      <c r="T19" s="15">
        <f>TRUNC([CORR. BASE]*SETUP!$G$3,2)</f>
        <v>0.57999999999999996</v>
      </c>
      <c r="U19" s="15">
        <f>[VL LIQUID]-[TX LIQUID]-[EMOL]-[REGISTRO]-[CORR. BASE]-[ISS]-[OUTRAS]</f>
        <v>-968.08999999999992</v>
      </c>
      <c r="V19" s="15">
        <f>[LÍQUIDO]-SUMPRODUCT(N([DATA]=NC[[#This Row],[DATA]]),N([ID]=(NC[[#This Row],[ID]]-1)),[LÍQUIDO])</f>
        <v>-968.08999999999992</v>
      </c>
      <c r="W19" s="15">
        <f>ABS(V19)/E19</f>
        <v>4.8404499999999997</v>
      </c>
      <c r="X19" s="15">
        <f>TRUNC(IF(OR([OPER/TIPO]="CV",[OPER/TIPO]="VV"),     M19*SETUP!$H$3,     0),2)</f>
        <v>0</v>
      </c>
      <c r="Y19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19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4.8404499999999997</v>
      </c>
      <c r="AA19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4.1897500000000001</v>
      </c>
      <c r="AB19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-130.13999999999993</v>
      </c>
      <c r="AC19" s="21">
        <f>IF(['[A/O']]="O",[LUCRO OP]*0.15,0)</f>
        <v>0</v>
      </c>
      <c r="AD19" s="20">
        <f>[LUCRO OP]/ABS([VALOR P/ OP])</f>
        <v>-0.13442965013583441</v>
      </c>
      <c r="AE19" s="15">
        <f>SUMPRODUCT(N(YEAR([D LIQUID])=YEAR(NC[[#This Row],[D LIQUID]])),N(MONTH([D LIQUID])=MONTH(NC[[#This Row],[D LIQUID]])),N(['[D/N']]="N"),[LUCRO OP])</f>
        <v>-467.17999999999961</v>
      </c>
      <c r="AF19" s="15">
        <f>SUMPRODUCT(N(YEAR([D LIQUID])=YEAR(NC[[#This Row],[D LIQUID]])),N(MONTH([D LIQUID])=MONTH(NC[[#This Row],[D LIQUID]])),N(['[D/N']]="D"),[LUCRO OP])</f>
        <v>0</v>
      </c>
      <c r="AG19" s="15">
        <f>[LUCRO N '[A']]+[LUCRO D]</f>
        <v>-467.17999999999961</v>
      </c>
      <c r="AH19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0" spans="1:34" s="13" customFormat="1">
      <c r="A20" s="13">
        <v>19</v>
      </c>
      <c r="B20" s="13" t="s">
        <v>26</v>
      </c>
      <c r="C20" s="13" t="s">
        <v>52</v>
      </c>
      <c r="D20" s="14">
        <v>40945</v>
      </c>
      <c r="E20" s="13">
        <v>300</v>
      </c>
      <c r="F20" s="15">
        <v>7.7</v>
      </c>
      <c r="G20" s="21">
        <v>0</v>
      </c>
      <c r="H20" s="15" t="s">
        <v>58</v>
      </c>
      <c r="I20" s="13" t="s">
        <v>12</v>
      </c>
      <c r="J20" s="14">
        <f>WORKDAY(NC[[#This Row],[DATA]],IF(['[A/O']]="A",3,1))</f>
        <v>40948</v>
      </c>
      <c r="K20" s="13">
        <f>EOMONTH(NC[[#This Row],[D LIQUID]],0)</f>
        <v>40968</v>
      </c>
      <c r="L20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20" s="15">
        <f>[QTDE]*[PREÇO]+[CORREÇÃO]</f>
        <v>2310</v>
      </c>
      <c r="N20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2310</v>
      </c>
      <c r="O20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0.63</v>
      </c>
      <c r="P20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0.16</v>
      </c>
      <c r="Q20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0" s="15">
        <f>SETUP!$E$3*SUMPRODUCT(N([DATA]=NC[[#This Row],[DATA]]),N([ID]&lt;=NC[[#This Row],[ID]]))</f>
        <v>14.9</v>
      </c>
      <c r="S20" s="15">
        <f>TRUNC([CORR. BASE]*SETUP!$F$3,2)</f>
        <v>0.28999999999999998</v>
      </c>
      <c r="T20" s="15">
        <f>TRUNC([CORR. BASE]*SETUP!$G$3,2)</f>
        <v>0.57999999999999996</v>
      </c>
      <c r="U20" s="15">
        <f>[VL LIQUID]-[TX LIQUID]-[EMOL]-[REGISTRO]-[CORR. BASE]-[ISS]-[OUTRAS]</f>
        <v>2293.44</v>
      </c>
      <c r="V20" s="15">
        <f>[LÍQUIDO]-SUMPRODUCT(N([DATA]=NC[[#This Row],[DATA]]),N([ID]=(NC[[#This Row],[ID]]-1)),[LÍQUIDO])</f>
        <v>2293.44</v>
      </c>
      <c r="W20" s="15">
        <f>ABS(V20)/E20</f>
        <v>7.6448</v>
      </c>
      <c r="X20" s="15">
        <f>TRUNC(IF(OR([OPER/TIPO]="CV",[OPER/TIPO]="VV"),     M20*SETUP!$H$3,     0),2)</f>
        <v>0.11</v>
      </c>
      <c r="Y20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20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7.9152333333333322</v>
      </c>
      <c r="AA20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7.6448</v>
      </c>
      <c r="AB20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-81.129999999999654</v>
      </c>
      <c r="AC20" s="21">
        <f>IF(['[A/O']]="O",[LUCRO OP]*0.15,0)</f>
        <v>0</v>
      </c>
      <c r="AD20" s="20">
        <f>[LUCRO OP]/ABS([VALOR P/ OP])</f>
        <v>-3.5374808148458059E-2</v>
      </c>
      <c r="AE20" s="15">
        <f>SUMPRODUCT(N(YEAR([D LIQUID])=YEAR(NC[[#This Row],[D LIQUID]])),N(MONTH([D LIQUID])=MONTH(NC[[#This Row],[D LIQUID]])),N(['[D/N']]="N"),[LUCRO OP])</f>
        <v>-467.17999999999961</v>
      </c>
      <c r="AF20" s="15">
        <f>SUMPRODUCT(N(YEAR([D LIQUID])=YEAR(NC[[#This Row],[D LIQUID]])),N(MONTH([D LIQUID])=MONTH(NC[[#This Row],[D LIQUID]])),N(['[D/N']]="D"),[LUCRO OP])</f>
        <v>0</v>
      </c>
      <c r="AG20" s="15">
        <f>[LUCRO N '[A']]+[LUCRO D]</f>
        <v>-467.17999999999961</v>
      </c>
      <c r="AH20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1" spans="1:34" s="13" customFormat="1">
      <c r="A21" s="13">
        <v>20</v>
      </c>
      <c r="B21" s="13" t="s">
        <v>28</v>
      </c>
      <c r="C21" s="13" t="s">
        <v>51</v>
      </c>
      <c r="D21" s="14">
        <v>40945</v>
      </c>
      <c r="E21" s="13">
        <v>3700</v>
      </c>
      <c r="F21" s="15">
        <v>0.37</v>
      </c>
      <c r="G21" s="21">
        <v>0</v>
      </c>
      <c r="H21" s="15" t="s">
        <v>58</v>
      </c>
      <c r="I21" s="13" t="s">
        <v>12</v>
      </c>
      <c r="J21" s="14">
        <f>WORKDAY(NC[[#This Row],[DATA]],IF(['[A/O']]="A",3,1))</f>
        <v>40948</v>
      </c>
      <c r="K21" s="13">
        <f>EOMONTH(NC[[#This Row],[D LIQUID]],0)</f>
        <v>40968</v>
      </c>
      <c r="L21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21" s="15">
        <f>[QTDE]*[PREÇO]+[CORREÇÃO]</f>
        <v>1369</v>
      </c>
      <c r="N21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941</v>
      </c>
      <c r="O21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1.01</v>
      </c>
      <c r="P21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0.25</v>
      </c>
      <c r="Q21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1" s="15">
        <f>SETUP!$E$3*SUMPRODUCT(N([DATA]=NC[[#This Row],[DATA]]),N([ID]&lt;=NC[[#This Row],[ID]]))</f>
        <v>29.8</v>
      </c>
      <c r="S21" s="15">
        <f>TRUNC([CORR. BASE]*SETUP!$F$3,2)</f>
        <v>0.59</v>
      </c>
      <c r="T21" s="15">
        <f>TRUNC([CORR. BASE]*SETUP!$G$3,2)</f>
        <v>1.1599999999999999</v>
      </c>
      <c r="U21" s="15">
        <f>[VL LIQUID]-[TX LIQUID]-[EMOL]-[REGISTRO]-[CORR. BASE]-[ISS]-[OUTRAS]</f>
        <v>908.19</v>
      </c>
      <c r="V21" s="15">
        <f>[LÍQUIDO]-SUMPRODUCT(N([DATA]=NC[[#This Row],[DATA]]),N([ID]=(NC[[#This Row],[ID]]-1)),[LÍQUIDO])</f>
        <v>-1385.25</v>
      </c>
      <c r="W21" s="15">
        <f>ABS(V21)/E21</f>
        <v>0.37439189189189187</v>
      </c>
      <c r="X21" s="15">
        <f>TRUNC(IF(OR([OPER/TIPO]="CV",[OPER/TIPO]="VV"),     M21*SETUP!$H$3,     0),2)</f>
        <v>0</v>
      </c>
      <c r="Y21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6000</v>
      </c>
      <c r="Z21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0.39839500000000005</v>
      </c>
      <c r="AA21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21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21" s="21">
        <f>IF(['[A/O']]="O",[LUCRO OP]*0.15,0)</f>
        <v>0</v>
      </c>
      <c r="AD21" s="20">
        <f>[LUCRO OP]/ABS([VALOR P/ OP])</f>
        <v>0</v>
      </c>
      <c r="AE21" s="15">
        <f>SUMPRODUCT(N(YEAR([D LIQUID])=YEAR(NC[[#This Row],[D LIQUID]])),N(MONTH([D LIQUID])=MONTH(NC[[#This Row],[D LIQUID]])),N(['[D/N']]="N"),[LUCRO OP])</f>
        <v>-467.17999999999961</v>
      </c>
      <c r="AF21" s="15">
        <f>SUMPRODUCT(N(YEAR([D LIQUID])=YEAR(NC[[#This Row],[D LIQUID]])),N(MONTH([D LIQUID])=MONTH(NC[[#This Row],[D LIQUID]])),N(['[D/N']]="D"),[LUCRO OP])</f>
        <v>0</v>
      </c>
      <c r="AG21" s="15">
        <f>[LUCRO N '[A']]+[LUCRO D]</f>
        <v>-467.17999999999961</v>
      </c>
      <c r="AH21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2" spans="1:34" s="13" customFormat="1">
      <c r="A22" s="13">
        <v>21</v>
      </c>
      <c r="B22" s="13" t="s">
        <v>29</v>
      </c>
      <c r="C22" s="13" t="s">
        <v>51</v>
      </c>
      <c r="D22" s="14">
        <v>40945</v>
      </c>
      <c r="E22" s="13">
        <v>500</v>
      </c>
      <c r="F22" s="15">
        <v>2.37</v>
      </c>
      <c r="G22" s="21">
        <v>0</v>
      </c>
      <c r="H22" s="15" t="s">
        <v>58</v>
      </c>
      <c r="I22" s="13" t="s">
        <v>12</v>
      </c>
      <c r="J22" s="14">
        <f>WORKDAY(NC[[#This Row],[DATA]],IF(['[A/O']]="A",3,1))</f>
        <v>40948</v>
      </c>
      <c r="K22" s="13">
        <f>EOMONTH(NC[[#This Row],[D LIQUID]],0)</f>
        <v>40968</v>
      </c>
      <c r="L22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22" s="15">
        <f>[QTDE]*[PREÇO]+[CORREÇÃO]</f>
        <v>1185</v>
      </c>
      <c r="N22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-244</v>
      </c>
      <c r="O22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1.33</v>
      </c>
      <c r="P22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0.34</v>
      </c>
      <c r="Q22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2" s="15">
        <f>SETUP!$E$3*SUMPRODUCT(N([DATA]=NC[[#This Row],[DATA]]),N([ID]&lt;=NC[[#This Row],[ID]]))</f>
        <v>44.7</v>
      </c>
      <c r="S22" s="15">
        <f>TRUNC([CORR. BASE]*SETUP!$F$3,2)</f>
        <v>0.89</v>
      </c>
      <c r="T22" s="15">
        <f>TRUNC([CORR. BASE]*SETUP!$G$3,2)</f>
        <v>1.74</v>
      </c>
      <c r="U22" s="15">
        <f>[VL LIQUID]-[TX LIQUID]-[EMOL]-[REGISTRO]-[CORR. BASE]-[ISS]-[OUTRAS]</f>
        <v>-293</v>
      </c>
      <c r="V22" s="15">
        <f>[LÍQUIDO]-SUMPRODUCT(N([DATA]=NC[[#This Row],[DATA]]),N([ID]=(NC[[#This Row],[ID]]-1)),[LÍQUIDO])</f>
        <v>-1201.19</v>
      </c>
      <c r="W22" s="15">
        <f>ABS(V22)/E22</f>
        <v>2.40238</v>
      </c>
      <c r="X22" s="15">
        <f>TRUNC(IF(OR([OPER/TIPO]="CV",[OPER/TIPO]="VV"),     M22*SETUP!$H$3,     0),2)</f>
        <v>0</v>
      </c>
      <c r="Y22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500</v>
      </c>
      <c r="Z22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2.40238</v>
      </c>
      <c r="AA22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22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22" s="21">
        <f>IF(['[A/O']]="O",[LUCRO OP]*0.15,0)</f>
        <v>0</v>
      </c>
      <c r="AD22" s="20">
        <f>[LUCRO OP]/ABS([VALOR P/ OP])</f>
        <v>0</v>
      </c>
      <c r="AE22" s="15">
        <f>SUMPRODUCT(N(YEAR([D LIQUID])=YEAR(NC[[#This Row],[D LIQUID]])),N(MONTH([D LIQUID])=MONTH(NC[[#This Row],[D LIQUID]])),N(['[D/N']]="N"),[LUCRO OP])</f>
        <v>-467.17999999999961</v>
      </c>
      <c r="AF22" s="15">
        <f>SUMPRODUCT(N(YEAR([D LIQUID])=YEAR(NC[[#This Row],[D LIQUID]])),N(MONTH([D LIQUID])=MONTH(NC[[#This Row],[D LIQUID]])),N(['[D/N']]="D"),[LUCRO OP])</f>
        <v>0</v>
      </c>
      <c r="AG22" s="15">
        <f>[LUCRO N '[A']]+[LUCRO D]</f>
        <v>-467.17999999999961</v>
      </c>
      <c r="AH22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3" spans="1:34" s="13" customFormat="1">
      <c r="A23" s="13">
        <v>22</v>
      </c>
      <c r="B23" s="13" t="s">
        <v>11</v>
      </c>
      <c r="C23" s="13" t="s">
        <v>52</v>
      </c>
      <c r="D23" s="14">
        <v>40948</v>
      </c>
      <c r="E23" s="13">
        <v>1600</v>
      </c>
      <c r="F23" s="15">
        <v>0.4</v>
      </c>
      <c r="G23" s="21">
        <v>0</v>
      </c>
      <c r="H23" s="15" t="s">
        <v>58</v>
      </c>
      <c r="I23" s="13" t="s">
        <v>12</v>
      </c>
      <c r="J23" s="14">
        <f>WORKDAY(NC[[#This Row],[DATA]],IF(['[A/O']]="A",3,1))</f>
        <v>40953</v>
      </c>
      <c r="K23" s="13">
        <f>EOMONTH(NC[[#This Row],[D LIQUID]],0)</f>
        <v>40968</v>
      </c>
      <c r="L23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23" s="15">
        <f>[QTDE]*[PREÇO]+[CORREÇÃO]</f>
        <v>640</v>
      </c>
      <c r="N23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640</v>
      </c>
      <c r="O23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0.17</v>
      </c>
      <c r="P23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0.04</v>
      </c>
      <c r="Q23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3" s="15">
        <f>SETUP!$E$3*SUMPRODUCT(N([DATA]=NC[[#This Row],[DATA]]),N([ID]&lt;=NC[[#This Row],[ID]]))</f>
        <v>14.9</v>
      </c>
      <c r="S23" s="15">
        <f>TRUNC([CORR. BASE]*SETUP!$F$3,2)</f>
        <v>0.28999999999999998</v>
      </c>
      <c r="T23" s="15">
        <f>TRUNC([CORR. BASE]*SETUP!$G$3,2)</f>
        <v>0.57999999999999996</v>
      </c>
      <c r="U23" s="15">
        <f>[VL LIQUID]-[TX LIQUID]-[EMOL]-[REGISTRO]-[CORR. BASE]-[ISS]-[OUTRAS]</f>
        <v>624.0200000000001</v>
      </c>
      <c r="V23" s="15">
        <f>[LÍQUIDO]-SUMPRODUCT(N([DATA]=NC[[#This Row],[DATA]]),N([ID]=(NC[[#This Row],[ID]]-1)),[LÍQUIDO])</f>
        <v>624.0200000000001</v>
      </c>
      <c r="W23" s="15">
        <f>ABS(V23)/E23</f>
        <v>0.39001250000000004</v>
      </c>
      <c r="X23" s="15">
        <f>TRUNC(IF(OR([OPER/TIPO]="CV",[OPER/TIPO]="VV"),     M23*SETUP!$H$3,     0),2)</f>
        <v>0.03</v>
      </c>
      <c r="Y23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400</v>
      </c>
      <c r="Z23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0.50805500000000003</v>
      </c>
      <c r="AA23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0.39001250000000004</v>
      </c>
      <c r="AB23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-188.86799999999999</v>
      </c>
      <c r="AC23" s="21">
        <f>IF(['[A/O']]="O",[LUCRO OP]*0.15,0)</f>
        <v>0</v>
      </c>
      <c r="AD23" s="20">
        <f>[LUCRO OP]/ABS([VALOR P/ OP])</f>
        <v>-0.30266337617384054</v>
      </c>
      <c r="AE23" s="15">
        <f>SUMPRODUCT(N(YEAR([D LIQUID])=YEAR(NC[[#This Row],[D LIQUID]])),N(MONTH([D LIQUID])=MONTH(NC[[#This Row],[D LIQUID]])),N(['[D/N']]="N"),[LUCRO OP])</f>
        <v>-467.17999999999961</v>
      </c>
      <c r="AF23" s="15">
        <f>SUMPRODUCT(N(YEAR([D LIQUID])=YEAR(NC[[#This Row],[D LIQUID]])),N(MONTH([D LIQUID])=MONTH(NC[[#This Row],[D LIQUID]])),N(['[D/N']]="D"),[LUCRO OP])</f>
        <v>0</v>
      </c>
      <c r="AG23" s="15">
        <f>[LUCRO N '[A']]+[LUCRO D]</f>
        <v>-467.17999999999961</v>
      </c>
      <c r="AH23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4" spans="1:34" s="13" customFormat="1">
      <c r="A24" s="13">
        <v>23</v>
      </c>
      <c r="B24" s="13" t="s">
        <v>13</v>
      </c>
      <c r="C24" s="13" t="s">
        <v>51</v>
      </c>
      <c r="D24" s="14">
        <v>40948</v>
      </c>
      <c r="E24" s="13">
        <v>3000</v>
      </c>
      <c r="F24" s="15">
        <v>0.2</v>
      </c>
      <c r="G24" s="21">
        <v>0</v>
      </c>
      <c r="H24" s="15" t="s">
        <v>58</v>
      </c>
      <c r="I24" s="13" t="s">
        <v>12</v>
      </c>
      <c r="J24" s="14">
        <f>WORKDAY(NC[[#This Row],[DATA]],IF(['[A/O']]="A",3,1))</f>
        <v>40953</v>
      </c>
      <c r="K24" s="13">
        <f>EOMONTH(NC[[#This Row],[D LIQUID]],0)</f>
        <v>40968</v>
      </c>
      <c r="L24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24" s="15">
        <f>[QTDE]*[PREÇO]+[CORREÇÃO]</f>
        <v>600</v>
      </c>
      <c r="N24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40</v>
      </c>
      <c r="O24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0.34</v>
      </c>
      <c r="P24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0.08</v>
      </c>
      <c r="Q24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4" s="15">
        <f>SETUP!$E$3*SUMPRODUCT(N([DATA]=NC[[#This Row],[DATA]]),N([ID]&lt;=NC[[#This Row],[ID]]))</f>
        <v>29.8</v>
      </c>
      <c r="S24" s="15">
        <f>TRUNC([CORR. BASE]*SETUP!$F$3,2)</f>
        <v>0.59</v>
      </c>
      <c r="T24" s="15">
        <f>TRUNC([CORR. BASE]*SETUP!$G$3,2)</f>
        <v>1.1599999999999999</v>
      </c>
      <c r="U24" s="15">
        <f>[VL LIQUID]-[TX LIQUID]-[EMOL]-[REGISTRO]-[CORR. BASE]-[ISS]-[OUTRAS]</f>
        <v>8.0299999999999976</v>
      </c>
      <c r="V24" s="15">
        <f>[LÍQUIDO]-SUMPRODUCT(N([DATA]=NC[[#This Row],[DATA]]),N([ID]=(NC[[#This Row],[ID]]-1)),[LÍQUIDO])</f>
        <v>-615.99000000000012</v>
      </c>
      <c r="W24" s="15">
        <f>ABS(V24)/E24</f>
        <v>0.20533000000000004</v>
      </c>
      <c r="X24" s="15">
        <f>TRUNC(IF(OR([OPER/TIPO]="CV",[OPER/TIPO]="VV"),     M24*SETUP!$H$3,     0),2)</f>
        <v>0</v>
      </c>
      <c r="Y24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3000</v>
      </c>
      <c r="Z24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0.20533000000000004</v>
      </c>
      <c r="AA24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24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24" s="21">
        <f>IF(['[A/O']]="O",[LUCRO OP]*0.15,0)</f>
        <v>0</v>
      </c>
      <c r="AD24" s="20">
        <f>[LUCRO OP]/ABS([VALOR P/ OP])</f>
        <v>0</v>
      </c>
      <c r="AE24" s="15">
        <f>SUMPRODUCT(N(YEAR([D LIQUID])=YEAR(NC[[#This Row],[D LIQUID]])),N(MONTH([D LIQUID])=MONTH(NC[[#This Row],[D LIQUID]])),N(['[D/N']]="N"),[LUCRO OP])</f>
        <v>-467.17999999999961</v>
      </c>
      <c r="AF24" s="15">
        <f>SUMPRODUCT(N(YEAR([D LIQUID])=YEAR(NC[[#This Row],[D LIQUID]])),N(MONTH([D LIQUID])=MONTH(NC[[#This Row],[D LIQUID]])),N(['[D/N']]="D"),[LUCRO OP])</f>
        <v>0</v>
      </c>
      <c r="AG24" s="15">
        <f>[LUCRO N '[A']]+[LUCRO D]</f>
        <v>-467.17999999999961</v>
      </c>
      <c r="AH24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5" spans="1:34" s="13" customFormat="1">
      <c r="A25" s="13">
        <v>24</v>
      </c>
      <c r="B25" s="13" t="s">
        <v>11</v>
      </c>
      <c r="C25" s="13" t="s">
        <v>52</v>
      </c>
      <c r="D25" s="14">
        <v>40962</v>
      </c>
      <c r="E25" s="13">
        <v>400</v>
      </c>
      <c r="F25" s="15">
        <v>0.38</v>
      </c>
      <c r="G25" s="21">
        <v>0</v>
      </c>
      <c r="H25" s="15" t="s">
        <v>58</v>
      </c>
      <c r="I25" s="13" t="s">
        <v>12</v>
      </c>
      <c r="J25" s="14">
        <f>WORKDAY(NC[[#This Row],[DATA]],IF(['[A/O']]="A",3,1))</f>
        <v>40967</v>
      </c>
      <c r="K25" s="13">
        <f>EOMONTH(NC[[#This Row],[D LIQUID]],0)</f>
        <v>40968</v>
      </c>
      <c r="L25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25" s="15">
        <f>[QTDE]*[PREÇO]+[CORREÇÃO]</f>
        <v>152</v>
      </c>
      <c r="N25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152</v>
      </c>
      <c r="O25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0.04</v>
      </c>
      <c r="P25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0.01</v>
      </c>
      <c r="Q25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5" s="15">
        <f>SETUP!$E$3*SUMPRODUCT(N([DATA]=NC[[#This Row],[DATA]]),N([ID]&lt;=NC[[#This Row],[ID]]))</f>
        <v>14.9</v>
      </c>
      <c r="S25" s="15">
        <f>TRUNC([CORR. BASE]*SETUP!$F$3,2)</f>
        <v>0.28999999999999998</v>
      </c>
      <c r="T25" s="15">
        <f>TRUNC([CORR. BASE]*SETUP!$G$3,2)</f>
        <v>0.57999999999999996</v>
      </c>
      <c r="U25" s="15">
        <f>[VL LIQUID]-[TX LIQUID]-[EMOL]-[REGISTRO]-[CORR. BASE]-[ISS]-[OUTRAS]</f>
        <v>136.18</v>
      </c>
      <c r="V25" s="15">
        <f>[LÍQUIDO]-SUMPRODUCT(N([DATA]=NC[[#This Row],[DATA]]),N([ID]=(NC[[#This Row],[ID]]-1)),[LÍQUIDO])</f>
        <v>136.18</v>
      </c>
      <c r="W25" s="15">
        <f>ABS(V25)/E25</f>
        <v>0.34045000000000003</v>
      </c>
      <c r="X25" s="15">
        <f>TRUNC(IF(OR([OPER/TIPO]="CV",[OPER/TIPO]="VV"),     M25*SETUP!$H$3,     0),2)</f>
        <v>0</v>
      </c>
      <c r="Y25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25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0.50805500000000003</v>
      </c>
      <c r="AA25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0.34045000000000003</v>
      </c>
      <c r="AB25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-67.042000000000002</v>
      </c>
      <c r="AC25" s="21">
        <f>IF(['[A/O']]="O",[LUCRO OP]*0.15,0)</f>
        <v>0</v>
      </c>
      <c r="AD25" s="20">
        <f>[LUCRO OP]/ABS([VALOR P/ OP])</f>
        <v>-0.49230430312821266</v>
      </c>
      <c r="AE25" s="15">
        <f>SUMPRODUCT(N(YEAR([D LIQUID])=YEAR(NC[[#This Row],[D LIQUID]])),N(MONTH([D LIQUID])=MONTH(NC[[#This Row],[D LIQUID]])),N(['[D/N']]="N"),[LUCRO OP])</f>
        <v>-467.17999999999961</v>
      </c>
      <c r="AF25" s="15">
        <f>SUMPRODUCT(N(YEAR([D LIQUID])=YEAR(NC[[#This Row],[D LIQUID]])),N(MONTH([D LIQUID])=MONTH(NC[[#This Row],[D LIQUID]])),N(['[D/N']]="D"),[LUCRO OP])</f>
        <v>0</v>
      </c>
      <c r="AG25" s="15">
        <f>[LUCRO N '[A']]+[LUCRO D]</f>
        <v>-467.17999999999961</v>
      </c>
      <c r="AH25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6" spans="1:34" s="13" customFormat="1">
      <c r="A26" s="13">
        <v>25</v>
      </c>
      <c r="B26" s="13" t="s">
        <v>13</v>
      </c>
      <c r="C26" s="13" t="s">
        <v>52</v>
      </c>
      <c r="D26" s="14">
        <v>40967</v>
      </c>
      <c r="E26" s="13">
        <v>3000</v>
      </c>
      <c r="F26" s="15">
        <v>0.17</v>
      </c>
      <c r="G26" s="21">
        <v>0</v>
      </c>
      <c r="H26" s="15" t="s">
        <v>58</v>
      </c>
      <c r="I26" s="13" t="s">
        <v>12</v>
      </c>
      <c r="J26" s="14">
        <f>WORKDAY(NC[[#This Row],[DATA]],IF(['[A/O']]="A",3,1))</f>
        <v>40970</v>
      </c>
      <c r="K26" s="13">
        <f>EOMONTH(NC[[#This Row],[D LIQUID]],0)</f>
        <v>40999</v>
      </c>
      <c r="L26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26" s="15">
        <f>[QTDE]*[PREÇO]+[CORREÇÃO]</f>
        <v>510.00000000000006</v>
      </c>
      <c r="N26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510.00000000000006</v>
      </c>
      <c r="O26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0.14000000000000001</v>
      </c>
      <c r="P26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0.03</v>
      </c>
      <c r="Q26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6" s="15">
        <f>SETUP!$E$3*SUMPRODUCT(N([DATA]=NC[[#This Row],[DATA]]),N([ID]&lt;=NC[[#This Row],[ID]]))</f>
        <v>14.9</v>
      </c>
      <c r="S26" s="15">
        <f>TRUNC([CORR. BASE]*SETUP!$F$3,2)</f>
        <v>0.28999999999999998</v>
      </c>
      <c r="T26" s="15">
        <f>TRUNC([CORR. BASE]*SETUP!$G$3,2)</f>
        <v>0.57999999999999996</v>
      </c>
      <c r="U26" s="15">
        <f>[VL LIQUID]-[TX LIQUID]-[EMOL]-[REGISTRO]-[CORR. BASE]-[ISS]-[OUTRAS]</f>
        <v>494.06000000000012</v>
      </c>
      <c r="V26" s="15">
        <f>[LÍQUIDO]-SUMPRODUCT(N([DATA]=NC[[#This Row],[DATA]]),N([ID]=(NC[[#This Row],[ID]]-1)),[LÍQUIDO])</f>
        <v>494.06000000000012</v>
      </c>
      <c r="W26" s="15">
        <f>ABS(V26)/E26</f>
        <v>0.1646866666666667</v>
      </c>
      <c r="X26" s="15">
        <f>TRUNC(IF(OR([OPER/TIPO]="CV",[OPER/TIPO]="VV"),     M26*SETUP!$H$3,     0),2)</f>
        <v>0.02</v>
      </c>
      <c r="Y26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26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0.20533000000000004</v>
      </c>
      <c r="AA26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0.1646866666666667</v>
      </c>
      <c r="AB26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-121.93</v>
      </c>
      <c r="AC26" s="21">
        <f>IF(['[A/O']]="O",[LUCRO OP]*0.15,0)</f>
        <v>0</v>
      </c>
      <c r="AD26" s="20">
        <f>[LUCRO OP]/ABS([VALOR P/ OP])</f>
        <v>-0.24679188762498477</v>
      </c>
      <c r="AE26" s="15">
        <f>SUMPRODUCT(N(YEAR([D LIQUID])=YEAR(NC[[#This Row],[D LIQUID]])),N(MONTH([D LIQUID])=MONTH(NC[[#This Row],[D LIQUID]])),N(['[D/N']]="N"),[LUCRO OP])</f>
        <v>-1347.6999999999994</v>
      </c>
      <c r="AF26" s="15">
        <f>SUMPRODUCT(N(YEAR([D LIQUID])=YEAR(NC[[#This Row],[D LIQUID]])),N(MONTH([D LIQUID])=MONTH(NC[[#This Row],[D LIQUID]])),N(['[D/N']]="D"),[LUCRO OP])</f>
        <v>0</v>
      </c>
      <c r="AG26" s="15">
        <f>[LUCRO N '[A']]+[LUCRO D]</f>
        <v>-1347.6999999999994</v>
      </c>
      <c r="AH26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27" spans="1:34" s="13" customFormat="1">
      <c r="A27" s="13">
        <v>26</v>
      </c>
      <c r="B27" s="13" t="s">
        <v>28</v>
      </c>
      <c r="C27" s="13" t="s">
        <v>52</v>
      </c>
      <c r="D27" s="14">
        <v>40967</v>
      </c>
      <c r="E27" s="13">
        <v>3000</v>
      </c>
      <c r="F27" s="15">
        <v>0.27</v>
      </c>
      <c r="G27" s="21">
        <v>0</v>
      </c>
      <c r="H27" s="15" t="s">
        <v>58</v>
      </c>
      <c r="I27" s="13" t="s">
        <v>12</v>
      </c>
      <c r="J27" s="14">
        <f>WORKDAY(NC[[#This Row],[DATA]],IF(['[A/O']]="A",3,1))</f>
        <v>40970</v>
      </c>
      <c r="K27" s="13">
        <f>EOMONTH(NC[[#This Row],[D LIQUID]],0)</f>
        <v>40999</v>
      </c>
      <c r="L27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27" s="15">
        <f>[QTDE]*[PREÇO]+[CORREÇÃO]</f>
        <v>810</v>
      </c>
      <c r="N27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1320</v>
      </c>
      <c r="O27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0.36</v>
      </c>
      <c r="P27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0.09</v>
      </c>
      <c r="Q27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7" s="15">
        <f>SETUP!$E$3*SUMPRODUCT(N([DATA]=NC[[#This Row],[DATA]]),N([ID]&lt;=NC[[#This Row],[ID]]))</f>
        <v>29.8</v>
      </c>
      <c r="S27" s="15">
        <f>TRUNC([CORR. BASE]*SETUP!$F$3,2)</f>
        <v>0.59</v>
      </c>
      <c r="T27" s="15">
        <f>TRUNC([CORR. BASE]*SETUP!$G$3,2)</f>
        <v>1.1599999999999999</v>
      </c>
      <c r="U27" s="15">
        <f>[VL LIQUID]-[TX LIQUID]-[EMOL]-[REGISTRO]-[CORR. BASE]-[ISS]-[OUTRAS]</f>
        <v>1288.0000000000002</v>
      </c>
      <c r="V27" s="15">
        <f>[LÍQUIDO]-SUMPRODUCT(N([DATA]=NC[[#This Row],[DATA]]),N([ID]=(NC[[#This Row],[ID]]-1)),[LÍQUIDO])</f>
        <v>793.94</v>
      </c>
      <c r="W27" s="15">
        <f>ABS(V27)/E27</f>
        <v>0.2646466666666667</v>
      </c>
      <c r="X27" s="15">
        <f>TRUNC(IF(OR([OPER/TIPO]="CV",[OPER/TIPO]="VV"),     M27*SETUP!$H$3,     0),2)</f>
        <v>0.04</v>
      </c>
      <c r="Y27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3000</v>
      </c>
      <c r="Z27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0.39839500000000005</v>
      </c>
      <c r="AA27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0.2646466666666667</v>
      </c>
      <c r="AB27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-401.24500000000006</v>
      </c>
      <c r="AC27" s="21">
        <f>IF(['[A/O']]="O",[LUCRO OP]*0.15,0)</f>
        <v>0</v>
      </c>
      <c r="AD27" s="20">
        <f>[LUCRO OP]/ABS([VALOR P/ OP])</f>
        <v>-0.50538453787439863</v>
      </c>
      <c r="AE27" s="15">
        <f>SUMPRODUCT(N(YEAR([D LIQUID])=YEAR(NC[[#This Row],[D LIQUID]])),N(MONTH([D LIQUID])=MONTH(NC[[#This Row],[D LIQUID]])),N(['[D/N']]="N"),[LUCRO OP])</f>
        <v>-1347.6999999999994</v>
      </c>
      <c r="AF27" s="15">
        <f>SUMPRODUCT(N(YEAR([D LIQUID])=YEAR(NC[[#This Row],[D LIQUID]])),N(MONTH([D LIQUID])=MONTH(NC[[#This Row],[D LIQUID]])),N(['[D/N']]="D"),[LUCRO OP])</f>
        <v>0</v>
      </c>
      <c r="AG27" s="15">
        <f>[LUCRO N '[A']]+[LUCRO D]</f>
        <v>-1347.6999999999994</v>
      </c>
      <c r="AH27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28" spans="1:34">
      <c r="A28" s="13">
        <v>27</v>
      </c>
      <c r="B28" s="13" t="s">
        <v>28</v>
      </c>
      <c r="C28" s="13" t="s">
        <v>52</v>
      </c>
      <c r="D28" s="14">
        <v>40968</v>
      </c>
      <c r="E28" s="13">
        <v>3000</v>
      </c>
      <c r="F28" s="15">
        <v>0.25</v>
      </c>
      <c r="G28" s="21">
        <v>0</v>
      </c>
      <c r="H28" s="15" t="s">
        <v>58</v>
      </c>
      <c r="I28" s="13" t="s">
        <v>12</v>
      </c>
      <c r="J28" s="14">
        <f>WORKDAY(NC[[#This Row],[DATA]],IF(['[A/O']]="A",3,1))</f>
        <v>40973</v>
      </c>
      <c r="K28" s="13">
        <f>EOMONTH(NC[[#This Row],[D LIQUID]],0)</f>
        <v>40999</v>
      </c>
      <c r="L28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28" s="15">
        <f>[QTDE]*[PREÇO]+[CORREÇÃO]</f>
        <v>750</v>
      </c>
      <c r="N28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750</v>
      </c>
      <c r="O28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</v>
      </c>
      <c r="P28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0.05</v>
      </c>
      <c r="Q28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8" s="15">
        <f>SETUP!$E$3*SUMPRODUCT(N([DATA]=NC[[#This Row],[DATA]]),N([ID]&lt;=NC[[#This Row],[ID]]))</f>
        <v>14.9</v>
      </c>
      <c r="S28" s="15">
        <f>TRUNC([CORR. BASE]*SETUP!$F$3,2)</f>
        <v>0.28999999999999998</v>
      </c>
      <c r="T28" s="15">
        <f>TRUNC([CORR. BASE]*SETUP!$G$3,2)</f>
        <v>0.57999999999999996</v>
      </c>
      <c r="U28" s="15">
        <f>[VL LIQUID]-[TX LIQUID]-[EMOL]-[REGISTRO]-[CORR. BASE]-[ISS]-[OUTRAS]</f>
        <v>733.98</v>
      </c>
      <c r="V28" s="15">
        <f>[LÍQUIDO]-SUMPRODUCT(N([DATA]=NC[[#This Row],[DATA]]),N([ID]=(NC[[#This Row],[ID]]-1)),[LÍQUIDO])</f>
        <v>733.98</v>
      </c>
      <c r="W28" s="15">
        <f>ABS(V28)/E28</f>
        <v>0.24466000000000002</v>
      </c>
      <c r="X28" s="15">
        <f>TRUNC(IF(OR([OPER/TIPO]="CV",[OPER/TIPO]="VV"),     M28*SETUP!$H$3,     0),2)</f>
        <v>0.03</v>
      </c>
      <c r="Y28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28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0.39839500000000005</v>
      </c>
      <c r="AA28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0.24466000000000002</v>
      </c>
      <c r="AB28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-461.2050000000001</v>
      </c>
      <c r="AC28" s="21">
        <f>IF(['[A/O']]="O",[LUCRO OP]*0.15,0)</f>
        <v>0</v>
      </c>
      <c r="AD28" s="20">
        <f>[LUCRO OP]/ABS([VALOR P/ OP])</f>
        <v>-0.62836180822365739</v>
      </c>
      <c r="AE28" s="15">
        <f>SUMPRODUCT(N(YEAR([D LIQUID])=YEAR(NC[[#This Row],[D LIQUID]])),N(MONTH([D LIQUID])=MONTH(NC[[#This Row],[D LIQUID]])),N(['[D/N']]="N"),[LUCRO OP])</f>
        <v>-1347.6999999999994</v>
      </c>
      <c r="AF28" s="15">
        <f>SUMPRODUCT(N(YEAR([D LIQUID])=YEAR(NC[[#This Row],[D LIQUID]])),N(MONTH([D LIQUID])=MONTH(NC[[#This Row],[D LIQUID]])),N(['[D/N']]="D"),[LUCRO OP])</f>
        <v>0</v>
      </c>
      <c r="AG28" s="15">
        <f>[LUCRO N '[A']]+[LUCRO D]</f>
        <v>-1347.6999999999994</v>
      </c>
      <c r="AH28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29" spans="1:34">
      <c r="A29" s="13">
        <v>28</v>
      </c>
      <c r="B29" s="13" t="s">
        <v>36</v>
      </c>
      <c r="C29" s="13" t="s">
        <v>51</v>
      </c>
      <c r="D29" s="14">
        <v>40970</v>
      </c>
      <c r="E29" s="13">
        <v>500</v>
      </c>
      <c r="F29" s="15">
        <v>2.12</v>
      </c>
      <c r="G29" s="21">
        <v>0</v>
      </c>
      <c r="H29" s="15" t="s">
        <v>58</v>
      </c>
      <c r="I29" s="13" t="s">
        <v>12</v>
      </c>
      <c r="J29" s="14">
        <f>WORKDAY(NC[[#This Row],[DATA]],IF(['[A/O']]="A",3,1))</f>
        <v>40975</v>
      </c>
      <c r="K29" s="13">
        <f>EOMONTH(NC[[#This Row],[D LIQUID]],0)</f>
        <v>40999</v>
      </c>
      <c r="L29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29" s="15">
        <f>[QTDE]*[PREÇO]+[CORREÇÃO]</f>
        <v>1060</v>
      </c>
      <c r="N29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-1060</v>
      </c>
      <c r="O29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0.28999999999999998</v>
      </c>
      <c r="P29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7.0000000000000007E-2</v>
      </c>
      <c r="Q29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9" s="15">
        <f>SETUP!$E$3*SUMPRODUCT(N([DATA]=NC[[#This Row],[DATA]]),N([ID]&lt;=NC[[#This Row],[ID]]))</f>
        <v>14.9</v>
      </c>
      <c r="S29" s="15">
        <f>TRUNC([CORR. BASE]*SETUP!$F$3,2)</f>
        <v>0.28999999999999998</v>
      </c>
      <c r="T29" s="15">
        <f>TRUNC([CORR. BASE]*SETUP!$G$3,2)</f>
        <v>0.57999999999999996</v>
      </c>
      <c r="U29" s="15">
        <f>[VL LIQUID]-[TX LIQUID]-[EMOL]-[REGISTRO]-[CORR. BASE]-[ISS]-[OUTRAS]</f>
        <v>-1076.1299999999999</v>
      </c>
      <c r="V29" s="15">
        <f>[LÍQUIDO]-SUMPRODUCT(N([DATA]=NC[[#This Row],[DATA]]),N([ID]=(NC[[#This Row],[ID]]-1)),[LÍQUIDO])</f>
        <v>-1076.1299999999999</v>
      </c>
      <c r="W29" s="15">
        <f>ABS(V29)/E29</f>
        <v>2.1522599999999996</v>
      </c>
      <c r="X29" s="15">
        <f>TRUNC(IF(OR([OPER/TIPO]="CV",[OPER/TIPO]="VV"),     M29*SETUP!$H$3,     0),2)</f>
        <v>0</v>
      </c>
      <c r="Y29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500</v>
      </c>
      <c r="Z29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2.1522599999999996</v>
      </c>
      <c r="AA29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29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29" s="21">
        <f>IF(['[A/O']]="O",[LUCRO OP]*0.15,0)</f>
        <v>0</v>
      </c>
      <c r="AD29" s="20">
        <f>[LUCRO OP]/ABS([VALOR P/ OP])</f>
        <v>0</v>
      </c>
      <c r="AE29" s="15">
        <f>SUMPRODUCT(N(YEAR([D LIQUID])=YEAR(NC[[#This Row],[D LIQUID]])),N(MONTH([D LIQUID])=MONTH(NC[[#This Row],[D LIQUID]])),N(['[D/N']]="N"),[LUCRO OP])</f>
        <v>-1347.6999999999994</v>
      </c>
      <c r="AF29" s="15">
        <f>SUMPRODUCT(N(YEAR([D LIQUID])=YEAR(NC[[#This Row],[D LIQUID]])),N(MONTH([D LIQUID])=MONTH(NC[[#This Row],[D LIQUID]])),N(['[D/N']]="D"),[LUCRO OP])</f>
        <v>0</v>
      </c>
      <c r="AG29" s="15">
        <f>[LUCRO N '[A']]+[LUCRO D]</f>
        <v>-1347.6999999999994</v>
      </c>
      <c r="AH29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0" spans="1:34">
      <c r="A30" s="13">
        <v>29</v>
      </c>
      <c r="B30" s="13" t="s">
        <v>25</v>
      </c>
      <c r="C30" s="13" t="s">
        <v>51</v>
      </c>
      <c r="D30" s="14">
        <v>40970</v>
      </c>
      <c r="E30" s="13">
        <v>200</v>
      </c>
      <c r="F30" s="15">
        <v>4.95</v>
      </c>
      <c r="G30" s="21">
        <v>0</v>
      </c>
      <c r="H30" s="15" t="s">
        <v>58</v>
      </c>
      <c r="I30" s="13" t="s">
        <v>12</v>
      </c>
      <c r="J30" s="14">
        <f>WORKDAY(NC[[#This Row],[DATA]],IF(['[A/O']]="A",3,1))</f>
        <v>40975</v>
      </c>
      <c r="K30" s="13">
        <f>EOMONTH(NC[[#This Row],[D LIQUID]],0)</f>
        <v>40999</v>
      </c>
      <c r="L30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30" s="15">
        <f>[QTDE]*[PREÇO]+[CORREÇÃO]</f>
        <v>990</v>
      </c>
      <c r="N30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-2050</v>
      </c>
      <c r="O30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0.56000000000000005</v>
      </c>
      <c r="P30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0.14000000000000001</v>
      </c>
      <c r="Q30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0" s="15">
        <f>SETUP!$E$3*SUMPRODUCT(N([DATA]=NC[[#This Row],[DATA]]),N([ID]&lt;=NC[[#This Row],[ID]]))</f>
        <v>29.8</v>
      </c>
      <c r="S30" s="15">
        <f>TRUNC([CORR. BASE]*SETUP!$F$3,2)</f>
        <v>0.59</v>
      </c>
      <c r="T30" s="15">
        <f>TRUNC([CORR. BASE]*SETUP!$G$3,2)</f>
        <v>1.1599999999999999</v>
      </c>
      <c r="U30" s="15">
        <f>[VL LIQUID]-[TX LIQUID]-[EMOL]-[REGISTRO]-[CORR. BASE]-[ISS]-[OUTRAS]</f>
        <v>-2082.25</v>
      </c>
      <c r="V30" s="15">
        <f>[LÍQUIDO]-SUMPRODUCT(N([DATA]=NC[[#This Row],[DATA]]),N([ID]=(NC[[#This Row],[ID]]-1)),[LÍQUIDO])</f>
        <v>-1006.1200000000001</v>
      </c>
      <c r="W30" s="15">
        <f>ABS(V30)/E30</f>
        <v>5.0306000000000006</v>
      </c>
      <c r="X30" s="15">
        <f>TRUNC(IF(OR([OPER/TIPO]="CV",[OPER/TIPO]="VV"),     M30*SETUP!$H$3,     0),2)</f>
        <v>0</v>
      </c>
      <c r="Y30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200</v>
      </c>
      <c r="Z30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5.0306000000000006</v>
      </c>
      <c r="AA30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30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30" s="21">
        <f>IF(['[A/O']]="O",[LUCRO OP]*0.15,0)</f>
        <v>0</v>
      </c>
      <c r="AD30" s="20">
        <f>[LUCRO OP]/ABS([VALOR P/ OP])</f>
        <v>0</v>
      </c>
      <c r="AE30" s="15">
        <f>SUMPRODUCT(N(YEAR([D LIQUID])=YEAR(NC[[#This Row],[D LIQUID]])),N(MONTH([D LIQUID])=MONTH(NC[[#This Row],[D LIQUID]])),N(['[D/N']]="N"),[LUCRO OP])</f>
        <v>-1347.6999999999994</v>
      </c>
      <c r="AF30" s="15">
        <f>SUMPRODUCT(N(YEAR([D LIQUID])=YEAR(NC[[#This Row],[D LIQUID]])),N(MONTH([D LIQUID])=MONTH(NC[[#This Row],[D LIQUID]])),N(['[D/N']]="D"),[LUCRO OP])</f>
        <v>0</v>
      </c>
      <c r="AG30" s="15">
        <f>[LUCRO N '[A']]+[LUCRO D]</f>
        <v>-1347.6999999999994</v>
      </c>
      <c r="AH30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1" spans="1:34">
      <c r="A31" s="13">
        <v>30</v>
      </c>
      <c r="B31" s="13" t="s">
        <v>36</v>
      </c>
      <c r="C31" s="13" t="s">
        <v>52</v>
      </c>
      <c r="D31" s="14">
        <v>40974</v>
      </c>
      <c r="E31" s="13">
        <v>500</v>
      </c>
      <c r="F31" s="15">
        <v>2.04</v>
      </c>
      <c r="G31" s="21">
        <v>0</v>
      </c>
      <c r="H31" s="15" t="s">
        <v>58</v>
      </c>
      <c r="I31" s="13" t="s">
        <v>12</v>
      </c>
      <c r="J31" s="14">
        <f>WORKDAY(NC[[#This Row],[DATA]],IF(['[A/O']]="A",3,1))</f>
        <v>40977</v>
      </c>
      <c r="K31" s="13">
        <f>EOMONTH(NC[[#This Row],[D LIQUID]],0)</f>
        <v>40999</v>
      </c>
      <c r="L31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31" s="15">
        <f>[QTDE]*[PREÇO]+[CORREÇÃO]</f>
        <v>1020</v>
      </c>
      <c r="N31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1020</v>
      </c>
      <c r="O31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0.28000000000000003</v>
      </c>
      <c r="P31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7.0000000000000007E-2</v>
      </c>
      <c r="Q31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1" s="15">
        <f>SETUP!$E$3*SUMPRODUCT(N([DATA]=NC[[#This Row],[DATA]]),N([ID]&lt;=NC[[#This Row],[ID]]))</f>
        <v>14.9</v>
      </c>
      <c r="S31" s="15">
        <f>TRUNC([CORR. BASE]*SETUP!$F$3,2)</f>
        <v>0.28999999999999998</v>
      </c>
      <c r="T31" s="15">
        <f>TRUNC([CORR. BASE]*SETUP!$G$3,2)</f>
        <v>0.57999999999999996</v>
      </c>
      <c r="U31" s="15">
        <f>[VL LIQUID]-[TX LIQUID]-[EMOL]-[REGISTRO]-[CORR. BASE]-[ISS]-[OUTRAS]</f>
        <v>1003.88</v>
      </c>
      <c r="V31" s="15">
        <f>[LÍQUIDO]-SUMPRODUCT(N([DATA]=NC[[#This Row],[DATA]]),N([ID]=(NC[[#This Row],[ID]]-1)),[LÍQUIDO])</f>
        <v>1003.88</v>
      </c>
      <c r="W31" s="15">
        <f>ABS(V31)/E31</f>
        <v>2.0077600000000002</v>
      </c>
      <c r="X31" s="15">
        <f>TRUNC(IF(OR([OPER/TIPO]="CV",[OPER/TIPO]="VV"),     M31*SETUP!$H$3,     0),2)</f>
        <v>0.05</v>
      </c>
      <c r="Y31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31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2.1522599999999996</v>
      </c>
      <c r="AA31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2.0077600000000002</v>
      </c>
      <c r="AB31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-72.249999999999702</v>
      </c>
      <c r="AC31" s="21">
        <f>IF(['[A/O']]="O",[LUCRO OP]*0.15,0)</f>
        <v>0</v>
      </c>
      <c r="AD31" s="20">
        <f>[LUCRO OP]/ABS([VALOR P/ OP])</f>
        <v>-7.1970753476510843E-2</v>
      </c>
      <c r="AE31" s="15">
        <f>SUMPRODUCT(N(YEAR([D LIQUID])=YEAR(NC[[#This Row],[D LIQUID]])),N(MONTH([D LIQUID])=MONTH(NC[[#This Row],[D LIQUID]])),N(['[D/N']]="N"),[LUCRO OP])</f>
        <v>-1347.6999999999994</v>
      </c>
      <c r="AF31" s="15">
        <f>SUMPRODUCT(N(YEAR([D LIQUID])=YEAR(NC[[#This Row],[D LIQUID]])),N(MONTH([D LIQUID])=MONTH(NC[[#This Row],[D LIQUID]])),N(['[D/N']]="D"),[LUCRO OP])</f>
        <v>0</v>
      </c>
      <c r="AG31" s="15">
        <f>[LUCRO N '[A']]+[LUCRO D]</f>
        <v>-1347.6999999999994</v>
      </c>
      <c r="AH31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2" spans="1:34">
      <c r="A32" s="13">
        <v>31</v>
      </c>
      <c r="B32" s="13" t="s">
        <v>49</v>
      </c>
      <c r="C32" s="13" t="s">
        <v>53</v>
      </c>
      <c r="D32" s="14">
        <v>40976</v>
      </c>
      <c r="E32" s="13">
        <v>200</v>
      </c>
      <c r="F32" s="15">
        <v>6.37</v>
      </c>
      <c r="G32" s="21">
        <v>0</v>
      </c>
      <c r="H32" s="15" t="s">
        <v>58</v>
      </c>
      <c r="I32" s="13" t="s">
        <v>12</v>
      </c>
      <c r="J32" s="14">
        <f>WORKDAY(NC[[#This Row],[DATA]],IF(['[A/O']]="A",3,1))</f>
        <v>40981</v>
      </c>
      <c r="K32" s="13">
        <f>EOMONTH(NC[[#This Row],[D LIQUID]],0)</f>
        <v>40999</v>
      </c>
      <c r="L32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32" s="15">
        <f>[QTDE]*[PREÇO]+[CORREÇÃO]</f>
        <v>1274</v>
      </c>
      <c r="N32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1274</v>
      </c>
      <c r="O32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0.35</v>
      </c>
      <c r="P32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0.08</v>
      </c>
      <c r="Q32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2" s="15">
        <f>SETUP!$E$3*SUMPRODUCT(N([DATA]=NC[[#This Row],[DATA]]),N([ID]&lt;=NC[[#This Row],[ID]]))</f>
        <v>14.9</v>
      </c>
      <c r="S32" s="15">
        <f>TRUNC([CORR. BASE]*SETUP!$F$3,2)</f>
        <v>0.28999999999999998</v>
      </c>
      <c r="T32" s="15">
        <f>TRUNC([CORR. BASE]*SETUP!$G$3,2)</f>
        <v>0.57999999999999996</v>
      </c>
      <c r="U32" s="15">
        <f>[VL LIQUID]-[TX LIQUID]-[EMOL]-[REGISTRO]-[CORR. BASE]-[ISS]-[OUTRAS]</f>
        <v>1257.8000000000002</v>
      </c>
      <c r="V32" s="15">
        <f>[LÍQUIDO]-SUMPRODUCT(N([DATA]=NC[[#This Row],[DATA]]),N([ID]=(NC[[#This Row],[ID]]-1)),[LÍQUIDO])</f>
        <v>1257.8000000000002</v>
      </c>
      <c r="W32" s="15">
        <f>ABS(V32)/E32</f>
        <v>6.2890000000000006</v>
      </c>
      <c r="X32" s="15">
        <f>TRUNC(IF(OR([OPER/TIPO]="CV",[OPER/TIPO]="VV"),     M32*SETUP!$H$3,     0),2)</f>
        <v>0.06</v>
      </c>
      <c r="Y32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-200</v>
      </c>
      <c r="Z32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32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6.2890000000000006</v>
      </c>
      <c r="AB32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32" s="21">
        <f>IF(['[A/O']]="O",[LUCRO OP]*0.15,0)</f>
        <v>0</v>
      </c>
      <c r="AD32" s="20">
        <f>[LUCRO OP]/ABS([VALOR P/ OP])</f>
        <v>0</v>
      </c>
      <c r="AE32" s="15">
        <f>SUMPRODUCT(N(YEAR([D LIQUID])=YEAR(NC[[#This Row],[D LIQUID]])),N(MONTH([D LIQUID])=MONTH(NC[[#This Row],[D LIQUID]])),N(['[D/N']]="N"),[LUCRO OP])</f>
        <v>-1347.6999999999994</v>
      </c>
      <c r="AF32" s="15">
        <f>SUMPRODUCT(N(YEAR([D LIQUID])=YEAR(NC[[#This Row],[D LIQUID]])),N(MONTH([D LIQUID])=MONTH(NC[[#This Row],[D LIQUID]])),N(['[D/N']]="D"),[LUCRO OP])</f>
        <v>0</v>
      </c>
      <c r="AG32" s="15">
        <f>[LUCRO N '[A']]+[LUCRO D]</f>
        <v>-1347.6999999999994</v>
      </c>
      <c r="AH32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3" spans="1:34">
      <c r="A33" s="22">
        <v>32</v>
      </c>
      <c r="B33" s="22" t="s">
        <v>49</v>
      </c>
      <c r="C33" s="22" t="s">
        <v>54</v>
      </c>
      <c r="D33" s="23">
        <v>40982</v>
      </c>
      <c r="E33" s="22">
        <v>200</v>
      </c>
      <c r="F33" s="24">
        <v>6.55</v>
      </c>
      <c r="G33" s="36">
        <v>0</v>
      </c>
      <c r="H33" s="24" t="s">
        <v>58</v>
      </c>
      <c r="I33" s="22" t="s">
        <v>12</v>
      </c>
      <c r="J33" s="23">
        <f>WORKDAY(NC[[#This Row],[DATA]],IF(['[A/O']]="A",3,1))</f>
        <v>40987</v>
      </c>
      <c r="K33" s="22">
        <f>EOMONTH(NC[[#This Row],[D LIQUID]],0)</f>
        <v>40999</v>
      </c>
      <c r="L33" s="22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33" s="24">
        <f>[QTDE]*[PREÇO]+[CORREÇÃO]</f>
        <v>1310</v>
      </c>
      <c r="N33" s="24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-1310</v>
      </c>
      <c r="O33" s="24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0.36</v>
      </c>
      <c r="P33" s="24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0.09</v>
      </c>
      <c r="Q33" s="24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3" s="24">
        <f>SETUP!$E$3*SUMPRODUCT(N([DATA]=NC[[#This Row],[DATA]]),N([ID]&lt;=NC[[#This Row],[ID]]))</f>
        <v>14.9</v>
      </c>
      <c r="S33" s="24">
        <f>TRUNC([CORR. BASE]*SETUP!$F$3,2)</f>
        <v>0.28999999999999998</v>
      </c>
      <c r="T33" s="24">
        <f>TRUNC([CORR. BASE]*SETUP!$G$3,2)</f>
        <v>0.57999999999999996</v>
      </c>
      <c r="U33" s="24">
        <f>[VL LIQUID]-[TX LIQUID]-[EMOL]-[REGISTRO]-[CORR. BASE]-[ISS]-[OUTRAS]</f>
        <v>-1326.2199999999998</v>
      </c>
      <c r="V33" s="24">
        <f>[LÍQUIDO]-SUMPRODUCT(N([DATA]=NC[[#This Row],[DATA]]),N([ID]=(NC[[#This Row],[ID]]-1)),[LÍQUIDO])</f>
        <v>-1326.2199999999998</v>
      </c>
      <c r="W33" s="24">
        <f>ABS(V33)/E33</f>
        <v>6.6310999999999991</v>
      </c>
      <c r="X33" s="24">
        <f>TRUNC(IF(OR([OPER/TIPO]="CV",[OPER/TIPO]="VV"),     M33*SETUP!$H$3,     0),2)</f>
        <v>0</v>
      </c>
      <c r="Y33" s="22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33" s="25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6.6310999999999991</v>
      </c>
      <c r="AA33" s="25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6.2890000000000006</v>
      </c>
      <c r="AB33" s="24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-68.419999999999703</v>
      </c>
      <c r="AC33" s="26">
        <f>IF(['[A/O']]="O",[LUCRO OP]*0.15,0)</f>
        <v>0</v>
      </c>
      <c r="AD33" s="27">
        <f>[LUCRO OP]/ABS([VALOR P/ OP])</f>
        <v>-5.1590233897844784E-2</v>
      </c>
      <c r="AE33" s="24">
        <f>SUMPRODUCT(N(YEAR([D LIQUID])=YEAR(NC[[#This Row],[D LIQUID]])),N(MONTH([D LIQUID])=MONTH(NC[[#This Row],[D LIQUID]])),N(['[D/N']]="N"),[LUCRO OP])</f>
        <v>-1347.6999999999994</v>
      </c>
      <c r="AF33" s="24">
        <f>SUMPRODUCT(N(YEAR([D LIQUID])=YEAR(NC[[#This Row],[D LIQUID]])),N(MONTH([D LIQUID])=MONTH(NC[[#This Row],[D LIQUID]])),N(['[D/N']]="D"),[LUCRO OP])</f>
        <v>0</v>
      </c>
      <c r="AG33" s="24">
        <f>[LUCRO N '[A']]+[LUCRO D]</f>
        <v>-1347.6999999999994</v>
      </c>
      <c r="AH33" s="24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4" spans="1:34">
      <c r="A34" s="22">
        <v>33</v>
      </c>
      <c r="B34" s="22" t="s">
        <v>49</v>
      </c>
      <c r="C34" s="22" t="s">
        <v>53</v>
      </c>
      <c r="D34" s="23">
        <v>40983</v>
      </c>
      <c r="E34" s="22">
        <v>200</v>
      </c>
      <c r="F34" s="24">
        <v>6.37</v>
      </c>
      <c r="G34" s="36">
        <v>0</v>
      </c>
      <c r="H34" s="24" t="s">
        <v>58</v>
      </c>
      <c r="I34" s="22" t="s">
        <v>12</v>
      </c>
      <c r="J34" s="23">
        <f>WORKDAY(NC[[#This Row],[DATA]],IF(['[A/O']]="A",3,1))</f>
        <v>40988</v>
      </c>
      <c r="K34" s="22">
        <f>EOMONTH(NC[[#This Row],[D LIQUID]],0)</f>
        <v>40999</v>
      </c>
      <c r="L34" s="22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3</v>
      </c>
      <c r="M34" s="24">
        <f>[QTDE]*[PREÇO]+[CORREÇÃO]</f>
        <v>1274</v>
      </c>
      <c r="N34" s="24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1274</v>
      </c>
      <c r="O34" s="24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0.35</v>
      </c>
      <c r="P34" s="24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0.08</v>
      </c>
      <c r="Q34" s="24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4" s="24">
        <f>SETUP!$E$3*SUMPRODUCT(N([DATA]=NC[[#This Row],[DATA]]),N([ID]&lt;=NC[[#This Row],[ID]]))</f>
        <v>14.9</v>
      </c>
      <c r="S34" s="24">
        <f>TRUNC([CORR. BASE]*SETUP!$F$3,2)</f>
        <v>0.28999999999999998</v>
      </c>
      <c r="T34" s="24">
        <f>TRUNC([CORR. BASE]*SETUP!$G$3,2)</f>
        <v>0.57999999999999996</v>
      </c>
      <c r="U34" s="24">
        <f>[VL LIQUID]-[TX LIQUID]-[EMOL]-[REGISTRO]-[CORR. BASE]-[ISS]-[OUTRAS]</f>
        <v>1257.8000000000002</v>
      </c>
      <c r="V34" s="24">
        <f>[LÍQUIDO]-SUMPRODUCT(N([DATA]=NC[[#This Row],[DATA]]),N([ID]=(NC[[#This Row],[ID]]-1)),[LÍQUIDO])</f>
        <v>1257.8000000000002</v>
      </c>
      <c r="W34" s="24">
        <f>ABS(V34)/E34</f>
        <v>6.2890000000000006</v>
      </c>
      <c r="X34" s="24">
        <f>TRUNC(IF(OR([OPER/TIPO]="CV",[OPER/TIPO]="VV"),     M34*SETUP!$H$3,     0),2)</f>
        <v>0.06</v>
      </c>
      <c r="Y34" s="22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-200</v>
      </c>
      <c r="Z34" s="25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34" s="25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6.2890000000000006</v>
      </c>
      <c r="AB34" s="24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34" s="26">
        <f>IF(['[A/O']]="O",[LUCRO OP]*0.15,0)</f>
        <v>0</v>
      </c>
      <c r="AD34" s="27">
        <f>[LUCRO OP]/ABS([VALOR P/ OP])</f>
        <v>0</v>
      </c>
      <c r="AE34" s="24">
        <f>SUMPRODUCT(N(YEAR([D LIQUID])=YEAR(NC[[#This Row],[D LIQUID]])),N(MONTH([D LIQUID])=MONTH(NC[[#This Row],[D LIQUID]])),N(['[D/N']]="N"),[LUCRO OP])</f>
        <v>-1347.6999999999994</v>
      </c>
      <c r="AF34" s="24">
        <f>SUMPRODUCT(N(YEAR([D LIQUID])=YEAR(NC[[#This Row],[D LIQUID]])),N(MONTH([D LIQUID])=MONTH(NC[[#This Row],[D LIQUID]])),N(['[D/N']]="D"),[LUCRO OP])</f>
        <v>0</v>
      </c>
      <c r="AG34" s="24">
        <f>[LUCRO N '[A']]+[LUCRO D]</f>
        <v>-1347.6999999999994</v>
      </c>
      <c r="AH34" s="24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5" spans="1:34">
      <c r="A35" s="13">
        <v>34</v>
      </c>
      <c r="B35" s="13" t="s">
        <v>49</v>
      </c>
      <c r="C35" s="13" t="s">
        <v>54</v>
      </c>
      <c r="D35" s="14">
        <v>40989</v>
      </c>
      <c r="E35" s="13">
        <v>200</v>
      </c>
      <c r="F35" s="15">
        <v>6.95</v>
      </c>
      <c r="G35" s="21">
        <v>0</v>
      </c>
      <c r="H35" s="15" t="s">
        <v>58</v>
      </c>
      <c r="I35" s="13" t="s">
        <v>12</v>
      </c>
      <c r="J35" s="14">
        <f>WORKDAY(NC[[#This Row],[DATA]],IF(['[A/O']]="A",3,1))</f>
        <v>40994</v>
      </c>
      <c r="K35" s="13">
        <f>EOMONTH(NC[[#This Row],[D LIQUID]],0)</f>
        <v>40999</v>
      </c>
      <c r="L35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3</v>
      </c>
      <c r="M35" s="15">
        <f>[QTDE]*[PREÇO]+[CORREÇÃO]</f>
        <v>1390</v>
      </c>
      <c r="N35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-1390</v>
      </c>
      <c r="O35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0.38</v>
      </c>
      <c r="P35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0.09</v>
      </c>
      <c r="Q35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5" s="15">
        <f>SETUP!$E$3*SUMPRODUCT(N([DATA]=NC[[#This Row],[DATA]]),N([ID]&lt;=NC[[#This Row],[ID]]))</f>
        <v>14.9</v>
      </c>
      <c r="S35" s="15">
        <f>TRUNC([CORR. BASE]*SETUP!$F$3,2)</f>
        <v>0.28999999999999998</v>
      </c>
      <c r="T35" s="15">
        <f>TRUNC([CORR. BASE]*SETUP!$G$3,2)</f>
        <v>0.57999999999999996</v>
      </c>
      <c r="U35" s="15">
        <f>[VL LIQUID]-[TX LIQUID]-[EMOL]-[REGISTRO]-[CORR. BASE]-[ISS]-[OUTRAS]</f>
        <v>-1406.24</v>
      </c>
      <c r="V35" s="15">
        <f>[LÍQUIDO]-SUMPRODUCT(N([DATA]=NC[[#This Row],[DATA]]),N([ID]=(NC[[#This Row],[ID]]-1)),[LÍQUIDO])</f>
        <v>-1406.24</v>
      </c>
      <c r="W35" s="15">
        <f>ABS(V35)/E35</f>
        <v>7.0312000000000001</v>
      </c>
      <c r="X35" s="15">
        <f>TRUNC(IF(OR([OPER/TIPO]="CV",[OPER/TIPO]="VV"),     M35*SETUP!$H$3,     0),2)</f>
        <v>0</v>
      </c>
      <c r="Y35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35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7.0312000000000001</v>
      </c>
      <c r="AA35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6.2890000000000006</v>
      </c>
      <c r="AB35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-148.43999999999991</v>
      </c>
      <c r="AC35" s="28">
        <f>IF(['[A/O']]="O",[LUCRO OP]*0.15,0)</f>
        <v>0</v>
      </c>
      <c r="AD35" s="20">
        <f>[LUCRO OP]/ABS([VALOR P/ OP])</f>
        <v>-0.10555808396859705</v>
      </c>
      <c r="AE35" s="15">
        <f>SUMPRODUCT(N(YEAR([D LIQUID])=YEAR(NC[[#This Row],[D LIQUID]])),N(MONTH([D LIQUID])=MONTH(NC[[#This Row],[D LIQUID]])),N(['[D/N']]="N"),[LUCRO OP])</f>
        <v>-1347.6999999999994</v>
      </c>
      <c r="AF35" s="15">
        <f>SUMPRODUCT(N(YEAR([D LIQUID])=YEAR(NC[[#This Row],[D LIQUID]])),N(MONTH([D LIQUID])=MONTH(NC[[#This Row],[D LIQUID]])),N(['[D/N']]="D"),[LUCRO OP])</f>
        <v>0</v>
      </c>
      <c r="AG35" s="15">
        <f>[LUCRO N '[A']]+[LUCRO D]</f>
        <v>-1347.6999999999994</v>
      </c>
      <c r="AH35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6" spans="1:34">
      <c r="A36" s="13">
        <v>35</v>
      </c>
      <c r="B36" s="13" t="s">
        <v>25</v>
      </c>
      <c r="C36" s="13" t="s">
        <v>52</v>
      </c>
      <c r="D36" s="14">
        <v>40990</v>
      </c>
      <c r="E36" s="13">
        <v>200</v>
      </c>
      <c r="F36" s="15">
        <v>4.74</v>
      </c>
      <c r="G36" s="21">
        <v>0</v>
      </c>
      <c r="H36" s="15" t="s">
        <v>58</v>
      </c>
      <c r="I36" s="13" t="s">
        <v>12</v>
      </c>
      <c r="J36" s="14">
        <f>WORKDAY(NC[[#This Row],[DATA]],IF(['[A/O']]="A",3,1))</f>
        <v>40995</v>
      </c>
      <c r="K36" s="13">
        <f>EOMONTH(NC[[#This Row],[D LIQUID]],0)</f>
        <v>40999</v>
      </c>
      <c r="L36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36" s="15">
        <f>[QTDE]*[PREÇO]+[CORREÇÃO]</f>
        <v>948</v>
      </c>
      <c r="N36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948</v>
      </c>
      <c r="O36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0.26</v>
      </c>
      <c r="P36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0.06</v>
      </c>
      <c r="Q36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6" s="15">
        <f>SETUP!$E$3*SUMPRODUCT(N([DATA]=NC[[#This Row],[DATA]]),N([ID]&lt;=NC[[#This Row],[ID]]))</f>
        <v>14.9</v>
      </c>
      <c r="S36" s="15">
        <f>TRUNC([CORR. BASE]*SETUP!$F$3,2)</f>
        <v>0.28999999999999998</v>
      </c>
      <c r="T36" s="15">
        <f>TRUNC([CORR. BASE]*SETUP!$G$3,2)</f>
        <v>0.57999999999999996</v>
      </c>
      <c r="U36" s="15">
        <f>[VL LIQUID]-[TX LIQUID]-[EMOL]-[REGISTRO]-[CORR. BASE]-[ISS]-[OUTRAS]</f>
        <v>931.91000000000008</v>
      </c>
      <c r="V36" s="15">
        <f>[LÍQUIDO]-SUMPRODUCT(N([DATA]=NC[[#This Row],[DATA]]),N([ID]=(NC[[#This Row],[ID]]-1)),[LÍQUIDO])</f>
        <v>931.91000000000008</v>
      </c>
      <c r="W36" s="15">
        <f>ABS(V36)/E36</f>
        <v>4.6595500000000003</v>
      </c>
      <c r="X36" s="15">
        <f>TRUNC(IF(OR([OPER/TIPO]="CV",[OPER/TIPO]="VV"),     M36*SETUP!$H$3,     0),2)</f>
        <v>0.04</v>
      </c>
      <c r="Y36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36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5.0306000000000006</v>
      </c>
      <c r="AA36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4.6595500000000003</v>
      </c>
      <c r="AB36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-74.210000000000065</v>
      </c>
      <c r="AC36" s="28">
        <f>IF(['[A/O']]="O",[LUCRO OP]*0.15,0)</f>
        <v>0</v>
      </c>
      <c r="AD36" s="20">
        <f>[LUCRO OP]/ABS([VALOR P/ OP])</f>
        <v>-7.9632153319526625E-2</v>
      </c>
      <c r="AE36" s="15">
        <f>SUMPRODUCT(N(YEAR([D LIQUID])=YEAR(NC[[#This Row],[D LIQUID]])),N(MONTH([D LIQUID])=MONTH(NC[[#This Row],[D LIQUID]])),N(['[D/N']]="N"),[LUCRO OP])</f>
        <v>-1347.6999999999994</v>
      </c>
      <c r="AF36" s="15">
        <f>SUMPRODUCT(N(YEAR([D LIQUID])=YEAR(NC[[#This Row],[D LIQUID]])),N(MONTH([D LIQUID])=MONTH(NC[[#This Row],[D LIQUID]])),N(['[D/N']]="D"),[LUCRO OP])</f>
        <v>0</v>
      </c>
      <c r="AG36" s="15">
        <f>[LUCRO N '[A']]+[LUCRO D]</f>
        <v>-1347.6999999999994</v>
      </c>
      <c r="AH36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7" spans="1:34">
      <c r="A37" s="22">
        <v>36</v>
      </c>
      <c r="B37" s="29" t="s">
        <v>63</v>
      </c>
      <c r="C37" s="29" t="s">
        <v>51</v>
      </c>
      <c r="D37" s="30">
        <v>41053</v>
      </c>
      <c r="E37" s="29">
        <v>400</v>
      </c>
      <c r="F37" s="31">
        <v>3.15</v>
      </c>
      <c r="G37" s="37">
        <v>0</v>
      </c>
      <c r="H37" s="31" t="s">
        <v>58</v>
      </c>
      <c r="I37" s="29" t="s">
        <v>21</v>
      </c>
      <c r="J37" s="30">
        <f>WORKDAY(NC[[#This Row],[DATA]],IF(['[A/O']]="A",3,1))</f>
        <v>41058</v>
      </c>
      <c r="K37" s="29">
        <f>EOMONTH(NC[[#This Row],[D LIQUID]],0)</f>
        <v>41060</v>
      </c>
      <c r="L37" s="29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0</v>
      </c>
      <c r="M37" s="31">
        <f>[QTDE]*[PREÇO]+[CORREÇÃO]</f>
        <v>1260</v>
      </c>
      <c r="N37" s="31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-1260</v>
      </c>
      <c r="O37" s="31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0.22</v>
      </c>
      <c r="P37" s="31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0.08</v>
      </c>
      <c r="Q37" s="31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7" s="31">
        <f>SETUP!$E$3*SUMPRODUCT(N([DATA]=NC[[#This Row],[DATA]]),N([ID]&lt;=NC[[#This Row],[ID]]))</f>
        <v>14.9</v>
      </c>
      <c r="S37" s="31">
        <f>TRUNC([CORR. BASE]*SETUP!$F$3,2)</f>
        <v>0.28999999999999998</v>
      </c>
      <c r="T37" s="31">
        <f>TRUNC([CORR. BASE]*SETUP!$G$3,2)</f>
        <v>0.57999999999999996</v>
      </c>
      <c r="U37" s="31">
        <f>[VL LIQUID]-[TX LIQUID]-[EMOL]-[REGISTRO]-[CORR. BASE]-[ISS]-[OUTRAS]</f>
        <v>-1276.07</v>
      </c>
      <c r="V37" s="31">
        <f>[LÍQUIDO]-SUMPRODUCT(N([DATA]=NC[[#This Row],[DATA]]),N([ID]=(NC[[#This Row],[ID]]-1)),[LÍQUIDO])</f>
        <v>-1276.07</v>
      </c>
      <c r="W37" s="31">
        <f>ABS(V37)/E37</f>
        <v>3.190175</v>
      </c>
      <c r="X37" s="31">
        <f>TRUNC(IF(OR([OPER/TIPO]="CV",[OPER/TIPO]="VV"),     M37*SETUP!$H$3,     0),2)</f>
        <v>0</v>
      </c>
      <c r="Y37" s="29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37" s="32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37" s="32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37" s="31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37" s="33">
        <f>IF(['[A/O']]="O",[LUCRO OP]*0.15,0)</f>
        <v>0</v>
      </c>
      <c r="AD37" s="34">
        <f>[LUCRO OP]/ABS([VALOR P/ OP])</f>
        <v>0</v>
      </c>
      <c r="AE37" s="31">
        <f>SUMPRODUCT(N(YEAR([D LIQUID])=YEAR(NC[[#This Row],[D LIQUID]])),N(MONTH([D LIQUID])=MONTH(NC[[#This Row],[D LIQUID]])),N(['[D/N']]="N"),[LUCRO OP])</f>
        <v>0</v>
      </c>
      <c r="AF37" s="31">
        <f>SUMPRODUCT(N(YEAR([D LIQUID])=YEAR(NC[[#This Row],[D LIQUID]])),N(MONTH([D LIQUID])=MONTH(NC[[#This Row],[D LIQUID]])),N(['[D/N']]="D"),[LUCRO OP])</f>
        <v>71.8</v>
      </c>
      <c r="AG37" s="31">
        <f>[LUCRO N '[A']]+[LUCRO D]</f>
        <v>71.8</v>
      </c>
      <c r="AH37" s="31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5424</v>
      </c>
    </row>
    <row r="38" spans="1:34">
      <c r="A38" s="13">
        <v>37</v>
      </c>
      <c r="B38" s="29" t="s">
        <v>63</v>
      </c>
      <c r="C38" s="29" t="s">
        <v>52</v>
      </c>
      <c r="D38" s="30">
        <v>41053</v>
      </c>
      <c r="E38" s="29">
        <v>400</v>
      </c>
      <c r="F38" s="31">
        <v>3.41</v>
      </c>
      <c r="G38" s="37">
        <v>0</v>
      </c>
      <c r="H38" s="31" t="s">
        <v>58</v>
      </c>
      <c r="I38" s="29" t="s">
        <v>21</v>
      </c>
      <c r="J38" s="30">
        <f>WORKDAY(NC[[#This Row],[DATA]],IF(['[A/O']]="A",3,1))</f>
        <v>41058</v>
      </c>
      <c r="K38" s="29">
        <f>EOMONTH(NC[[#This Row],[D LIQUID]],0)</f>
        <v>41060</v>
      </c>
      <c r="L38" s="29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0</v>
      </c>
      <c r="M38" s="31">
        <f>[QTDE]*[PREÇO]+[CORREÇÃO]</f>
        <v>1364</v>
      </c>
      <c r="N38" s="31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104</v>
      </c>
      <c r="O38" s="31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0.47</v>
      </c>
      <c r="P38" s="31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0.18</v>
      </c>
      <c r="Q38" s="31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8" s="31">
        <f>SETUP!$E$3*SUMPRODUCT(N([DATA]=NC[[#This Row],[DATA]]),N([ID]&lt;=NC[[#This Row],[ID]]))</f>
        <v>29.8</v>
      </c>
      <c r="S38" s="31">
        <f>TRUNC([CORR. BASE]*SETUP!$F$3,2)</f>
        <v>0.59</v>
      </c>
      <c r="T38" s="31">
        <f>TRUNC([CORR. BASE]*SETUP!$G$3,2)</f>
        <v>1.1599999999999999</v>
      </c>
      <c r="U38" s="31">
        <f>[VL LIQUID]-[TX LIQUID]-[EMOL]-[REGISTRO]-[CORR. BASE]-[ISS]-[OUTRAS]</f>
        <v>71.8</v>
      </c>
      <c r="V38" s="31">
        <f>[LÍQUIDO]-SUMPRODUCT(N([DATA]=NC[[#This Row],[DATA]]),N([ID]=(NC[[#This Row],[ID]]-1)),[LÍQUIDO])</f>
        <v>1347.87</v>
      </c>
      <c r="W38" s="31">
        <f>ABS(V38)/E38</f>
        <v>3.3696749999999995</v>
      </c>
      <c r="X38" s="31">
        <f>TRUNC(IF(OR([OPER/TIPO]="CV",[OPER/TIPO]="VV"),     M38*SETUP!$H$3,     0),2)</f>
        <v>0.06</v>
      </c>
      <c r="Y38" s="29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38" s="32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38" s="32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38" s="31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71.8</v>
      </c>
      <c r="AC38" s="33">
        <f>IF(['[A/O']]="O",[LUCRO OP]*0.15,0)</f>
        <v>0</v>
      </c>
      <c r="AD38" s="34">
        <f>[LUCRO OP]/ABS([VALOR P/ OP])</f>
        <v>5.3269232195983292E-2</v>
      </c>
      <c r="AE38" s="31">
        <f>SUMPRODUCT(N(YEAR([D LIQUID])=YEAR(NC[[#This Row],[D LIQUID]])),N(MONTH([D LIQUID])=MONTH(NC[[#This Row],[D LIQUID]])),N(['[D/N']]="N"),[LUCRO OP])</f>
        <v>0</v>
      </c>
      <c r="AF38" s="31">
        <f>SUMPRODUCT(N(YEAR([D LIQUID])=YEAR(NC[[#This Row],[D LIQUID]])),N(MONTH([D LIQUID])=MONTH(NC[[#This Row],[D LIQUID]])),N(['[D/N']]="D"),[LUCRO OP])</f>
        <v>71.8</v>
      </c>
      <c r="AG38" s="31">
        <f>[LUCRO N '[A']]+[LUCRO D]</f>
        <v>71.8</v>
      </c>
      <c r="AH38" s="31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5424</v>
      </c>
    </row>
    <row r="39" spans="1:34">
      <c r="A39" s="13">
        <v>38</v>
      </c>
      <c r="B39" s="29" t="s">
        <v>63</v>
      </c>
      <c r="C39" s="13" t="s">
        <v>53</v>
      </c>
      <c r="D39" s="30">
        <v>41057</v>
      </c>
      <c r="E39" s="29">
        <v>1000</v>
      </c>
      <c r="F39" s="31">
        <v>4.0599999999999996</v>
      </c>
      <c r="G39" s="37">
        <v>0</v>
      </c>
      <c r="H39" s="31" t="s">
        <v>58</v>
      </c>
      <c r="I39" s="13" t="s">
        <v>12</v>
      </c>
      <c r="J39" s="14">
        <f>WORKDAY(NC[[#This Row],[DATA]],IF(['[A/O']]="A",3,1))</f>
        <v>41060</v>
      </c>
      <c r="K39" s="13">
        <f>EOMONTH(NC[[#This Row],[D LIQUID]],0)</f>
        <v>41060</v>
      </c>
      <c r="L39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39" s="15">
        <f>[QTDE]*[PREÇO]+[CORREÇÃO]</f>
        <v>4059.9999999999995</v>
      </c>
      <c r="N39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4059.9999999999995</v>
      </c>
      <c r="O39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1.1100000000000001</v>
      </c>
      <c r="P39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0.28000000000000003</v>
      </c>
      <c r="Q39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9" s="15">
        <f>SETUP!$E$3*SUMPRODUCT(N([DATA]=NC[[#This Row],[DATA]]),N([ID]&lt;=NC[[#This Row],[ID]]))</f>
        <v>14.9</v>
      </c>
      <c r="S39" s="15">
        <f>TRUNC([CORR. BASE]*SETUP!$F$3,2)</f>
        <v>0.28999999999999998</v>
      </c>
      <c r="T39" s="15">
        <f>TRUNC([CORR. BASE]*SETUP!$G$3,2)</f>
        <v>0.57999999999999996</v>
      </c>
      <c r="U39" s="15">
        <f>[VL LIQUID]-[TX LIQUID]-[EMOL]-[REGISTRO]-[CORR. BASE]-[ISS]-[OUTRAS]</f>
        <v>4042.8399999999992</v>
      </c>
      <c r="V39" s="15">
        <f>[LÍQUIDO]-SUMPRODUCT(N([DATA]=NC[[#This Row],[DATA]]),N([ID]=(NC[[#This Row],[ID]]-1)),[LÍQUIDO])</f>
        <v>4042.8399999999992</v>
      </c>
      <c r="W39" s="15">
        <f>ABS(V39)/E39</f>
        <v>4.0428399999999991</v>
      </c>
      <c r="X39" s="15">
        <f>TRUNC(IF(OR([OPER/TIPO]="CV",[OPER/TIPO]="VV"),     M39*SETUP!$H$3,     0),2)</f>
        <v>0.2</v>
      </c>
      <c r="Y39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-1000</v>
      </c>
      <c r="Z39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39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4.0428399999999991</v>
      </c>
      <c r="AB39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39" s="28">
        <f>IF(['[A/O']]="O",[LUCRO OP]*0.15,0)</f>
        <v>0</v>
      </c>
      <c r="AD39" s="20">
        <f>[LUCRO OP]/ABS([VALOR P/ OP])</f>
        <v>0</v>
      </c>
      <c r="AE39" s="15">
        <f>SUMPRODUCT(N(YEAR([D LIQUID])=YEAR(NC[[#This Row],[D LIQUID]])),N(MONTH([D LIQUID])=MONTH(NC[[#This Row],[D LIQUID]])),N(['[D/N']]="N"),[LUCRO OP])</f>
        <v>0</v>
      </c>
      <c r="AF39" s="15">
        <f>SUMPRODUCT(N(YEAR([D LIQUID])=YEAR(NC[[#This Row],[D LIQUID]])),N(MONTH([D LIQUID])=MONTH(NC[[#This Row],[D LIQUID]])),N(['[D/N']]="D"),[LUCRO OP])</f>
        <v>71.8</v>
      </c>
      <c r="AG39" s="15">
        <f>[LUCRO N '[A']]+[LUCRO D]</f>
        <v>71.8</v>
      </c>
      <c r="AH39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5424</v>
      </c>
    </row>
    <row r="40" spans="1:34">
      <c r="A40" s="22">
        <v>39</v>
      </c>
      <c r="B40" s="29" t="s">
        <v>63</v>
      </c>
      <c r="C40" s="13" t="s">
        <v>54</v>
      </c>
      <c r="D40" s="30">
        <v>41058</v>
      </c>
      <c r="E40" s="29">
        <v>500</v>
      </c>
      <c r="F40" s="31">
        <v>3.47</v>
      </c>
      <c r="G40" s="37">
        <v>0</v>
      </c>
      <c r="H40" s="31" t="s">
        <v>58</v>
      </c>
      <c r="I40" s="13" t="s">
        <v>12</v>
      </c>
      <c r="J40" s="14">
        <f>WORKDAY(NC[[#This Row],[DATA]],IF(['[A/O']]="A",3,1))</f>
        <v>41061</v>
      </c>
      <c r="K40" s="13">
        <f>EOMONTH(NC[[#This Row],[D LIQUID]],0)</f>
        <v>41090</v>
      </c>
      <c r="L40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40" s="15">
        <f>[QTDE]*[PREÇO]+[CORREÇÃO]</f>
        <v>1735</v>
      </c>
      <c r="N40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-1735</v>
      </c>
      <c r="O40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0.47</v>
      </c>
      <c r="P40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0.12</v>
      </c>
      <c r="Q40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0" s="15">
        <f>SETUP!$E$3*SUMPRODUCT(N([DATA]=NC[[#This Row],[DATA]]),N([ID]&lt;=NC[[#This Row],[ID]]))</f>
        <v>14.9</v>
      </c>
      <c r="S40" s="15">
        <f>TRUNC([CORR. BASE]*SETUP!$F$3,2)</f>
        <v>0.28999999999999998</v>
      </c>
      <c r="T40" s="15">
        <f>TRUNC([CORR. BASE]*SETUP!$G$3,2)</f>
        <v>0.57999999999999996</v>
      </c>
      <c r="U40" s="15">
        <f>[VL LIQUID]-[TX LIQUID]-[EMOL]-[REGISTRO]-[CORR. BASE]-[ISS]-[OUTRAS]</f>
        <v>-1751.36</v>
      </c>
      <c r="V40" s="15">
        <f>[LÍQUIDO]-SUMPRODUCT(N([DATA]=NC[[#This Row],[DATA]]),N([ID]=(NC[[#This Row],[ID]]-1)),[LÍQUIDO])</f>
        <v>-1751.36</v>
      </c>
      <c r="W40" s="15">
        <f>ABS(V40)/E40</f>
        <v>3.5027199999999996</v>
      </c>
      <c r="X40" s="15">
        <f>TRUNC(IF(OR([OPER/TIPO]="CV",[OPER/TIPO]="VV"),     M40*SETUP!$H$3,     0),2)</f>
        <v>0</v>
      </c>
      <c r="Y40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-500</v>
      </c>
      <c r="Z40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3.5027199999999996</v>
      </c>
      <c r="AA40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4.0428399999999991</v>
      </c>
      <c r="AB40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270.05999999999972</v>
      </c>
      <c r="AC40" s="28">
        <f>IF(['[A/O']]="O",[LUCRO OP]*0.15,0)</f>
        <v>0</v>
      </c>
      <c r="AD40" s="20">
        <f>[LUCRO OP]/ABS([VALOR P/ OP])</f>
        <v>0.15420016444363221</v>
      </c>
      <c r="AE40" s="15">
        <f>SUMPRODUCT(N(YEAR([D LIQUID])=YEAR(NC[[#This Row],[D LIQUID]])),N(MONTH([D LIQUID])=MONTH(NC[[#This Row],[D LIQUID]])),N(['[D/N']]="N"),[LUCRO OP])</f>
        <v>-194.15666666666419</v>
      </c>
      <c r="AF40" s="15">
        <f>SUMPRODUCT(N(YEAR([D LIQUID])=YEAR(NC[[#This Row],[D LIQUID]])),N(MONTH([D LIQUID])=MONTH(NC[[#This Row],[D LIQUID]])),N(['[D/N']]="D"),[LUCRO OP])</f>
        <v>-136.55000000000001</v>
      </c>
      <c r="AG40" s="15">
        <f>[LUCRO N '[A']]+[LUCRO D]</f>
        <v>-330.7066666666642</v>
      </c>
      <c r="AH40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23935</v>
      </c>
    </row>
    <row r="41" spans="1:34">
      <c r="A41" s="13">
        <v>40</v>
      </c>
      <c r="B41" s="29" t="s">
        <v>25</v>
      </c>
      <c r="C41" s="13" t="s">
        <v>53</v>
      </c>
      <c r="D41" s="30">
        <v>41060</v>
      </c>
      <c r="E41" s="29">
        <v>800</v>
      </c>
      <c r="F41" s="31">
        <v>2.46</v>
      </c>
      <c r="G41" s="37">
        <v>0</v>
      </c>
      <c r="H41" s="31" t="s">
        <v>58</v>
      </c>
      <c r="I41" s="13" t="s">
        <v>21</v>
      </c>
      <c r="J41" s="30">
        <f>WORKDAY(NC[[#This Row],[DATA]],IF(['[A/O']]="A",3,1))</f>
        <v>41065</v>
      </c>
      <c r="K41" s="29">
        <f>EOMONTH(NC[[#This Row],[D LIQUID]],0)</f>
        <v>41090</v>
      </c>
      <c r="L41" s="29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4</v>
      </c>
      <c r="M41" s="31">
        <f>[QTDE]*[PREÇO]+[CORREÇÃO]</f>
        <v>1968</v>
      </c>
      <c r="N41" s="31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1968</v>
      </c>
      <c r="O41" s="31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0.35</v>
      </c>
      <c r="P41" s="31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0.13</v>
      </c>
      <c r="Q41" s="31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1" s="31">
        <f>SETUP!$E$3*SUMPRODUCT(N([DATA]=NC[[#This Row],[DATA]]),N([ID]&lt;=NC[[#This Row],[ID]]))</f>
        <v>14.9</v>
      </c>
      <c r="S41" s="31">
        <f>TRUNC([CORR. BASE]*SETUP!$F$3,2)</f>
        <v>0.28999999999999998</v>
      </c>
      <c r="T41" s="31">
        <f>TRUNC([CORR. BASE]*SETUP!$G$3,2)</f>
        <v>0.57999999999999996</v>
      </c>
      <c r="U41" s="31">
        <f>[VL LIQUID]-[TX LIQUID]-[EMOL]-[REGISTRO]-[CORR. BASE]-[ISS]-[OUTRAS]</f>
        <v>1951.75</v>
      </c>
      <c r="V41" s="31">
        <f>[LÍQUIDO]-SUMPRODUCT(N([DATA]=NC[[#This Row],[DATA]]),N([ID]=(NC[[#This Row],[ID]]-1)),[LÍQUIDO])</f>
        <v>1951.75</v>
      </c>
      <c r="W41" s="31">
        <f>ABS(V41)/E41</f>
        <v>2.4396874999999998</v>
      </c>
      <c r="X41" s="31">
        <f>TRUNC(IF(OR([OPER/TIPO]="CV",[OPER/TIPO]="VV"),     M41*SETUP!$H$3,     0),2)</f>
        <v>0.09</v>
      </c>
      <c r="Y41" s="29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41" s="32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41" s="32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41" s="31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41" s="33">
        <f>IF(['[A/O']]="O",[LUCRO OP]*0.15,0)</f>
        <v>0</v>
      </c>
      <c r="AD41" s="34">
        <f>[LUCRO OP]/ABS([VALOR P/ OP])</f>
        <v>0</v>
      </c>
      <c r="AE41" s="31">
        <f>SUMPRODUCT(N(YEAR([D LIQUID])=YEAR(NC[[#This Row],[D LIQUID]])),N(MONTH([D LIQUID])=MONTH(NC[[#This Row],[D LIQUID]])),N(['[D/N']]="N"),[LUCRO OP])</f>
        <v>-194.15666666666419</v>
      </c>
      <c r="AF41" s="31">
        <f>SUMPRODUCT(N(YEAR([D LIQUID])=YEAR(NC[[#This Row],[D LIQUID]])),N(MONTH([D LIQUID])=MONTH(NC[[#This Row],[D LIQUID]])),N(['[D/N']]="D"),[LUCRO OP])</f>
        <v>-136.55000000000001</v>
      </c>
      <c r="AG41" s="31">
        <f>[LUCRO N '[A']]+[LUCRO D]</f>
        <v>-330.7066666666642</v>
      </c>
      <c r="AH41" s="31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23935</v>
      </c>
    </row>
    <row r="42" spans="1:34">
      <c r="A42" s="22">
        <v>41</v>
      </c>
      <c r="B42" s="29" t="s">
        <v>25</v>
      </c>
      <c r="C42" s="13" t="s">
        <v>54</v>
      </c>
      <c r="D42" s="30">
        <v>41060</v>
      </c>
      <c r="E42" s="29">
        <v>800</v>
      </c>
      <c r="F42" s="31">
        <v>2.59</v>
      </c>
      <c r="G42" s="37">
        <v>0</v>
      </c>
      <c r="H42" s="31" t="s">
        <v>58</v>
      </c>
      <c r="I42" s="13" t="s">
        <v>21</v>
      </c>
      <c r="J42" s="30">
        <f>WORKDAY(NC[[#This Row],[DATA]],IF(['[A/O']]="A",3,1))</f>
        <v>41065</v>
      </c>
      <c r="K42" s="29">
        <f>EOMONTH(NC[[#This Row],[D LIQUID]],0)</f>
        <v>41090</v>
      </c>
      <c r="L42" s="29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4</v>
      </c>
      <c r="M42" s="31">
        <f>[QTDE]*[PREÇO]+[CORREÇÃO]</f>
        <v>2072</v>
      </c>
      <c r="N42" s="31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-104</v>
      </c>
      <c r="O42" s="31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0.72</v>
      </c>
      <c r="P42" s="31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0.28000000000000003</v>
      </c>
      <c r="Q42" s="31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2" s="31">
        <f>SETUP!$E$3*SUMPRODUCT(N([DATA]=NC[[#This Row],[DATA]]),N([ID]&lt;=NC[[#This Row],[ID]]))</f>
        <v>29.8</v>
      </c>
      <c r="S42" s="31">
        <f>TRUNC([CORR. BASE]*SETUP!$F$3,2)</f>
        <v>0.59</v>
      </c>
      <c r="T42" s="31">
        <f>TRUNC([CORR. BASE]*SETUP!$G$3,2)</f>
        <v>1.1599999999999999</v>
      </c>
      <c r="U42" s="31">
        <f>[VL LIQUID]-[TX LIQUID]-[EMOL]-[REGISTRO]-[CORR. BASE]-[ISS]-[OUTRAS]</f>
        <v>-136.55000000000001</v>
      </c>
      <c r="V42" s="31">
        <f>[LÍQUIDO]-SUMPRODUCT(N([DATA]=NC[[#This Row],[DATA]]),N([ID]=(NC[[#This Row],[ID]]-1)),[LÍQUIDO])</f>
        <v>-2088.3000000000002</v>
      </c>
      <c r="W42" s="31">
        <f>ABS(V42)/E42</f>
        <v>2.6103750000000003</v>
      </c>
      <c r="X42" s="31">
        <f>TRUNC(IF(OR([OPER/TIPO]="CV",[OPER/TIPO]="VV"),     M42*SETUP!$H$3,     0),2)</f>
        <v>0</v>
      </c>
      <c r="Y42" s="29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42" s="32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42" s="32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42" s="31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-136.55000000000001</v>
      </c>
      <c r="AC42" s="33">
        <f>IF(['[A/O']]="O",[LUCRO OP]*0.15,0)</f>
        <v>0</v>
      </c>
      <c r="AD42" s="34">
        <f>[LUCRO OP]/ABS([VALOR P/ OP])</f>
        <v>-6.5388114734473021E-2</v>
      </c>
      <c r="AE42" s="31">
        <f>SUMPRODUCT(N(YEAR([D LIQUID])=YEAR(NC[[#This Row],[D LIQUID]])),N(MONTH([D LIQUID])=MONTH(NC[[#This Row],[D LIQUID]])),N(['[D/N']]="N"),[LUCRO OP])</f>
        <v>-194.15666666666419</v>
      </c>
      <c r="AF42" s="31">
        <f>SUMPRODUCT(N(YEAR([D LIQUID])=YEAR(NC[[#This Row],[D LIQUID]])),N(MONTH([D LIQUID])=MONTH(NC[[#This Row],[D LIQUID]])),N(['[D/N']]="D"),[LUCRO OP])</f>
        <v>-136.55000000000001</v>
      </c>
      <c r="AG42" s="31">
        <f>[LUCRO N '[A']]+[LUCRO D]</f>
        <v>-330.7066666666642</v>
      </c>
      <c r="AH42" s="31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23935</v>
      </c>
    </row>
    <row r="43" spans="1:34">
      <c r="A43" s="13">
        <v>42</v>
      </c>
      <c r="B43" s="29" t="s">
        <v>25</v>
      </c>
      <c r="C43" s="29" t="s">
        <v>53</v>
      </c>
      <c r="D43" s="30">
        <v>41064</v>
      </c>
      <c r="E43" s="29">
        <v>800</v>
      </c>
      <c r="F43" s="31">
        <v>2.4</v>
      </c>
      <c r="G43" s="37">
        <v>0</v>
      </c>
      <c r="H43" s="31" t="s">
        <v>58</v>
      </c>
      <c r="I43" s="29" t="s">
        <v>12</v>
      </c>
      <c r="J43" s="30">
        <f>WORKDAY(NC[[#This Row],[DATA]],IF(['[A/O']]="A",3,1))</f>
        <v>41067</v>
      </c>
      <c r="K43" s="29">
        <f>EOMONTH(NC[[#This Row],[D LIQUID]],0)</f>
        <v>41090</v>
      </c>
      <c r="L43" s="29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4</v>
      </c>
      <c r="M43" s="31">
        <f>[QTDE]*[PREÇO]+[CORREÇÃO]</f>
        <v>1920</v>
      </c>
      <c r="N43" s="31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1920</v>
      </c>
      <c r="O43" s="31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0.52</v>
      </c>
      <c r="P43" s="31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0.13</v>
      </c>
      <c r="Q43" s="31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3" s="31">
        <f>SETUP!$E$3*SUMPRODUCT(N([DATA]=NC[[#This Row],[DATA]]),N([ID]&lt;=NC[[#This Row],[ID]]))</f>
        <v>14.9</v>
      </c>
      <c r="S43" s="31">
        <f>TRUNC([CORR. BASE]*SETUP!$F$3,2)</f>
        <v>0.28999999999999998</v>
      </c>
      <c r="T43" s="31">
        <f>TRUNC([CORR. BASE]*SETUP!$G$3,2)</f>
        <v>0.57999999999999996</v>
      </c>
      <c r="U43" s="31">
        <f>[VL LIQUID]-[TX LIQUID]-[EMOL]-[REGISTRO]-[CORR. BASE]-[ISS]-[OUTRAS]</f>
        <v>1903.58</v>
      </c>
      <c r="V43" s="31">
        <f>[LÍQUIDO]-SUMPRODUCT(N([DATA]=NC[[#This Row],[DATA]]),N([ID]=(NC[[#This Row],[ID]]-1)),[LÍQUIDO])</f>
        <v>1903.58</v>
      </c>
      <c r="W43" s="31">
        <f>ABS(V43)/E43</f>
        <v>2.3794749999999998</v>
      </c>
      <c r="X43" s="31">
        <f>TRUNC(IF(OR([OPER/TIPO]="CV",[OPER/TIPO]="VV"),     M43*SETUP!$H$3,     0),2)</f>
        <v>0.09</v>
      </c>
      <c r="Y43" s="29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-800</v>
      </c>
      <c r="Z43" s="32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43" s="32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2.3794749999999998</v>
      </c>
      <c r="AB43" s="31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43" s="33">
        <f>IF(['[A/O']]="O",[LUCRO OP]*0.15,0)</f>
        <v>0</v>
      </c>
      <c r="AD43" s="34">
        <f>[LUCRO OP]/ABS([VALOR P/ OP])</f>
        <v>0</v>
      </c>
      <c r="AE43" s="31">
        <f>SUMPRODUCT(N(YEAR([D LIQUID])=YEAR(NC[[#This Row],[D LIQUID]])),N(MONTH([D LIQUID])=MONTH(NC[[#This Row],[D LIQUID]])),N(['[D/N']]="N"),[LUCRO OP])</f>
        <v>-194.15666666666419</v>
      </c>
      <c r="AF43" s="31">
        <f>SUMPRODUCT(N(YEAR([D LIQUID])=YEAR(NC[[#This Row],[D LIQUID]])),N(MONTH([D LIQUID])=MONTH(NC[[#This Row],[D LIQUID]])),N(['[D/N']]="D"),[LUCRO OP])</f>
        <v>-136.55000000000001</v>
      </c>
      <c r="AG43" s="31">
        <f>[LUCRO N '[A']]+[LUCRO D]</f>
        <v>-330.7066666666642</v>
      </c>
      <c r="AH43" s="31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23935</v>
      </c>
    </row>
    <row r="44" spans="1:34">
      <c r="A44" s="22">
        <v>43</v>
      </c>
      <c r="B44" s="29" t="s">
        <v>64</v>
      </c>
      <c r="C44" s="29" t="s">
        <v>53</v>
      </c>
      <c r="D44" s="30">
        <v>41065</v>
      </c>
      <c r="E44" s="29">
        <v>400</v>
      </c>
      <c r="F44" s="31">
        <v>19.27</v>
      </c>
      <c r="G44" s="37">
        <v>-2</v>
      </c>
      <c r="H44" s="31" t="s">
        <v>58</v>
      </c>
      <c r="I44" s="29" t="s">
        <v>12</v>
      </c>
      <c r="J44" s="30">
        <f>WORKDAY(NC[[#This Row],[DATA]],IF(['[A/O']]="A",3,1))</f>
        <v>41068</v>
      </c>
      <c r="K44" s="29">
        <f>EOMONTH(NC[[#This Row],[D LIQUID]],0)</f>
        <v>41090</v>
      </c>
      <c r="L44" s="29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44" s="31">
        <f>[QTDE]*[PREÇO]+[CORREÇÃO]</f>
        <v>7706</v>
      </c>
      <c r="N44" s="31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7706</v>
      </c>
      <c r="O44" s="31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2.11</v>
      </c>
      <c r="P44" s="31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0.53</v>
      </c>
      <c r="Q44" s="31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4" s="31">
        <f>SETUP!$E$3*SUMPRODUCT(N([DATA]=NC[[#This Row],[DATA]]),N([ID]&lt;=NC[[#This Row],[ID]]))</f>
        <v>14.9</v>
      </c>
      <c r="S44" s="31">
        <f>TRUNC([CORR. BASE]*SETUP!$F$3,2)</f>
        <v>0.28999999999999998</v>
      </c>
      <c r="T44" s="31">
        <f>TRUNC([CORR. BASE]*SETUP!$G$3,2)</f>
        <v>0.57999999999999996</v>
      </c>
      <c r="U44" s="31">
        <f>[VL LIQUID]-[TX LIQUID]-[EMOL]-[REGISTRO]-[CORR. BASE]-[ISS]-[OUTRAS]</f>
        <v>7687.5900000000011</v>
      </c>
      <c r="V44" s="31">
        <f>[LÍQUIDO]-SUMPRODUCT(N([DATA]=NC[[#This Row],[DATA]]),N([ID]=(NC[[#This Row],[ID]]-1)),[LÍQUIDO])</f>
        <v>7687.5900000000011</v>
      </c>
      <c r="W44" s="31">
        <f>ABS(V44)/E44</f>
        <v>19.218975000000004</v>
      </c>
      <c r="X44" s="31">
        <f>TRUNC(IF(OR([OPER/TIPO]="CV",[OPER/TIPO]="VV"),     M44*SETUP!$H$3,     0),2)</f>
        <v>0.38</v>
      </c>
      <c r="Y44" s="29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-400</v>
      </c>
      <c r="Z44" s="32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44" s="32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19.218975000000004</v>
      </c>
      <c r="AB44" s="31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44" s="33">
        <f>IF(['[A/O']]="O",[LUCRO OP]*0.15,0)</f>
        <v>0</v>
      </c>
      <c r="AD44" s="34">
        <f>[LUCRO OP]/ABS([VALOR P/ OP])</f>
        <v>0</v>
      </c>
      <c r="AE44" s="31">
        <f>SUMPRODUCT(N(YEAR([D LIQUID])=YEAR(NC[[#This Row],[D LIQUID]])),N(MONTH([D LIQUID])=MONTH(NC[[#This Row],[D LIQUID]])),N(['[D/N']]="N"),[LUCRO OP])</f>
        <v>-194.15666666666419</v>
      </c>
      <c r="AF44" s="31">
        <f>SUMPRODUCT(N(YEAR([D LIQUID])=YEAR(NC[[#This Row],[D LIQUID]])),N(MONTH([D LIQUID])=MONTH(NC[[#This Row],[D LIQUID]])),N(['[D/N']]="D"),[LUCRO OP])</f>
        <v>-136.55000000000001</v>
      </c>
      <c r="AG44" s="31">
        <f>[LUCRO N '[A']]+[LUCRO D]</f>
        <v>-330.7066666666642</v>
      </c>
      <c r="AH44" s="31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23935</v>
      </c>
    </row>
    <row r="45" spans="1:34">
      <c r="A45" s="13">
        <v>44</v>
      </c>
      <c r="B45" s="29" t="s">
        <v>65</v>
      </c>
      <c r="C45" s="29" t="s">
        <v>53</v>
      </c>
      <c r="D45" s="30">
        <v>41065</v>
      </c>
      <c r="E45" s="29">
        <v>600</v>
      </c>
      <c r="F45" s="31">
        <v>10.74</v>
      </c>
      <c r="G45" s="37">
        <v>-1</v>
      </c>
      <c r="H45" s="31" t="s">
        <v>58</v>
      </c>
      <c r="I45" s="29" t="s">
        <v>12</v>
      </c>
      <c r="J45" s="30">
        <f>WORKDAY(NC[[#This Row],[DATA]],IF(['[A/O']]="A",3,1))</f>
        <v>41068</v>
      </c>
      <c r="K45" s="29">
        <f>EOMONTH(NC[[#This Row],[D LIQUID]],0)</f>
        <v>41090</v>
      </c>
      <c r="L45" s="29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45" s="31">
        <f>[QTDE]*[PREÇO]+[CORREÇÃO]</f>
        <v>6443</v>
      </c>
      <c r="N45" s="31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14149</v>
      </c>
      <c r="O45" s="31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3.89</v>
      </c>
      <c r="P45" s="31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0.99</v>
      </c>
      <c r="Q45" s="31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5" s="31">
        <f>SETUP!$E$3*SUMPRODUCT(N([DATA]=NC[[#This Row],[DATA]]),N([ID]&lt;=NC[[#This Row],[ID]]))</f>
        <v>29.8</v>
      </c>
      <c r="S45" s="31">
        <f>TRUNC([CORR. BASE]*SETUP!$F$3,2)</f>
        <v>0.59</v>
      </c>
      <c r="T45" s="31">
        <f>TRUNC([CORR. BASE]*SETUP!$G$3,2)</f>
        <v>1.1599999999999999</v>
      </c>
      <c r="U45" s="31">
        <f>[VL LIQUID]-[TX LIQUID]-[EMOL]-[REGISTRO]-[CORR. BASE]-[ISS]-[OUTRAS]</f>
        <v>14112.570000000002</v>
      </c>
      <c r="V45" s="31">
        <f>[LÍQUIDO]-SUMPRODUCT(N([DATA]=NC[[#This Row],[DATA]]),N([ID]=(NC[[#This Row],[ID]]-1)),[LÍQUIDO])</f>
        <v>6424.9800000000005</v>
      </c>
      <c r="W45" s="31">
        <f>ABS(V45)/E45</f>
        <v>10.708300000000001</v>
      </c>
      <c r="X45" s="31">
        <f>TRUNC(IF(OR([OPER/TIPO]="CV",[OPER/TIPO]="VV"),     M45*SETUP!$H$3,     0),2)</f>
        <v>0.32</v>
      </c>
      <c r="Y45" s="29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-600</v>
      </c>
      <c r="Z45" s="32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45" s="32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10.708300000000001</v>
      </c>
      <c r="AB45" s="31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45" s="33">
        <f>IF(['[A/O']]="O",[LUCRO OP]*0.15,0)</f>
        <v>0</v>
      </c>
      <c r="AD45" s="34">
        <f>[LUCRO OP]/ABS([VALOR P/ OP])</f>
        <v>0</v>
      </c>
      <c r="AE45" s="31">
        <f>SUMPRODUCT(N(YEAR([D LIQUID])=YEAR(NC[[#This Row],[D LIQUID]])),N(MONTH([D LIQUID])=MONTH(NC[[#This Row],[D LIQUID]])),N(['[D/N']]="N"),[LUCRO OP])</f>
        <v>-194.15666666666419</v>
      </c>
      <c r="AF45" s="31">
        <f>SUMPRODUCT(N(YEAR([D LIQUID])=YEAR(NC[[#This Row],[D LIQUID]])),N(MONTH([D LIQUID])=MONTH(NC[[#This Row],[D LIQUID]])),N(['[D/N']]="D"),[LUCRO OP])</f>
        <v>-136.55000000000001</v>
      </c>
      <c r="AG45" s="31">
        <f>[LUCRO N '[A']]+[LUCRO D]</f>
        <v>-330.7066666666642</v>
      </c>
      <c r="AH45" s="31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23935</v>
      </c>
    </row>
    <row r="46" spans="1:34">
      <c r="A46" s="22">
        <v>45</v>
      </c>
      <c r="B46" s="29" t="s">
        <v>25</v>
      </c>
      <c r="C46" s="13" t="s">
        <v>54</v>
      </c>
      <c r="D46" s="30">
        <v>41066</v>
      </c>
      <c r="E46" s="29">
        <v>400</v>
      </c>
      <c r="F46" s="31">
        <v>2.16</v>
      </c>
      <c r="G46" s="37">
        <v>0</v>
      </c>
      <c r="H46" s="31" t="s">
        <v>58</v>
      </c>
      <c r="I46" s="13" t="s">
        <v>12</v>
      </c>
      <c r="J46" s="30">
        <f>WORKDAY(NC[[#This Row],[DATA]],IF(['[A/O']]="A",3,1))</f>
        <v>41071</v>
      </c>
      <c r="K46" s="29">
        <f>EOMONTH(NC[[#This Row],[D LIQUID]],0)</f>
        <v>41090</v>
      </c>
      <c r="L46" s="29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4</v>
      </c>
      <c r="M46" s="31">
        <f>[QTDE]*[PREÇO]+[CORREÇÃO]</f>
        <v>864</v>
      </c>
      <c r="N46" s="31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-864</v>
      </c>
      <c r="O46" s="31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0.23</v>
      </c>
      <c r="P46" s="31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0.06</v>
      </c>
      <c r="Q46" s="31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6" s="31">
        <f>SETUP!$E$3*SUMPRODUCT(N([DATA]=NC[[#This Row],[DATA]]),N([ID]&lt;=NC[[#This Row],[ID]]))</f>
        <v>14.9</v>
      </c>
      <c r="S46" s="31">
        <f>TRUNC([CORR. BASE]*SETUP!$F$3,2)</f>
        <v>0.28999999999999998</v>
      </c>
      <c r="T46" s="31">
        <f>TRUNC([CORR. BASE]*SETUP!$G$3,2)</f>
        <v>0.57999999999999996</v>
      </c>
      <c r="U46" s="31">
        <f>[VL LIQUID]-[TX LIQUID]-[EMOL]-[REGISTRO]-[CORR. BASE]-[ISS]-[OUTRAS]</f>
        <v>-880.06</v>
      </c>
      <c r="V46" s="31">
        <f>[LÍQUIDO]-SUMPRODUCT(N([DATA]=NC[[#This Row],[DATA]]),N([ID]=(NC[[#This Row],[ID]]-1)),[LÍQUIDO])</f>
        <v>-880.06</v>
      </c>
      <c r="W46" s="31">
        <f>ABS(V46)/E46</f>
        <v>2.2001499999999998</v>
      </c>
      <c r="X46" s="31">
        <f>TRUNC(IF(OR([OPER/TIPO]="CV",[OPER/TIPO]="VV"),     M46*SETUP!$H$3,     0),2)</f>
        <v>0</v>
      </c>
      <c r="Y46" s="29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-400</v>
      </c>
      <c r="Z46" s="32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2.2001499999999998</v>
      </c>
      <c r="AA46" s="32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2.3794749999999998</v>
      </c>
      <c r="AB46" s="31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71.72999999999999</v>
      </c>
      <c r="AC46" s="33">
        <f>IF(['[A/O']]="O",[LUCRO OP]*0.15,0)</f>
        <v>0</v>
      </c>
      <c r="AD46" s="34">
        <f>[LUCRO OP]/ABS([VALOR P/ OP])</f>
        <v>8.1505806422289384E-2</v>
      </c>
      <c r="AE46" s="31">
        <f>SUMPRODUCT(N(YEAR([D LIQUID])=YEAR(NC[[#This Row],[D LIQUID]])),N(MONTH([D LIQUID])=MONTH(NC[[#This Row],[D LIQUID]])),N(['[D/N']]="N"),[LUCRO OP])</f>
        <v>-194.15666666666419</v>
      </c>
      <c r="AF46" s="31">
        <f>SUMPRODUCT(N(YEAR([D LIQUID])=YEAR(NC[[#This Row],[D LIQUID]])),N(MONTH([D LIQUID])=MONTH(NC[[#This Row],[D LIQUID]])),N(['[D/N']]="D"),[LUCRO OP])</f>
        <v>-136.55000000000001</v>
      </c>
      <c r="AG46" s="31">
        <f>[LUCRO N '[A']]+[LUCRO D]</f>
        <v>-330.7066666666642</v>
      </c>
      <c r="AH46" s="31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23935</v>
      </c>
    </row>
    <row r="47" spans="1:34">
      <c r="A47" s="13">
        <v>46</v>
      </c>
      <c r="B47" s="29" t="s">
        <v>65</v>
      </c>
      <c r="C47" s="13" t="s">
        <v>54</v>
      </c>
      <c r="D47" s="30">
        <v>41068</v>
      </c>
      <c r="E47" s="29">
        <v>600</v>
      </c>
      <c r="F47" s="31">
        <v>11</v>
      </c>
      <c r="G47" s="37">
        <v>0</v>
      </c>
      <c r="H47" s="31" t="s">
        <v>58</v>
      </c>
      <c r="I47" s="13" t="s">
        <v>12</v>
      </c>
      <c r="J47" s="30">
        <f>WORKDAY(NC[[#This Row],[DATA]],IF(['[A/O']]="A",3,1))</f>
        <v>41073</v>
      </c>
      <c r="K47" s="29">
        <f>EOMONTH(NC[[#This Row],[D LIQUID]],0)</f>
        <v>41090</v>
      </c>
      <c r="L47" s="29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47" s="31">
        <f>[QTDE]*[PREÇO]+[CORREÇÃO]</f>
        <v>6600</v>
      </c>
      <c r="N47" s="31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-6600</v>
      </c>
      <c r="O47" s="31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1.81</v>
      </c>
      <c r="P47" s="31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0.46</v>
      </c>
      <c r="Q47" s="31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7" s="31">
        <f>SETUP!$E$3*SUMPRODUCT(N([DATA]=NC[[#This Row],[DATA]]),N([ID]&lt;=NC[[#This Row],[ID]]))</f>
        <v>14.9</v>
      </c>
      <c r="S47" s="31">
        <f>TRUNC([CORR. BASE]*SETUP!$F$3,2)</f>
        <v>0.28999999999999998</v>
      </c>
      <c r="T47" s="31">
        <f>TRUNC([CORR. BASE]*SETUP!$G$3,2)</f>
        <v>0.57999999999999996</v>
      </c>
      <c r="U47" s="31">
        <f>[VL LIQUID]-[TX LIQUID]-[EMOL]-[REGISTRO]-[CORR. BASE]-[ISS]-[OUTRAS]</f>
        <v>-6618.04</v>
      </c>
      <c r="V47" s="31">
        <f>[LÍQUIDO]-SUMPRODUCT(N([DATA]=NC[[#This Row],[DATA]]),N([ID]=(NC[[#This Row],[ID]]-1)),[LÍQUIDO])</f>
        <v>-6618.04</v>
      </c>
      <c r="W47" s="31">
        <f>ABS(V47)/E47</f>
        <v>11.030066666666666</v>
      </c>
      <c r="X47" s="31">
        <f>TRUNC(IF(OR([OPER/TIPO]="CV",[OPER/TIPO]="VV"),     M47*SETUP!$H$3,     0),2)</f>
        <v>0</v>
      </c>
      <c r="Y47" s="29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47" s="32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11.030066666666666</v>
      </c>
      <c r="AA47" s="32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10.708300000000001</v>
      </c>
      <c r="AB47" s="31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-193.05999999999912</v>
      </c>
      <c r="AC47" s="33">
        <f>IF(['[A/O']]="O",[LUCRO OP]*0.15,0)</f>
        <v>0</v>
      </c>
      <c r="AD47" s="34">
        <f>[LUCRO OP]/ABS([VALOR P/ OP])</f>
        <v>-2.9171778955702766E-2</v>
      </c>
      <c r="AE47" s="31">
        <f>SUMPRODUCT(N(YEAR([D LIQUID])=YEAR(NC[[#This Row],[D LIQUID]])),N(MONTH([D LIQUID])=MONTH(NC[[#This Row],[D LIQUID]])),N(['[D/N']]="N"),[LUCRO OP])</f>
        <v>-194.15666666666419</v>
      </c>
      <c r="AF47" s="31">
        <f>SUMPRODUCT(N(YEAR([D LIQUID])=YEAR(NC[[#This Row],[D LIQUID]])),N(MONTH([D LIQUID])=MONTH(NC[[#This Row],[D LIQUID]])),N(['[D/N']]="D"),[LUCRO OP])</f>
        <v>-136.55000000000001</v>
      </c>
      <c r="AG47" s="31">
        <f>[LUCRO N '[A']]+[LUCRO D]</f>
        <v>-330.7066666666642</v>
      </c>
      <c r="AH47" s="31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23935</v>
      </c>
    </row>
    <row r="48" spans="1:34">
      <c r="A48" s="22">
        <v>47</v>
      </c>
      <c r="B48" s="29" t="s">
        <v>25</v>
      </c>
      <c r="C48" s="13" t="s">
        <v>54</v>
      </c>
      <c r="D48" s="30">
        <v>41068</v>
      </c>
      <c r="E48" s="29">
        <v>400</v>
      </c>
      <c r="F48" s="31">
        <v>2.35</v>
      </c>
      <c r="G48" s="37">
        <v>0</v>
      </c>
      <c r="H48" s="31" t="s">
        <v>58</v>
      </c>
      <c r="I48" s="13" t="s">
        <v>12</v>
      </c>
      <c r="J48" s="14">
        <f>WORKDAY(NC[[#This Row],[DATA]],IF(['[A/O']]="A",3,1))</f>
        <v>41073</v>
      </c>
      <c r="K48" s="13">
        <f>EOMONTH(NC[[#This Row],[D LIQUID]],0)</f>
        <v>41090</v>
      </c>
      <c r="L48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4</v>
      </c>
      <c r="M48" s="15">
        <f>[QTDE]*[PREÇO]+[CORREÇÃO]</f>
        <v>940</v>
      </c>
      <c r="N48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-7540</v>
      </c>
      <c r="O48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2.0699999999999998</v>
      </c>
      <c r="P48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0.52</v>
      </c>
      <c r="Q48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8" s="15">
        <f>SETUP!$E$3*SUMPRODUCT(N([DATA]=NC[[#This Row],[DATA]]),N([ID]&lt;=NC[[#This Row],[ID]]))</f>
        <v>29.8</v>
      </c>
      <c r="S48" s="15">
        <f>TRUNC([CORR. BASE]*SETUP!$F$3,2)</f>
        <v>0.59</v>
      </c>
      <c r="T48" s="15">
        <f>TRUNC([CORR. BASE]*SETUP!$G$3,2)</f>
        <v>1.1599999999999999</v>
      </c>
      <c r="U48" s="15">
        <f>[VL LIQUID]-[TX LIQUID]-[EMOL]-[REGISTRO]-[CORR. BASE]-[ISS]-[OUTRAS]</f>
        <v>-7574.14</v>
      </c>
      <c r="V48" s="15">
        <f>[LÍQUIDO]-SUMPRODUCT(N([DATA]=NC[[#This Row],[DATA]]),N([ID]=(NC[[#This Row],[ID]]-1)),[LÍQUIDO])</f>
        <v>-956.10000000000036</v>
      </c>
      <c r="W48" s="15">
        <f>ABS(V48)/E48</f>
        <v>2.3902500000000009</v>
      </c>
      <c r="X48" s="15">
        <f>TRUNC(IF(OR([OPER/TIPO]="CV",[OPER/TIPO]="VV"),     M48*SETUP!$H$3,     0),2)</f>
        <v>0</v>
      </c>
      <c r="Y48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48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2.3902500000000009</v>
      </c>
      <c r="AA48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2.3794749999999998</v>
      </c>
      <c r="AB48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-4.3100000000004357</v>
      </c>
      <c r="AC48" s="28">
        <f>IF(['[A/O']]="O",[LUCRO OP]*0.15,0)</f>
        <v>0</v>
      </c>
      <c r="AD48" s="20">
        <f>[LUCRO OP]/ABS([VALOR P/ OP])</f>
        <v>-4.5078966635293738E-3</v>
      </c>
      <c r="AE48" s="15">
        <f>SUMPRODUCT(N(YEAR([D LIQUID])=YEAR(NC[[#This Row],[D LIQUID]])),N(MONTH([D LIQUID])=MONTH(NC[[#This Row],[D LIQUID]])),N(['[D/N']]="N"),[LUCRO OP])</f>
        <v>-194.15666666666419</v>
      </c>
      <c r="AF48" s="15">
        <f>SUMPRODUCT(N(YEAR([D LIQUID])=YEAR(NC[[#This Row],[D LIQUID]])),N(MONTH([D LIQUID])=MONTH(NC[[#This Row],[D LIQUID]])),N(['[D/N']]="D"),[LUCRO OP])</f>
        <v>-136.55000000000001</v>
      </c>
      <c r="AG48" s="15">
        <f>[LUCRO N '[A']]+[LUCRO D]</f>
        <v>-330.7066666666642</v>
      </c>
      <c r="AH48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23935</v>
      </c>
    </row>
    <row r="49" spans="1:34">
      <c r="A49" s="13">
        <v>48</v>
      </c>
      <c r="B49" s="41" t="s">
        <v>67</v>
      </c>
      <c r="C49" s="41" t="s">
        <v>51</v>
      </c>
      <c r="D49" s="42">
        <v>41068</v>
      </c>
      <c r="E49" s="41">
        <v>100</v>
      </c>
      <c r="F49" s="40">
        <v>10.16</v>
      </c>
      <c r="G49" s="38">
        <v>0</v>
      </c>
      <c r="H49" s="40" t="s">
        <v>58</v>
      </c>
      <c r="I49" s="41" t="s">
        <v>12</v>
      </c>
      <c r="J49" s="42">
        <f>WORKDAY(NC[[#This Row],[DATA]],IF(['[A/O']]="A",3,1))</f>
        <v>41073</v>
      </c>
      <c r="K49" s="41">
        <f>EOMONTH(NC[[#This Row],[D LIQUID]],0)</f>
        <v>41090</v>
      </c>
      <c r="L49" s="4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49" s="40">
        <f>[QTDE]*[PREÇO]+[CORREÇÃO]</f>
        <v>1016</v>
      </c>
      <c r="N49" s="40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-8556</v>
      </c>
      <c r="O49" s="40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2.35</v>
      </c>
      <c r="P49" s="40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0.59</v>
      </c>
      <c r="Q49" s="40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9" s="40">
        <f>SETUP!$E$3*SUMPRODUCT(N([DATA]=NC[[#This Row],[DATA]]),N([ID]&lt;=NC[[#This Row],[ID]]))</f>
        <v>44.7</v>
      </c>
      <c r="S49" s="40">
        <f>TRUNC([CORR. BASE]*SETUP!$F$3,2)</f>
        <v>0.89</v>
      </c>
      <c r="T49" s="40">
        <f>TRUNC([CORR. BASE]*SETUP!$G$3,2)</f>
        <v>1.74</v>
      </c>
      <c r="U49" s="40">
        <f>[VL LIQUID]-[TX LIQUID]-[EMOL]-[REGISTRO]-[CORR. BASE]-[ISS]-[OUTRAS]</f>
        <v>-8606.27</v>
      </c>
      <c r="V49" s="40">
        <f>[LÍQUIDO]-SUMPRODUCT(N([DATA]=NC[[#This Row],[DATA]]),N([ID]=(NC[[#This Row],[ID]]-1)),[LÍQUIDO])</f>
        <v>-1032.1300000000001</v>
      </c>
      <c r="W49" s="40">
        <f>ABS(V49)/E49</f>
        <v>10.321300000000001</v>
      </c>
      <c r="X49" s="40">
        <f>TRUNC(IF(OR([OPER/TIPO]="CV",[OPER/TIPO]="VV"),     M49*SETUP!$H$3,     0),2)</f>
        <v>0</v>
      </c>
      <c r="Y49" s="4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100</v>
      </c>
      <c r="Z49" s="43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10.321300000000001</v>
      </c>
      <c r="AA49" s="43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49" s="40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49" s="44">
        <f>IF(['[A/O']]="O",[LUCRO OP]*0.15,0)</f>
        <v>0</v>
      </c>
      <c r="AD49" s="45">
        <f>[LUCRO OP]/ABS([VALOR P/ OP])</f>
        <v>0</v>
      </c>
      <c r="AE49" s="40">
        <f>SUMPRODUCT(N(YEAR([D LIQUID])=YEAR(NC[[#This Row],[D LIQUID]])),N(MONTH([D LIQUID])=MONTH(NC[[#This Row],[D LIQUID]])),N(['[D/N']]="N"),[LUCRO OP])</f>
        <v>-194.15666666666419</v>
      </c>
      <c r="AF49" s="40">
        <f>SUMPRODUCT(N(YEAR([D LIQUID])=YEAR(NC[[#This Row],[D LIQUID]])),N(MONTH([D LIQUID])=MONTH(NC[[#This Row],[D LIQUID]])),N(['[D/N']]="D"),[LUCRO OP])</f>
        <v>-136.55000000000001</v>
      </c>
      <c r="AG49" s="40">
        <f>[LUCRO N '[A']]+[LUCRO D]</f>
        <v>-330.7066666666642</v>
      </c>
      <c r="AH49" s="40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23935</v>
      </c>
    </row>
    <row r="50" spans="1:34">
      <c r="A50" s="22">
        <v>49</v>
      </c>
      <c r="B50" s="29" t="s">
        <v>64</v>
      </c>
      <c r="C50" s="13" t="s">
        <v>54</v>
      </c>
      <c r="D50" s="30">
        <v>41071</v>
      </c>
      <c r="E50" s="29">
        <v>400</v>
      </c>
      <c r="F50" s="31">
        <v>19.64</v>
      </c>
      <c r="G50" s="37">
        <v>-1</v>
      </c>
      <c r="H50" s="31" t="s">
        <v>58</v>
      </c>
      <c r="I50" s="13" t="s">
        <v>12</v>
      </c>
      <c r="J50" s="30">
        <f>WORKDAY(NC[[#This Row],[DATA]],IF(['[A/O']]="A",3,1))</f>
        <v>41074</v>
      </c>
      <c r="K50" s="29">
        <f>EOMONTH(NC[[#This Row],[D LIQUID]],0)</f>
        <v>41090</v>
      </c>
      <c r="L50" s="29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50" s="31">
        <f>[QTDE]*[PREÇO]+[CORREÇÃO]</f>
        <v>7855</v>
      </c>
      <c r="N50" s="31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-7855</v>
      </c>
      <c r="O50" s="31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2.16</v>
      </c>
      <c r="P50" s="31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0.54</v>
      </c>
      <c r="Q50" s="31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50" s="31">
        <f>SETUP!$E$3*SUMPRODUCT(N([DATA]=NC[[#This Row],[DATA]]),N([ID]&lt;=NC[[#This Row],[ID]]))</f>
        <v>14.9</v>
      </c>
      <c r="S50" s="31">
        <f>TRUNC([CORR. BASE]*SETUP!$F$3,2)</f>
        <v>0.28999999999999998</v>
      </c>
      <c r="T50" s="31">
        <f>TRUNC([CORR. BASE]*SETUP!$G$3,2)</f>
        <v>0.57999999999999996</v>
      </c>
      <c r="U50" s="31">
        <f>[VL LIQUID]-[TX LIQUID]-[EMOL]-[REGISTRO]-[CORR. BASE]-[ISS]-[OUTRAS]</f>
        <v>-7873.4699999999993</v>
      </c>
      <c r="V50" s="31">
        <f>[LÍQUIDO]-SUMPRODUCT(N([DATA]=NC[[#This Row],[DATA]]),N([ID]=(NC[[#This Row],[ID]]-1)),[LÍQUIDO])</f>
        <v>-7873.4699999999993</v>
      </c>
      <c r="W50" s="31">
        <f>ABS(V50)/E50</f>
        <v>19.683674999999997</v>
      </c>
      <c r="X50" s="31">
        <f>TRUNC(IF(OR([OPER/TIPO]="CV",[OPER/TIPO]="VV"),     M50*SETUP!$H$3,     0),2)</f>
        <v>0</v>
      </c>
      <c r="Y50" s="29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50" s="32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19.683674999999997</v>
      </c>
      <c r="AA50" s="32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19.218975000000004</v>
      </c>
      <c r="AB50" s="31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-185.87999999999738</v>
      </c>
      <c r="AC50" s="33">
        <f>IF(['[A/O']]="O",[LUCRO OP]*0.15,0)</f>
        <v>0</v>
      </c>
      <c r="AD50" s="34">
        <f>[LUCRO OP]/ABS([VALOR P/ OP])</f>
        <v>-2.360839629794708E-2</v>
      </c>
      <c r="AE50" s="31">
        <f>SUMPRODUCT(N(YEAR([D LIQUID])=YEAR(NC[[#This Row],[D LIQUID]])),N(MONTH([D LIQUID])=MONTH(NC[[#This Row],[D LIQUID]])),N(['[D/N']]="N"),[LUCRO OP])</f>
        <v>-194.15666666666419</v>
      </c>
      <c r="AF50" s="31">
        <f>SUMPRODUCT(N(YEAR([D LIQUID])=YEAR(NC[[#This Row],[D LIQUID]])),N(MONTH([D LIQUID])=MONTH(NC[[#This Row],[D LIQUID]])),N(['[D/N']]="D"),[LUCRO OP])</f>
        <v>-136.55000000000001</v>
      </c>
      <c r="AG50" s="31">
        <f>[LUCRO N '[A']]+[LUCRO D]</f>
        <v>-330.7066666666642</v>
      </c>
      <c r="AH50" s="31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23935</v>
      </c>
    </row>
    <row r="51" spans="1:34">
      <c r="A51" s="13">
        <v>50</v>
      </c>
      <c r="B51" s="13" t="s">
        <v>68</v>
      </c>
      <c r="C51" s="13" t="s">
        <v>53</v>
      </c>
      <c r="D51" s="30">
        <v>41075</v>
      </c>
      <c r="E51" s="29">
        <v>300</v>
      </c>
      <c r="F51" s="31">
        <v>10.78</v>
      </c>
      <c r="G51" s="37">
        <v>0</v>
      </c>
      <c r="H51" s="31" t="s">
        <v>58</v>
      </c>
      <c r="I51" s="13" t="s">
        <v>12</v>
      </c>
      <c r="J51" s="47">
        <f>WORKDAY(NC[[#This Row],[DATA]],IF(['[A/O']]="A",3,1))</f>
        <v>41080</v>
      </c>
      <c r="K51" s="46">
        <f>EOMONTH(NC[[#This Row],[D LIQUID]],0)</f>
        <v>41090</v>
      </c>
      <c r="L51" s="46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51" s="48">
        <f>[QTDE]*[PREÇO]+[CORREÇÃO]</f>
        <v>3234</v>
      </c>
      <c r="N51" s="48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3234</v>
      </c>
      <c r="O51" s="48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0.88</v>
      </c>
      <c r="P51" s="48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0.22</v>
      </c>
      <c r="Q51" s="48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51" s="48">
        <f>SETUP!$E$3*SUMPRODUCT(N([DATA]=NC[[#This Row],[DATA]]),N([ID]&lt;=NC[[#This Row],[ID]]))</f>
        <v>14.9</v>
      </c>
      <c r="S51" s="48">
        <f>TRUNC([CORR. BASE]*SETUP!$F$3,2)</f>
        <v>0.28999999999999998</v>
      </c>
      <c r="T51" s="48">
        <f>TRUNC([CORR. BASE]*SETUP!$G$3,2)</f>
        <v>0.57999999999999996</v>
      </c>
      <c r="U51" s="48">
        <f>[VL LIQUID]-[TX LIQUID]-[EMOL]-[REGISTRO]-[CORR. BASE]-[ISS]-[OUTRAS]</f>
        <v>3217.13</v>
      </c>
      <c r="V51" s="48">
        <f>[LÍQUIDO]-SUMPRODUCT(N([DATA]=NC[[#This Row],[DATA]]),N([ID]=(NC[[#This Row],[ID]]-1)),[LÍQUIDO])</f>
        <v>3217.13</v>
      </c>
      <c r="W51" s="48">
        <f>ABS(V51)/E51</f>
        <v>10.723766666666666</v>
      </c>
      <c r="X51" s="48">
        <f>TRUNC(IF(OR([OPER/TIPO]="CV",[OPER/TIPO]="VV"),     M51*SETUP!$H$3,     0),2)</f>
        <v>0.16</v>
      </c>
      <c r="Y51" s="46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-300</v>
      </c>
      <c r="Z51" s="49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51" s="49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10.723766666666666</v>
      </c>
      <c r="AB51" s="48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51" s="50">
        <f>IF(['[A/O']]="O",[LUCRO OP]*0.15,0)</f>
        <v>0</v>
      </c>
      <c r="AD51" s="51">
        <f>[LUCRO OP]/ABS([VALOR P/ OP])</f>
        <v>0</v>
      </c>
      <c r="AE51" s="48">
        <f>SUMPRODUCT(N(YEAR([D LIQUID])=YEAR(NC[[#This Row],[D LIQUID]])),N(MONTH([D LIQUID])=MONTH(NC[[#This Row],[D LIQUID]])),N(['[D/N']]="N"),[LUCRO OP])</f>
        <v>-194.15666666666419</v>
      </c>
      <c r="AF51" s="48">
        <f>SUMPRODUCT(N(YEAR([D LIQUID])=YEAR(NC[[#This Row],[D LIQUID]])),N(MONTH([D LIQUID])=MONTH(NC[[#This Row],[D LIQUID]])),N(['[D/N']]="D"),[LUCRO OP])</f>
        <v>-136.55000000000001</v>
      </c>
      <c r="AG51" s="48">
        <f>[LUCRO N '[A']]+[LUCRO D]</f>
        <v>-330.7066666666642</v>
      </c>
      <c r="AH51" s="48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23935</v>
      </c>
    </row>
    <row r="52" spans="1:34">
      <c r="A52" s="22">
        <v>51</v>
      </c>
      <c r="B52" s="13" t="s">
        <v>68</v>
      </c>
      <c r="C52" s="13" t="s">
        <v>54</v>
      </c>
      <c r="D52" s="30">
        <v>41079</v>
      </c>
      <c r="E52" s="29">
        <v>200</v>
      </c>
      <c r="F52" s="31">
        <v>10.16</v>
      </c>
      <c r="G52" s="37">
        <v>0</v>
      </c>
      <c r="H52" s="31" t="s">
        <v>58</v>
      </c>
      <c r="I52" s="13" t="s">
        <v>12</v>
      </c>
      <c r="J52" s="47">
        <f>WORKDAY(NC[[#This Row],[DATA]],IF(['[A/O']]="A",3,1))</f>
        <v>41082</v>
      </c>
      <c r="K52" s="46">
        <f>EOMONTH(NC[[#This Row],[D LIQUID]],0)</f>
        <v>41090</v>
      </c>
      <c r="L52" s="46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52" s="48">
        <f>[QTDE]*[PREÇO]+[CORREÇÃO]</f>
        <v>2032</v>
      </c>
      <c r="N52" s="48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-2032</v>
      </c>
      <c r="O52" s="48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0.55000000000000004</v>
      </c>
      <c r="P52" s="48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0.14000000000000001</v>
      </c>
      <c r="Q52" s="48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52" s="48">
        <f>SETUP!$E$3*SUMPRODUCT(N([DATA]=NC[[#This Row],[DATA]]),N([ID]&lt;=NC[[#This Row],[ID]]))</f>
        <v>14.9</v>
      </c>
      <c r="S52" s="48">
        <f>TRUNC([CORR. BASE]*SETUP!$F$3,2)</f>
        <v>0.28999999999999998</v>
      </c>
      <c r="T52" s="48">
        <f>TRUNC([CORR. BASE]*SETUP!$G$3,2)</f>
        <v>0.57999999999999996</v>
      </c>
      <c r="U52" s="48">
        <f>[VL LIQUID]-[TX LIQUID]-[EMOL]-[REGISTRO]-[CORR. BASE]-[ISS]-[OUTRAS]</f>
        <v>-2048.46</v>
      </c>
      <c r="V52" s="48">
        <f>[LÍQUIDO]-SUMPRODUCT(N([DATA]=NC[[#This Row],[DATA]]),N([ID]=(NC[[#This Row],[ID]]-1)),[LÍQUIDO])</f>
        <v>-2048.46</v>
      </c>
      <c r="W52" s="48">
        <f>ABS(V52)/E52</f>
        <v>10.2423</v>
      </c>
      <c r="X52" s="48">
        <f>TRUNC(IF(OR([OPER/TIPO]="CV",[OPER/TIPO]="VV"),     M52*SETUP!$H$3,     0),2)</f>
        <v>0</v>
      </c>
      <c r="Y52" s="46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-100</v>
      </c>
      <c r="Z52" s="49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10.2423</v>
      </c>
      <c r="AA52" s="49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10.723766666666666</v>
      </c>
      <c r="AB52" s="48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96.293333333333209</v>
      </c>
      <c r="AC52" s="50">
        <f>IF(['[A/O']]="O",[LUCRO OP]*0.15,0)</f>
        <v>0</v>
      </c>
      <c r="AD52" s="51">
        <f>[LUCRO OP]/ABS([VALOR P/ OP])</f>
        <v>4.7007670803107311E-2</v>
      </c>
      <c r="AE52" s="48">
        <f>SUMPRODUCT(N(YEAR([D LIQUID])=YEAR(NC[[#This Row],[D LIQUID]])),N(MONTH([D LIQUID])=MONTH(NC[[#This Row],[D LIQUID]])),N(['[D/N']]="N"),[LUCRO OP])</f>
        <v>-194.15666666666419</v>
      </c>
      <c r="AF52" s="48">
        <f>SUMPRODUCT(N(YEAR([D LIQUID])=YEAR(NC[[#This Row],[D LIQUID]])),N(MONTH([D LIQUID])=MONTH(NC[[#This Row],[D LIQUID]])),N(['[D/N']]="D"),[LUCRO OP])</f>
        <v>-136.55000000000001</v>
      </c>
      <c r="AG52" s="48">
        <f>[LUCRO N '[A']]+[LUCRO D]</f>
        <v>-330.7066666666642</v>
      </c>
      <c r="AH52" s="48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23935</v>
      </c>
    </row>
    <row r="53" spans="1:34">
      <c r="A53" s="13">
        <v>52</v>
      </c>
      <c r="B53" s="13" t="s">
        <v>81</v>
      </c>
      <c r="C53" s="41" t="s">
        <v>51</v>
      </c>
      <c r="D53" s="30">
        <v>41079</v>
      </c>
      <c r="E53" s="41">
        <v>200</v>
      </c>
      <c r="F53" s="40">
        <v>9.16</v>
      </c>
      <c r="G53" s="38">
        <v>0</v>
      </c>
      <c r="H53" s="40" t="s">
        <v>58</v>
      </c>
      <c r="I53" s="41" t="s">
        <v>12</v>
      </c>
      <c r="J53" s="14">
        <f>WORKDAY(NC[[#This Row],[DATA]],IF(['[A/O']]="A",3,1))</f>
        <v>41082</v>
      </c>
      <c r="K53" s="13">
        <f>EOMONTH(NC[[#This Row],[D LIQUID]],0)</f>
        <v>41090</v>
      </c>
      <c r="L53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53" s="15">
        <f>[QTDE]*[PREÇO]+[CORREÇÃO]</f>
        <v>1832</v>
      </c>
      <c r="N53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-3864</v>
      </c>
      <c r="O53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1.06</v>
      </c>
      <c r="P53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0.27</v>
      </c>
      <c r="Q53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53" s="15">
        <f>SETUP!$E$3*SUMPRODUCT(N([DATA]=NC[[#This Row],[DATA]]),N([ID]&lt;=NC[[#This Row],[ID]]))</f>
        <v>29.8</v>
      </c>
      <c r="S53" s="15">
        <f>TRUNC([CORR. BASE]*SETUP!$F$3,2)</f>
        <v>0.59</v>
      </c>
      <c r="T53" s="15">
        <f>TRUNC([CORR. BASE]*SETUP!$G$3,2)</f>
        <v>1.1599999999999999</v>
      </c>
      <c r="U53" s="15">
        <f>[VL LIQUID]-[TX LIQUID]-[EMOL]-[REGISTRO]-[CORR. BASE]-[ISS]-[OUTRAS]</f>
        <v>-3896.88</v>
      </c>
      <c r="V53" s="15">
        <f>[LÍQUIDO]-SUMPRODUCT(N([DATA]=NC[[#This Row],[DATA]]),N([ID]=(NC[[#This Row],[ID]]-1)),[LÍQUIDO])</f>
        <v>-1848.42</v>
      </c>
      <c r="W53" s="15">
        <f>ABS(V53)/E53</f>
        <v>9.2421000000000006</v>
      </c>
      <c r="X53" s="15">
        <f>TRUNC(IF(OR([OPER/TIPO]="CV",[OPER/TIPO]="VV"),     M53*SETUP!$H$3,     0),2)</f>
        <v>0</v>
      </c>
      <c r="Y53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200</v>
      </c>
      <c r="Z53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9.2421000000000006</v>
      </c>
      <c r="AA53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53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53" s="28">
        <f>IF(['[A/O']]="O",[LUCRO OP]*0.15,0)</f>
        <v>0</v>
      </c>
      <c r="AD53" s="20">
        <f>[LUCRO OP]/ABS([VALOR P/ OP])</f>
        <v>0</v>
      </c>
      <c r="AE53" s="15">
        <f>SUMPRODUCT(N(YEAR([D LIQUID])=YEAR(NC[[#This Row],[D LIQUID]])),N(MONTH([D LIQUID])=MONTH(NC[[#This Row],[D LIQUID]])),N(['[D/N']]="N"),[LUCRO OP])</f>
        <v>-194.15666666666419</v>
      </c>
      <c r="AF53" s="15">
        <f>SUMPRODUCT(N(YEAR([D LIQUID])=YEAR(NC[[#This Row],[D LIQUID]])),N(MONTH([D LIQUID])=MONTH(NC[[#This Row],[D LIQUID]])),N(['[D/N']]="D"),[LUCRO OP])</f>
        <v>-136.55000000000001</v>
      </c>
      <c r="AG53" s="15">
        <f>[LUCRO N '[A']]+[LUCRO D]</f>
        <v>-330.7066666666642</v>
      </c>
      <c r="AH53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23935</v>
      </c>
    </row>
    <row r="54" spans="1:34">
      <c r="A54" s="22">
        <v>53</v>
      </c>
      <c r="B54" s="13" t="s">
        <v>81</v>
      </c>
      <c r="C54" s="13" t="s">
        <v>52</v>
      </c>
      <c r="D54" s="30">
        <v>41081</v>
      </c>
      <c r="E54" s="41">
        <v>200</v>
      </c>
      <c r="F54" s="40">
        <v>8.8699999999999992</v>
      </c>
      <c r="G54" s="38">
        <v>0</v>
      </c>
      <c r="H54" s="40" t="s">
        <v>58</v>
      </c>
      <c r="I54" s="41" t="s">
        <v>12</v>
      </c>
      <c r="J54" s="14">
        <f>WORKDAY(NC[[#This Row],[DATA]],IF(['[A/O']]="A",3,1))</f>
        <v>41086</v>
      </c>
      <c r="K54" s="13">
        <f>EOMONTH(NC[[#This Row],[D LIQUID]],0)</f>
        <v>41090</v>
      </c>
      <c r="L54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54" s="15">
        <f>[QTDE]*[PREÇO]+[CORREÇÃO]</f>
        <v>1773.9999999999998</v>
      </c>
      <c r="N54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1773.9999999999998</v>
      </c>
      <c r="O54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0.48</v>
      </c>
      <c r="P54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0.12</v>
      </c>
      <c r="Q54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54" s="15">
        <f>SETUP!$E$3*SUMPRODUCT(N([DATA]=NC[[#This Row],[DATA]]),N([ID]&lt;=NC[[#This Row],[ID]]))</f>
        <v>14.9</v>
      </c>
      <c r="S54" s="15">
        <f>TRUNC([CORR. BASE]*SETUP!$F$3,2)</f>
        <v>0.28999999999999998</v>
      </c>
      <c r="T54" s="15">
        <f>TRUNC([CORR. BASE]*SETUP!$G$3,2)</f>
        <v>0.57999999999999996</v>
      </c>
      <c r="U54" s="15">
        <f>[VL LIQUID]-[TX LIQUID]-[EMOL]-[REGISTRO]-[CORR. BASE]-[ISS]-[OUTRAS]</f>
        <v>1757.6299999999999</v>
      </c>
      <c r="V54" s="15">
        <f>[LÍQUIDO]-SUMPRODUCT(N([DATA]=NC[[#This Row],[DATA]]),N([ID]=(NC[[#This Row],[ID]]-1)),[LÍQUIDO])</f>
        <v>1757.6299999999999</v>
      </c>
      <c r="W54" s="15">
        <f>ABS(V54)/E54</f>
        <v>8.7881499999999999</v>
      </c>
      <c r="X54" s="15">
        <f>TRUNC(IF(OR([OPER/TIPO]="CV",[OPER/TIPO]="VV"),     M54*SETUP!$H$3,     0),2)</f>
        <v>0.08</v>
      </c>
      <c r="Y54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54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9.2421000000000006</v>
      </c>
      <c r="AA54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8.7881499999999999</v>
      </c>
      <c r="AB54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-90.790000000000148</v>
      </c>
      <c r="AC54" s="28">
        <f>IF(['[A/O']]="O",[LUCRO OP]*0.15,0)</f>
        <v>0</v>
      </c>
      <c r="AD54" s="20">
        <f>[LUCRO OP]/ABS([VALOR P/ OP])</f>
        <v>-5.1654785136803626E-2</v>
      </c>
      <c r="AE54" s="15">
        <f>SUMPRODUCT(N(YEAR([D LIQUID])=YEAR(NC[[#This Row],[D LIQUID]])),N(MONTH([D LIQUID])=MONTH(NC[[#This Row],[D LIQUID]])),N(['[D/N']]="N"),[LUCRO OP])</f>
        <v>-194.15666666666419</v>
      </c>
      <c r="AF54" s="15">
        <f>SUMPRODUCT(N(YEAR([D LIQUID])=YEAR(NC[[#This Row],[D LIQUID]])),N(MONTH([D LIQUID])=MONTH(NC[[#This Row],[D LIQUID]])),N(['[D/N']]="D"),[LUCRO OP])</f>
        <v>-136.55000000000001</v>
      </c>
      <c r="AG54" s="15">
        <f>[LUCRO N '[A']]+[LUCRO D]</f>
        <v>-330.7066666666642</v>
      </c>
      <c r="AH54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23935</v>
      </c>
    </row>
    <row r="55" spans="1:34">
      <c r="A55" s="13">
        <v>54</v>
      </c>
      <c r="B55" s="13" t="s">
        <v>67</v>
      </c>
      <c r="C55" s="13" t="s">
        <v>52</v>
      </c>
      <c r="D55" s="30">
        <v>41085</v>
      </c>
      <c r="E55" s="29">
        <v>100</v>
      </c>
      <c r="F55" s="31">
        <v>8.9</v>
      </c>
      <c r="G55" s="37">
        <v>0</v>
      </c>
      <c r="H55" s="31" t="s">
        <v>58</v>
      </c>
      <c r="I55" s="13" t="s">
        <v>12</v>
      </c>
      <c r="J55" s="42">
        <f>WORKDAY(NC[[#This Row],[DATA]],IF(['[A/O']]="A",3,1))</f>
        <v>41088</v>
      </c>
      <c r="K55" s="41">
        <f>EOMONTH(NC[[#This Row],[D LIQUID]],0)</f>
        <v>41090</v>
      </c>
      <c r="L55" s="4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55" s="40">
        <f>[QTDE]*[PREÇO]+[CORREÇÃO]</f>
        <v>890</v>
      </c>
      <c r="N55" s="40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890</v>
      </c>
      <c r="O55" s="40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0.24</v>
      </c>
      <c r="P55" s="40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0.06</v>
      </c>
      <c r="Q55" s="40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55" s="40">
        <f>SETUP!$E$3*SUMPRODUCT(N([DATA]=NC[[#This Row],[DATA]]),N([ID]&lt;=NC[[#This Row],[ID]]))</f>
        <v>14.9</v>
      </c>
      <c r="S55" s="40">
        <f>TRUNC([CORR. BASE]*SETUP!$F$3,2)</f>
        <v>0.28999999999999998</v>
      </c>
      <c r="T55" s="40">
        <f>TRUNC([CORR. BASE]*SETUP!$G$3,2)</f>
        <v>0.57999999999999996</v>
      </c>
      <c r="U55" s="40">
        <f>[VL LIQUID]-[TX LIQUID]-[EMOL]-[REGISTRO]-[CORR. BASE]-[ISS]-[OUTRAS]</f>
        <v>873.93000000000006</v>
      </c>
      <c r="V55" s="40">
        <f>[LÍQUIDO]-SUMPRODUCT(N([DATA]=NC[[#This Row],[DATA]]),N([ID]=(NC[[#This Row],[ID]]-1)),[LÍQUIDO])</f>
        <v>873.93000000000006</v>
      </c>
      <c r="W55" s="40">
        <f>ABS(V55)/E55</f>
        <v>8.7393000000000001</v>
      </c>
      <c r="X55" s="40">
        <f>TRUNC(IF(OR([OPER/TIPO]="CV",[OPER/TIPO]="VV"),     M55*SETUP!$H$3,     0),2)</f>
        <v>0.04</v>
      </c>
      <c r="Y55" s="4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55" s="43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10.321300000000001</v>
      </c>
      <c r="AA55" s="43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8.7393000000000001</v>
      </c>
      <c r="AB55" s="40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-158.20000000000007</v>
      </c>
      <c r="AC55" s="44">
        <f>IF(['[A/O']]="O",[LUCRO OP]*0.15,0)</f>
        <v>0</v>
      </c>
      <c r="AD55" s="45">
        <f>[LUCRO OP]/ABS([VALOR P/ OP])</f>
        <v>-0.18102136326708096</v>
      </c>
      <c r="AE55" s="40">
        <f>SUMPRODUCT(N(YEAR([D LIQUID])=YEAR(NC[[#This Row],[D LIQUID]])),N(MONTH([D LIQUID])=MONTH(NC[[#This Row],[D LIQUID]])),N(['[D/N']]="N"),[LUCRO OP])</f>
        <v>-194.15666666666419</v>
      </c>
      <c r="AF55" s="40">
        <f>SUMPRODUCT(N(YEAR([D LIQUID])=YEAR(NC[[#This Row],[D LIQUID]])),N(MONTH([D LIQUID])=MONTH(NC[[#This Row],[D LIQUID]])),N(['[D/N']]="D"),[LUCRO OP])</f>
        <v>-136.55000000000001</v>
      </c>
      <c r="AG55" s="40">
        <f>[LUCRO N '[A']]+[LUCRO D]</f>
        <v>-330.7066666666642</v>
      </c>
      <c r="AH55" s="40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23935</v>
      </c>
    </row>
    <row r="56" spans="1:34">
      <c r="A56" s="22">
        <v>55</v>
      </c>
      <c r="B56" s="13" t="s">
        <v>68</v>
      </c>
      <c r="C56" s="13" t="s">
        <v>54</v>
      </c>
      <c r="D56" s="30">
        <v>41092</v>
      </c>
      <c r="E56" s="29">
        <v>100</v>
      </c>
      <c r="F56" s="31">
        <v>10.56</v>
      </c>
      <c r="G56" s="37">
        <v>0</v>
      </c>
      <c r="H56" s="31" t="s">
        <v>58</v>
      </c>
      <c r="I56" s="13" t="s">
        <v>12</v>
      </c>
      <c r="J56" s="14">
        <f>WORKDAY(NC[[#This Row],[DATA]],IF(['[A/O']]="A",3,1))</f>
        <v>41095</v>
      </c>
      <c r="K56" s="13">
        <f>EOMONTH(NC[[#This Row],[D LIQUID]],0)</f>
        <v>41121</v>
      </c>
      <c r="L56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56" s="15">
        <f>[QTDE]*[PREÇO]+[CORREÇÃO]</f>
        <v>1056</v>
      </c>
      <c r="N56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-1056</v>
      </c>
      <c r="O56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0.28999999999999998</v>
      </c>
      <c r="P56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7.0000000000000007E-2</v>
      </c>
      <c r="Q56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56" s="15">
        <f>SETUP!$E$3*SUMPRODUCT(N([DATA]=NC[[#This Row],[DATA]]),N([ID]&lt;=NC[[#This Row],[ID]]))</f>
        <v>14.9</v>
      </c>
      <c r="S56" s="15">
        <f>TRUNC([CORR. BASE]*SETUP!$F$3,2)</f>
        <v>0.28999999999999998</v>
      </c>
      <c r="T56" s="15">
        <f>TRUNC([CORR. BASE]*SETUP!$G$3,2)</f>
        <v>0.57999999999999996</v>
      </c>
      <c r="U56" s="15">
        <f>[VL LIQUID]-[TX LIQUID]-[EMOL]-[REGISTRO]-[CORR. BASE]-[ISS]-[OUTRAS]</f>
        <v>-1072.1299999999999</v>
      </c>
      <c r="V56" s="15">
        <f>[LÍQUIDO]-SUMPRODUCT(N([DATA]=NC[[#This Row],[DATA]]),N([ID]=(NC[[#This Row],[ID]]-1)),[LÍQUIDO])</f>
        <v>-1072.1299999999999</v>
      </c>
      <c r="W56" s="15">
        <f>ABS(V56)/E56</f>
        <v>10.721299999999999</v>
      </c>
      <c r="X56" s="15">
        <f>TRUNC(IF(OR([OPER/TIPO]="CV",[OPER/TIPO]="VV"),     M56*SETUP!$H$3,     0),2)</f>
        <v>0</v>
      </c>
      <c r="Y56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56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10.721299999999999</v>
      </c>
      <c r="AA56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10.723766666666666</v>
      </c>
      <c r="AB56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0.24666666666668391</v>
      </c>
      <c r="AC56" s="28">
        <f>IF(['[A/O']]="O",[LUCRO OP]*0.15,0)</f>
        <v>0</v>
      </c>
      <c r="AD56" s="20">
        <f>[LUCRO OP]/ABS([VALOR P/ OP])</f>
        <v>2.3007160201345353E-4</v>
      </c>
      <c r="AE56" s="15">
        <f>SUMPRODUCT(N(YEAR([D LIQUID])=YEAR(NC[[#This Row],[D LIQUID]])),N(MONTH([D LIQUID])=MONTH(NC[[#This Row],[D LIQUID]])),N(['[D/N']]="N"),[LUCRO OP])</f>
        <v>0.24666666666668391</v>
      </c>
      <c r="AF56" s="15">
        <f>SUMPRODUCT(N(YEAR([D LIQUID])=YEAR(NC[[#This Row],[D LIQUID]])),N(MONTH([D LIQUID])=MONTH(NC[[#This Row],[D LIQUID]])),N(['[D/N']]="D"),[LUCRO OP])</f>
        <v>0</v>
      </c>
      <c r="AG56" s="15">
        <f>[LUCRO N '[A']]+[LUCRO D]</f>
        <v>0.24666666666668391</v>
      </c>
      <c r="AH56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2048</v>
      </c>
    </row>
    <row r="57" spans="1:34">
      <c r="A57" s="13">
        <v>56</v>
      </c>
      <c r="B57" s="57" t="s">
        <v>24</v>
      </c>
      <c r="C57" s="13" t="s">
        <v>53</v>
      </c>
      <c r="D57" s="30">
        <v>41114</v>
      </c>
      <c r="E57" s="29">
        <v>400</v>
      </c>
      <c r="F57" s="31">
        <v>5.12</v>
      </c>
      <c r="G57" s="37">
        <v>0</v>
      </c>
      <c r="H57" s="31" t="s">
        <v>58</v>
      </c>
      <c r="I57" s="13" t="s">
        <v>12</v>
      </c>
      <c r="J57" s="58">
        <f>WORKDAY(NC[[#This Row],[DATA]],IF(['[A/O']]="A",3,1))</f>
        <v>41117</v>
      </c>
      <c r="K57" s="57">
        <f>EOMONTH(NC[[#This Row],[D LIQUID]],0)</f>
        <v>41121</v>
      </c>
      <c r="L57" s="57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3</v>
      </c>
      <c r="M57" s="59">
        <f>[QTDE]*[PREÇO]+[CORREÇÃO]</f>
        <v>2048</v>
      </c>
      <c r="N57" s="59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2048</v>
      </c>
      <c r="O57" s="59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0.56000000000000005</v>
      </c>
      <c r="P57" s="59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0.14000000000000001</v>
      </c>
      <c r="Q57" s="59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57" s="59">
        <f>SETUP!$E$3*SUMPRODUCT(N([DATA]=NC[[#This Row],[DATA]]),N([ID]&lt;=NC[[#This Row],[ID]]))</f>
        <v>14.9</v>
      </c>
      <c r="S57" s="59">
        <f>TRUNC([CORR. BASE]*SETUP!$F$3,2)</f>
        <v>0.28999999999999998</v>
      </c>
      <c r="T57" s="59">
        <f>TRUNC([CORR. BASE]*SETUP!$G$3,2)</f>
        <v>0.57999999999999996</v>
      </c>
      <c r="U57" s="59">
        <f>[VL LIQUID]-[TX LIQUID]-[EMOL]-[REGISTRO]-[CORR. BASE]-[ISS]-[OUTRAS]</f>
        <v>2031.53</v>
      </c>
      <c r="V57" s="59">
        <f>[LÍQUIDO]-SUMPRODUCT(N([DATA]=NC[[#This Row],[DATA]]),N([ID]=(NC[[#This Row],[ID]]-1)),[LÍQUIDO])</f>
        <v>2031.53</v>
      </c>
      <c r="W57" s="59">
        <f>ABS(V57)/E57</f>
        <v>5.0788250000000001</v>
      </c>
      <c r="X57" s="59">
        <f>TRUNC(IF(OR([OPER/TIPO]="CV",[OPER/TIPO]="VV"),     M57*SETUP!$H$3,     0),2)</f>
        <v>0.1</v>
      </c>
      <c r="Y57" s="57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-400</v>
      </c>
      <c r="Z57" s="60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57" s="60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5.0788250000000001</v>
      </c>
      <c r="AB57" s="59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57" s="61">
        <f>IF(['[A/O']]="O",[LUCRO OP]*0.15,0)</f>
        <v>0</v>
      </c>
      <c r="AD57" s="62">
        <f>[LUCRO OP]/ABS([VALOR P/ OP])</f>
        <v>0</v>
      </c>
      <c r="AE57" s="59">
        <f>SUMPRODUCT(N(YEAR([D LIQUID])=YEAR(NC[[#This Row],[D LIQUID]])),N(MONTH([D LIQUID])=MONTH(NC[[#This Row],[D LIQUID]])),N(['[D/N']]="N"),[LUCRO OP])</f>
        <v>0.24666666666668391</v>
      </c>
      <c r="AF57" s="59">
        <f>SUMPRODUCT(N(YEAR([D LIQUID])=YEAR(NC[[#This Row],[D LIQUID]])),N(MONTH([D LIQUID])=MONTH(NC[[#This Row],[D LIQUID]])),N(['[D/N']]="D"),[LUCRO OP])</f>
        <v>0</v>
      </c>
      <c r="AG57" s="59">
        <f>[LUCRO N '[A']]+[LUCRO D]</f>
        <v>0.24666666666668391</v>
      </c>
      <c r="AH57" s="59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2048</v>
      </c>
    </row>
    <row r="58" spans="1:34">
      <c r="A58" s="22">
        <v>57</v>
      </c>
      <c r="B58" s="57" t="s">
        <v>24</v>
      </c>
      <c r="C58" s="13" t="s">
        <v>54</v>
      </c>
      <c r="D58" s="30">
        <v>41117</v>
      </c>
      <c r="E58" s="29">
        <v>400</v>
      </c>
      <c r="F58" s="31">
        <v>5.39</v>
      </c>
      <c r="G58" s="37">
        <v>0</v>
      </c>
      <c r="H58" s="31" t="s">
        <v>58</v>
      </c>
      <c r="I58" s="13" t="s">
        <v>12</v>
      </c>
      <c r="J58" s="58">
        <f>WORKDAY(NC[[#This Row],[DATA]],IF(['[A/O']]="A",3,1))</f>
        <v>41122</v>
      </c>
      <c r="K58" s="57">
        <f>EOMONTH(NC[[#This Row],[D LIQUID]],0)</f>
        <v>41152</v>
      </c>
      <c r="L58" s="57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3</v>
      </c>
      <c r="M58" s="59">
        <f>[QTDE]*[PREÇO]+[CORREÇÃO]</f>
        <v>2156</v>
      </c>
      <c r="N58" s="59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-2156</v>
      </c>
      <c r="O58" s="59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0.59</v>
      </c>
      <c r="P58" s="59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0.15</v>
      </c>
      <c r="Q58" s="59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58" s="59">
        <f>SETUP!$E$3*SUMPRODUCT(N([DATA]=NC[[#This Row],[DATA]]),N([ID]&lt;=NC[[#This Row],[ID]]))</f>
        <v>14.9</v>
      </c>
      <c r="S58" s="59">
        <f>TRUNC([CORR. BASE]*SETUP!$F$3,2)</f>
        <v>0.28999999999999998</v>
      </c>
      <c r="T58" s="59">
        <f>TRUNC([CORR. BASE]*SETUP!$G$3,2)</f>
        <v>0.57999999999999996</v>
      </c>
      <c r="U58" s="59">
        <f>[VL LIQUID]-[TX LIQUID]-[EMOL]-[REGISTRO]-[CORR. BASE]-[ISS]-[OUTRAS]</f>
        <v>-2172.5100000000002</v>
      </c>
      <c r="V58" s="59">
        <f>[LÍQUIDO]-SUMPRODUCT(N([DATA]=NC[[#This Row],[DATA]]),N([ID]=(NC[[#This Row],[ID]]-1)),[LÍQUIDO])</f>
        <v>-2172.5100000000002</v>
      </c>
      <c r="W58" s="59">
        <f>ABS(V58)/E58</f>
        <v>5.4312750000000003</v>
      </c>
      <c r="X58" s="59">
        <f>TRUNC(IF(OR([OPER/TIPO]="CV",[OPER/TIPO]="VV"),     M58*SETUP!$H$3,     0),2)</f>
        <v>0</v>
      </c>
      <c r="Y58" s="57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58" s="60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5.4312750000000003</v>
      </c>
      <c r="AA58" s="60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5.0788250000000001</v>
      </c>
      <c r="AB58" s="59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-140.98000000000008</v>
      </c>
      <c r="AC58" s="61">
        <f>IF(['[A/O']]="O",[LUCRO OP]*0.15,0)</f>
        <v>0</v>
      </c>
      <c r="AD58" s="62">
        <f>[LUCRO OP]/ABS([VALOR P/ OP])</f>
        <v>-6.4892681736792954E-2</v>
      </c>
      <c r="AE58" s="59">
        <f>SUMPRODUCT(N(YEAR([D LIQUID])=YEAR(NC[[#This Row],[D LIQUID]])),N(MONTH([D LIQUID])=MONTH(NC[[#This Row],[D LIQUID]])),N(['[D/N']]="N"),[LUCRO OP])</f>
        <v>119.07999999999964</v>
      </c>
      <c r="AF58" s="59">
        <f>SUMPRODUCT(N(YEAR([D LIQUID])=YEAR(NC[[#This Row],[D LIQUID]])),N(MONTH([D LIQUID])=MONTH(NC[[#This Row],[D LIQUID]])),N(['[D/N']]="D"),[LUCRO OP])</f>
        <v>0</v>
      </c>
      <c r="AG58" s="59">
        <f>[LUCRO N '[A']]+[LUCRO D]</f>
        <v>119.07999999999964</v>
      </c>
      <c r="AH58" s="59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0</v>
      </c>
    </row>
    <row r="59" spans="1:34">
      <c r="A59" s="13">
        <v>58</v>
      </c>
      <c r="B59" s="29" t="s">
        <v>63</v>
      </c>
      <c r="C59" s="13" t="s">
        <v>54</v>
      </c>
      <c r="D59" s="30">
        <v>41122</v>
      </c>
      <c r="E59" s="29">
        <v>500</v>
      </c>
      <c r="F59" s="31">
        <v>3.49</v>
      </c>
      <c r="G59" s="37">
        <v>0</v>
      </c>
      <c r="H59" s="31" t="s">
        <v>58</v>
      </c>
      <c r="I59" s="13" t="s">
        <v>12</v>
      </c>
      <c r="J59" s="30">
        <f>WORKDAY(NC[[#This Row],[DATA]],IF(['[A/O']]="A",3,1))</f>
        <v>41127</v>
      </c>
      <c r="K59" s="29">
        <f>EOMONTH(NC[[#This Row],[D LIQUID]],0)</f>
        <v>41152</v>
      </c>
      <c r="L59" s="29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59" s="31">
        <f>[QTDE]*[PREÇO]+[CORREÇÃO]</f>
        <v>1745</v>
      </c>
      <c r="N59" s="31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-1745</v>
      </c>
      <c r="O59" s="31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0.47</v>
      </c>
      <c r="P59" s="31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0.12</v>
      </c>
      <c r="Q59" s="31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59" s="31">
        <f>SETUP!$E$3*SUMPRODUCT(N([DATA]=NC[[#This Row],[DATA]]),N([ID]&lt;=NC[[#This Row],[ID]]))</f>
        <v>14.9</v>
      </c>
      <c r="S59" s="31">
        <f>TRUNC([CORR. BASE]*SETUP!$F$3,2)</f>
        <v>0.28999999999999998</v>
      </c>
      <c r="T59" s="31">
        <f>TRUNC([CORR. BASE]*SETUP!$G$3,2)</f>
        <v>0.57999999999999996</v>
      </c>
      <c r="U59" s="31">
        <f>[VL LIQUID]-[TX LIQUID]-[EMOL]-[REGISTRO]-[CORR. BASE]-[ISS]-[OUTRAS]</f>
        <v>-1761.36</v>
      </c>
      <c r="V59" s="31">
        <f>[LÍQUIDO]-SUMPRODUCT(N([DATA]=NC[[#This Row],[DATA]]),N([ID]=(NC[[#This Row],[ID]]-1)),[LÍQUIDO])</f>
        <v>-1761.36</v>
      </c>
      <c r="W59" s="31">
        <f>ABS(V59)/E59</f>
        <v>3.5227199999999996</v>
      </c>
      <c r="X59" s="31">
        <f>TRUNC(IF(OR([OPER/TIPO]="CV",[OPER/TIPO]="VV"),     M59*SETUP!$H$3,     0),2)</f>
        <v>0</v>
      </c>
      <c r="Y59" s="29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59" s="32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3.5227199999999996</v>
      </c>
      <c r="AA59" s="32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4.0428399999999991</v>
      </c>
      <c r="AB59" s="31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260.05999999999972</v>
      </c>
      <c r="AC59" s="33">
        <f>IF(['[A/O']]="O",[LUCRO OP]*0.15,0)</f>
        <v>0</v>
      </c>
      <c r="AD59" s="34">
        <f>[LUCRO OP]/ABS([VALOR P/ OP])</f>
        <v>0.14764727256211094</v>
      </c>
      <c r="AE59" s="31">
        <f>SUMPRODUCT(N(YEAR([D LIQUID])=YEAR(NC[[#This Row],[D LIQUID]])),N(MONTH([D LIQUID])=MONTH(NC[[#This Row],[D LIQUID]])),N(['[D/N']]="N"),[LUCRO OP])</f>
        <v>119.07999999999964</v>
      </c>
      <c r="AF59" s="31">
        <f>SUMPRODUCT(N(YEAR([D LIQUID])=YEAR(NC[[#This Row],[D LIQUID]])),N(MONTH([D LIQUID])=MONTH(NC[[#This Row],[D LIQUID]])),N(['[D/N']]="D"),[LUCRO OP])</f>
        <v>0</v>
      </c>
      <c r="AG59" s="31">
        <f>[LUCRO N '[A']]+[LUCRO D]</f>
        <v>119.07999999999964</v>
      </c>
      <c r="AH59" s="31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0</v>
      </c>
    </row>
    <row r="60" spans="1:34">
      <c r="A60" s="63" t="s">
        <v>30</v>
      </c>
      <c r="B60" s="63"/>
      <c r="C60" s="63"/>
      <c r="D60" s="63"/>
      <c r="E60" s="63"/>
      <c r="F60" s="63"/>
      <c r="G60" s="59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59" t="s">
        <v>48</v>
      </c>
      <c r="V60" s="63"/>
      <c r="W60" s="63"/>
      <c r="X60" s="59">
        <f>SUBTOTAL(109,[IRRF])</f>
        <v>2.3900000000000006</v>
      </c>
      <c r="Y60" s="59"/>
      <c r="Z60" s="63"/>
      <c r="AA60" s="63"/>
      <c r="AB60" s="59">
        <f>SUBTOTAL(109,[LUCRO OP])-NC[[#Totals],[IRRF OPÇÃO]]</f>
        <v>-2009.0699999999972</v>
      </c>
      <c r="AC60" s="59">
        <f>SUBTOTAL(109,[IRRF OPÇÃO])</f>
        <v>0</v>
      </c>
      <c r="AD60" s="59"/>
      <c r="AE60" s="64"/>
      <c r="AF60" s="64"/>
      <c r="AG60" s="64">
        <f>NC[[#Totals],[LUCRO OP]]/NC[[#Totals],[LÍQUIDO]]</f>
        <v>-0.29694624558623733</v>
      </c>
      <c r="AH60" s="65">
        <f>IF(NC[[#Totals],[LUCRO OP]]&lt;0,ABS(NC[[#Totals],[LUCRO OP]]/(NC[[#Totals],[LUCRO OP]]+NC[[#Totals],[LÍQUIDO]])),-NC[[#Totals],[LUCRO OP]]/(NC[[#Totals],[LUCRO OP]]+NC[[#Totals],[LÍQUIDO]]))</f>
        <v>0.42236634641663251</v>
      </c>
    </row>
    <row r="61" spans="1:34">
      <c r="D61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4"/>
  <dimension ref="A1:M6"/>
  <sheetViews>
    <sheetView workbookViewId="0">
      <selection activeCell="E13" sqref="E13"/>
    </sheetView>
  </sheetViews>
  <sheetFormatPr defaultRowHeight="11.25"/>
  <cols>
    <col min="1" max="1" width="9.140625" style="7"/>
    <col min="2" max="2" width="10" style="7" bestFit="1" customWidth="1"/>
    <col min="3" max="3" width="12.140625" style="7" bestFit="1" customWidth="1"/>
    <col min="4" max="4" width="8.42578125" style="7" bestFit="1" customWidth="1"/>
    <col min="5" max="5" width="10" style="7" bestFit="1" customWidth="1"/>
    <col min="6" max="6" width="12.140625" style="7" bestFit="1" customWidth="1"/>
    <col min="7" max="7" width="8.42578125" style="7" bestFit="1" customWidth="1"/>
    <col min="8" max="8" width="9.85546875" style="7" bestFit="1" customWidth="1"/>
    <col min="9" max="9" width="8.28515625" style="7" bestFit="1" customWidth="1"/>
    <col min="10" max="11" width="12.28515625" style="7" bestFit="1" customWidth="1"/>
    <col min="12" max="12" width="9.85546875" style="7" bestFit="1" customWidth="1"/>
    <col min="13" max="13" width="12" style="7" bestFit="1" customWidth="1"/>
    <col min="14" max="16384" width="9.140625" style="7"/>
  </cols>
  <sheetData>
    <row r="1" spans="1:13">
      <c r="A1" s="7" t="s">
        <v>31</v>
      </c>
      <c r="B1" s="7" t="s">
        <v>69</v>
      </c>
      <c r="C1" s="7" t="s">
        <v>70</v>
      </c>
      <c r="D1" s="7" t="s">
        <v>71</v>
      </c>
      <c r="E1" s="7" t="s">
        <v>72</v>
      </c>
      <c r="F1" s="7" t="s">
        <v>73</v>
      </c>
      <c r="G1" s="7" t="s">
        <v>74</v>
      </c>
      <c r="H1" s="7" t="s">
        <v>75</v>
      </c>
      <c r="I1" s="7" t="s">
        <v>76</v>
      </c>
      <c r="J1" s="7" t="s">
        <v>77</v>
      </c>
      <c r="K1" s="7" t="s">
        <v>78</v>
      </c>
      <c r="L1" s="7" t="s">
        <v>79</v>
      </c>
      <c r="M1" s="7" t="s">
        <v>80</v>
      </c>
    </row>
    <row r="2" spans="1:13">
      <c r="A2" s="52">
        <v>40969</v>
      </c>
      <c r="B2" s="39">
        <v>-656.81</v>
      </c>
      <c r="C2" s="39">
        <v>0</v>
      </c>
      <c r="D2" s="39">
        <v>0</v>
      </c>
      <c r="E2" s="39">
        <v>478.51</v>
      </c>
      <c r="F2" s="39">
        <v>0</v>
      </c>
      <c r="G2" s="39">
        <v>4.78</v>
      </c>
      <c r="H2" s="39">
        <f>IF([LUCRO '[N']] + [DEDUÇÃO '[N']] &gt; 0, 0, [LUCRO '[N']] + [DEDUÇÃO '[N']])</f>
        <v>-656.81</v>
      </c>
      <c r="I2" s="39">
        <f>IF([LUCRO '[D']] + [DEDUÇÃO '[D']] &gt; 0, 0, [LUCRO '[D']] + [DEDUÇÃO '[D']])</f>
        <v>0</v>
      </c>
      <c r="J2" s="39">
        <f>IF([ACC '[N']] = 0, ROUND(([LUCRO '[N']] + [DEDUÇÃO '[N']]) * 15%, 2) - [IRRF '[N']], 0)</f>
        <v>0</v>
      </c>
      <c r="K2" s="39">
        <f>IF([ACC '[D']] = 0, ROUND(([LUCRO '[D']] + [DEDUÇÃO '[D']]) * 20%, 2) - [IRRF '[D']], 0)</f>
        <v>90.92</v>
      </c>
      <c r="L2" s="39">
        <f>[IR DEVIDO '[N']] + [IR DEVIDO '[D']]</f>
        <v>90.92</v>
      </c>
      <c r="M2" s="53">
        <f>[LUCRO '[N']] + [LUCRO '[D']] - [IR DEVIDO] - IF([IR DEVIDO] &gt; 0, 8.9, 0)</f>
        <v>-278.11999999999995</v>
      </c>
    </row>
    <row r="3" spans="1:13">
      <c r="A3" s="52">
        <v>41000</v>
      </c>
      <c r="B3" s="54">
        <v>-958.08</v>
      </c>
      <c r="C3" s="54">
        <v>0</v>
      </c>
      <c r="D3" s="54">
        <v>0</v>
      </c>
      <c r="E3" s="54">
        <v>0</v>
      </c>
      <c r="F3" s="54">
        <v>0</v>
      </c>
      <c r="G3" s="54">
        <v>0</v>
      </c>
      <c r="H3" s="54">
        <f>IF([LUCRO '[N']] + [DEDUÇÃO '[N']] &gt; 0, 0, [LUCRO '[N']] + [DEDUÇÃO '[N']])</f>
        <v>-958.08</v>
      </c>
      <c r="I3" s="54">
        <f>IF([LUCRO '[D']] + [DEDUÇÃO '[D']] &gt; 0, 0, [LUCRO '[D']] + [DEDUÇÃO '[D']])</f>
        <v>0</v>
      </c>
      <c r="J3" s="54">
        <f>IF([ACC '[N']] = 0, ROUND(([LUCRO '[N']] + [DEDUÇÃO '[N']]) * 15%, 2) - [IRRF '[N']], 0)</f>
        <v>0</v>
      </c>
      <c r="K3" s="54">
        <f>IF([ACC '[D']] = 0, ROUND(([LUCRO '[D']] + [DEDUÇÃO '[D']]) * 20%, 2) - [IRRF '[D']], 0)</f>
        <v>0</v>
      </c>
      <c r="L3" s="54">
        <f>[IR DEVIDO '[N']] + [IR DEVIDO '[D']]</f>
        <v>0</v>
      </c>
      <c r="M3" s="53">
        <f>[LUCRO '[N']] + [LUCRO '[D']] - [IR DEVIDO] - IF([IR DEVIDO] &gt; 0, 8.9, 0)</f>
        <v>-958.08</v>
      </c>
    </row>
    <row r="4" spans="1:13">
      <c r="A4" s="52">
        <v>41030</v>
      </c>
      <c r="B4" s="54">
        <v>431.77</v>
      </c>
      <c r="C4" s="54">
        <v>-1614.89</v>
      </c>
      <c r="D4" s="54">
        <v>0</v>
      </c>
      <c r="E4" s="54">
        <v>0</v>
      </c>
      <c r="F4" s="54">
        <v>0</v>
      </c>
      <c r="G4" s="54">
        <v>0</v>
      </c>
      <c r="H4" s="54">
        <f>IF([LUCRO '[N']] + [DEDUÇÃO '[N']] &gt; 0, 0, [LUCRO '[N']] + [DEDUÇÃO '[N']])</f>
        <v>-1183.1200000000001</v>
      </c>
      <c r="I4" s="54">
        <f>IF([LUCRO '[D']] + [DEDUÇÃO '[D']] &gt; 0, 0, [LUCRO '[D']] + [DEDUÇÃO '[D']])</f>
        <v>0</v>
      </c>
      <c r="J4" s="54">
        <f>IF([ACC '[N']] = 0, ROUND(([LUCRO '[N']] + [DEDUÇÃO '[N']]) * 15%, 2) - [IRRF '[N']], 0)</f>
        <v>0</v>
      </c>
      <c r="K4" s="54">
        <f>IF([ACC '[D']] = 0, ROUND(([LUCRO '[D']] + [DEDUÇÃO '[D']]) * 20%, 2) - [IRRF '[D']], 0)</f>
        <v>0</v>
      </c>
      <c r="L4" s="54">
        <f>[IR DEVIDO '[N']] + [IR DEVIDO '[D']]</f>
        <v>0</v>
      </c>
      <c r="M4" s="53">
        <f>[LUCRO '[N']] + [LUCRO '[D']] - [IR DEVIDO] - IF([IR DEVIDO] &gt; 0, 8.9, 0)</f>
        <v>431.77</v>
      </c>
    </row>
    <row r="5" spans="1:13">
      <c r="A5" s="52">
        <v>41061</v>
      </c>
      <c r="B5" s="54">
        <v>1297.02</v>
      </c>
      <c r="C5" s="54">
        <v>-1183.1199999999999</v>
      </c>
      <c r="D5" s="54">
        <v>0.13</v>
      </c>
      <c r="E5" s="54">
        <v>0</v>
      </c>
      <c r="F5" s="54">
        <v>0</v>
      </c>
      <c r="G5" s="54">
        <v>0</v>
      </c>
      <c r="H5" s="54">
        <f>IF([LUCRO '[N']] + [DEDUÇÃO '[N']] &gt; 0, 0, [LUCRO '[N']] + [DEDUÇÃO '[N']])</f>
        <v>0</v>
      </c>
      <c r="I5" s="54">
        <f>IF([LUCRO '[D']] + [DEDUÇÃO '[D']] &gt; 0, 0, [LUCRO '[D']] + [DEDUÇÃO '[D']])</f>
        <v>0</v>
      </c>
      <c r="J5" s="54">
        <f>IF([ACC '[N']] = 0, ROUND(([LUCRO '[N']] + [DEDUÇÃO '[N']]) * 15%, 2) - [IRRF '[N']], 0)</f>
        <v>16.96</v>
      </c>
      <c r="K5" s="54">
        <f>IF([ACC '[D']] = 0, ROUND(([LUCRO '[D']] + [DEDUÇÃO '[D']]) * 20%, 2) - [IRRF '[D']], 0)</f>
        <v>0</v>
      </c>
      <c r="L5" s="54">
        <f>[IR DEVIDO '[N']] + [IR DEVIDO '[D']]</f>
        <v>16.96</v>
      </c>
      <c r="M5" s="53">
        <f>[LUCRO '[N']] + [LUCRO '[D']] - [IR DEVIDO] - IF([IR DEVIDO] &gt; 0, 8.9, 0)</f>
        <v>1271.1599999999999</v>
      </c>
    </row>
    <row r="6" spans="1:13">
      <c r="A6" s="7" t="s">
        <v>30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6">
        <f>SUBTOTAL(109,[LUCRO TOTAL])</f>
        <v>466.72999999999979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3"/>
  <dimension ref="A1:I7"/>
  <sheetViews>
    <sheetView workbookViewId="0">
      <selection sqref="A1:H7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9">
      <c r="A1" s="68" t="s">
        <v>14</v>
      </c>
      <c r="B1" s="68"/>
      <c r="C1" s="68" t="s">
        <v>15</v>
      </c>
      <c r="D1" s="68"/>
      <c r="E1" s="67" t="s">
        <v>16</v>
      </c>
      <c r="F1" s="67" t="s">
        <v>8</v>
      </c>
      <c r="G1" s="67" t="s">
        <v>17</v>
      </c>
      <c r="H1" s="67" t="s">
        <v>18</v>
      </c>
      <c r="I1" s="67" t="s">
        <v>47</v>
      </c>
    </row>
    <row r="2" spans="1:9">
      <c r="A2" s="3" t="s">
        <v>19</v>
      </c>
      <c r="B2" s="3" t="s">
        <v>20</v>
      </c>
      <c r="C2" s="3" t="s">
        <v>19</v>
      </c>
      <c r="D2" s="3" t="s">
        <v>20</v>
      </c>
      <c r="E2" s="67"/>
      <c r="F2" s="67"/>
      <c r="G2" s="67"/>
      <c r="H2" s="67"/>
      <c r="I2" s="67"/>
    </row>
    <row r="3" spans="1:9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</row>
    <row r="4" spans="1:9">
      <c r="A4" s="66" t="s">
        <v>55</v>
      </c>
      <c r="B4" s="66"/>
      <c r="C4" s="66"/>
      <c r="D4" s="66"/>
      <c r="E4" s="66"/>
      <c r="F4" s="66"/>
    </row>
    <row r="5" spans="1:9">
      <c r="A5" s="66" t="s">
        <v>14</v>
      </c>
      <c r="B5" s="66"/>
      <c r="C5" s="66"/>
      <c r="D5" s="66" t="s">
        <v>15</v>
      </c>
      <c r="E5" s="66"/>
      <c r="F5" s="66"/>
    </row>
    <row r="6" spans="1:9">
      <c r="A6" s="18" t="s">
        <v>19</v>
      </c>
      <c r="B6" s="18" t="s">
        <v>20</v>
      </c>
      <c r="C6" s="18" t="s">
        <v>56</v>
      </c>
      <c r="D6" s="18" t="s">
        <v>19</v>
      </c>
      <c r="E6" s="18" t="s">
        <v>20</v>
      </c>
      <c r="F6" s="18" t="s">
        <v>56</v>
      </c>
    </row>
    <row r="7" spans="1:9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</row>
  </sheetData>
  <sheetProtection selectLockedCells="1" selectUnlockedCells="1"/>
  <mergeCells count="10"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Notas</vt:lpstr>
      <vt:lpstr>IR</vt:lpstr>
      <vt:lpstr>SETUP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2012-07-27T20:12:08Z</dcterms:modified>
</cp:coreProperties>
</file>