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0" yWindow="0" windowWidth="2310" windowHeight="930" tabRatio="802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MINI" sheetId="15" r:id="rId6"/>
    <sheet name="TRAVA BAIXA NEW" sheetId="6" r:id="rId7"/>
    <sheet name="BORBOLETA" sheetId="5" r:id="rId8"/>
    <sheet name="Plan1" sheetId="7" r:id="rId9"/>
    <sheet name="SETUP" sheetId="2" r:id="rId10"/>
    <sheet name="Plan2" sheetId="10" r:id="rId11"/>
    <sheet name="Plan4" sheetId="12" r:id="rId12"/>
    <sheet name="Plan6" sheetId="14" r:id="rId13"/>
  </sheets>
  <calcPr calcId="124519"/>
  <pivotCaches>
    <pivotCache cacheId="0" r:id="rId14"/>
  </pivotCaches>
</workbook>
</file>

<file path=xl/calcChain.xml><?xml version="1.0" encoding="utf-8"?>
<calcChain xmlns="http://schemas.openxmlformats.org/spreadsheetml/2006/main">
  <c r="B2" i="3"/>
  <c r="B3"/>
  <c r="B4"/>
  <c r="B5"/>
  <c r="D2" i="15"/>
  <c r="G2" s="1"/>
  <c r="F2"/>
  <c r="E2"/>
  <c r="R5" i="14" l="1"/>
  <c r="V3"/>
  <c r="U4" s="1"/>
  <c r="O61" i="12"/>
  <c r="O60"/>
  <c r="O59" l="1"/>
  <c r="O58"/>
  <c r="O57"/>
  <c r="O56"/>
  <c r="J8" i="14"/>
  <c r="O55" i="12"/>
  <c r="O54"/>
  <c r="O53"/>
  <c r="O52"/>
  <c r="O51"/>
  <c r="O50"/>
  <c r="B2" i="4"/>
  <c r="B3"/>
  <c r="B4"/>
  <c r="O49" i="12"/>
  <c r="O48"/>
  <c r="O47" l="1"/>
  <c r="O46"/>
  <c r="O45"/>
  <c r="O44"/>
  <c r="O43"/>
  <c r="O42"/>
  <c r="O41"/>
  <c r="O40"/>
  <c r="O39"/>
  <c r="O38"/>
  <c r="O37"/>
  <c r="O36"/>
  <c r="O35"/>
  <c r="O34"/>
  <c r="O33" l="1"/>
  <c r="O32"/>
  <c r="O31"/>
  <c r="O30"/>
  <c r="O29"/>
  <c r="O28"/>
  <c r="O27"/>
  <c r="O26"/>
  <c r="O25"/>
  <c r="O24"/>
  <c r="O23" l="1"/>
  <c r="O22"/>
  <c r="O21"/>
  <c r="O20"/>
  <c r="O19"/>
  <c r="O18"/>
  <c r="W62" i="10"/>
  <c r="U62"/>
  <c r="T63" s="1"/>
  <c r="V64" s="1"/>
  <c r="W64" s="1"/>
  <c r="O17" i="12"/>
  <c r="O16" l="1"/>
  <c r="O15"/>
  <c r="O14"/>
  <c r="O13"/>
  <c r="O12"/>
  <c r="O11"/>
  <c r="O10"/>
  <c r="O9"/>
  <c r="O8"/>
  <c r="T3" i="14"/>
  <c r="R4"/>
  <c r="O7" i="12"/>
  <c r="O6"/>
  <c r="O5"/>
  <c r="O4"/>
  <c r="O3"/>
  <c r="O2"/>
  <c r="R9" i="4" l="1"/>
  <c r="R7"/>
  <c r="R6"/>
  <c r="R5"/>
  <c r="H2"/>
  <c r="L2" s="1"/>
  <c r="H3"/>
  <c r="L3" s="1"/>
  <c r="H4"/>
  <c r="L4" s="1"/>
  <c r="J9" i="14"/>
  <c r="T4" l="1"/>
  <c r="V4" s="1"/>
  <c r="U5" s="1"/>
  <c r="S5"/>
  <c r="T5" s="1"/>
  <c r="K8"/>
  <c r="L6"/>
  <c r="L5"/>
  <c r="L4"/>
  <c r="K6"/>
  <c r="N6" s="1"/>
  <c r="O6" s="1"/>
  <c r="K5"/>
  <c r="N5" s="1"/>
  <c r="O5" s="1"/>
  <c r="K4"/>
  <c r="J30" i="1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B25"/>
  <c r="B26"/>
  <c r="B27"/>
  <c r="B28"/>
  <c r="B29"/>
  <c r="J29" s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J14" s="1"/>
  <c r="B23"/>
  <c r="B24"/>
  <c r="J24" s="1"/>
  <c r="B3"/>
  <c r="B1" s="1"/>
  <c r="T55"/>
  <c r="V5" i="14" l="1"/>
  <c r="N4"/>
  <c r="O4" s="1"/>
  <c r="O7" s="1"/>
  <c r="N7"/>
  <c r="N8" s="1"/>
  <c r="J13" i="10"/>
  <c r="J12"/>
  <c r="J11"/>
  <c r="J10"/>
  <c r="J9"/>
  <c r="J8"/>
  <c r="J7"/>
  <c r="J6"/>
  <c r="J5"/>
  <c r="J4"/>
  <c r="J28"/>
  <c r="J3"/>
  <c r="J27"/>
  <c r="J26"/>
  <c r="J25"/>
  <c r="J23"/>
  <c r="J22"/>
  <c r="J21"/>
  <c r="J20"/>
  <c r="J19"/>
  <c r="J18"/>
  <c r="J17"/>
  <c r="J16"/>
  <c r="J15"/>
  <c r="T57"/>
  <c r="U56" s="1"/>
  <c r="U59" s="1"/>
  <c r="C103" i="1"/>
  <c r="C104" s="1"/>
  <c r="E102"/>
  <c r="U2" i="10"/>
  <c r="V2"/>
  <c r="T3"/>
  <c r="U3" s="1"/>
  <c r="C16"/>
  <c r="R6" i="14" l="1"/>
  <c r="S6" s="1"/>
  <c r="U55" i="10"/>
  <c r="E103" i="1"/>
  <c r="E104" s="1"/>
  <c r="F104" s="1"/>
  <c r="G104" s="1"/>
  <c r="V3" i="10"/>
  <c r="T4"/>
  <c r="U4" s="1"/>
  <c r="W2"/>
  <c r="X2" s="1"/>
  <c r="C12"/>
  <c r="R7" i="14" l="1"/>
  <c r="S7" s="1"/>
  <c r="W3" i="10"/>
  <c r="X3" s="1"/>
  <c r="V4"/>
  <c r="C15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C3"/>
  <c r="C4"/>
  <c r="C5"/>
  <c r="C6"/>
  <c r="C7"/>
  <c r="C8"/>
  <c r="C9"/>
  <c r="C10"/>
  <c r="C11"/>
  <c r="C13"/>
  <c r="C14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2"/>
  <c r="G2"/>
  <c r="D3"/>
  <c r="D4"/>
  <c r="D5"/>
  <c r="D6"/>
  <c r="D7"/>
  <c r="D8"/>
  <c r="D9"/>
  <c r="D10"/>
  <c r="D11"/>
  <c r="D12"/>
  <c r="D13"/>
  <c r="D14"/>
  <c r="D15"/>
  <c r="D16"/>
  <c r="E16" s="1"/>
  <c r="D17"/>
  <c r="E17" s="1"/>
  <c r="F17" s="1"/>
  <c r="D18"/>
  <c r="E18" s="1"/>
  <c r="F18" s="1"/>
  <c r="D19"/>
  <c r="E19" s="1"/>
  <c r="F19" s="1"/>
  <c r="D20"/>
  <c r="E20" s="1"/>
  <c r="F20" s="1"/>
  <c r="D21"/>
  <c r="E21" s="1"/>
  <c r="F21" s="1"/>
  <c r="D22"/>
  <c r="E22" s="1"/>
  <c r="F22" s="1"/>
  <c r="D23"/>
  <c r="E23" s="1"/>
  <c r="F23" s="1"/>
  <c r="D24"/>
  <c r="E24" s="1"/>
  <c r="F24" s="1"/>
  <c r="D25"/>
  <c r="E25" s="1"/>
  <c r="F25" s="1"/>
  <c r="D26"/>
  <c r="E26" s="1"/>
  <c r="D27"/>
  <c r="E27" s="1"/>
  <c r="F27" s="1"/>
  <c r="D28"/>
  <c r="E28" s="1"/>
  <c r="F28" s="1"/>
  <c r="D29"/>
  <c r="E29" s="1"/>
  <c r="F29" s="1"/>
  <c r="D30"/>
  <c r="E30" s="1"/>
  <c r="F30" s="1"/>
  <c r="D31"/>
  <c r="E31" s="1"/>
  <c r="F31" s="1"/>
  <c r="D32"/>
  <c r="E32" s="1"/>
  <c r="F32" s="1"/>
  <c r="D33"/>
  <c r="E33" s="1"/>
  <c r="F33" s="1"/>
  <c r="D34"/>
  <c r="E34" s="1"/>
  <c r="F34" s="1"/>
  <c r="D35"/>
  <c r="E35" s="1"/>
  <c r="F35" s="1"/>
  <c r="D36"/>
  <c r="E36" s="1"/>
  <c r="F36" s="1"/>
  <c r="D37"/>
  <c r="E37" s="1"/>
  <c r="F37" s="1"/>
  <c r="D38"/>
  <c r="E38" s="1"/>
  <c r="F38" s="1"/>
  <c r="D39"/>
  <c r="E39" s="1"/>
  <c r="F39" s="1"/>
  <c r="D40"/>
  <c r="E40" s="1"/>
  <c r="F40" s="1"/>
  <c r="D41"/>
  <c r="E41" s="1"/>
  <c r="F41" s="1"/>
  <c r="D42"/>
  <c r="E42" s="1"/>
  <c r="F42" s="1"/>
  <c r="D43"/>
  <c r="E43" s="1"/>
  <c r="F43" s="1"/>
  <c r="D44"/>
  <c r="E44" s="1"/>
  <c r="F44" s="1"/>
  <c r="D45"/>
  <c r="E45" s="1"/>
  <c r="F45" s="1"/>
  <c r="D46"/>
  <c r="E46" s="1"/>
  <c r="F46" s="1"/>
  <c r="D47"/>
  <c r="E47" s="1"/>
  <c r="F47" s="1"/>
  <c r="D48"/>
  <c r="E48" s="1"/>
  <c r="F48" s="1"/>
  <c r="D49"/>
  <c r="E49" s="1"/>
  <c r="F49" s="1"/>
  <c r="D50"/>
  <c r="E50" s="1"/>
  <c r="F50" s="1"/>
  <c r="D51"/>
  <c r="E51" s="1"/>
  <c r="F51" s="1"/>
  <c r="D52"/>
  <c r="E52" s="1"/>
  <c r="F52" s="1"/>
  <c r="D53"/>
  <c r="E53" s="1"/>
  <c r="F53" s="1"/>
  <c r="D54"/>
  <c r="E54" s="1"/>
  <c r="F54" s="1"/>
  <c r="D55"/>
  <c r="E55" s="1"/>
  <c r="F55" s="1"/>
  <c r="D56"/>
  <c r="E56" s="1"/>
  <c r="F56" s="1"/>
  <c r="D57"/>
  <c r="E57" s="1"/>
  <c r="F57" s="1"/>
  <c r="D58"/>
  <c r="E58" s="1"/>
  <c r="F58" s="1"/>
  <c r="D59"/>
  <c r="E59" s="1"/>
  <c r="F59" s="1"/>
  <c r="D60"/>
  <c r="E60" s="1"/>
  <c r="F60" s="1"/>
  <c r="D61"/>
  <c r="E61" s="1"/>
  <c r="F61" s="1"/>
  <c r="D62"/>
  <c r="E62" s="1"/>
  <c r="F62" s="1"/>
  <c r="D63"/>
  <c r="E63" s="1"/>
  <c r="F63" s="1"/>
  <c r="D64"/>
  <c r="E64" s="1"/>
  <c r="F64" s="1"/>
  <c r="D65"/>
  <c r="E65" s="1"/>
  <c r="F65" s="1"/>
  <c r="D66"/>
  <c r="E66" s="1"/>
  <c r="F66" s="1"/>
  <c r="D67"/>
  <c r="E67" s="1"/>
  <c r="F67" s="1"/>
  <c r="D68"/>
  <c r="E68" s="1"/>
  <c r="F68" s="1"/>
  <c r="D69"/>
  <c r="E69" s="1"/>
  <c r="F69" s="1"/>
  <c r="D70"/>
  <c r="E70" s="1"/>
  <c r="F70" s="1"/>
  <c r="D71"/>
  <c r="E71" s="1"/>
  <c r="F71" s="1"/>
  <c r="D72"/>
  <c r="E72" s="1"/>
  <c r="F72" s="1"/>
  <c r="D73"/>
  <c r="E73" s="1"/>
  <c r="F73" s="1"/>
  <c r="D74"/>
  <c r="E74" s="1"/>
  <c r="F74" s="1"/>
  <c r="D75"/>
  <c r="E75" s="1"/>
  <c r="F75" s="1"/>
  <c r="D76"/>
  <c r="E76" s="1"/>
  <c r="F76" s="1"/>
  <c r="D77"/>
  <c r="E77" s="1"/>
  <c r="F77" s="1"/>
  <c r="D78"/>
  <c r="E78" s="1"/>
  <c r="F78" s="1"/>
  <c r="D79"/>
  <c r="E79" s="1"/>
  <c r="F79" s="1"/>
  <c r="D80"/>
  <c r="E80" s="1"/>
  <c r="F80" s="1"/>
  <c r="D2"/>
  <c r="E2" s="1"/>
  <c r="H80"/>
  <c r="H79"/>
  <c r="H77"/>
  <c r="H78"/>
  <c r="I78" s="1"/>
  <c r="H76"/>
  <c r="H75"/>
  <c r="H74"/>
  <c r="H73"/>
  <c r="H68"/>
  <c r="H69"/>
  <c r="I69" s="1"/>
  <c r="H70"/>
  <c r="I70" s="1"/>
  <c r="H71"/>
  <c r="I71" s="1"/>
  <c r="H72"/>
  <c r="I72" s="1"/>
  <c r="H62"/>
  <c r="H63"/>
  <c r="I63" s="1"/>
  <c r="H64"/>
  <c r="I64" s="1"/>
  <c r="H65"/>
  <c r="I65" s="1"/>
  <c r="H66"/>
  <c r="I66" s="1"/>
  <c r="H67"/>
  <c r="I67" s="1"/>
  <c r="H50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I61" s="1"/>
  <c r="H34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33"/>
  <c r="H30"/>
  <c r="H31"/>
  <c r="I31" s="1"/>
  <c r="H32"/>
  <c r="I32" s="1"/>
  <c r="H27"/>
  <c r="H28"/>
  <c r="I28" s="1"/>
  <c r="H29"/>
  <c r="I29" s="1"/>
  <c r="H26"/>
  <c r="H24"/>
  <c r="H25"/>
  <c r="I25" s="1"/>
  <c r="H22"/>
  <c r="H23"/>
  <c r="I23" s="1"/>
  <c r="H19"/>
  <c r="H20"/>
  <c r="I20" s="1"/>
  <c r="H21"/>
  <c r="I21" s="1"/>
  <c r="H17"/>
  <c r="H18"/>
  <c r="I18" s="1"/>
  <c r="H16"/>
  <c r="K95" i="1"/>
  <c r="L95"/>
  <c r="N95"/>
  <c r="S95"/>
  <c r="AB95"/>
  <c r="AC95"/>
  <c r="AH95"/>
  <c r="AI95"/>
  <c r="AJ95"/>
  <c r="K94"/>
  <c r="L94"/>
  <c r="N94"/>
  <c r="S94"/>
  <c r="AB94"/>
  <c r="AC94"/>
  <c r="AH94"/>
  <c r="AI94"/>
  <c r="AJ94"/>
  <c r="R8" i="14" l="1"/>
  <c r="S8" s="1"/>
  <c r="I17" i="10"/>
  <c r="I19"/>
  <c r="I22"/>
  <c r="I24"/>
  <c r="I26"/>
  <c r="I27"/>
  <c r="I30"/>
  <c r="I33"/>
  <c r="I34"/>
  <c r="I50"/>
  <c r="I62"/>
  <c r="I68"/>
  <c r="I73"/>
  <c r="I74"/>
  <c r="I75"/>
  <c r="I76"/>
  <c r="I77"/>
  <c r="I79"/>
  <c r="I80"/>
  <c r="W4"/>
  <c r="X4" s="1"/>
  <c r="T5"/>
  <c r="U5" s="1"/>
  <c r="F26"/>
  <c r="H2"/>
  <c r="E4"/>
  <c r="E3"/>
  <c r="F4" s="1"/>
  <c r="E15"/>
  <c r="E14"/>
  <c r="E13"/>
  <c r="E12"/>
  <c r="E11"/>
  <c r="E10"/>
  <c r="E9"/>
  <c r="E8"/>
  <c r="E7"/>
  <c r="E6"/>
  <c r="E5"/>
  <c r="F5" s="1"/>
  <c r="H15"/>
  <c r="H14"/>
  <c r="H13"/>
  <c r="H12"/>
  <c r="H11"/>
  <c r="H10"/>
  <c r="H9"/>
  <c r="H8"/>
  <c r="H7"/>
  <c r="H6"/>
  <c r="H5"/>
  <c r="H4"/>
  <c r="H3"/>
  <c r="I3" s="1"/>
  <c r="I9" l="1"/>
  <c r="R9" i="14"/>
  <c r="S9" s="1"/>
  <c r="I5" i="10"/>
  <c r="I6"/>
  <c r="I7"/>
  <c r="I8"/>
  <c r="I10"/>
  <c r="I11"/>
  <c r="I12"/>
  <c r="I13"/>
  <c r="I14"/>
  <c r="I15"/>
  <c r="I16"/>
  <c r="V5"/>
  <c r="T6"/>
  <c r="U6" s="1"/>
  <c r="I4"/>
  <c r="F6"/>
  <c r="F7"/>
  <c r="F8"/>
  <c r="F9"/>
  <c r="F10"/>
  <c r="F11"/>
  <c r="F12"/>
  <c r="F13"/>
  <c r="F14"/>
  <c r="F15"/>
  <c r="F16"/>
  <c r="F3"/>
  <c r="R10" i="14" l="1"/>
  <c r="S10" s="1"/>
  <c r="V6" i="10"/>
  <c r="T7"/>
  <c r="U7" s="1"/>
  <c r="W5"/>
  <c r="X5" s="1"/>
  <c r="N5" i="3"/>
  <c r="O5" s="1"/>
  <c r="N4"/>
  <c r="O4" s="1"/>
  <c r="R11" i="14" l="1"/>
  <c r="S11" s="1"/>
  <c r="W6" i="10"/>
  <c r="X6" s="1"/>
  <c r="V7"/>
  <c r="W7" s="1"/>
  <c r="X7" s="1"/>
  <c r="T8"/>
  <c r="U8" s="1"/>
  <c r="N1" i="3"/>
  <c r="F5"/>
  <c r="G5"/>
  <c r="H5"/>
  <c r="I5"/>
  <c r="J5"/>
  <c r="K5"/>
  <c r="D7" s="1"/>
  <c r="H3" i="6"/>
  <c r="K3"/>
  <c r="I3" s="1"/>
  <c r="M3"/>
  <c r="N3"/>
  <c r="H2"/>
  <c r="M2" s="1"/>
  <c r="F4" i="3"/>
  <c r="G4"/>
  <c r="H4"/>
  <c r="I4"/>
  <c r="J4"/>
  <c r="K4"/>
  <c r="K2" i="6"/>
  <c r="J2" s="1"/>
  <c r="L2" s="1"/>
  <c r="K93" i="1"/>
  <c r="L93"/>
  <c r="N93"/>
  <c r="S93"/>
  <c r="AB93"/>
  <c r="AC93"/>
  <c r="AH93"/>
  <c r="AI93"/>
  <c r="AJ93"/>
  <c r="K92"/>
  <c r="L92"/>
  <c r="N92"/>
  <c r="S92"/>
  <c r="AB92"/>
  <c r="AC92"/>
  <c r="AE92"/>
  <c r="AH92"/>
  <c r="AI92"/>
  <c r="AJ92"/>
  <c r="R12" i="14" l="1"/>
  <c r="S12" s="1"/>
  <c r="V8" i="10"/>
  <c r="W8" s="1"/>
  <c r="X8" s="1"/>
  <c r="T9"/>
  <c r="U9" s="1"/>
  <c r="J3" i="6"/>
  <c r="L3" s="1"/>
  <c r="O3" s="1"/>
  <c r="K57" i="9"/>
  <c r="K58"/>
  <c r="L57"/>
  <c r="L58"/>
  <c r="N57"/>
  <c r="N58"/>
  <c r="S58" s="1"/>
  <c r="T58" s="1"/>
  <c r="S57"/>
  <c r="T57" s="1"/>
  <c r="AC57"/>
  <c r="AD57"/>
  <c r="AD58"/>
  <c r="AF57"/>
  <c r="AI58"/>
  <c r="AJ58"/>
  <c r="AK58"/>
  <c r="K56"/>
  <c r="L56" s="1"/>
  <c r="K59"/>
  <c r="L59" s="1"/>
  <c r="N56"/>
  <c r="N59"/>
  <c r="S59" s="1"/>
  <c r="T59" s="1"/>
  <c r="AC56"/>
  <c r="AD56"/>
  <c r="AD59"/>
  <c r="AI56"/>
  <c r="AI59"/>
  <c r="AJ56"/>
  <c r="AJ59"/>
  <c r="AK56"/>
  <c r="AK59"/>
  <c r="R13" i="14" l="1"/>
  <c r="S13" s="1"/>
  <c r="V9" i="10"/>
  <c r="W9" s="1"/>
  <c r="X9" s="1"/>
  <c r="T10"/>
  <c r="U10" s="1"/>
  <c r="AC58" i="9"/>
  <c r="AC59"/>
  <c r="S56"/>
  <c r="T56" s="1"/>
  <c r="K53"/>
  <c r="L53" s="1"/>
  <c r="K54"/>
  <c r="L54" s="1"/>
  <c r="K60"/>
  <c r="L60" s="1"/>
  <c r="K55"/>
  <c r="L55" s="1"/>
  <c r="N53"/>
  <c r="S53" s="1"/>
  <c r="T53" s="1"/>
  <c r="N54"/>
  <c r="AC54" s="1"/>
  <c r="N60"/>
  <c r="S60" s="1"/>
  <c r="T60" s="1"/>
  <c r="N55"/>
  <c r="S55" s="1"/>
  <c r="T55" s="1"/>
  <c r="AC53"/>
  <c r="AC55"/>
  <c r="AD53"/>
  <c r="AD54"/>
  <c r="AD60"/>
  <c r="AD55"/>
  <c r="AE54"/>
  <c r="AF53"/>
  <c r="AI53"/>
  <c r="AI54"/>
  <c r="AI60"/>
  <c r="AI55"/>
  <c r="AJ53"/>
  <c r="AJ54"/>
  <c r="AJ60"/>
  <c r="AJ55"/>
  <c r="AK53"/>
  <c r="AK54"/>
  <c r="AK60"/>
  <c r="AK55"/>
  <c r="K52"/>
  <c r="L52" s="1"/>
  <c r="N52"/>
  <c r="AC52"/>
  <c r="AD52"/>
  <c r="AI52"/>
  <c r="AJ52"/>
  <c r="AK52"/>
  <c r="K50"/>
  <c r="L50" s="1"/>
  <c r="K51"/>
  <c r="L51" s="1"/>
  <c r="K61"/>
  <c r="L61" s="1"/>
  <c r="N50"/>
  <c r="S50" s="1"/>
  <c r="T50" s="1"/>
  <c r="N51"/>
  <c r="AC51" s="1"/>
  <c r="N61"/>
  <c r="AC61" s="1"/>
  <c r="AC50"/>
  <c r="AD50"/>
  <c r="AD51"/>
  <c r="AD61"/>
  <c r="AF50"/>
  <c r="AI50"/>
  <c r="AI51"/>
  <c r="AI61"/>
  <c r="AJ50"/>
  <c r="AJ51"/>
  <c r="AJ61"/>
  <c r="AK50"/>
  <c r="AK51"/>
  <c r="AK61"/>
  <c r="K48"/>
  <c r="L48" s="1"/>
  <c r="K49"/>
  <c r="L49" s="1"/>
  <c r="N48"/>
  <c r="S48" s="1"/>
  <c r="T48" s="1"/>
  <c r="N49"/>
  <c r="S49" s="1"/>
  <c r="T49" s="1"/>
  <c r="AC48"/>
  <c r="AD48"/>
  <c r="AD49"/>
  <c r="AF48"/>
  <c r="AI48"/>
  <c r="AJ48"/>
  <c r="AK48"/>
  <c r="K46"/>
  <c r="L46" s="1"/>
  <c r="K47"/>
  <c r="L47" s="1"/>
  <c r="N46"/>
  <c r="S46" s="1"/>
  <c r="T46" s="1"/>
  <c r="N47"/>
  <c r="S47" s="1"/>
  <c r="T47" s="1"/>
  <c r="AC46"/>
  <c r="AD46"/>
  <c r="AD47"/>
  <c r="AF46"/>
  <c r="AI46"/>
  <c r="AJ46"/>
  <c r="AK46"/>
  <c r="K44"/>
  <c r="L44" s="1"/>
  <c r="K45"/>
  <c r="L45" s="1"/>
  <c r="N44"/>
  <c r="S44" s="1"/>
  <c r="T44" s="1"/>
  <c r="N45"/>
  <c r="S45" s="1"/>
  <c r="T45" s="1"/>
  <c r="AC44"/>
  <c r="AD44"/>
  <c r="AD45"/>
  <c r="AF44"/>
  <c r="AI44"/>
  <c r="AJ44"/>
  <c r="AK44"/>
  <c r="K42"/>
  <c r="L42" s="1"/>
  <c r="K43"/>
  <c r="L43" s="1"/>
  <c r="N42"/>
  <c r="S42" s="1"/>
  <c r="T42" s="1"/>
  <c r="N43"/>
  <c r="S43" s="1"/>
  <c r="T43" s="1"/>
  <c r="AC42"/>
  <c r="AD42"/>
  <c r="AD43"/>
  <c r="AF42"/>
  <c r="AI42"/>
  <c r="AJ42"/>
  <c r="AK42"/>
  <c r="K40"/>
  <c r="L40" s="1"/>
  <c r="K41"/>
  <c r="L41" s="1"/>
  <c r="N40"/>
  <c r="S40" s="1"/>
  <c r="T40" s="1"/>
  <c r="N41"/>
  <c r="S41" s="1"/>
  <c r="T41" s="1"/>
  <c r="AC40"/>
  <c r="AD40"/>
  <c r="AD41"/>
  <c r="AF40"/>
  <c r="AI40"/>
  <c r="AJ40"/>
  <c r="AK40"/>
  <c r="K38"/>
  <c r="L38" s="1"/>
  <c r="K39"/>
  <c r="L39" s="1"/>
  <c r="N38"/>
  <c r="S38" s="1"/>
  <c r="T38" s="1"/>
  <c r="N39"/>
  <c r="S39" s="1"/>
  <c r="T39" s="1"/>
  <c r="AC38"/>
  <c r="AD38"/>
  <c r="AD39"/>
  <c r="AF38"/>
  <c r="AI38"/>
  <c r="AJ38"/>
  <c r="AK38"/>
  <c r="K36"/>
  <c r="L36" s="1"/>
  <c r="K37"/>
  <c r="L37" s="1"/>
  <c r="N36"/>
  <c r="S36" s="1"/>
  <c r="T36" s="1"/>
  <c r="N37"/>
  <c r="S37" s="1"/>
  <c r="T37" s="1"/>
  <c r="AC36"/>
  <c r="AD36"/>
  <c r="AD37"/>
  <c r="AF36"/>
  <c r="AI36"/>
  <c r="AJ36"/>
  <c r="AK36"/>
  <c r="K35"/>
  <c r="L35" s="1"/>
  <c r="N35"/>
  <c r="AC35" s="1"/>
  <c r="AD35"/>
  <c r="K32"/>
  <c r="L32" s="1"/>
  <c r="K33"/>
  <c r="L33" s="1"/>
  <c r="K34"/>
  <c r="L34" s="1"/>
  <c r="N32"/>
  <c r="S32" s="1"/>
  <c r="T32" s="1"/>
  <c r="N33"/>
  <c r="S33" s="1"/>
  <c r="T33" s="1"/>
  <c r="N34"/>
  <c r="S34" s="1"/>
  <c r="T34" s="1"/>
  <c r="AC32"/>
  <c r="AC34"/>
  <c r="AD32"/>
  <c r="AD33"/>
  <c r="AD34"/>
  <c r="AF32"/>
  <c r="AF34"/>
  <c r="AI32"/>
  <c r="AI34"/>
  <c r="AJ32"/>
  <c r="AJ34"/>
  <c r="AK32"/>
  <c r="AK34"/>
  <c r="K28"/>
  <c r="L28" s="1"/>
  <c r="K29"/>
  <c r="L29" s="1"/>
  <c r="N28"/>
  <c r="S28" s="1"/>
  <c r="T28" s="1"/>
  <c r="N29"/>
  <c r="S29" s="1"/>
  <c r="T29" s="1"/>
  <c r="AC28"/>
  <c r="AD28"/>
  <c r="AD29"/>
  <c r="AF28"/>
  <c r="AI28"/>
  <c r="AJ28"/>
  <c r="AK28"/>
  <c r="K26"/>
  <c r="L26" s="1"/>
  <c r="K27"/>
  <c r="L27" s="1"/>
  <c r="N26"/>
  <c r="S26" s="1"/>
  <c r="T26" s="1"/>
  <c r="N27"/>
  <c r="S27" s="1"/>
  <c r="T27" s="1"/>
  <c r="AC26"/>
  <c r="AD26"/>
  <c r="AD27"/>
  <c r="AF26"/>
  <c r="AI26"/>
  <c r="AI27"/>
  <c r="AJ26"/>
  <c r="AJ27"/>
  <c r="AK26"/>
  <c r="AK27"/>
  <c r="K30"/>
  <c r="L30" s="1"/>
  <c r="K31"/>
  <c r="L31" s="1"/>
  <c r="N30"/>
  <c r="S30" s="1"/>
  <c r="T30" s="1"/>
  <c r="N31"/>
  <c r="S31" s="1"/>
  <c r="T31" s="1"/>
  <c r="AC30"/>
  <c r="AD30"/>
  <c r="AD31"/>
  <c r="AF30"/>
  <c r="AI30"/>
  <c r="AJ30"/>
  <c r="AK30"/>
  <c r="K24"/>
  <c r="L24" s="1"/>
  <c r="K25"/>
  <c r="L25" s="1"/>
  <c r="N24"/>
  <c r="S24" s="1"/>
  <c r="T24" s="1"/>
  <c r="N25"/>
  <c r="S25" s="1"/>
  <c r="T25" s="1"/>
  <c r="AC24"/>
  <c r="AD24"/>
  <c r="AD25"/>
  <c r="AF24"/>
  <c r="AI24"/>
  <c r="AJ24"/>
  <c r="AK24"/>
  <c r="R14" i="14" l="1"/>
  <c r="S14" s="1"/>
  <c r="R15" s="1"/>
  <c r="S15" s="1"/>
  <c r="R16" s="1"/>
  <c r="S16" s="1"/>
  <c r="R17" s="1"/>
  <c r="S17" s="1"/>
  <c r="R18" s="1"/>
  <c r="S18" s="1"/>
  <c r="R19" s="1"/>
  <c r="S19" s="1"/>
  <c r="R20" s="1"/>
  <c r="S20" s="1"/>
  <c r="R21" s="1"/>
  <c r="S21" s="1"/>
  <c r="R22" s="1"/>
  <c r="S22" s="1"/>
  <c r="R23" s="1"/>
  <c r="S23" s="1"/>
  <c r="R24" s="1"/>
  <c r="S24" s="1"/>
  <c r="R25" s="1"/>
  <c r="S25" s="1"/>
  <c r="R26" s="1"/>
  <c r="S26" s="1"/>
  <c r="R27" s="1"/>
  <c r="S27" s="1"/>
  <c r="R28" s="1"/>
  <c r="S28" s="1"/>
  <c r="R29" s="1"/>
  <c r="S29" s="1"/>
  <c r="R30" s="1"/>
  <c r="S30" s="1"/>
  <c r="R31" s="1"/>
  <c r="S31" s="1"/>
  <c r="R32" s="1"/>
  <c r="S32" s="1"/>
  <c r="R33" s="1"/>
  <c r="S33" s="1"/>
  <c r="R34" s="1"/>
  <c r="S34" s="1"/>
  <c r="R35" s="1"/>
  <c r="S35" s="1"/>
  <c r="R36" s="1"/>
  <c r="S36" s="1"/>
  <c r="R37" s="1"/>
  <c r="S37" s="1"/>
  <c r="R38" s="1"/>
  <c r="S38" s="1"/>
  <c r="R39" s="1"/>
  <c r="S39" s="1"/>
  <c r="R40" s="1"/>
  <c r="S40" s="1"/>
  <c r="R41" s="1"/>
  <c r="S41" s="1"/>
  <c r="R42" s="1"/>
  <c r="S42" s="1"/>
  <c r="R43" s="1"/>
  <c r="S43" s="1"/>
  <c r="R44" s="1"/>
  <c r="S44" s="1"/>
  <c r="R45" s="1"/>
  <c r="S45" s="1"/>
  <c r="R46" s="1"/>
  <c r="S46" s="1"/>
  <c r="R47" s="1"/>
  <c r="S47" s="1"/>
  <c r="R48" s="1"/>
  <c r="S48" s="1"/>
  <c r="R49" s="1"/>
  <c r="S49" s="1"/>
  <c r="R50" s="1"/>
  <c r="S50" s="1"/>
  <c r="R51" s="1"/>
  <c r="S51" s="1"/>
  <c r="R52" s="1"/>
  <c r="S52" s="1"/>
  <c r="R53" s="1"/>
  <c r="S53" s="1"/>
  <c r="R54" s="1"/>
  <c r="S54" s="1"/>
  <c r="R55" s="1"/>
  <c r="S55" s="1"/>
  <c r="R56" s="1"/>
  <c r="S56" s="1"/>
  <c r="R57" s="1"/>
  <c r="S57" s="1"/>
  <c r="R58" s="1"/>
  <c r="S58" s="1"/>
  <c r="R59" s="1"/>
  <c r="S59" s="1"/>
  <c r="R60" s="1"/>
  <c r="S60" s="1"/>
  <c r="R61" s="1"/>
  <c r="S61" s="1"/>
  <c r="R62" s="1"/>
  <c r="S62" s="1"/>
  <c r="R63" s="1"/>
  <c r="S63" s="1"/>
  <c r="R64" s="1"/>
  <c r="S64" s="1"/>
  <c r="R65" s="1"/>
  <c r="S65" s="1"/>
  <c r="R66" s="1"/>
  <c r="S66" s="1"/>
  <c r="R67" s="1"/>
  <c r="S67" s="1"/>
  <c r="R68" s="1"/>
  <c r="S68" s="1"/>
  <c r="R69" s="1"/>
  <c r="S69" s="1"/>
  <c r="R70" s="1"/>
  <c r="S70" s="1"/>
  <c r="R71" s="1"/>
  <c r="S71" s="1"/>
  <c r="R72" s="1"/>
  <c r="S72" s="1"/>
  <c r="R73" s="1"/>
  <c r="S73" s="1"/>
  <c r="R74" s="1"/>
  <c r="S74" s="1"/>
  <c r="R75" s="1"/>
  <c r="S75" s="1"/>
  <c r="R76" s="1"/>
  <c r="S76" s="1"/>
  <c r="R77" s="1"/>
  <c r="S77" s="1"/>
  <c r="R78" s="1"/>
  <c r="S78" s="1"/>
  <c r="R79" s="1"/>
  <c r="S79" s="1"/>
  <c r="R80" s="1"/>
  <c r="S80" s="1"/>
  <c r="R81" s="1"/>
  <c r="S81" s="1"/>
  <c r="R82" s="1"/>
  <c r="S82" s="1"/>
  <c r="R83" s="1"/>
  <c r="S83" s="1"/>
  <c r="R84" s="1"/>
  <c r="S84" s="1"/>
  <c r="R85" s="1"/>
  <c r="S85" s="1"/>
  <c r="R86" s="1"/>
  <c r="S86" s="1"/>
  <c r="R87" s="1"/>
  <c r="S87" s="1"/>
  <c r="R88" s="1"/>
  <c r="S88" s="1"/>
  <c r="R89" s="1"/>
  <c r="S89" s="1"/>
  <c r="R90" s="1"/>
  <c r="S90" s="1"/>
  <c r="R91" s="1"/>
  <c r="S91" s="1"/>
  <c r="R92" s="1"/>
  <c r="S92" s="1"/>
  <c r="R93" s="1"/>
  <c r="S93" s="1"/>
  <c r="R94" s="1"/>
  <c r="S94" s="1"/>
  <c r="V10" i="10"/>
  <c r="W10" s="1"/>
  <c r="X10" s="1"/>
  <c r="S54" i="9"/>
  <c r="T54" s="1"/>
  <c r="AC49"/>
  <c r="AC60"/>
  <c r="S35"/>
  <c r="T35" s="1"/>
  <c r="AC39"/>
  <c r="AC43"/>
  <c r="AC47"/>
  <c r="S52"/>
  <c r="T52" s="1"/>
  <c r="AC29"/>
  <c r="S61"/>
  <c r="T61" s="1"/>
  <c r="S51"/>
  <c r="T51" s="1"/>
  <c r="AC31"/>
  <c r="AC33"/>
  <c r="AC27"/>
  <c r="AC37"/>
  <c r="AC41"/>
  <c r="AC45"/>
  <c r="AC25"/>
  <c r="K22"/>
  <c r="L22" s="1"/>
  <c r="K23"/>
  <c r="L23" s="1"/>
  <c r="N22"/>
  <c r="S22" s="1"/>
  <c r="T22" s="1"/>
  <c r="N23"/>
  <c r="S23" s="1"/>
  <c r="T23" s="1"/>
  <c r="AC22"/>
  <c r="AD22"/>
  <c r="AD23"/>
  <c r="AF22"/>
  <c r="AI22"/>
  <c r="AJ22"/>
  <c r="AK22"/>
  <c r="K19"/>
  <c r="L19" s="1"/>
  <c r="K21"/>
  <c r="L21" s="1"/>
  <c r="N19"/>
  <c r="S19" s="1"/>
  <c r="T19" s="1"/>
  <c r="N21"/>
  <c r="S21" s="1"/>
  <c r="T21" s="1"/>
  <c r="AC19"/>
  <c r="AD19"/>
  <c r="AD21"/>
  <c r="AF19"/>
  <c r="AI19"/>
  <c r="AJ19"/>
  <c r="AK19"/>
  <c r="K18"/>
  <c r="L18" s="1"/>
  <c r="K20"/>
  <c r="L20" s="1"/>
  <c r="N18"/>
  <c r="S18" s="1"/>
  <c r="T18" s="1"/>
  <c r="N20"/>
  <c r="S20" s="1"/>
  <c r="T20" s="1"/>
  <c r="AC18"/>
  <c r="AD18"/>
  <c r="AD20"/>
  <c r="AF18"/>
  <c r="AI18"/>
  <c r="AI20"/>
  <c r="AJ18"/>
  <c r="AJ20"/>
  <c r="AK18"/>
  <c r="AK20"/>
  <c r="K14"/>
  <c r="L14" s="1"/>
  <c r="K15"/>
  <c r="L15" s="1"/>
  <c r="N14"/>
  <c r="S14" s="1"/>
  <c r="T14" s="1"/>
  <c r="N15"/>
  <c r="S15" s="1"/>
  <c r="T15" s="1"/>
  <c r="AC14"/>
  <c r="AD14"/>
  <c r="AD15"/>
  <c r="AF14"/>
  <c r="AI14"/>
  <c r="AI15"/>
  <c r="AJ14"/>
  <c r="AJ15"/>
  <c r="AK14"/>
  <c r="AK15"/>
  <c r="K13"/>
  <c r="L13" s="1"/>
  <c r="K17"/>
  <c r="L17" s="1"/>
  <c r="N13"/>
  <c r="S13" s="1"/>
  <c r="T13" s="1"/>
  <c r="N17"/>
  <c r="AC17" s="1"/>
  <c r="AC13"/>
  <c r="AD13"/>
  <c r="AD17"/>
  <c r="AF13"/>
  <c r="AI13"/>
  <c r="AJ13"/>
  <c r="AK13"/>
  <c r="K6"/>
  <c r="L6" s="1"/>
  <c r="N6"/>
  <c r="S6" s="1"/>
  <c r="T6" s="1"/>
  <c r="AC6"/>
  <c r="AD6"/>
  <c r="AF6"/>
  <c r="AI6"/>
  <c r="AJ6"/>
  <c r="AK6"/>
  <c r="K7"/>
  <c r="L7" s="1"/>
  <c r="N7"/>
  <c r="AC7" s="1"/>
  <c r="S7"/>
  <c r="T7" s="1"/>
  <c r="AD7"/>
  <c r="AI7"/>
  <c r="AJ7"/>
  <c r="AK7"/>
  <c r="K8"/>
  <c r="L8" s="1"/>
  <c r="N8"/>
  <c r="S8" s="1"/>
  <c r="T8" s="1"/>
  <c r="AD8"/>
  <c r="AE8"/>
  <c r="AI8"/>
  <c r="AJ8"/>
  <c r="AK8"/>
  <c r="K9"/>
  <c r="L9" s="1"/>
  <c r="N9"/>
  <c r="S9" s="1"/>
  <c r="T9" s="1"/>
  <c r="AC9"/>
  <c r="AD9"/>
  <c r="AI9"/>
  <c r="AJ9"/>
  <c r="AK9"/>
  <c r="K12"/>
  <c r="L12" s="1"/>
  <c r="K16"/>
  <c r="L16" s="1"/>
  <c r="N12"/>
  <c r="S12" s="1"/>
  <c r="T12" s="1"/>
  <c r="N16"/>
  <c r="S16" s="1"/>
  <c r="T16" s="1"/>
  <c r="AC12"/>
  <c r="AD12"/>
  <c r="AD16"/>
  <c r="AI12"/>
  <c r="AJ12"/>
  <c r="AK12"/>
  <c r="K11"/>
  <c r="L11" s="1"/>
  <c r="N11"/>
  <c r="S11" s="1"/>
  <c r="T11" s="1"/>
  <c r="AC11"/>
  <c r="AD11"/>
  <c r="AI11"/>
  <c r="AJ11"/>
  <c r="AK11"/>
  <c r="K10"/>
  <c r="L10" s="1"/>
  <c r="N10"/>
  <c r="S10" s="1"/>
  <c r="T10" s="1"/>
  <c r="AD10"/>
  <c r="AI10"/>
  <c r="AJ10"/>
  <c r="AK10"/>
  <c r="T11" i="10" l="1"/>
  <c r="U11" s="1"/>
  <c r="S17" i="9"/>
  <c r="T17" s="1"/>
  <c r="AC10"/>
  <c r="AC8"/>
  <c r="AC21"/>
  <c r="AC16"/>
  <c r="AC15"/>
  <c r="AC20"/>
  <c r="AC23"/>
  <c r="K4"/>
  <c r="L4" s="1"/>
  <c r="K5"/>
  <c r="L5" s="1"/>
  <c r="N4"/>
  <c r="S4" s="1"/>
  <c r="T4" s="1"/>
  <c r="N5"/>
  <c r="S5" s="1"/>
  <c r="T5" s="1"/>
  <c r="AC4"/>
  <c r="AD4"/>
  <c r="AD5"/>
  <c r="AF4"/>
  <c r="V11" i="10" l="1"/>
  <c r="W11" s="1"/>
  <c r="X11" s="1"/>
  <c r="T12"/>
  <c r="U12" s="1"/>
  <c r="AC5" i="9"/>
  <c r="A62"/>
  <c r="AK3"/>
  <c r="AJ3"/>
  <c r="AI3"/>
  <c r="AD3"/>
  <c r="N3"/>
  <c r="AC3" s="1"/>
  <c r="K3"/>
  <c r="L3" s="1"/>
  <c r="AK2"/>
  <c r="AJ2"/>
  <c r="AI2"/>
  <c r="AF2"/>
  <c r="AD2"/>
  <c r="AC2"/>
  <c r="N2"/>
  <c r="K2"/>
  <c r="L2" s="1"/>
  <c r="V12" i="10" l="1"/>
  <c r="W12" s="1"/>
  <c r="X12" s="1"/>
  <c r="T13"/>
  <c r="U13" s="1"/>
  <c r="Q57" i="9"/>
  <c r="R58"/>
  <c r="O57"/>
  <c r="P58"/>
  <c r="P57"/>
  <c r="O58"/>
  <c r="R57"/>
  <c r="Q58"/>
  <c r="M57"/>
  <c r="M58"/>
  <c r="P59"/>
  <c r="Q59"/>
  <c r="O59"/>
  <c r="O56"/>
  <c r="R56"/>
  <c r="Q56"/>
  <c r="R59"/>
  <c r="P56"/>
  <c r="M56"/>
  <c r="M59"/>
  <c r="Q55"/>
  <c r="R60"/>
  <c r="O54"/>
  <c r="Q53"/>
  <c r="R55"/>
  <c r="R54"/>
  <c r="Q60"/>
  <c r="P53"/>
  <c r="P55"/>
  <c r="O53"/>
  <c r="Q54"/>
  <c r="P60"/>
  <c r="O60"/>
  <c r="O55"/>
  <c r="P54"/>
  <c r="R53"/>
  <c r="M55"/>
  <c r="M54"/>
  <c r="M53"/>
  <c r="M60"/>
  <c r="O52"/>
  <c r="P52"/>
  <c r="R52"/>
  <c r="Q52"/>
  <c r="M52"/>
  <c r="M51"/>
  <c r="M61"/>
  <c r="M50"/>
  <c r="P50"/>
  <c r="Q51"/>
  <c r="R61"/>
  <c r="O61"/>
  <c r="Q50"/>
  <c r="O51"/>
  <c r="Q61"/>
  <c r="O50"/>
  <c r="R51"/>
  <c r="R50"/>
  <c r="P61"/>
  <c r="P51"/>
  <c r="P48"/>
  <c r="R48"/>
  <c r="Q48"/>
  <c r="O49"/>
  <c r="P49"/>
  <c r="R49"/>
  <c r="O48"/>
  <c r="Q49"/>
  <c r="M48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2"/>
  <c r="V13" i="10" l="1"/>
  <c r="W13" s="1"/>
  <c r="X13" s="1"/>
  <c r="T14"/>
  <c r="U14" s="1"/>
  <c r="U58" i="9"/>
  <c r="U57"/>
  <c r="U56"/>
  <c r="U59"/>
  <c r="U60"/>
  <c r="U54"/>
  <c r="U53"/>
  <c r="U55"/>
  <c r="U52"/>
  <c r="U50"/>
  <c r="U51"/>
  <c r="U61"/>
  <c r="U49"/>
  <c r="U48"/>
  <c r="U46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V14" i="10" l="1"/>
  <c r="W14" s="1"/>
  <c r="X14" s="1"/>
  <c r="T15"/>
  <c r="U15" s="1"/>
  <c r="W57" i="9"/>
  <c r="V57"/>
  <c r="W58"/>
  <c r="V58"/>
  <c r="V56"/>
  <c r="W56"/>
  <c r="V59"/>
  <c r="W59"/>
  <c r="V53"/>
  <c r="W53"/>
  <c r="W54"/>
  <c r="V54"/>
  <c r="W60"/>
  <c r="V60"/>
  <c r="V55"/>
  <c r="W55"/>
  <c r="W52"/>
  <c r="V52"/>
  <c r="W51"/>
  <c r="V51"/>
  <c r="W61"/>
  <c r="V61"/>
  <c r="V50"/>
  <c r="W50"/>
  <c r="W3"/>
  <c r="X3" s="1"/>
  <c r="Y3" s="1"/>
  <c r="V2"/>
  <c r="X2" s="1"/>
  <c r="Y2" s="1"/>
  <c r="V48"/>
  <c r="W48"/>
  <c r="V49"/>
  <c r="W49"/>
  <c r="V47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V15" i="10" l="1"/>
  <c r="W15" s="1"/>
  <c r="X15" s="1"/>
  <c r="X58" i="9"/>
  <c r="Y58" s="1"/>
  <c r="X57"/>
  <c r="Y57" s="1"/>
  <c r="X56"/>
  <c r="Y56" s="1"/>
  <c r="X59"/>
  <c r="Y59" s="1"/>
  <c r="X53"/>
  <c r="Y53" s="1"/>
  <c r="X60"/>
  <c r="Y60" s="1"/>
  <c r="X55"/>
  <c r="Y55" s="1"/>
  <c r="X54"/>
  <c r="Y54" s="1"/>
  <c r="X52"/>
  <c r="Y52" s="1"/>
  <c r="X50"/>
  <c r="Y50" s="1"/>
  <c r="X51"/>
  <c r="X61"/>
  <c r="X48"/>
  <c r="Y48" s="1"/>
  <c r="X49"/>
  <c r="Y49" s="1"/>
  <c r="X34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T16" i="10" l="1"/>
  <c r="U16" s="1"/>
  <c r="Y51" i="9"/>
  <c r="Y61"/>
  <c r="Y34"/>
  <c r="Y17"/>
  <c r="Y13"/>
  <c r="Y10"/>
  <c r="Y11"/>
  <c r="AK4"/>
  <c r="V16" i="10" l="1"/>
  <c r="W16" s="1"/>
  <c r="X16" s="1"/>
  <c r="T17"/>
  <c r="U17" s="1"/>
  <c r="AK57" i="9"/>
  <c r="Z56"/>
  <c r="Z58"/>
  <c r="Z57"/>
  <c r="Z59"/>
  <c r="Z55"/>
  <c r="Z54"/>
  <c r="Z60"/>
  <c r="Z53"/>
  <c r="Z61"/>
  <c r="Z50"/>
  <c r="Z52"/>
  <c r="Z51"/>
  <c r="Z16"/>
  <c r="Z11"/>
  <c r="Z48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V17" i="10" l="1"/>
  <c r="W17" s="1"/>
  <c r="X17" s="1"/>
  <c r="T18"/>
  <c r="U18" s="1"/>
  <c r="AA57" i="9"/>
  <c r="AB57" s="1"/>
  <c r="AA58"/>
  <c r="AB58" s="1"/>
  <c r="AF58" s="1"/>
  <c r="AA56"/>
  <c r="AB56" s="1"/>
  <c r="AF56" s="1"/>
  <c r="AA59"/>
  <c r="AB59" s="1"/>
  <c r="AA53"/>
  <c r="AB53" s="1"/>
  <c r="AA60"/>
  <c r="AB60" s="1"/>
  <c r="AF60" s="1"/>
  <c r="AA55"/>
  <c r="AB55" s="1"/>
  <c r="AE55" s="1"/>
  <c r="AA54"/>
  <c r="AB54" s="1"/>
  <c r="AA12"/>
  <c r="AB12" s="1"/>
  <c r="AA52"/>
  <c r="AB52" s="1"/>
  <c r="AA50"/>
  <c r="AB50" s="1"/>
  <c r="AA61"/>
  <c r="AB61" s="1"/>
  <c r="AF61" s="1"/>
  <c r="AA51"/>
  <c r="AB51" s="1"/>
  <c r="AA48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V18" i="10" l="1"/>
  <c r="W18" s="1"/>
  <c r="X18" s="1"/>
  <c r="T19"/>
  <c r="U19" s="1"/>
  <c r="AE58" i="9"/>
  <c r="AG58" s="1"/>
  <c r="AE57"/>
  <c r="AG57" s="1"/>
  <c r="AH57" s="1"/>
  <c r="AE59"/>
  <c r="AE56"/>
  <c r="AG56" s="1"/>
  <c r="AF59"/>
  <c r="AE53"/>
  <c r="AG53" s="1"/>
  <c r="AH53" s="1"/>
  <c r="AF54"/>
  <c r="AG54" s="1"/>
  <c r="AH54" s="1"/>
  <c r="AE60"/>
  <c r="AG60" s="1"/>
  <c r="AF55"/>
  <c r="AG55" s="1"/>
  <c r="AF52"/>
  <c r="AF51"/>
  <c r="AE51"/>
  <c r="AE52"/>
  <c r="AE50"/>
  <c r="AG50" s="1"/>
  <c r="AH50" s="1"/>
  <c r="AE61"/>
  <c r="AG61" s="1"/>
  <c r="AE48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 s="1"/>
  <c r="AF12"/>
  <c r="AF10"/>
  <c r="AE12"/>
  <c r="AE16"/>
  <c r="AG16" s="1"/>
  <c r="AE11"/>
  <c r="AG11" s="1"/>
  <c r="AH11" s="1"/>
  <c r="AE10"/>
  <c r="AE4"/>
  <c r="AG4" s="1"/>
  <c r="AH4" s="1"/>
  <c r="AE5"/>
  <c r="AG5" s="1"/>
  <c r="AB2"/>
  <c r="AE2"/>
  <c r="AG2" s="1"/>
  <c r="AH2" s="1"/>
  <c r="AE3"/>
  <c r="AG3" s="1"/>
  <c r="K91" i="1"/>
  <c r="L91" s="1"/>
  <c r="N91"/>
  <c r="AB91" s="1"/>
  <c r="S91"/>
  <c r="AC91"/>
  <c r="AH91"/>
  <c r="AI91"/>
  <c r="AJ91"/>
  <c r="K90"/>
  <c r="L90" s="1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 s="1"/>
  <c r="N86"/>
  <c r="S86"/>
  <c r="AB86"/>
  <c r="AC86"/>
  <c r="AE86"/>
  <c r="AH86"/>
  <c r="AI86"/>
  <c r="AJ86"/>
  <c r="K85"/>
  <c r="L85" s="1"/>
  <c r="N85"/>
  <c r="AB85" s="1"/>
  <c r="S85"/>
  <c r="AC85"/>
  <c r="AH85"/>
  <c r="AI85"/>
  <c r="AJ85"/>
  <c r="K84"/>
  <c r="L84" s="1"/>
  <c r="N84"/>
  <c r="S84"/>
  <c r="AB84"/>
  <c r="AC84"/>
  <c r="AE84"/>
  <c r="AH84"/>
  <c r="AI84"/>
  <c r="AJ84"/>
  <c r="K82"/>
  <c r="L82" s="1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 s="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V19" i="10" l="1"/>
  <c r="W19" s="1"/>
  <c r="X19" s="1"/>
  <c r="T20"/>
  <c r="U20" s="1"/>
  <c r="AG59" i="9"/>
  <c r="AH56"/>
  <c r="AG52"/>
  <c r="AG51"/>
  <c r="AG12"/>
  <c r="AG10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 s="1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V20" i="10" l="1"/>
  <c r="W20" s="1"/>
  <c r="X20" s="1"/>
  <c r="T21"/>
  <c r="U21" s="1"/>
  <c r="AH58" i="9"/>
  <c r="AH59"/>
  <c r="AH55"/>
  <c r="AH60"/>
  <c r="AH25"/>
  <c r="AH61"/>
  <c r="AH16"/>
  <c r="AH52"/>
  <c r="AH15"/>
  <c r="AH39"/>
  <c r="AH33"/>
  <c r="AH43"/>
  <c r="AH12"/>
  <c r="AH7"/>
  <c r="AH20"/>
  <c r="AH31"/>
  <c r="AH35"/>
  <c r="AH45"/>
  <c r="AH3"/>
  <c r="AH10"/>
  <c r="AH9"/>
  <c r="AH21"/>
  <c r="AH27"/>
  <c r="AH37"/>
  <c r="AH47"/>
  <c r="AH51"/>
  <c r="AH5"/>
  <c r="AH17"/>
  <c r="AH23"/>
  <c r="AH29"/>
  <c r="AH41"/>
  <c r="AH49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16"/>
  <c r="AJ16"/>
  <c r="AJ4"/>
  <c r="AI4"/>
  <c r="I4" i="4"/>
  <c r="M4" s="1"/>
  <c r="J4"/>
  <c r="O4"/>
  <c r="K71" i="1"/>
  <c r="L71" s="1"/>
  <c r="N71"/>
  <c r="AB71" s="1"/>
  <c r="S71"/>
  <c r="AC71"/>
  <c r="K70"/>
  <c r="L70"/>
  <c r="N70"/>
  <c r="S70"/>
  <c r="AB70"/>
  <c r="AC70"/>
  <c r="K4" i="4" l="1"/>
  <c r="N4"/>
  <c r="V21" i="10"/>
  <c r="W21" s="1"/>
  <c r="X21" s="1"/>
  <c r="AJ57" i="9"/>
  <c r="AI57"/>
  <c r="AI5"/>
  <c r="AJ47"/>
  <c r="AI47"/>
  <c r="AJ49"/>
  <c r="AH62"/>
  <c r="AI49"/>
  <c r="AJ5"/>
  <c r="K67" i="1"/>
  <c r="L67" s="1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T22" i="10" l="1"/>
  <c r="P4" i="4"/>
  <c r="K68" i="1"/>
  <c r="L68"/>
  <c r="N68"/>
  <c r="AB68" s="1"/>
  <c r="S68"/>
  <c r="AC68"/>
  <c r="K64"/>
  <c r="L64" s="1"/>
  <c r="N64"/>
  <c r="S64"/>
  <c r="AB64"/>
  <c r="AC64"/>
  <c r="K3" i="3"/>
  <c r="K2"/>
  <c r="U22" i="10" l="1"/>
  <c r="T23"/>
  <c r="V22"/>
  <c r="W22" s="1"/>
  <c r="X22" s="1"/>
  <c r="Y22" s="1"/>
  <c r="F2" i="3"/>
  <c r="G2" s="1"/>
  <c r="J2" s="1"/>
  <c r="H2"/>
  <c r="I2" s="1"/>
  <c r="U23" i="10" l="1"/>
  <c r="T24" s="1"/>
  <c r="V23"/>
  <c r="W23" s="1"/>
  <c r="X23" s="1"/>
  <c r="L2" i="8"/>
  <c r="L3"/>
  <c r="L4"/>
  <c r="L5"/>
  <c r="U24" i="10" l="1"/>
  <c r="V24"/>
  <c r="W24" s="1"/>
  <c r="X24" s="1"/>
  <c r="T25"/>
  <c r="K63" i="1"/>
  <c r="L63" s="1"/>
  <c r="N63"/>
  <c r="AB63" s="1"/>
  <c r="S63"/>
  <c r="AC63"/>
  <c r="K62"/>
  <c r="L62" s="1"/>
  <c r="N62"/>
  <c r="S62"/>
  <c r="AB62"/>
  <c r="AC62"/>
  <c r="AH62"/>
  <c r="AI62"/>
  <c r="AJ62"/>
  <c r="K61"/>
  <c r="L61" s="1"/>
  <c r="N61"/>
  <c r="S61"/>
  <c r="AB61"/>
  <c r="AC61"/>
  <c r="AE61"/>
  <c r="K60"/>
  <c r="L60" s="1"/>
  <c r="N60"/>
  <c r="S60"/>
  <c r="AB60"/>
  <c r="AC60"/>
  <c r="AD60"/>
  <c r="AH60"/>
  <c r="AI60"/>
  <c r="AJ60"/>
  <c r="U25" i="10" l="1"/>
  <c r="V25"/>
  <c r="W25" s="1"/>
  <c r="X25" s="1"/>
  <c r="T26"/>
  <c r="S54" i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18"/>
  <c r="T34"/>
  <c r="T50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 s="1"/>
  <c r="AC55"/>
  <c r="AH55"/>
  <c r="AI55"/>
  <c r="AJ55"/>
  <c r="U26" i="10" l="1"/>
  <c r="V26"/>
  <c r="W26" s="1"/>
  <c r="X26" s="1"/>
  <c r="T27"/>
  <c r="O95" i="1"/>
  <c r="P95"/>
  <c r="Q95"/>
  <c r="R95"/>
  <c r="T95"/>
  <c r="O94"/>
  <c r="P94"/>
  <c r="Q94"/>
  <c r="R94"/>
  <c r="T94"/>
  <c r="O93"/>
  <c r="P93"/>
  <c r="Q93"/>
  <c r="R93"/>
  <c r="T93"/>
  <c r="O92"/>
  <c r="P92"/>
  <c r="Q92"/>
  <c r="R92"/>
  <c r="T92"/>
  <c r="T58"/>
  <c r="T59"/>
  <c r="T30"/>
  <c r="T3"/>
  <c r="T57"/>
  <c r="V57" s="1"/>
  <c r="T42"/>
  <c r="T26"/>
  <c r="T10"/>
  <c r="T46"/>
  <c r="T14"/>
  <c r="T54"/>
  <c r="T38"/>
  <c r="T22"/>
  <c r="T6"/>
  <c r="T49"/>
  <c r="T41"/>
  <c r="T33"/>
  <c r="T25"/>
  <c r="T17"/>
  <c r="T13"/>
  <c r="T9"/>
  <c r="T5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27" i="10" l="1"/>
  <c r="V27"/>
  <c r="W27" s="1"/>
  <c r="X27" s="1"/>
  <c r="T28"/>
  <c r="U95" i="1"/>
  <c r="V95"/>
  <c r="W95"/>
  <c r="U94"/>
  <c r="V94"/>
  <c r="W94"/>
  <c r="U93"/>
  <c r="V93"/>
  <c r="W93"/>
  <c r="U92"/>
  <c r="V92"/>
  <c r="W92"/>
  <c r="U57"/>
  <c r="V55"/>
  <c r="U55"/>
  <c r="U91"/>
  <c r="V91"/>
  <c r="U90"/>
  <c r="V90"/>
  <c r="W90" s="1"/>
  <c r="U87"/>
  <c r="V87"/>
  <c r="W87"/>
  <c r="U89"/>
  <c r="V89"/>
  <c r="U88"/>
  <c r="V88"/>
  <c r="U86"/>
  <c r="V86"/>
  <c r="U85"/>
  <c r="W85" s="1"/>
  <c r="V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W79" s="1"/>
  <c r="V79"/>
  <c r="U75"/>
  <c r="W75" s="1"/>
  <c r="V75"/>
  <c r="U76"/>
  <c r="W76" s="1"/>
  <c r="V76"/>
  <c r="U77"/>
  <c r="V77"/>
  <c r="U74"/>
  <c r="V74"/>
  <c r="W74"/>
  <c r="U72"/>
  <c r="V72"/>
  <c r="W72"/>
  <c r="U73"/>
  <c r="W73" s="1"/>
  <c r="V73"/>
  <c r="U71"/>
  <c r="V71"/>
  <c r="U70"/>
  <c r="V70"/>
  <c r="U67"/>
  <c r="V67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V64"/>
  <c r="U63"/>
  <c r="V63"/>
  <c r="U62"/>
  <c r="V62"/>
  <c r="U61"/>
  <c r="V61"/>
  <c r="U60"/>
  <c r="V60"/>
  <c r="M5" i="8"/>
  <c r="N5" s="1"/>
  <c r="M4"/>
  <c r="N4" s="1"/>
  <c r="M3"/>
  <c r="N3" s="1"/>
  <c r="M2"/>
  <c r="N2" s="1"/>
  <c r="U28" i="10" l="1"/>
  <c r="V28"/>
  <c r="W28" s="1"/>
  <c r="X28" s="1"/>
  <c r="T29"/>
  <c r="X94" i="1"/>
  <c r="X95"/>
  <c r="X93"/>
  <c r="X92"/>
  <c r="W61"/>
  <c r="X61" s="1"/>
  <c r="W62"/>
  <c r="X62" s="1"/>
  <c r="W64"/>
  <c r="X64" s="1"/>
  <c r="W67"/>
  <c r="X67" s="1"/>
  <c r="W70"/>
  <c r="W77"/>
  <c r="W86"/>
  <c r="W89"/>
  <c r="W91"/>
  <c r="W63"/>
  <c r="X63" s="1"/>
  <c r="W71"/>
  <c r="W88"/>
  <c r="X88" s="1"/>
  <c r="W60"/>
  <c r="X60" s="1"/>
  <c r="X91"/>
  <c r="X90"/>
  <c r="X89"/>
  <c r="X87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U29" i="10" l="1"/>
  <c r="T30" s="1"/>
  <c r="V29"/>
  <c r="W29" s="1"/>
  <c r="X29" s="1"/>
  <c r="K56" i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U30" i="10" l="1"/>
  <c r="V30"/>
  <c r="W30" s="1"/>
  <c r="X30" s="1"/>
  <c r="T31"/>
  <c r="K51" i="1"/>
  <c r="L51"/>
  <c r="U51"/>
  <c r="V51"/>
  <c r="AB51"/>
  <c r="AC51"/>
  <c r="AH51"/>
  <c r="AI51"/>
  <c r="K48"/>
  <c r="L48"/>
  <c r="U48"/>
  <c r="V48"/>
  <c r="AB48"/>
  <c r="AC48"/>
  <c r="AE48"/>
  <c r="U31" i="10" l="1"/>
  <c r="V31"/>
  <c r="W31" s="1"/>
  <c r="X31" s="1"/>
  <c r="T32"/>
  <c r="I5" i="7"/>
  <c r="J5"/>
  <c r="K5"/>
  <c r="L5" s="1"/>
  <c r="M5"/>
  <c r="N5"/>
  <c r="U32" i="10" l="1"/>
  <c r="V32"/>
  <c r="W32" s="1"/>
  <c r="X32" s="1"/>
  <c r="T33"/>
  <c r="O5" i="7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U33" i="10" l="1"/>
  <c r="V33"/>
  <c r="W33" s="1"/>
  <c r="X33" s="1"/>
  <c r="T34"/>
  <c r="U50" i="1"/>
  <c r="V47"/>
  <c r="L2" i="7"/>
  <c r="O2" s="1"/>
  <c r="L3"/>
  <c r="O3" s="1"/>
  <c r="L4"/>
  <c r="O4" s="1"/>
  <c r="U34" i="10" l="1"/>
  <c r="T35" s="1"/>
  <c r="V34"/>
  <c r="W34" s="1"/>
  <c r="X34" s="1"/>
  <c r="Y34" s="1"/>
  <c r="N2" i="6"/>
  <c r="U35" i="10" l="1"/>
  <c r="T36" s="1"/>
  <c r="V35"/>
  <c r="W35" s="1"/>
  <c r="X35" s="1"/>
  <c r="I2" i="6"/>
  <c r="O2"/>
  <c r="U36" i="10" l="1"/>
  <c r="V36"/>
  <c r="W36" s="1"/>
  <c r="X36" s="1"/>
  <c r="T37"/>
  <c r="K49" i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U37" i="10" l="1"/>
  <c r="V37"/>
  <c r="W37" s="1"/>
  <c r="X37" s="1"/>
  <c r="T38"/>
  <c r="V39" i="1"/>
  <c r="K45"/>
  <c r="L45"/>
  <c r="U45"/>
  <c r="V45"/>
  <c r="AB45"/>
  <c r="AC45"/>
  <c r="K41"/>
  <c r="L41" s="1"/>
  <c r="V41"/>
  <c r="U41"/>
  <c r="AB41"/>
  <c r="AC41"/>
  <c r="K37"/>
  <c r="L37" s="1"/>
  <c r="U37"/>
  <c r="AB37"/>
  <c r="AC37"/>
  <c r="AE37"/>
  <c r="K36"/>
  <c r="L36"/>
  <c r="AB36"/>
  <c r="U36"/>
  <c r="V36"/>
  <c r="AC36"/>
  <c r="AD36"/>
  <c r="AH36"/>
  <c r="AI36"/>
  <c r="U38" i="10" l="1"/>
  <c r="V38"/>
  <c r="W38" s="1"/>
  <c r="X38" s="1"/>
  <c r="T39"/>
  <c r="V37" i="1"/>
  <c r="U39" i="10" l="1"/>
  <c r="V39"/>
  <c r="W39" s="1"/>
  <c r="X39" s="1"/>
  <c r="T40"/>
  <c r="J2" i="5"/>
  <c r="K2"/>
  <c r="L2"/>
  <c r="T2"/>
  <c r="I2" i="4"/>
  <c r="M2" s="1"/>
  <c r="I3"/>
  <c r="M3" s="1"/>
  <c r="O2"/>
  <c r="O3"/>
  <c r="J2"/>
  <c r="N2" s="1"/>
  <c r="J3"/>
  <c r="N3" s="1"/>
  <c r="U40" i="10" l="1"/>
  <c r="V40"/>
  <c r="W40" s="1"/>
  <c r="X40" s="1"/>
  <c r="T41"/>
  <c r="M2" i="5"/>
  <c r="N2" s="1"/>
  <c r="O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U41" i="10" l="1"/>
  <c r="V41"/>
  <c r="W41" s="1"/>
  <c r="X41" s="1"/>
  <c r="T42"/>
  <c r="Q2" i="5"/>
  <c r="S2"/>
  <c r="R2"/>
  <c r="P2"/>
  <c r="U42" i="10" l="1"/>
  <c r="V42"/>
  <c r="W42" s="1"/>
  <c r="X42" s="1"/>
  <c r="T43"/>
  <c r="U2" i="5"/>
  <c r="K3" i="4"/>
  <c r="U43" i="10" l="1"/>
  <c r="V43"/>
  <c r="W43" s="1"/>
  <c r="X43" s="1"/>
  <c r="T44"/>
  <c r="U44" l="1"/>
  <c r="V44"/>
  <c r="W44" s="1"/>
  <c r="X44" s="1"/>
  <c r="T45"/>
  <c r="P3" i="4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U45" i="10" l="1"/>
  <c r="V45"/>
  <c r="W45" s="1"/>
  <c r="X45" s="1"/>
  <c r="T46"/>
  <c r="V43" i="1"/>
  <c r="V44"/>
  <c r="V40"/>
  <c r="V34"/>
  <c r="V33"/>
  <c r="U46" i="10" l="1"/>
  <c r="V46"/>
  <c r="W46" s="1"/>
  <c r="X46" s="1"/>
  <c r="Y46" s="1"/>
  <c r="T47"/>
  <c r="K32" i="1"/>
  <c r="L32" s="1"/>
  <c r="U32"/>
  <c r="AB32"/>
  <c r="AC32"/>
  <c r="K31"/>
  <c r="L31" s="1"/>
  <c r="AB31"/>
  <c r="U31"/>
  <c r="AC31"/>
  <c r="AH31"/>
  <c r="AI31"/>
  <c r="K2" i="4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AK27" s="1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U47" i="10" l="1"/>
  <c r="V47"/>
  <c r="W47" s="1"/>
  <c r="X47" s="1"/>
  <c r="AB42" i="1"/>
  <c r="V32"/>
  <c r="V31"/>
  <c r="V29"/>
  <c r="V30"/>
  <c r="V28"/>
  <c r="V35"/>
  <c r="V42"/>
  <c r="F3" i="3"/>
  <c r="G3" s="1"/>
  <c r="J3" s="1"/>
  <c r="H3"/>
  <c r="I3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4" l="1"/>
  <c r="M95"/>
  <c r="M92"/>
  <c r="M93"/>
  <c r="M90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4" l="1"/>
  <c r="AK94" s="1"/>
  <c r="Y95"/>
  <c r="AK95" s="1"/>
  <c r="Y92"/>
  <c r="AK92" s="1"/>
  <c r="Y93"/>
  <c r="Y91"/>
  <c r="AK91" s="1"/>
  <c r="AJ90"/>
  <c r="Y90"/>
  <c r="AK90" s="1"/>
  <c r="Y89"/>
  <c r="AK89" s="1"/>
  <c r="AJ89"/>
  <c r="AJ88"/>
  <c r="Y87"/>
  <c r="AK87" s="1"/>
  <c r="Y86"/>
  <c r="AK86" s="1"/>
  <c r="Y88"/>
  <c r="AK88" s="1"/>
  <c r="Y83"/>
  <c r="AK83" s="1"/>
  <c r="Y84"/>
  <c r="AK84" s="1"/>
  <c r="Y85"/>
  <c r="AK85" s="1"/>
  <c r="AJ81"/>
  <c r="Y82"/>
  <c r="AK82" s="1"/>
  <c r="AJ79"/>
  <c r="Y80"/>
  <c r="AK80" s="1"/>
  <c r="Y81"/>
  <c r="AK81" s="1"/>
  <c r="Y78"/>
  <c r="AK78" s="1"/>
  <c r="Y79"/>
  <c r="AK79" s="1"/>
  <c r="Y75"/>
  <c r="AK75" s="1"/>
  <c r="Y76"/>
  <c r="AK76" s="1"/>
  <c r="Y74"/>
  <c r="AK74" s="1"/>
  <c r="AJ77"/>
  <c r="Y77"/>
  <c r="AK77" s="1"/>
  <c r="AJ73"/>
  <c r="AJ74"/>
  <c r="Y72"/>
  <c r="AK72" s="1"/>
  <c r="Y73"/>
  <c r="AK73" s="1"/>
  <c r="AJ70"/>
  <c r="Y71"/>
  <c r="AK71" s="1"/>
  <c r="AJ71"/>
  <c r="AJ67"/>
  <c r="Y70"/>
  <c r="AK70" s="1"/>
  <c r="AJ61"/>
  <c r="Y61"/>
  <c r="AK61" s="1"/>
  <c r="Y60"/>
  <c r="AK60" s="1"/>
  <c r="Y63"/>
  <c r="AK63" s="1"/>
  <c r="Y62"/>
  <c r="AK62" s="1"/>
  <c r="Y64"/>
  <c r="AK64" s="1"/>
  <c r="Y68"/>
  <c r="AK68" s="1"/>
  <c r="Y65"/>
  <c r="AK65" s="1"/>
  <c r="Y69"/>
  <c r="AK69" s="1"/>
  <c r="AJ69"/>
  <c r="Y66"/>
  <c r="AK66" s="1"/>
  <c r="Y67"/>
  <c r="AK67" s="1"/>
  <c r="AJ58"/>
  <c r="AJ57"/>
  <c r="Y57"/>
  <c r="AK57" s="1"/>
  <c r="Y55"/>
  <c r="AK55" s="1"/>
  <c r="AJ54"/>
  <c r="AJ20"/>
  <c r="AJ30"/>
  <c r="AJ47"/>
  <c r="AJ59"/>
  <c r="AJ56"/>
  <c r="Y54"/>
  <c r="AK54" s="1"/>
  <c r="Y56"/>
  <c r="AK56" s="1"/>
  <c r="Y52"/>
  <c r="AK52" s="1"/>
  <c r="Y53"/>
  <c r="AK53" s="1"/>
  <c r="Y51"/>
  <c r="AK51" s="1"/>
  <c r="Y48"/>
  <c r="AK48" s="1"/>
  <c r="Y50"/>
  <c r="AK50" s="1"/>
  <c r="Y58"/>
  <c r="AK58" s="1"/>
  <c r="Y47"/>
  <c r="AK47" s="1"/>
  <c r="Y46"/>
  <c r="AK46" s="1"/>
  <c r="Y49"/>
  <c r="AK49" s="1"/>
  <c r="Y59"/>
  <c r="AK59" s="1"/>
  <c r="Y39"/>
  <c r="AK39" s="1"/>
  <c r="Y38"/>
  <c r="AK38" s="1"/>
  <c r="Y45"/>
  <c r="AK45" s="1"/>
  <c r="Y41"/>
  <c r="AK41" s="1"/>
  <c r="Y36"/>
  <c r="AK36" s="1"/>
  <c r="Y37"/>
  <c r="AK37" s="1"/>
  <c r="Y43"/>
  <c r="AK43" s="1"/>
  <c r="Y44"/>
  <c r="AK44" s="1"/>
  <c r="Y40"/>
  <c r="AK40" s="1"/>
  <c r="Y34"/>
  <c r="AK34" s="1"/>
  <c r="Y33"/>
  <c r="AK33" s="1"/>
  <c r="Y32"/>
  <c r="AK32" s="1"/>
  <c r="Y31"/>
  <c r="AK31" s="1"/>
  <c r="Y8"/>
  <c r="AK8" s="1"/>
  <c r="Y16"/>
  <c r="AK16" s="1"/>
  <c r="Y29"/>
  <c r="AK29" s="1"/>
  <c r="Y12"/>
  <c r="AK12" s="1"/>
  <c r="Y24"/>
  <c r="AK24" s="1"/>
  <c r="Y7"/>
  <c r="AK7" s="1"/>
  <c r="Y20"/>
  <c r="AK20" s="1"/>
  <c r="Y23"/>
  <c r="AK23" s="1"/>
  <c r="Y15"/>
  <c r="AK15" s="1"/>
  <c r="Y11"/>
  <c r="AK11" s="1"/>
  <c r="Y6"/>
  <c r="AK6" s="1"/>
  <c r="Y26"/>
  <c r="AK26" s="1"/>
  <c r="Y22"/>
  <c r="AK22" s="1"/>
  <c r="Y18"/>
  <c r="AK18" s="1"/>
  <c r="Y14"/>
  <c r="AK14" s="1"/>
  <c r="Y9"/>
  <c r="AK9" s="1"/>
  <c r="Y10"/>
  <c r="AK10" s="1"/>
  <c r="Y28"/>
  <c r="AK28" s="1"/>
  <c r="Y19"/>
  <c r="AK19" s="1"/>
  <c r="Y3"/>
  <c r="AK3" s="1"/>
  <c r="Y30"/>
  <c r="AK30" s="1"/>
  <c r="Y25"/>
  <c r="AK25" s="1"/>
  <c r="Y21"/>
  <c r="AK21" s="1"/>
  <c r="Y17"/>
  <c r="AK17" s="1"/>
  <c r="Y13"/>
  <c r="AK13" s="1"/>
  <c r="Y5"/>
  <c r="AK5" s="1"/>
  <c r="Y42"/>
  <c r="AK42" s="1"/>
  <c r="Y35"/>
  <c r="AK35" s="1"/>
  <c r="Y4"/>
  <c r="AK4" s="1"/>
  <c r="AK93" l="1"/>
  <c r="Y2"/>
  <c r="Z95" l="1"/>
  <c r="AA95" s="1"/>
  <c r="AK2"/>
  <c r="Z94"/>
  <c r="AA94" s="1"/>
  <c r="Z93"/>
  <c r="AA93" s="1"/>
  <c r="AE93" s="1"/>
  <c r="Z91"/>
  <c r="AA91" s="1"/>
  <c r="AE91" s="1"/>
  <c r="Z92"/>
  <c r="AA92" s="1"/>
  <c r="Z87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E95" l="1"/>
  <c r="AE94"/>
  <c r="AD95"/>
  <c r="AF95" s="1"/>
  <c r="AD94"/>
  <c r="AF94" s="1"/>
  <c r="AG94" s="1"/>
  <c r="AD93"/>
  <c r="AF93" s="1"/>
  <c r="AD92"/>
  <c r="AF92" s="1"/>
  <c r="AG92" s="1"/>
  <c r="AD9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70" l="1"/>
  <c r="AF45"/>
  <c r="AF69"/>
  <c r="AF52"/>
  <c r="AG52" s="1"/>
  <c r="AF67"/>
  <c r="AF41"/>
  <c r="AF35"/>
  <c r="AG90" s="1"/>
  <c r="AF40"/>
  <c r="AG40" s="1"/>
  <c r="AI26"/>
  <c r="AH26"/>
  <c r="AH25"/>
  <c r="AI17"/>
  <c r="AI16"/>
  <c r="AI15"/>
  <c r="AG95" l="1"/>
  <c r="Y99" s="1"/>
  <c r="AG93"/>
  <c r="AG9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X98" l="1"/>
  <c r="Z98"/>
  <c r="Y98"/>
  <c r="AH47"/>
  <c r="AI47"/>
  <c r="AI30"/>
  <c r="AH30"/>
  <c r="AI20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<sst xmlns="http://schemas.openxmlformats.org/spreadsheetml/2006/main" count="783" uniqueCount="243">
  <si>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</si>
  <si>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</si>
  <si>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</si>
  <si>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</si>
  <si>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</si>
  <si>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</si>
  <si>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</si>
  <si>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</si>
  <si>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</si>
  <si>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</si>
  <si>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</si>
  <si>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</si>
  <si>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</si>
  <si>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</si>
  <si>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</si>
  <si>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</si>
  <si>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</si>
  <si>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</si>
  <si>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</si>
  <si>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</si>
  <si>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</si>
  <si>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</si>
  <si>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</si>
  <si>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</si>
  <si>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</si>
  <si>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</si>
  <si>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</si>
  <si>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</si>
  <si>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</si>
  <si>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</si>
  <si>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</si>
  <si>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</si>
  <si>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</si>
  <si>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</si>
  <si>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</si>
  <si>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</si>
  <si>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</si>
  <si>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</si>
  <si>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</si>
  <si>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</si>
  <si>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</si>
  <si>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</si>
  <si>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</si>
  <si>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</si>
  <si>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</si>
  <si>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</si>
  <si>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</si>
  <si>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</si>
  <si>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</si>
  <si>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</si>
  <si>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</si>
  <si>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</si>
  <si>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</si>
  <si>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</si>
  <si>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</si>
  <si>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</si>
  <si>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</si>
  <si>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</si>
  <si>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</si>
  <si>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</si>
  <si>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</si>
  <si>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</si>
  <si>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</si>
  <si>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</si>
  <si>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</si>
  <si>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</si>
  <si>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</si>
  <si>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</si>
  <si>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</si>
  <si>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</si>
  <si>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</si>
  <si>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</si>
  <si>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</si>
  <si>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</si>
  <si>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</si>
  <si>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</si>
  <si>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</si>
  <si>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</si>
  <si>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</si>
  <si>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</si>
  <si>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</si>
  <si>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</si>
  <si>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</si>
  <si>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</si>
  <si>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</si>
  <si>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</si>
  <si>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</si>
  <si>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</si>
  <si>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</si>
  <si>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</si>
  <si>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</si>
  <si>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</si>
  <si>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</si>
  <si>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</si>
  <si>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</si>
  <si>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</si>
  <si>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</si>
  <si>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</si>
  <si>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</si>
  <si>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</si>
  <si>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</si>
  <si>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</si>
  <si>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</si>
  <si>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</si>
  <si>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</si>
  <si>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</si>
  <si>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</si>
  <si>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</si>
  <si>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</si>
  <si>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</si>
  <si>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</si>
  <si>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</si>
  <si>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</si>
  <si>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</si>
  <si>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</si>
  <si>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</si>
  <si>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</si>
  <si>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</si>
  <si>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</si>
  <si>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</si>
  <si>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</si>
  <si>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</si>
  <si>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</si>
  <si>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</si>
  <si>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</si>
  <si>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</si>
  <si>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</si>
  <si>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</si>
  <si>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</si>
  <si>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</si>
  <si>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</si>
  <si>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</si>
  <si>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</si>
  <si>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</si>
  <si>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</si>
  <si>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</si>
  <si>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</si>
  <si>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</si>
  <si>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</si>
  <si>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</si>
  <si>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</si>
  <si>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</si>
  <si>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</si>
  <si>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</si>
  <si>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</si>
  <si>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</si>
  <si>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</si>
  <si>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</si>
  <si>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</si>
  <si>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</si>
  <si>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</si>
  <si>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</si>
  <si>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</si>
  <si>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</si>
  <si>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</si>
  <si>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</si>
  <si>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</si>
  <si>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</si>
  <si>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</si>
  <si>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</si>
  <si>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</si>
  <si>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</si>
  <si>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</si>
  <si>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</si>
  <si>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</si>
  <si>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</si>
  <si>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</si>
  <si>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</si>
  <si>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</si>
  <si>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</si>
  <si>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</si>
  <si>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</si>
  <si>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</si>
  <si>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</si>
  <si>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</si>
  <si>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</si>
  <si>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</si>
  <si>
    <t>PETRC14</t>
  </si>
  <si>
    <t>Colunas1</t>
  </si>
  <si>
    <t>VALE</t>
  </si>
  <si>
    <t>Volume</t>
  </si>
  <si>
    <t>PR Venda</t>
  </si>
  <si>
    <t>PR Compra</t>
  </si>
  <si>
    <t>VALED</t>
  </si>
  <si>
    <t>Média</t>
  </si>
  <si>
    <t>DesvPad</t>
  </si>
  <si>
    <t>%DesvPad</t>
  </si>
  <si>
    <t>Variância</t>
  </si>
  <si>
    <t>%Variância</t>
  </si>
  <si>
    <t>petr120m</t>
  </si>
  <si>
    <t>vale120m</t>
  </si>
  <si>
    <t>eurgbp</t>
  </si>
  <si>
    <t>eurusd</t>
  </si>
  <si>
    <t>gbpusd</t>
  </si>
  <si>
    <t>usdchf</t>
  </si>
  <si>
    <t>audusd</t>
  </si>
  <si>
    <t>usdcad</t>
  </si>
  <si>
    <t>Ticket</t>
  </si>
  <si>
    <t>Type</t>
  </si>
  <si>
    <t>Size</t>
  </si>
  <si>
    <t>Item</t>
  </si>
  <si>
    <t>Price</t>
  </si>
  <si>
    <t>Commission</t>
  </si>
  <si>
    <t>Taxes</t>
  </si>
  <si>
    <t>Swap</t>
  </si>
  <si>
    <t>Profit</t>
  </si>
  <si>
    <t>Total geral</t>
  </si>
  <si>
    <t>Valores</t>
  </si>
  <si>
    <t>OpenTime</t>
  </si>
  <si>
    <t>S/L</t>
  </si>
  <si>
    <t>T/P</t>
  </si>
  <si>
    <t>CloseTime</t>
  </si>
  <si>
    <t>Trades</t>
  </si>
  <si>
    <t>Total Profit</t>
  </si>
  <si>
    <t>H1</t>
  </si>
  <si>
    <t>Price2</t>
  </si>
  <si>
    <t>Moeda</t>
  </si>
  <si>
    <t>petr1d</t>
  </si>
  <si>
    <t>vale1d</t>
  </si>
  <si>
    <t>[0]</t>
  </si>
  <si>
    <t>H4</t>
  </si>
  <si>
    <t>D1</t>
  </si>
  <si>
    <t>Total Swap</t>
  </si>
  <si>
    <t>* Total</t>
  </si>
  <si>
    <t>Média de Total</t>
  </si>
  <si>
    <t>DesvPad de Total</t>
  </si>
  <si>
    <t>Data</t>
  </si>
  <si>
    <t>Inicio</t>
  </si>
  <si>
    <t>Fim</t>
  </si>
  <si>
    <t>Rentabilidade</t>
  </si>
  <si>
    <t>QTD</t>
  </si>
  <si>
    <t>sell</t>
  </si>
  <si>
    <t>buy</t>
  </si>
  <si>
    <t>[2]</t>
  </si>
  <si>
    <t>[1]</t>
  </si>
  <si>
    <t>bova120m</t>
  </si>
  <si>
    <t>Garantia</t>
  </si>
  <si>
    <t>Start</t>
  </si>
  <si>
    <t>Stop</t>
  </si>
  <si>
    <t>Pontos</t>
  </si>
  <si>
    <t>Risco</t>
  </si>
  <si>
    <t>N Contrato</t>
  </si>
  <si>
    <t>Prev Target</t>
  </si>
</sst>
</file>

<file path=xl/styles.xml><?xml version="1.0" encoding="utf-8"?>
<styleSheet xmlns="http://schemas.openxmlformats.org/spreadsheetml/2006/main">
  <numFmts count="11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  <numFmt numFmtId="172" formatCode="_(* #,##0.0000_);_(* \(#,##0.0000\);_(* &quot;-&quot;??_);_(@_)"/>
  </numFmts>
  <fonts count="24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color rgb="FF000000"/>
      <name val="Tahoma"/>
    </font>
    <font>
      <sz val="8"/>
      <name val="Tahoma"/>
    </font>
    <font>
      <sz val="8"/>
      <color theme="1"/>
      <name val="Tahoma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0E0E0"/>
        <bgColor indexed="64"/>
      </patternFill>
    </fill>
    <fill>
      <patternFill patternType="solid">
        <fgColor rgb="FFC0C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27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13" fillId="0" borderId="0" xfId="0" applyNumberFormat="1" applyFont="1" applyAlignment="1"/>
    <xf numFmtId="168" fontId="13" fillId="0" borderId="0" xfId="0" applyNumberFormat="1" applyFont="1" applyAlignment="1"/>
    <xf numFmtId="14" fontId="13" fillId="0" borderId="0" xfId="0" applyNumberFormat="1" applyFont="1" applyAlignment="1"/>
    <xf numFmtId="164" fontId="13" fillId="0" borderId="0" xfId="1" applyNumberFormat="1" applyFont="1" applyAlignment="1"/>
    <xf numFmtId="0" fontId="13" fillId="0" borderId="0" xfId="1" applyNumberFormat="1" applyFont="1" applyAlignment="1"/>
    <xf numFmtId="169" fontId="13" fillId="0" borderId="0" xfId="0" applyNumberFormat="1" applyFont="1" applyAlignment="1"/>
    <xf numFmtId="169" fontId="13" fillId="0" borderId="0" xfId="1" applyNumberFormat="1" applyFont="1" applyAlignment="1"/>
    <xf numFmtId="0" fontId="13" fillId="0" borderId="0" xfId="0" applyNumberFormat="1" applyFont="1" applyBorder="1" applyAlignment="1"/>
    <xf numFmtId="168" fontId="13" fillId="0" borderId="0" xfId="0" applyNumberFormat="1" applyFont="1" applyBorder="1" applyAlignment="1"/>
    <xf numFmtId="164" fontId="13" fillId="0" borderId="0" xfId="0" applyNumberFormat="1" applyFont="1" applyBorder="1" applyAlignment="1"/>
    <xf numFmtId="14" fontId="13" fillId="0" borderId="0" xfId="0" applyNumberFormat="1" applyFont="1" applyBorder="1" applyAlignment="1"/>
    <xf numFmtId="164" fontId="13" fillId="0" borderId="0" xfId="1" applyNumberFormat="1" applyFont="1" applyBorder="1" applyAlignment="1"/>
    <xf numFmtId="0" fontId="13" fillId="0" borderId="0" xfId="1" applyNumberFormat="1" applyFont="1" applyBorder="1" applyAlignment="1"/>
    <xf numFmtId="169" fontId="13" fillId="0" borderId="0" xfId="0" applyNumberFormat="1" applyFont="1" applyBorder="1" applyAlignment="1"/>
    <xf numFmtId="169" fontId="13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164" fontId="13" fillId="0" borderId="0" xfId="1" applyFont="1" applyAlignment="1"/>
    <xf numFmtId="1" fontId="13" fillId="0" borderId="0" xfId="0" applyNumberFormat="1" applyFont="1" applyBorder="1" applyAlignment="1"/>
    <xf numFmtId="164" fontId="13" fillId="0" borderId="0" xfId="1" applyFont="1" applyBorder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168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3" fillId="0" borderId="0" xfId="0" applyNumberFormat="1" applyFont="1" applyBorder="1" applyAlignment="1"/>
    <xf numFmtId="164" fontId="3" fillId="0" borderId="0" xfId="1" applyFont="1" applyBorder="1" applyAlignment="1"/>
    <xf numFmtId="171" fontId="3" fillId="0" borderId="0" xfId="0" applyNumberFormat="1" applyFont="1" applyBorder="1" applyAlignment="1"/>
    <xf numFmtId="169" fontId="3" fillId="0" borderId="0" xfId="1" applyNumberFormat="1" applyFont="1" applyBorder="1" applyAlignment="1"/>
    <xf numFmtId="169" fontId="3" fillId="0" borderId="0" xfId="0" applyNumberFormat="1" applyFont="1" applyBorder="1" applyAlignment="1"/>
    <xf numFmtId="172" fontId="4" fillId="0" borderId="0" xfId="3" applyNumberFormat="1" applyFont="1" applyAlignment="1">
      <alignment horizontal="left"/>
    </xf>
    <xf numFmtId="172" fontId="3" fillId="0" borderId="0" xfId="3" applyNumberFormat="1" applyFont="1" applyAlignment="1"/>
    <xf numFmtId="172" fontId="3" fillId="0" borderId="0" xfId="3" applyNumberFormat="1" applyFont="1"/>
    <xf numFmtId="0" fontId="14" fillId="0" borderId="0" xfId="0" applyFont="1" applyBorder="1"/>
    <xf numFmtId="164" fontId="14" fillId="0" borderId="0" xfId="1" applyFont="1" applyBorder="1"/>
    <xf numFmtId="0" fontId="14" fillId="0" borderId="0" xfId="0" applyNumberFormat="1" applyFont="1" applyBorder="1"/>
    <xf numFmtId="10" fontId="14" fillId="0" borderId="0" xfId="0" applyNumberFormat="1" applyFont="1" applyBorder="1"/>
    <xf numFmtId="164" fontId="14" fillId="0" borderId="0" xfId="0" applyNumberFormat="1" applyFont="1" applyBorder="1"/>
    <xf numFmtId="1" fontId="14" fillId="0" borderId="0" xfId="0" applyNumberFormat="1" applyFont="1" applyBorder="1"/>
    <xf numFmtId="170" fontId="14" fillId="0" borderId="0" xfId="0" applyNumberFormat="1" applyFont="1" applyBorder="1"/>
    <xf numFmtId="43" fontId="3" fillId="0" borderId="0" xfId="3" applyFont="1"/>
    <xf numFmtId="43" fontId="4" fillId="0" borderId="0" xfId="0" applyNumberFormat="1" applyFont="1"/>
    <xf numFmtId="172" fontId="3" fillId="0" borderId="0" xfId="3" applyNumberFormat="1" applyFont="1" applyBorder="1" applyAlignment="1"/>
    <xf numFmtId="167" fontId="3" fillId="0" borderId="0" xfId="2" applyNumberFormat="1" applyFont="1"/>
    <xf numFmtId="10" fontId="4" fillId="0" borderId="0" xfId="2" applyNumberFormat="1" applyFont="1"/>
    <xf numFmtId="43" fontId="4" fillId="0" borderId="0" xfId="3" applyFont="1"/>
    <xf numFmtId="9" fontId="4" fillId="0" borderId="0" xfId="2" applyFont="1"/>
    <xf numFmtId="9" fontId="3" fillId="0" borderId="0" xfId="2" applyFont="1"/>
    <xf numFmtId="167" fontId="4" fillId="0" borderId="0" xfId="2" applyNumberFormat="1" applyFont="1"/>
    <xf numFmtId="0" fontId="15" fillId="3" borderId="3" xfId="0" applyFont="1" applyFill="1" applyBorder="1" applyAlignment="1">
      <alignment horizontal="right" wrapText="1"/>
    </xf>
    <xf numFmtId="0" fontId="15" fillId="3" borderId="4" xfId="0" applyFont="1" applyFill="1" applyBorder="1" applyAlignment="1">
      <alignment horizontal="right"/>
    </xf>
    <xf numFmtId="0" fontId="15" fillId="3" borderId="4" xfId="0" applyFont="1" applyFill="1" applyBorder="1" applyAlignment="1">
      <alignment horizontal="right" wrapText="1"/>
    </xf>
    <xf numFmtId="0" fontId="15" fillId="2" borderId="4" xfId="0" applyFont="1" applyFill="1" applyBorder="1" applyAlignment="1">
      <alignment horizontal="right"/>
    </xf>
    <xf numFmtId="0" fontId="15" fillId="2" borderId="4" xfId="0" applyFont="1" applyFill="1" applyBorder="1" applyAlignment="1">
      <alignment horizontal="right" wrapText="1"/>
    </xf>
    <xf numFmtId="3" fontId="15" fillId="2" borderId="4" xfId="0" applyNumberFormat="1" applyFont="1" applyFill="1" applyBorder="1" applyAlignment="1">
      <alignment horizontal="right" wrapText="1"/>
    </xf>
    <xf numFmtId="0" fontId="15" fillId="0" borderId="4" xfId="0" applyFont="1" applyBorder="1" applyAlignment="1">
      <alignment horizontal="right" wrapText="1"/>
    </xf>
    <xf numFmtId="3" fontId="15" fillId="3" borderId="4" xfId="0" applyNumberFormat="1" applyFont="1" applyFill="1" applyBorder="1" applyAlignment="1">
      <alignment horizontal="right" wrapText="1"/>
    </xf>
    <xf numFmtId="0" fontId="15" fillId="0" borderId="3" xfId="0" applyFont="1" applyBorder="1" applyAlignment="1">
      <alignment horizontal="right" wrapText="1"/>
    </xf>
    <xf numFmtId="0" fontId="16" fillId="4" borderId="4" xfId="0" applyFont="1" applyFill="1" applyBorder="1" applyAlignment="1">
      <alignment horizontal="center" wrapText="1"/>
    </xf>
    <xf numFmtId="0" fontId="16" fillId="4" borderId="4" xfId="0" applyFont="1" applyFill="1" applyBorder="1" applyAlignment="1">
      <alignment horizontal="center"/>
    </xf>
    <xf numFmtId="43" fontId="3" fillId="0" borderId="6" xfId="0" applyNumberFormat="1" applyFont="1" applyBorder="1"/>
    <xf numFmtId="164" fontId="3" fillId="0" borderId="6" xfId="1" applyFont="1" applyBorder="1"/>
    <xf numFmtId="0" fontId="15" fillId="2" borderId="5" xfId="0" applyFont="1" applyFill="1" applyBorder="1" applyAlignment="1">
      <alignment horizontal="right" wrapText="1"/>
    </xf>
    <xf numFmtId="0" fontId="15" fillId="3" borderId="5" xfId="0" applyFont="1" applyFill="1" applyBorder="1" applyAlignment="1">
      <alignment horizontal="right" wrapText="1"/>
    </xf>
    <xf numFmtId="0" fontId="15" fillId="3" borderId="0" xfId="0" applyFont="1" applyFill="1" applyBorder="1" applyAlignment="1">
      <alignment horizontal="right" wrapText="1"/>
    </xf>
    <xf numFmtId="0" fontId="15" fillId="0" borderId="0" xfId="0" applyFont="1" applyBorder="1" applyAlignment="1">
      <alignment horizontal="right" wrapText="1"/>
    </xf>
    <xf numFmtId="0" fontId="15" fillId="0" borderId="7" xfId="0" applyFont="1" applyBorder="1" applyAlignment="1">
      <alignment horizontal="right" wrapText="1"/>
    </xf>
    <xf numFmtId="0" fontId="15" fillId="2" borderId="3" xfId="0" applyFont="1" applyFill="1" applyBorder="1" applyAlignment="1">
      <alignment horizontal="right" wrapText="1"/>
    </xf>
    <xf numFmtId="0" fontId="15" fillId="2" borderId="0" xfId="0" applyFont="1" applyFill="1" applyBorder="1" applyAlignment="1">
      <alignment horizontal="right" wrapText="1"/>
    </xf>
    <xf numFmtId="0" fontId="15" fillId="2" borderId="7" xfId="0" applyFont="1" applyFill="1" applyBorder="1" applyAlignment="1">
      <alignment horizontal="right" wrapText="1"/>
    </xf>
    <xf numFmtId="0" fontId="17" fillId="0" borderId="0" xfId="0" applyFont="1"/>
    <xf numFmtId="44" fontId="17" fillId="0" borderId="0" xfId="1" applyNumberFormat="1" applyFont="1"/>
    <xf numFmtId="10" fontId="17" fillId="0" borderId="0" xfId="2" applyNumberFormat="1" applyFont="1"/>
    <xf numFmtId="44" fontId="17" fillId="0" borderId="0" xfId="0" applyNumberFormat="1" applyFont="1"/>
    <xf numFmtId="0" fontId="15" fillId="3" borderId="2" xfId="0" applyFont="1" applyFill="1" applyBorder="1" applyAlignment="1">
      <alignment horizontal="right" wrapText="1"/>
    </xf>
    <xf numFmtId="0" fontId="15" fillId="2" borderId="0" xfId="0" applyFont="1" applyFill="1" applyBorder="1" applyAlignment="1">
      <alignment horizontal="right"/>
    </xf>
    <xf numFmtId="0" fontId="15" fillId="2" borderId="8" xfId="0" applyFont="1" applyFill="1" applyBorder="1" applyAlignment="1">
      <alignment horizontal="right" wrapText="1"/>
    </xf>
    <xf numFmtId="17" fontId="17" fillId="0" borderId="0" xfId="0" applyNumberFormat="1" applyFont="1"/>
    <xf numFmtId="0" fontId="18" fillId="0" borderId="6" xfId="0" applyFont="1" applyBorder="1"/>
    <xf numFmtId="0" fontId="15" fillId="3" borderId="7" xfId="0" applyFont="1" applyFill="1" applyBorder="1" applyAlignment="1">
      <alignment horizontal="right" wrapText="1"/>
    </xf>
    <xf numFmtId="0" fontId="19" fillId="0" borderId="0" xfId="0" applyNumberFormat="1" applyFont="1" applyBorder="1"/>
    <xf numFmtId="0" fontId="19" fillId="0" borderId="0" xfId="0" applyFont="1"/>
    <xf numFmtId="0" fontId="20" fillId="0" borderId="4" xfId="0" applyFont="1" applyBorder="1"/>
    <xf numFmtId="0" fontId="20" fillId="0" borderId="5" xfId="0" applyFont="1" applyBorder="1"/>
    <xf numFmtId="0" fontId="20" fillId="0" borderId="8" xfId="0" applyFont="1" applyBorder="1"/>
    <xf numFmtId="0" fontId="20" fillId="2" borderId="4" xfId="0" applyFont="1" applyFill="1" applyBorder="1"/>
    <xf numFmtId="0" fontId="20" fillId="2" borderId="5" xfId="0" applyFont="1" applyFill="1" applyBorder="1"/>
    <xf numFmtId="0" fontId="15" fillId="3" borderId="0" xfId="0" applyFont="1" applyFill="1" applyBorder="1" applyAlignment="1">
      <alignment horizontal="right"/>
    </xf>
    <xf numFmtId="3" fontId="15" fillId="3" borderId="0" xfId="0" applyNumberFormat="1" applyFont="1" applyFill="1" applyBorder="1" applyAlignment="1">
      <alignment horizontal="right" wrapText="1"/>
    </xf>
    <xf numFmtId="0" fontId="15" fillId="3" borderId="8" xfId="0" applyFont="1" applyFill="1" applyBorder="1" applyAlignment="1">
      <alignment horizontal="right" wrapText="1"/>
    </xf>
    <xf numFmtId="164" fontId="4" fillId="0" borderId="0" xfId="1" applyNumberFormat="1" applyFont="1" applyBorder="1"/>
    <xf numFmtId="164" fontId="4" fillId="0" borderId="0" xfId="0" applyNumberFormat="1" applyFont="1" applyBorder="1"/>
    <xf numFmtId="3" fontId="15" fillId="2" borderId="0" xfId="0" applyNumberFormat="1" applyFont="1" applyFill="1" applyBorder="1" applyAlignment="1">
      <alignment horizontal="right" wrapText="1"/>
    </xf>
    <xf numFmtId="0" fontId="20" fillId="0" borderId="9" xfId="0" applyFont="1" applyBorder="1"/>
    <xf numFmtId="0" fontId="21" fillId="3" borderId="7" xfId="0" applyFont="1" applyFill="1" applyBorder="1" applyAlignment="1">
      <alignment horizontal="right" wrapText="1"/>
    </xf>
    <xf numFmtId="0" fontId="21" fillId="3" borderId="0" xfId="0" applyFont="1" applyFill="1" applyBorder="1" applyAlignment="1">
      <alignment horizontal="right"/>
    </xf>
    <xf numFmtId="0" fontId="21" fillId="3" borderId="0" xfId="0" applyFont="1" applyFill="1" applyBorder="1" applyAlignment="1">
      <alignment horizontal="right" wrapText="1"/>
    </xf>
    <xf numFmtId="3" fontId="21" fillId="3" borderId="0" xfId="0" applyNumberFormat="1" applyFont="1" applyFill="1" applyBorder="1" applyAlignment="1">
      <alignment horizontal="right" wrapText="1"/>
    </xf>
    <xf numFmtId="0" fontId="21" fillId="2" borderId="0" xfId="0" applyFont="1" applyFill="1" applyBorder="1" applyAlignment="1">
      <alignment horizontal="right" wrapText="1"/>
    </xf>
    <xf numFmtId="0" fontId="21" fillId="3" borderId="8" xfId="0" applyFont="1" applyFill="1" applyBorder="1" applyAlignment="1">
      <alignment horizontal="right" wrapText="1"/>
    </xf>
    <xf numFmtId="0" fontId="22" fillId="0" borderId="0" xfId="0" applyNumberFormat="1" applyFont="1" applyBorder="1"/>
    <xf numFmtId="10" fontId="3" fillId="0" borderId="0" xfId="0" applyNumberFormat="1" applyFont="1"/>
    <xf numFmtId="0" fontId="23" fillId="0" borderId="8" xfId="0" applyFont="1" applyBorder="1"/>
    <xf numFmtId="0" fontId="21" fillId="2" borderId="7" xfId="0" applyFont="1" applyFill="1" applyBorder="1" applyAlignment="1">
      <alignment horizontal="right" wrapText="1"/>
    </xf>
    <xf numFmtId="0" fontId="21" fillId="2" borderId="0" xfId="0" applyFont="1" applyFill="1" applyBorder="1" applyAlignment="1">
      <alignment horizontal="right"/>
    </xf>
    <xf numFmtId="0" fontId="21" fillId="2" borderId="8" xfId="0" applyFont="1" applyFill="1" applyBorder="1" applyAlignment="1">
      <alignment horizontal="right" wrapText="1"/>
    </xf>
    <xf numFmtId="0" fontId="21" fillId="0" borderId="7" xfId="0" applyFont="1" applyBorder="1" applyAlignment="1">
      <alignment horizontal="right" wrapText="1"/>
    </xf>
    <xf numFmtId="0" fontId="21" fillId="0" borderId="0" xfId="0" applyFont="1" applyBorder="1" applyAlignment="1">
      <alignment horizontal="right" wrapText="1"/>
    </xf>
    <xf numFmtId="3" fontId="21" fillId="2" borderId="0" xfId="0" applyNumberFormat="1" applyFont="1" applyFill="1" applyBorder="1" applyAlignment="1">
      <alignment horizontal="right" wrapText="1"/>
    </xf>
    <xf numFmtId="164" fontId="17" fillId="0" borderId="0" xfId="1" applyFont="1"/>
    <xf numFmtId="0" fontId="17" fillId="0" borderId="0" xfId="0" pivotButton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5" fillId="2" borderId="3" xfId="0" applyFont="1" applyFill="1" applyBorder="1" applyAlignment="1">
      <alignment horizontal="right" wrapText="1"/>
    </xf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385"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sz val="9"/>
      </font>
    </dxf>
    <dxf>
      <font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indent="0" relativeIndent="0" justifyLastLine="0" shrinkToFit="0" mergeCell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vertical="top" textRotation="0" indent="0" relative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C0C0C0"/>
        </patternFill>
      </fill>
      <alignment horizontal="center" vertical="bottom" textRotation="0" wrapText="1" indent="0" relativeIndent="0" justifyLastLine="0" shrinkToFit="0" mergeCell="0" readingOrder="0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2" formatCode="_(* #,##0.0000_);_(* \(#,##0.0000\);_(* &quot;-&quot;??_);_(@_)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elbert" refreshedDate="41828.389295023146" createdVersion="3" refreshedVersion="3" minRefreshableVersion="3" recordCount="60">
  <cacheSource type="worksheet">
    <worksheetSource name="Tabela9"/>
  </cacheSource>
  <cacheFields count="15">
    <cacheField name="Ticket" numFmtId="0">
      <sharedItems containsNonDate="0" containsString="0" containsBlank="1"/>
    </cacheField>
    <cacheField name="OpenTime" numFmtId="0">
      <sharedItems containsNonDate="0" containsString="0" containsBlank="1"/>
    </cacheField>
    <cacheField name="Type" numFmtId="0">
      <sharedItems containsBlank="1" count="4">
        <s v="sell"/>
        <s v="buy"/>
        <m/>
        <s v="balance" u="1"/>
      </sharedItems>
    </cacheField>
    <cacheField name="Size" numFmtId="0">
      <sharedItems containsNonDate="0" containsString="0" containsBlank="1"/>
    </cacheField>
    <cacheField name="Item" numFmtId="0">
      <sharedItems containsBlank="1" count="7">
        <s v="usdchf"/>
        <s v="eurgbp"/>
        <s v="audusd"/>
        <s v="eurusd"/>
        <s v="gbpusd"/>
        <s v="usdcad"/>
        <m/>
      </sharedItems>
    </cacheField>
    <cacheField name="Price" numFmtId="0">
      <sharedItems containsNonDate="0" containsString="0" containsBlank="1"/>
    </cacheField>
    <cacheField name="S/L" numFmtId="0">
      <sharedItems containsNonDate="0" containsString="0" containsBlank="1"/>
    </cacheField>
    <cacheField name="T/P" numFmtId="0">
      <sharedItems containsNonDate="0" containsString="0" containsBlank="1"/>
    </cacheField>
    <cacheField name="CloseTime" numFmtId="0">
      <sharedItems containsNonDate="0" containsString="0" containsBlank="1"/>
    </cacheField>
    <cacheField name="Price2" numFmtId="0">
      <sharedItems containsNonDate="0" containsString="0" containsBlank="1"/>
    </cacheField>
    <cacheField name="Commission" numFmtId="0">
      <sharedItems containsBlank="1" containsMixedTypes="1" containsNumber="1" containsInteger="1" minValue="0" maxValue="0" count="5">
        <s v="[0]"/>
        <s v="[2]"/>
        <s v="[1]"/>
        <m/>
        <n v="0" u="1"/>
      </sharedItems>
    </cacheField>
    <cacheField name="Taxes" numFmtId="0">
      <sharedItems containsNonDate="0" containsString="0" containsBlank="1"/>
    </cacheField>
    <cacheField name="Swap" numFmtId="0">
      <sharedItems containsString="0" containsBlank="1" containsNumber="1" minValue="-46.8" maxValue="11.66"/>
    </cacheField>
    <cacheField name="Profit" numFmtId="0">
      <sharedItems containsString="0" containsBlank="1" containsNumber="1" minValue="-607.80999999999995" maxValue="5471.47"/>
    </cacheField>
    <cacheField name="Total" numFmtId="0">
      <sharedItems containsSemiMixedTypes="0" containsString="0" containsNumber="1" minValue="-607.80999999999995" maxValue="5424.6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m/>
    <m/>
    <x v="0"/>
    <m/>
    <x v="0"/>
    <m/>
    <m/>
    <m/>
    <m/>
    <m/>
    <x v="0"/>
    <m/>
    <n v="-5.62"/>
    <n v="597.65"/>
    <n v="592.03"/>
  </r>
  <r>
    <m/>
    <m/>
    <x v="0"/>
    <m/>
    <x v="1"/>
    <m/>
    <m/>
    <m/>
    <m/>
    <m/>
    <x v="1"/>
    <m/>
    <n v="-46.8"/>
    <n v="5471.47"/>
    <n v="5424.67"/>
  </r>
  <r>
    <m/>
    <m/>
    <x v="1"/>
    <m/>
    <x v="2"/>
    <m/>
    <m/>
    <m/>
    <m/>
    <m/>
    <x v="2"/>
    <m/>
    <n v="4.9800000000000004"/>
    <n v="-187.68"/>
    <n v="-182.70000000000002"/>
  </r>
  <r>
    <m/>
    <m/>
    <x v="1"/>
    <m/>
    <x v="3"/>
    <m/>
    <m/>
    <m/>
    <m/>
    <m/>
    <x v="0"/>
    <m/>
    <n v="-2.8"/>
    <n v="-268.8"/>
    <n v="-271.60000000000002"/>
  </r>
  <r>
    <m/>
    <m/>
    <x v="1"/>
    <m/>
    <x v="4"/>
    <m/>
    <m/>
    <m/>
    <m/>
    <m/>
    <x v="0"/>
    <m/>
    <n v="-2.12"/>
    <n v="796.1"/>
    <n v="793.98"/>
  </r>
  <r>
    <m/>
    <m/>
    <x v="0"/>
    <m/>
    <x v="5"/>
    <m/>
    <m/>
    <m/>
    <m/>
    <m/>
    <x v="2"/>
    <m/>
    <n v="0"/>
    <n v="-607.80999999999995"/>
    <n v="-607.80999999999995"/>
  </r>
  <r>
    <m/>
    <m/>
    <x v="0"/>
    <m/>
    <x v="5"/>
    <m/>
    <m/>
    <m/>
    <m/>
    <m/>
    <x v="0"/>
    <m/>
    <n v="-1.1200000000000001"/>
    <n v="-69.150000000000006"/>
    <n v="-70.27000000000001"/>
  </r>
  <r>
    <m/>
    <m/>
    <x v="1"/>
    <m/>
    <x v="2"/>
    <m/>
    <m/>
    <m/>
    <m/>
    <m/>
    <x v="0"/>
    <m/>
    <n v="11.66"/>
    <n v="-184.68"/>
    <n v="-173.02"/>
  </r>
  <r>
    <m/>
    <m/>
    <x v="0"/>
    <m/>
    <x v="5"/>
    <m/>
    <m/>
    <m/>
    <m/>
    <m/>
    <x v="0"/>
    <m/>
    <m/>
    <n v="-306.97000000000003"/>
    <n v="-306.97000000000003"/>
  </r>
  <r>
    <m/>
    <m/>
    <x v="1"/>
    <m/>
    <x v="4"/>
    <m/>
    <m/>
    <m/>
    <m/>
    <m/>
    <x v="0"/>
    <m/>
    <m/>
    <n v="-216"/>
    <n v="-216"/>
  </r>
  <r>
    <m/>
    <m/>
    <x v="0"/>
    <m/>
    <x v="2"/>
    <m/>
    <m/>
    <m/>
    <m/>
    <m/>
    <x v="0"/>
    <m/>
    <m/>
    <n v="-311.52"/>
    <n v="-311.52"/>
  </r>
  <r>
    <m/>
    <m/>
    <x v="0"/>
    <m/>
    <x v="1"/>
    <m/>
    <m/>
    <m/>
    <m/>
    <m/>
    <x v="0"/>
    <m/>
    <n v="-1.58"/>
    <n v="95.07"/>
    <n v="93.49"/>
  </r>
  <r>
    <m/>
    <m/>
    <x v="0"/>
    <m/>
    <x v="1"/>
    <m/>
    <m/>
    <m/>
    <m/>
    <m/>
    <x v="0"/>
    <m/>
    <m/>
    <n v="-430.84"/>
    <n v="-430.84"/>
  </r>
  <r>
    <m/>
    <m/>
    <x v="0"/>
    <m/>
    <x v="1"/>
    <m/>
    <m/>
    <m/>
    <m/>
    <m/>
    <x v="0"/>
    <m/>
    <m/>
    <n v="-325.54000000000002"/>
    <n v="-325.54000000000002"/>
  </r>
  <r>
    <m/>
    <m/>
    <x v="1"/>
    <m/>
    <x v="4"/>
    <m/>
    <m/>
    <m/>
    <m/>
    <m/>
    <x v="1"/>
    <m/>
    <n v="-16.39"/>
    <n v="814.08"/>
    <n v="797.69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  <r>
    <m/>
    <m/>
    <x v="2"/>
    <m/>
    <x v="6"/>
    <m/>
    <m/>
    <m/>
    <m/>
    <m/>
    <x v="3"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Moeda" colHeaderCaption="Periodo">
  <location ref="A3:G11" firstHeaderRow="1" firstDataRow="2" firstDataCol="1" rowPageCount="1" colPageCount="1"/>
  <pivotFields count="15">
    <pivotField showAll="0"/>
    <pivotField showAll="0"/>
    <pivotField axis="axisRow" showAll="0">
      <items count="5">
        <item m="1" x="3"/>
        <item x="1"/>
        <item x="0"/>
        <item x="2"/>
        <item t="default"/>
      </items>
    </pivotField>
    <pivotField showAll="0"/>
    <pivotField axis="axisRow" showAll="0">
      <items count="8">
        <item sd="0" x="2"/>
        <item sd="0" x="1"/>
        <item sd="0" x="3"/>
        <item sd="0" x="4"/>
        <item sd="0" x="5"/>
        <item sd="0" x="0"/>
        <item h="1" x="6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6">
        <item m="1" x="4"/>
        <item x="0"/>
        <item x="3"/>
        <item x="1"/>
        <item x="2"/>
        <item t="default"/>
      </items>
    </pivotField>
    <pivotField showAll="0"/>
    <pivotField dataField="1" showAll="0"/>
    <pivotField dataField="1" showAll="0"/>
    <pivotField dataField="1" showAll="0" defaultSubtotal="0"/>
  </pivotFields>
  <rowFields count="2">
    <field x="4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0" item="1" hier="-1"/>
  </pageFields>
  <dataFields count="6">
    <dataField name="Trades" fld="13" subtotal="count" baseField="0" baseItem="0"/>
    <dataField name="Total Swap" fld="12" baseField="0" baseItem="0" numFmtId="44"/>
    <dataField name="Total Profit" fld="13" baseField="0" baseItem="0" numFmtId="44"/>
    <dataField name="* Total" fld="14" baseField="0" baseItem="0" numFmtId="44"/>
    <dataField name="Média de Total" fld="14" subtotal="average" baseField="0" baseItem="0" numFmtId="44"/>
    <dataField name="DesvPad de Total" fld="14" subtotal="stdDev" baseField="0" baseItem="0" numFmtId="44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fieldPosition="0">
        <references count="1">
          <reference field="4294967294" count="1">
            <x v="1"/>
          </reference>
        </references>
      </pivotArea>
    </format>
    <format dxfId="2">
      <pivotArea outline="0" fieldPosition="0">
        <references count="1">
          <reference field="4294967294" count="1">
            <x v="3"/>
          </reference>
        </references>
      </pivotArea>
    </format>
    <format dxfId="1">
      <pivotArea outline="0" fieldPosition="0">
        <references count="1">
          <reference field="4294967294" count="1">
            <x v="4"/>
          </reference>
        </references>
      </pivotArea>
    </format>
    <format dxfId="0">
      <pivotArea outline="0" fieldPosition="0">
        <references count="1">
          <reference field="4294967294" count="1">
            <x v="5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K95" headerRowDxfId="384" dataDxfId="383" totalsRowDxfId="382">
  <autoFilter ref="A1:AK95">
    <filterColumn colId="36"/>
  </autoFilter>
  <sortState ref="A2:AJ89">
    <sortCondition ref="E1:E89"/>
  </sortState>
  <tableColumns count="37">
    <tableColumn id="19" name="ID" totalsRowFunction="max" dataDxfId="381" totalsRowDxfId="380"/>
    <tableColumn id="36" name="U" dataDxfId="379" totalsRowDxfId="378"/>
    <tableColumn id="2" name="ATIVO" dataDxfId="377" totalsRowDxfId="376"/>
    <tableColumn id="3" name="T" dataDxfId="375" totalsRowDxfId="374"/>
    <tableColumn id="4" name="DATA" dataDxfId="373" totalsRowDxfId="372"/>
    <tableColumn id="5" name="QTDE" dataDxfId="371" totalsRowDxfId="370"/>
    <tableColumn id="6" name="PREÇO" totalsRowFunction="custom" dataDxfId="369" totalsRowDxfId="368">
      <totalsRowFormula>NC[[#Totals],[ID]]*14.9</totalsRowFormula>
    </tableColumn>
    <tableColumn id="37" name="PARCIAL" dataDxfId="367" totalsRowDxfId="366"/>
    <tableColumn id="40" name="AJUSTE" dataDxfId="365" totalsRowDxfId="364"/>
    <tableColumn id="7" name="[D/N]" totalsRowFunction="custom" dataDxfId="363" totalsRowDxfId="362">
      <totalsRowFormula>NC[[#Totals],[LUCRO P/ OP]]+NC[[#Totals],[PREÇO]]</totalsRowFormula>
    </tableColumn>
    <tableColumn id="34" name="DATA DE LIQUIDAÇÃO" dataDxfId="361" totalsRowDxfId="360">
      <calculatedColumnFormula>WORKDAY(NC[[#This Row],[DATA]],1,0)</calculatedColumnFormula>
    </tableColumn>
    <tableColumn id="31" name="DATA BASE" dataDxfId="359" totalsRowDxfId="358">
      <calculatedColumnFormula>EOMONTH(NC[[#This Row],[DATA DE LIQUIDAÇÃO]],0)</calculatedColumnFormula>
    </tableColumn>
    <tableColumn id="21" name="PAR" dataDxfId="357" totalsRowDxfId="356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55" totalsRowDxfId="354">
      <calculatedColumnFormula>[QTDE]*[PREÇO]</calculatedColumnFormula>
    </tableColumn>
    <tableColumn id="9" name="VALOR LÍQUIDO DAS OPERAÇÕES" dataDxfId="353" totalsRowDxfId="352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51" totalsRowDxfId="350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49" totalsRowDxfId="348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47" totalsRowDxfId="346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45" totalsRowDxfId="344">
      <calculatedColumnFormula>SETUP!$E$3 * IF([PARCIAL] &gt; 0, [QTDE] / [PARCIAL], 1)</calculatedColumnFormula>
    </tableColumn>
    <tableColumn id="12" name="CORRETAGEM" dataDxfId="343" totalsRowDxfId="342">
      <calculatedColumnFormula>SUMPRODUCT(N([DATA]=NC[[#This Row],[DATA]]),N([ID]&lt;=NC[[#This Row],[ID]]), [CORR])</calculatedColumnFormula>
    </tableColumn>
    <tableColumn id="13" name="ISS" dataDxfId="341" totalsRowDxfId="340">
      <calculatedColumnFormula>TRUNC([CORRETAGEM]*SETUP!$F$3,2)</calculatedColumnFormula>
    </tableColumn>
    <tableColumn id="15" name="OUTRAS BOVESPA" dataDxfId="339" totalsRowDxfId="338">
      <calculatedColumnFormula>ROUND([CORRETAGEM]*SETUP!$G$3,2)</calculatedColumnFormula>
    </tableColumn>
    <tableColumn id="16" name="LÍQUIDO BASE" dataDxfId="337" totalsRowDxfId="336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335" totalsRowDxfId="334">
      <calculatedColumnFormula>IF(AND(['[D/N']]="D",    [T]="CV",    [LÍQUIDO BASE] &gt; 0),    TRUNC([LÍQUIDO BASE]*0.01, 2),    0)</calculatedColumnFormula>
    </tableColumn>
    <tableColumn id="35" name="LÍQUIDO" dataDxfId="333" totalsRowDxfId="332">
      <calculatedColumnFormula>IF([PREÇO] &gt; 0,    [LÍQUIDO BASE]-SUMPRODUCT(N([DATA]=NC[[#This Row],[DATA]]),    [IRRF FONTE]),    0)</calculatedColumnFormula>
    </tableColumn>
    <tableColumn id="17" name="VALOR OP" dataDxfId="331" totalsRowDxfId="330">
      <calculatedColumnFormula>[LÍQUIDO]-SUMPRODUCT(N([DATA]=NC[[#This Row],[DATA]]),N([ID]=(NC[[#This Row],[ID]]-1)),[LÍQUIDO])</calculatedColumnFormula>
    </tableColumn>
    <tableColumn id="18" name="MEDIO P/ OP" dataDxfId="329" totalsRowDxfId="328">
      <calculatedColumnFormula>IF([T] = "VC", ABS([VALOR OP]) / [QTDE], [VALOR OP]/[QTDE])</calculatedColumnFormula>
    </tableColumn>
    <tableColumn id="20" name="IRRF" totalsRowFunction="sum" dataDxfId="327" totalsRowDxfId="326">
      <calculatedColumnFormula>TRUNC(IF(OR([T]="CV",[T]="VV"),     N2*SETUP!$H$3,     0),2)</calculatedColumnFormula>
    </tableColumn>
    <tableColumn id="24" name="SALDO" dataDxfId="325" totalsRowDxfId="324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323" totalsRowDxfId="322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321" totalsRowDxfId="320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319" totalsRowDxfId="318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317" totalsRowDxfId="316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315" totalsRowDxfId="314">
      <calculatedColumnFormula>IF([U] = "U", SUMPRODUCT(N([ID]&lt;=NC[[#This Row],[ID]]),N([DATA BASE]=NC[[#This Row],[DATA BASE]]), N(['[D/N']] = "N"),    [LUCRO P/ OP]), 0)</calculatedColumnFormula>
    </tableColumn>
    <tableColumn id="39" name="LUCRO [D]" dataDxfId="313" totalsRowDxfId="312">
      <calculatedColumnFormula>IF([U] = "U", SUMPRODUCT(N([DATA BASE]=NC[[#This Row],[DATA BASE]]), N(['[D/N']] = "D"),    [LUCRO P/ OP]), 0)</calculatedColumnFormula>
    </tableColumn>
    <tableColumn id="30" name="IRRF DT" dataDxfId="311" totalsRowDxfId="310">
      <calculatedColumnFormula>IF([U] = "U", SUMPRODUCT(N([DATA BASE]=NC[[#This Row],[DATA BASE]]), N(['[D/N']] = "D"),    [IRRF FONTE]), 0)</calculatedColumnFormula>
    </tableColumn>
    <tableColumn id="14" name="Colunas1" dataDxfId="309" totalsRowDxfId="308" dataCellStyle="Separador de milhares">
      <calculatedColumnFormula>NC[[#This Row],[LÍQUIDO]]/NC[[#This Row],[QTDE]]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Tabela9" displayName="Tabela9" ref="A1:O61" totalsRowShown="0" headerRowDxfId="24" dataDxfId="22" headerRowBorderDxfId="23" tableBorderDxfId="21">
  <autoFilter ref="A1:O61">
    <filterColumn colId="14"/>
  </autoFilter>
  <tableColumns count="15">
    <tableColumn id="1" name="Ticket" dataDxfId="20"/>
    <tableColumn id="2" name="OpenTime" dataDxfId="19"/>
    <tableColumn id="3" name="Type" dataDxfId="18"/>
    <tableColumn id="4" name="Size" dataDxfId="17"/>
    <tableColumn id="5" name="Item" dataDxfId="16"/>
    <tableColumn id="6" name="Price" dataDxfId="15"/>
    <tableColumn id="7" name="S/L" dataDxfId="14"/>
    <tableColumn id="8" name="T/P" dataDxfId="13"/>
    <tableColumn id="9" name="CloseTime" dataDxfId="12"/>
    <tableColumn id="10" name="Price2" dataDxfId="11"/>
    <tableColumn id="11" name="Commission" dataDxfId="10"/>
    <tableColumn id="12" name="Taxes" dataDxfId="9"/>
    <tableColumn id="13" name="Swap" dataDxfId="8"/>
    <tableColumn id="14" name="Profit" dataDxfId="7"/>
    <tableColumn id="15" name="Total" dataDxfId="6">
      <calculatedColumnFormula>Tabela9[[#This Row],[Swap]]+Tabela9[[#This Row],[Profit]]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307" dataDxfId="306" totalsRowDxfId="305">
  <autoFilter ref="A1:AK61"/>
  <sortState ref="A2:AK61">
    <sortCondition ref="E1:E61"/>
  </sortState>
  <tableColumns count="37">
    <tableColumn id="19" name="ID" totalsRowFunction="max" dataDxfId="304" totalsRowDxfId="303"/>
    <tableColumn id="36" name="U" dataDxfId="302" totalsRowDxfId="301"/>
    <tableColumn id="2" name="ATIVO" dataDxfId="300" totalsRowDxfId="299"/>
    <tableColumn id="3" name="T" dataDxfId="298" totalsRowDxfId="297"/>
    <tableColumn id="4" name="DATA" dataDxfId="296" totalsRowDxfId="295"/>
    <tableColumn id="5" name="QTDE" dataDxfId="294" totalsRowDxfId="293"/>
    <tableColumn id="6" name="PREÇO" dataDxfId="292" totalsRowDxfId="291"/>
    <tableColumn id="37" name="PARCIAL" dataDxfId="290" totalsRowDxfId="289"/>
    <tableColumn id="40" name="AJUSTE" dataDxfId="288" totalsRowDxfId="287"/>
    <tableColumn id="7" name="[D/N]" dataDxfId="286" totalsRowDxfId="285"/>
    <tableColumn id="34" name="DATA DE LIQUIDAÇÃO" dataDxfId="284" totalsRowDxfId="283">
      <calculatedColumnFormula>WORKDAY(NOTAS_80[[#This Row],[DATA]],1,0)</calculatedColumnFormula>
    </tableColumn>
    <tableColumn id="31" name="DATA BASE" dataDxfId="282" totalsRowDxfId="281">
      <calculatedColumnFormula>EOMONTH(NOTAS_80[[#This Row],[DATA DE LIQUIDAÇÃO]],0)</calculatedColumnFormula>
    </tableColumn>
    <tableColumn id="21" name="PAR" dataDxfId="280" totalsRowDxfId="279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78" totalsRowDxfId="277">
      <calculatedColumnFormula>[QTDE]*[PREÇO]</calculatedColumnFormula>
    </tableColumn>
    <tableColumn id="9" name="VALOR LÍQUIDO DAS OPERAÇÕES" dataDxfId="276" totalsRowDxfId="275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74" totalsRowDxfId="273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72" totalsRowDxfId="271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70" totalsRowDxfId="269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68" totalsRowDxfId="267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66" totalsRowDxfId="265">
      <calculatedColumnFormula>TRUNC([CORR BOV] * 20% * IF([PARCIAL] &gt; 0, [QTDE] / [PARCIAL], 1),2)</calculatedColumnFormula>
    </tableColumn>
    <tableColumn id="12" name="CORRETAGEM" dataDxfId="264" totalsRowDxfId="263">
      <calculatedColumnFormula>SUMPRODUCT(N([DATA]=NOTAS_80[[#This Row],[DATA]]),N([ID]&lt;=NOTAS_80[[#This Row],[ID]]), [CORR])</calculatedColumnFormula>
    </tableColumn>
    <tableColumn id="13" name="ISS" dataDxfId="262" totalsRowDxfId="261">
      <calculatedColumnFormula>TRUNC([CORRETAGEM]*SETUP!$F$3,2)</calculatedColumnFormula>
    </tableColumn>
    <tableColumn id="15" name="OUTRAS BOVESPA" dataDxfId="260" totalsRowDxfId="259">
      <calculatedColumnFormula>ROUND([CORRETAGEM]*SETUP!$G$3,2)</calculatedColumnFormula>
    </tableColumn>
    <tableColumn id="16" name="LÍQUIDO BASE" dataDxfId="258" totalsRowDxfId="257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56" totalsRowDxfId="255">
      <calculatedColumnFormula>IF(AND(['[D/N']]="D",    [T]="CV",    [LÍQUIDO BASE] &gt; 0),    TRUNC([LÍQUIDO BASE]*0.01, 2),    0)</calculatedColumnFormula>
    </tableColumn>
    <tableColumn id="35" name="LÍQUIDO" dataDxfId="254" totalsRowDxfId="253">
      <calculatedColumnFormula>IF([PREÇO] &gt; 0,    [LÍQUIDO BASE]-SUMPRODUCT(N([DATA]=NOTAS_80[[#This Row],[DATA]]),    [IRRF FONTE]),    0)</calculatedColumnFormula>
    </tableColumn>
    <tableColumn id="17" name="VALOR OP" dataDxfId="252" totalsRowDxfId="251">
      <calculatedColumnFormula>[LÍQUIDO]-SUMPRODUCT(N([DATA]=NOTAS_80[[#This Row],[DATA]]),N([ID]=(NOTAS_80[[#This Row],[ID]]-1)),[LÍQUIDO])</calculatedColumnFormula>
    </tableColumn>
    <tableColumn id="18" name="MEDIO P/ OP" dataDxfId="250" totalsRowDxfId="249">
      <calculatedColumnFormula>IF([T] = "VC", ABS([VALOR OP]) / [QTDE], [VALOR OP]/[QTDE])</calculatedColumnFormula>
    </tableColumn>
    <tableColumn id="20" name="IRRF" totalsRowFunction="sum" dataDxfId="248" totalsRowDxfId="247">
      <calculatedColumnFormula>TRUNC(IF(OR([T]="CV",[T]="VV"),     N2*SETUP!$H$3,     0),2)</calculatedColumnFormula>
    </tableColumn>
    <tableColumn id="24" name="SALDO" dataDxfId="246" totalsRowDxfId="245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44" totalsRowDxfId="243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42" totalsRowDxfId="241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40" totalsRowDxfId="239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38" totalsRowDxfId="237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36" totalsRowDxfId="235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234" totalsRowDxfId="233">
      <calculatedColumnFormula>IF([U] = "U", SUMPRODUCT(N([DATA BASE]=NOTAS_80[[#This Row],[DATA BASE]]), N(['[D/N']] = "D"),    [LUCRO P/ OP]), 0)</calculatedColumnFormula>
    </tableColumn>
    <tableColumn id="30" name="IRRF DT" dataDxfId="232" totalsRowDxfId="231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230" dataDxfId="229">
  <autoFilter ref="A1:N5"/>
  <tableColumns count="14">
    <tableColumn id="1" name="DATA" totalsRowLabel="Total" dataDxfId="228" totalsRowDxfId="227"/>
    <tableColumn id="2" name="LUCRO [N]" dataDxfId="226" totalsRowDxfId="225"/>
    <tableColumn id="3" name="DEDUÇÃO [N]" dataDxfId="224" totalsRowDxfId="223"/>
    <tableColumn id="8" name="IRRF [N]" dataDxfId="222" totalsRowDxfId="221"/>
    <tableColumn id="4" name="LUCRO [D]" dataDxfId="220" totalsRowDxfId="219"/>
    <tableColumn id="5" name="DEDUÇÃO [D]" dataDxfId="218" totalsRowDxfId="217"/>
    <tableColumn id="9" name="IRRF [D]" dataDxfId="216" totalsRowDxfId="215"/>
    <tableColumn id="6" name="ACC [N]" dataDxfId="214" totalsRowDxfId="213">
      <calculatedColumnFormula>IF([LUCRO '[N']] + [DEDUÇÃO '[N']] &gt; 0, 0, [LUCRO '[N']] + [DEDUÇÃO '[N']])</calculatedColumnFormula>
    </tableColumn>
    <tableColumn id="12" name="ACC [D]" dataDxfId="212" totalsRowDxfId="211">
      <calculatedColumnFormula>IF([LUCRO '[D']] + [DEDUÇÃO '[D']] &gt; 0, 0, [LUCRO '[D']] + [DEDUÇÃO '[D']])</calculatedColumnFormula>
    </tableColumn>
    <tableColumn id="7" name="IR DEVIDO [N]" dataDxfId="210" totalsRowDxfId="209">
      <calculatedColumnFormula>IF([ACC '[N']] = 0, ROUND(([LUCRO '[N']] + [DEDUÇÃO '[N']]) * 15%, 2) - [IRRF '[N']], 0)</calculatedColumnFormula>
    </tableColumn>
    <tableColumn id="10" name="IR DEVIDO [D]" dataDxfId="208" totalsRowDxfId="207">
      <calculatedColumnFormula>IF([ACC '[D']] = 0, ROUND(([LUCRO '[D']] + [DEDUÇÃO '[D']]) * 20%, 2) - [IRRF '[D']], 0)</calculatedColumnFormula>
    </tableColumn>
    <tableColumn id="14" name="IRRF" dataDxfId="206" totalsRowDxfId="205">
      <calculatedColumnFormula>[IRRF '[N']] + [IRRF '[D']]</calculatedColumnFormula>
    </tableColumn>
    <tableColumn id="11" name="IR DEVIDO" dataDxfId="204" totalsRowDxfId="203">
      <calculatedColumnFormula>[IR DEVIDO '[N']] + [IR DEVIDO '[D']]</calculatedColumnFormula>
    </tableColumn>
    <tableColumn id="13" name="LUCRO TOTAL" totalsRowFunction="sum" dataDxfId="202" totalsRowDxfId="201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headerRowDxfId="200" dataDxfId="199">
  <autoFilter ref="A1:K5"/>
  <sortState ref="A2:K4">
    <sortCondition ref="C1:C4"/>
  </sortState>
  <tableColumns count="11">
    <tableColumn id="1" name="PAPEL" totalsRowLabel="Total" dataDxfId="198" totalsRowDxfId="197"/>
    <tableColumn id="10" name="APLICAÇÃO" dataDxfId="196" totalsRowDxfId="195">
      <calculatedColumnFormula>1600</calculatedColumnFormula>
    </tableColumn>
    <tableColumn id="2" name="EXERCÍCIO" dataDxfId="194" totalsRowDxfId="193"/>
    <tableColumn id="3" name="PREÇO OPÇÃO" dataDxfId="192" totalsRowDxfId="191"/>
    <tableColumn id="4" name="PREÇO AÇÃO" dataDxfId="190" totalsRowDxfId="189"/>
    <tableColumn id="11" name="QTDE TMP" dataDxfId="188" totalsRowDxfId="187">
      <calculatedColumnFormula>ROUNDDOWN([APLICAÇÃO]/[PREÇO OPÇÃO], 0)</calculatedColumnFormula>
    </tableColumn>
    <tableColumn id="14" name="QTDE" dataDxfId="186" totalsRowDxfId="185">
      <calculatedColumnFormula>[QTDE TMP] - MOD([QTDE TMP], 100)</calculatedColumnFormula>
    </tableColumn>
    <tableColumn id="5" name="TARGET 100%" dataDxfId="184" totalsRowDxfId="183" dataCellStyle="Moeda">
      <calculatedColumnFormula>[EXERCÍCIO] + ([PREÇO OPÇÃO] * 2)</calculatedColumnFormula>
    </tableColumn>
    <tableColumn id="6" name="ALTA 100%" dataDxfId="182" totalsRowDxfId="181">
      <calculatedColumnFormula>[TARGET 100%] / [PREÇO AÇÃO] - 1</calculatedColumnFormula>
    </tableColumn>
    <tableColumn id="12" name="LUCRO* 100%" dataDxfId="180" totalsRowDxfId="179">
      <calculatedColumnFormula>[PREÇO OPÇÃO] * [QTDE]</calculatedColumnFormula>
    </tableColumn>
    <tableColumn id="7" name="GORDURA" dataDxfId="178" totalsRowDxfId="177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176" dataDxfId="175">
  <autoFilter ref="A1:P4"/>
  <tableColumns count="16">
    <tableColumn id="1" name="PAPEL" totalsRowLabel="Total" dataDxfId="174" totalsRowDxfId="173"/>
    <tableColumn id="10" name="VOLUME" dataDxfId="172" totalsRowDxfId="171">
      <calculatedColumnFormula>1800</calculatedColumnFormula>
    </tableColumn>
    <tableColumn id="20" name="PREÇO AÇÃO" dataDxfId="170" totalsRowDxfId="169"/>
    <tableColumn id="7" name="EXERC. VENDA" dataDxfId="168" totalsRowDxfId="167"/>
    <tableColumn id="8" name="PREÇO VENDA" dataDxfId="166" totalsRowDxfId="165"/>
    <tableColumn id="2" name="EXERC. COMPRA" dataDxfId="164" totalsRowDxfId="163"/>
    <tableColumn id="3" name="PREÇO COMPRA" dataDxfId="162" totalsRowDxfId="161"/>
    <tableColumn id="4" name="QTD" dataDxfId="160" totalsRowDxfId="159">
      <calculatedColumnFormula>[VOLUME]/([PREÇO VENDA]+[PREÇO COMPRA])</calculatedColumnFormula>
    </tableColumn>
    <tableColumn id="18" name="LUCRO P/ OPÇÃO" dataDxfId="158" totalsRowDxfId="157">
      <calculatedColumnFormula>[PREÇO VENDA]-[PREÇO COMPRA]</calculatedColumnFormula>
    </tableColumn>
    <tableColumn id="19" name="PERDA P/ OPÇÃO" dataDxfId="156" totalsRowDxfId="155">
      <calculatedColumnFormula>(0.01 - [PREÇO COMPRA]) + ([PREÇO VENDA] - ([EXERC. COMPRA]-[EXERC. VENDA]+0.01))</calculatedColumnFormula>
    </tableColumn>
    <tableColumn id="11" name="QTDE TMP" dataDxfId="154" totalsRowDxfId="153">
      <calculatedColumnFormula>ROUNDDOWN([VOLUME]/ABS([PERDA P/ OPÇÃO]), 0)</calculatedColumnFormula>
    </tableColumn>
    <tableColumn id="14" name="QTDE" dataDxfId="152" totalsRowDxfId="151">
      <calculatedColumnFormula>[QTD] - MOD([QTD], 100)</calculatedColumnFormula>
    </tableColumn>
    <tableColumn id="5" name="LUCRO*" dataDxfId="150" totalsRowDxfId="149">
      <calculatedColumnFormula>([QTDE]*[LUCRO P/ OPÇÃO])-48</calculatedColumnFormula>
    </tableColumn>
    <tableColumn id="6" name="PERDA*" dataDxfId="148" totalsRowDxfId="147">
      <calculatedColumnFormula>[QTDE]*[PERDA P/ OPÇÃO]-48</calculatedColumnFormula>
    </tableColumn>
    <tableColumn id="21" name="% QUEDA" dataDxfId="146" totalsRowDxfId="145">
      <calculatedColumnFormula>[EXERC. VENDA]/[PREÇO AÇÃO]-1</calculatedColumnFormula>
    </tableColumn>
    <tableColumn id="22" name="RISCO : 1" dataDxfId="144" totalsRowDxfId="143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ela10" displayName="Tabela10" ref="A1:G2" totalsRowShown="0" headerRowDxfId="142" dataDxfId="141">
  <autoFilter ref="A1:G2"/>
  <tableColumns count="7">
    <tableColumn id="1" name="Garantia" dataDxfId="140"/>
    <tableColumn id="2" name="Start" dataDxfId="139"/>
    <tableColumn id="3" name="Stop" dataDxfId="138"/>
    <tableColumn id="4" name="Pontos" dataDxfId="137">
      <calculatedColumnFormula>ABS(B2-C2)</calculatedColumnFormula>
    </tableColumn>
    <tableColumn id="5" name="Risco" dataDxfId="136">
      <calculatedColumnFormula>A2*10%</calculatedColumnFormula>
    </tableColumn>
    <tableColumn id="6" name="N Contrato" dataDxfId="135">
      <calculatedColumnFormula>E2/(0.2*D2)-MOD(E2/(0.2*D2),1)</calculatedColumnFormula>
    </tableColumn>
    <tableColumn id="7" name="Prev Target" dataDxfId="134">
      <calculatedColumnFormula>IF([Start]&lt;[Stop],[Start]-([Pontos]*3.5),[Start]+([Pontos]*3.5))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ela246" displayName="Tabela246" ref="A1:O3" headerRowDxfId="133" dataDxfId="132">
  <autoFilter ref="A1:O3"/>
  <tableColumns count="15">
    <tableColumn id="1" name="PAPEL" totalsRowLabel="Total" dataDxfId="131" totalsRowDxfId="130"/>
    <tableColumn id="10" name="RISCO" dataDxfId="129" totalsRowDxfId="128"/>
    <tableColumn id="20" name="PREÇO AÇÃO" dataDxfId="127" totalsRowDxfId="126"/>
    <tableColumn id="7" name="EX. VENDA" dataDxfId="125" totalsRowDxfId="124"/>
    <tableColumn id="2" name="EX. COMPRA" dataDxfId="123" totalsRowDxfId="122" dataCellStyle="Moeda"/>
    <tableColumn id="3" name="PR Venda" dataDxfId="121" totalsRowDxfId="120" dataCellStyle="Moeda"/>
    <tableColumn id="16" name="QTDE" dataDxfId="119" totalsRowDxfId="118"/>
    <tableColumn id="13" name="PERDA P/ OPÇÃO" dataDxfId="117" totalsRowDxfId="116">
      <calculatedColumnFormula>([RISCO])/[QTDE]</calculatedColumnFormula>
    </tableColumn>
    <tableColumn id="14" name="Volume" dataDxfId="115" totalsRowDxfId="114">
      <calculatedColumnFormula>[PR Venda] * [QTDE]+[QTDE]*[PR Compra]</calculatedColumnFormula>
    </tableColumn>
    <tableColumn id="15" name="LUCRO UNI" dataDxfId="113" totalsRowDxfId="112">
      <calculatedColumnFormula>[PR Venda]-[PR Compra]</calculatedColumnFormula>
    </tableColumn>
    <tableColumn id="8" name="PR Compra" dataDxfId="111" totalsRowDxfId="110">
      <calculatedColumnFormula>(-[PERDA P/ OPÇÃO] + ([EX. COMPRA] - [EX. VENDA] + 0.01) - 0.01 -[PR Venda])*-1</calculatedColumnFormula>
    </tableColumn>
    <tableColumn id="5" name="LUCRO" dataDxfId="109" totalsRowDxfId="108">
      <calculatedColumnFormula>([QTDE]*[LUCRO UNI])-64</calculatedColumnFormula>
    </tableColumn>
    <tableColumn id="6" name="PERDA" dataDxfId="107" totalsRowDxfId="106">
      <calculatedColumnFormula>-[PERDA P/ OPÇÃO]*[QTDE]-64</calculatedColumnFormula>
    </tableColumn>
    <tableColumn id="21" name="% QUEDA" dataDxfId="105" totalsRowDxfId="104">
      <calculatedColumnFormula>[EX. VENDA]/[PREÇO AÇÃO]-1</calculatedColumnFormula>
    </tableColumn>
    <tableColumn id="22" name="RISCO : 1" dataDxfId="103" totalsRowDxfId="102">
      <calculatedColumnFormula>[LUCRO]/ABS([PERDA])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ela245" displayName="Tabela245" ref="A1:U3" totalsRowCount="1" headerRowDxfId="101" dataDxfId="100">
  <autoFilter ref="A1:U2"/>
  <tableColumns count="21">
    <tableColumn id="1" name="PAPEL" totalsRowLabel="Total" dataDxfId="99" totalsRowDxfId="98"/>
    <tableColumn id="10" name="BASE" dataDxfId="97" totalsRowDxfId="96"/>
    <tableColumn id="20" name="PR. AÇÃO" dataDxfId="95" totalsRowDxfId="94"/>
    <tableColumn id="2" name="EX. CP 1" dataDxfId="93" totalsRowDxfId="92"/>
    <tableColumn id="3" name="PR CP 1" dataDxfId="91" totalsRowDxfId="90"/>
    <tableColumn id="12" name="EX. VD" dataDxfId="89" totalsRowDxfId="88"/>
    <tableColumn id="13" name="PR VD" dataDxfId="87" totalsRowDxfId="86"/>
    <tableColumn id="8" name="EX. CP 2" dataDxfId="85" totalsRowDxfId="84"/>
    <tableColumn id="7" name="PR CP 2" dataDxfId="83" totalsRowDxfId="82"/>
    <tableColumn id="18" name="LUCRO UNI." dataDxfId="81" totalsRowDxfId="80">
      <calculatedColumnFormula>(([PR VD] - 0.01) * 2) + (([EX. VD] - [EX. CP 1] + 0.01) - [PR CP 1]) + (0.01 - [PR CP 2])</calculatedColumnFormula>
    </tableColumn>
    <tableColumn id="19" name="PERDA 1" dataDxfId="79" totalsRowDxfId="78">
      <calculatedColumnFormula>(0.01 - [PR CP 1]) + (([PR VD] - 0.01) * 2) + (0.01 - [PR CP 2])</calculatedColumnFormula>
    </tableColumn>
    <tableColumn id="15" name="PERDA 2" dataDxfId="77" totalsRowDxfId="76">
      <calculatedColumnFormula>(([EX. CP 2] - [EX. CP 1] + 0.01) - [PR CP 1]) + (([PR VD] - ([EX. CP 2] - [EX. VD] + 0.01)) * 2) + (0.01 - [PR CP 2])</calculatedColumnFormula>
    </tableColumn>
    <tableColumn id="16" name="PERDA" dataDxfId="75" totalsRowDxfId="74">
      <calculatedColumnFormula>IF([PERDA 1] &gt; [PERDA 2], [PERDA 2], [PERDA 1])</calculatedColumnFormula>
    </tableColumn>
    <tableColumn id="11" name="QTDE TMP" dataDxfId="73" totalsRowDxfId="72">
      <calculatedColumnFormula>ROUNDDOWN([BASE]/ABS([PERDA]), 0)</calculatedColumnFormula>
    </tableColumn>
    <tableColumn id="14" name="QTDE" dataDxfId="71" totalsRowDxfId="70">
      <calculatedColumnFormula>[QTDE TMP] - MOD([QTDE TMP], 100)</calculatedColumnFormula>
    </tableColumn>
    <tableColumn id="4" name="QTDE VD" dataDxfId="69" totalsRowDxfId="68">
      <calculatedColumnFormula>Tabela245[[#This Row],[QTDE]]*2</calculatedColumnFormula>
    </tableColumn>
    <tableColumn id="17" name="VOLUME" dataDxfId="67" totalsRowDxfId="66">
      <calculatedColumnFormula>([QTDE]*[PR CP 1] + [QTDE]*[PR CP 2])+[QTDE]*[PR VD] * 2</calculatedColumnFormula>
    </tableColumn>
    <tableColumn id="5" name="LUCRO" dataDxfId="65" totalsRowDxfId="64">
      <calculatedColumnFormula>([QTDE]*[LUCRO UNI.])-48</calculatedColumnFormula>
    </tableColumn>
    <tableColumn id="6" name="PERDA2" dataDxfId="63" totalsRowDxfId="62">
      <calculatedColumnFormula>[QTDE]*[PERDA]-48</calculatedColumnFormula>
    </tableColumn>
    <tableColumn id="21" name="% VAR" dataDxfId="61" totalsRowDxfId="60">
      <calculatedColumnFormula>[EX. VD] / [PR. AÇÃO] - 1</calculatedColumnFormula>
    </tableColumn>
    <tableColumn id="22" name="RISCO : 1" dataDxfId="59" totalsRowDxfId="58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Tabela2467" displayName="Tabela2467" ref="A1:O6" totalsRowCount="1" headerRowDxfId="57" dataDxfId="56">
  <autoFilter ref="A1:O5"/>
  <tableColumns count="15">
    <tableColumn id="1" name="PAPEL" totalsRowLabel="Total" dataDxfId="55" totalsRowDxfId="54"/>
    <tableColumn id="10" name="RISCO" dataDxfId="53" totalsRowDxfId="52"/>
    <tableColumn id="20" name="PREÇO AÇÃO" dataDxfId="51" totalsRowDxfId="50"/>
    <tableColumn id="7" name="EX. VENDA" dataDxfId="49" totalsRowDxfId="48"/>
    <tableColumn id="2" name="EX. COMPRA" dataDxfId="47" totalsRowDxfId="46"/>
    <tableColumn id="9" name="PR VENDA" totalsRowDxfId="45"/>
    <tableColumn id="3" name="PR COMPRA" dataDxfId="44" totalsRowDxfId="43"/>
    <tableColumn id="16" name="QTDE" dataDxfId="42" totalsRowDxfId="41"/>
    <tableColumn id="13" name="PERDA P/ OPÇÃO" dataDxfId="40" totalsRowDxfId="39">
      <calculatedColumnFormula>([PR VENDA] - ([EX. COMPRA] - [EX. VENDA] + 0.01)) + (0.01 - ([PR COMPRA]))</calculatedColumnFormula>
    </tableColumn>
    <tableColumn id="14" name="VOLUME" dataDxfId="38" totalsRowDxfId="37">
      <calculatedColumnFormula>[PR COMPRA] * [QTDE]</calculatedColumnFormula>
    </tableColumn>
    <tableColumn id="15" name="LUCRO UNI" dataDxfId="36" totalsRowDxfId="35">
      <calculatedColumnFormula>[PR VENDA]-[PR COMPRA]</calculatedColumnFormula>
    </tableColumn>
    <tableColumn id="5" name="LUCRO*" dataDxfId="34" totalsRowDxfId="33">
      <calculatedColumnFormula>([QTDE]*[LUCRO UNI])</calculatedColumnFormula>
    </tableColumn>
    <tableColumn id="6" name="PERDA*" dataDxfId="32" totalsRowDxfId="31">
      <calculatedColumnFormula>[PERDA P/ OPÇÃO]*[QTDE]</calculatedColumnFormula>
    </tableColumn>
    <tableColumn id="21" name="% QUEDA" dataDxfId="30" totalsRowDxfId="29">
      <calculatedColumnFormula>[EX. VENDA]/[PREÇO AÇÃO]-1</calculatedColumnFormula>
    </tableColumn>
    <tableColumn id="22" name="RISCO : 1" dataDxfId="28" totalsRowDxfId="27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K104"/>
  <sheetViews>
    <sheetView tabSelected="1" workbookViewId="0">
      <pane xSplit="10" ySplit="1" topLeftCell="K83" activePane="bottomRight" state="frozen"/>
      <selection pane="topRight" activeCell="K1" sqref="K1"/>
      <selection pane="bottomLeft" activeCell="A2" sqref="A2"/>
      <selection pane="bottomRight" activeCell="Y104" sqref="Y104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6.85546875" style="7" bestFit="1" customWidth="1"/>
    <col min="5" max="5" width="9.85546875" style="7" bestFit="1" customWidth="1"/>
    <col min="6" max="6" width="7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85546875" style="7" bestFit="1" customWidth="1"/>
    <col min="24" max="24" width="10.7109375" style="7" bestFit="1" customWidth="1"/>
    <col min="25" max="26" width="12.855468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37" width="10.85546875" style="142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127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117</v>
      </c>
      <c r="AJ1" s="10" t="s">
        <v>126</v>
      </c>
      <c r="AK1" s="140" t="s">
        <v>178</v>
      </c>
    </row>
    <row r="2" spans="1:37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  <c r="AK2" s="141">
        <f>NC[[#This Row],[LÍQUIDO]]/NC[[#This Row],[QTDE]]</f>
        <v>-0.30663333333333342</v>
      </c>
    </row>
    <row r="3" spans="1:37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  <c r="AK3" s="141">
        <f>NC[[#This Row],[LÍQUIDO]]/NC[[#This Row],[QTDE]]</f>
        <v>-0.89995000000000003</v>
      </c>
    </row>
    <row r="4" spans="1:37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  <c r="AK4" s="141">
        <f>NC[[#This Row],[LÍQUIDO]]/NC[[#This Row],[QTDE]]</f>
        <v>-0.204375</v>
      </c>
    </row>
    <row r="5" spans="1:37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  <c r="AK5" s="141">
        <f>NC[[#This Row],[LÍQUIDO]]/NC[[#This Row],[QTDE]]</f>
        <v>0.16278333333333331</v>
      </c>
    </row>
    <row r="6" spans="1:37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  <c r="AK6" s="141">
        <f>NC[[#This Row],[LÍQUIDO]]/NC[[#This Row],[QTDE]]</f>
        <v>1.2449249999999996</v>
      </c>
    </row>
    <row r="7" spans="1:37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  <c r="AK7" s="141">
        <f>NC[[#This Row],[LÍQUIDO]]/NC[[#This Row],[QTDE]]</f>
        <v>1.6099499999999998</v>
      </c>
    </row>
    <row r="8" spans="1:37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  <c r="AK8" s="141">
        <f>NC[[#This Row],[LÍQUIDO]]/NC[[#This Row],[QTDE]]</f>
        <v>1.0695833333333333</v>
      </c>
    </row>
    <row r="9" spans="1:37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  <c r="AK9" s="141">
        <f>NC[[#This Row],[LÍQUIDO]]/NC[[#This Row],[QTDE]]</f>
        <v>-0.13755000000000001</v>
      </c>
    </row>
    <row r="10" spans="1:37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  <c r="AK10" s="141">
        <f>NC[[#This Row],[LÍQUIDO]]/NC[[#This Row],[QTDE]]</f>
        <v>0.11599583333333333</v>
      </c>
    </row>
    <row r="11" spans="1:37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  <c r="AK11" s="141">
        <f>NC[[#This Row],[LÍQUIDO]]/NC[[#This Row],[QTDE]]</f>
        <v>-6.3700000000000007E-2</v>
      </c>
    </row>
    <row r="12" spans="1:37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  <c r="AK12" s="141">
        <f>NC[[#This Row],[LÍQUIDO]]/NC[[#This Row],[QTDE]]</f>
        <v>-0.75247999999999993</v>
      </c>
    </row>
    <row r="13" spans="1:37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  <c r="AK13" s="141">
        <f>NC[[#This Row],[LÍQUIDO]]/NC[[#This Row],[QTDE]]</f>
        <v>0.19002499999999997</v>
      </c>
    </row>
    <row r="14" spans="1:37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  <c r="AK14" s="141">
        <f>NC[[#This Row],[LÍQUIDO]]/NC[[#This Row],[QTDE]]</f>
        <v>0.91161999999999999</v>
      </c>
    </row>
    <row r="15" spans="1:37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  <c r="AK15" s="141">
        <f>NC[[#This Row],[LÍQUIDO]]/NC[[#This Row],[QTDE]]</f>
        <v>5.4588999999999999</v>
      </c>
    </row>
    <row r="16" spans="1:37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  <c r="AK16" s="141">
        <f>NC[[#This Row],[LÍQUIDO]]/NC[[#This Row],[QTDE]]</f>
        <v>-0.62331428571428571</v>
      </c>
    </row>
    <row r="17" spans="1:37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  <c r="AK17" s="141">
        <f>NC[[#This Row],[LÍQUIDO]]/NC[[#This Row],[QTDE]]</f>
        <v>-0.26961764705882352</v>
      </c>
    </row>
    <row r="18" spans="1:37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  <c r="AK18" s="141">
        <f>NC[[#This Row],[LÍQUIDO]]/NC[[#This Row],[QTDE]]</f>
        <v>0.14725714285714286</v>
      </c>
    </row>
    <row r="19" spans="1:37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  <c r="AK19" s="141">
        <f>NC[[#This Row],[LÍQUIDO]]/NC[[#This Row],[QTDE]]</f>
        <v>7.0623529411764696E-2</v>
      </c>
    </row>
    <row r="20" spans="1:37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  <c r="AK20" s="141">
        <f>NC[[#This Row],[LÍQUIDO]]/NC[[#This Row],[QTDE]]</f>
        <v>-0.18543684210526318</v>
      </c>
    </row>
    <row r="21" spans="1:37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  <c r="AK21" s="141">
        <f>NC[[#This Row],[LÍQUIDO]]/NC[[#This Row],[QTDE]]</f>
        <v>-0.39363333333333334</v>
      </c>
    </row>
    <row r="22" spans="1:37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  <c r="AK22" s="141">
        <f>NC[[#This Row],[LÍQUIDO]]/NC[[#This Row],[QTDE]]</f>
        <v>-0.16546666666666665</v>
      </c>
    </row>
    <row r="23" spans="1:37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  <c r="AK23" s="141">
        <f>NC[[#This Row],[LÍQUIDO]]/NC[[#This Row],[QTDE]]</f>
        <v>8.1589473684210517E-2</v>
      </c>
    </row>
    <row r="24" spans="1:37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  <c r="AK24" s="141">
        <f>NC[[#This Row],[LÍQUIDO]]/NC[[#This Row],[QTDE]]</f>
        <v>3.7815384615384612E-2</v>
      </c>
    </row>
    <row r="25" spans="1:37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  <c r="AK25" s="141">
        <f>NC[[#This Row],[LÍQUIDO]]/NC[[#This Row],[QTDE]]</f>
        <v>-0.52036249999999995</v>
      </c>
    </row>
    <row r="26" spans="1:37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  <c r="AK26" s="141">
        <f>NC[[#This Row],[LÍQUIDO]]/NC[[#This Row],[QTDE]]</f>
        <v>0.97896250000000007</v>
      </c>
    </row>
    <row r="27" spans="1:37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  <c r="AK27" s="141">
        <f>NC[[#This Row],[LÍQUIDO]]/NC[[#This Row],[QTDE]]</f>
        <v>0</v>
      </c>
    </row>
    <row r="28" spans="1:37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  <c r="AK28" s="141">
        <f>NC[[#This Row],[LÍQUIDO]]/NC[[#This Row],[QTDE]]</f>
        <v>-0.90859999999999996</v>
      </c>
    </row>
    <row r="29" spans="1:37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  <c r="AK29" s="141">
        <f>NC[[#This Row],[LÍQUIDO]]/NC[[#This Row],[QTDE]]</f>
        <v>0.86109999999999998</v>
      </c>
    </row>
    <row r="30" spans="1:37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  <c r="AK30" s="141">
        <f>NC[[#This Row],[LÍQUIDO]]/NC[[#This Row],[QTDE]]</f>
        <v>-0.37293333333333334</v>
      </c>
    </row>
    <row r="31" spans="1:37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  <c r="AK31" s="141">
        <f>NC[[#This Row],[LÍQUIDO]]/NC[[#This Row],[QTDE]]</f>
        <v>0.58660000000000001</v>
      </c>
    </row>
    <row r="32" spans="1:37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  <c r="AK32" s="141">
        <f>NC[[#This Row],[LÍQUIDO]]/NC[[#This Row],[QTDE]]</f>
        <v>-0.30972500000000003</v>
      </c>
    </row>
    <row r="33" spans="1:37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  <c r="AK33" s="141">
        <f>NC[[#This Row],[LÍQUIDO]]/NC[[#This Row],[QTDE]]</f>
        <v>-0.45799999999999996</v>
      </c>
    </row>
    <row r="34" spans="1:37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  <c r="AK34" s="141">
        <f>NC[[#This Row],[LÍQUIDO]]/NC[[#This Row],[QTDE]]</f>
        <v>0.9022</v>
      </c>
    </row>
    <row r="35" spans="1:37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  <c r="AK35" s="141">
        <f>NC[[#This Row],[LÍQUIDO]]/NC[[#This Row],[QTDE]]</f>
        <v>-0.22769999999999999</v>
      </c>
    </row>
    <row r="36" spans="1:37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  <c r="AK36" s="141">
        <f>NC[[#This Row],[LÍQUIDO]]/NC[[#This Row],[QTDE]]</f>
        <v>0.9758</v>
      </c>
    </row>
    <row r="37" spans="1:37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  <c r="AK37" s="141">
        <f>NC[[#This Row],[LÍQUIDO]]/NC[[#This Row],[QTDE]]</f>
        <v>0.45761111111111114</v>
      </c>
    </row>
    <row r="38" spans="1:37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  <c r="AK38" s="141">
        <f>NC[[#This Row],[LÍQUIDO]]/NC[[#This Row],[QTDE]]</f>
        <v>-0.76970000000000016</v>
      </c>
    </row>
    <row r="39" spans="1:37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  <c r="AK39" s="141">
        <f>NC[[#This Row],[LÍQUIDO]]/NC[[#This Row],[QTDE]]</f>
        <v>0.51954999999999996</v>
      </c>
    </row>
    <row r="40" spans="1:37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  <c r="AK40" s="141">
        <f>NC[[#This Row],[LÍQUIDO]]/NC[[#This Row],[QTDE]]</f>
        <v>-0.44799999999999995</v>
      </c>
    </row>
    <row r="41" spans="1:37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  <c r="AK41" s="141">
        <f>NC[[#This Row],[LÍQUIDO]]/NC[[#This Row],[QTDE]]</f>
        <v>-0.10735555555555557</v>
      </c>
    </row>
    <row r="42" spans="1:37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  <c r="AK42" s="141">
        <f>NC[[#This Row],[LÍQUIDO]]/NC[[#This Row],[QTDE]]</f>
        <v>0</v>
      </c>
    </row>
    <row r="43" spans="1:37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  <c r="AK43" s="141">
        <f>NC[[#This Row],[LÍQUIDO]]/NC[[#This Row],[QTDE]]</f>
        <v>0</v>
      </c>
    </row>
    <row r="44" spans="1:37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  <c r="AK44" s="141">
        <f>NC[[#This Row],[LÍQUIDO]]/NC[[#This Row],[QTDE]]</f>
        <v>0</v>
      </c>
    </row>
    <row r="45" spans="1:37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  <c r="AK45" s="141">
        <f>NC[[#This Row],[LÍQUIDO]]/NC[[#This Row],[QTDE]]</f>
        <v>0</v>
      </c>
    </row>
    <row r="46" spans="1:37">
      <c r="A46" s="13">
        <v>45</v>
      </c>
      <c r="B46" s="13"/>
      <c r="C46" s="55" t="s">
        <v>110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  <c r="AK46" s="141">
        <f>NC[[#This Row],[LÍQUIDO]]/NC[[#This Row],[QTDE]]</f>
        <v>0.92298999999999998</v>
      </c>
    </row>
    <row r="47" spans="1:37">
      <c r="A47" s="13">
        <v>46</v>
      </c>
      <c r="B47" s="13" t="s">
        <v>49</v>
      </c>
      <c r="C47" s="55" t="s">
        <v>111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  <c r="AK47" s="141">
        <f>NC[[#This Row],[LÍQUIDO]]/NC[[#This Row],[QTDE]]</f>
        <v>0.45660000000000001</v>
      </c>
    </row>
    <row r="48" spans="1:37">
      <c r="A48" s="13">
        <v>47</v>
      </c>
      <c r="B48" s="43"/>
      <c r="C48" s="43" t="s">
        <v>113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  <c r="AK48" s="141">
        <f>NC[[#This Row],[LÍQUIDO]]/NC[[#This Row],[QTDE]]</f>
        <v>-0.79089374999999995</v>
      </c>
    </row>
    <row r="49" spans="1:37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  <c r="AK49" s="141">
        <f>NC[[#This Row],[LÍQUIDO]]/NC[[#This Row],[QTDE]]</f>
        <v>-8.8849999999999985E-2</v>
      </c>
    </row>
    <row r="50" spans="1:37">
      <c r="A50" s="13">
        <v>49</v>
      </c>
      <c r="B50" s="13"/>
      <c r="C50" s="55" t="s">
        <v>110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  <c r="AK50" s="141">
        <f>NC[[#This Row],[LÍQUIDO]]/NC[[#This Row],[QTDE]]</f>
        <v>-2.5769999999999994E-2</v>
      </c>
    </row>
    <row r="51" spans="1:37">
      <c r="A51" s="13">
        <v>50</v>
      </c>
      <c r="B51" s="43"/>
      <c r="C51" s="43" t="s">
        <v>113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  <c r="AK51" s="141">
        <f>NC[[#This Row],[LÍQUIDO]]/NC[[#This Row],[QTDE]]</f>
        <v>1.2784249999999999</v>
      </c>
    </row>
    <row r="52" spans="1:37">
      <c r="A52" s="13">
        <v>51</v>
      </c>
      <c r="B52" s="43"/>
      <c r="C52" s="55" t="s">
        <v>114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  <c r="AK52" s="141">
        <f>NC[[#This Row],[LÍQUIDO]]/NC[[#This Row],[QTDE]]</f>
        <v>3.253290909090909</v>
      </c>
    </row>
    <row r="53" spans="1:37">
      <c r="A53" s="13">
        <v>52</v>
      </c>
      <c r="B53" s="43"/>
      <c r="C53" s="55" t="s">
        <v>115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  <c r="AK53" s="141">
        <f>NC[[#This Row],[LÍQUIDO]]/NC[[#This Row],[QTDE]]</f>
        <v>2.3577636363636367</v>
      </c>
    </row>
    <row r="54" spans="1:37">
      <c r="A54" s="13">
        <v>53</v>
      </c>
      <c r="B54" s="13"/>
      <c r="C54" s="55" t="s">
        <v>114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  <c r="AK54" s="141">
        <f>NC[[#This Row],[LÍQUIDO]]/NC[[#This Row],[QTDE]]</f>
        <v>-1.9014925</v>
      </c>
    </row>
    <row r="55" spans="1:37">
      <c r="A55" s="13">
        <v>54</v>
      </c>
      <c r="B55" s="13"/>
      <c r="C55" s="55" t="s">
        <v>114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  <c r="AK55" s="141">
        <f>NC[[#This Row],[LÍQUIDO]]/NC[[#This Row],[QTDE]]</f>
        <v>0.1160875</v>
      </c>
    </row>
    <row r="56" spans="1:37">
      <c r="A56" s="13">
        <v>55</v>
      </c>
      <c r="B56" s="13"/>
      <c r="C56" s="55" t="s">
        <v>114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  <c r="AK56" s="141">
        <f>NC[[#This Row],[LÍQUIDO]]/NC[[#This Row],[QTDE]]</f>
        <v>-1.849809090909091</v>
      </c>
    </row>
    <row r="57" spans="1:37">
      <c r="A57" s="13">
        <v>56</v>
      </c>
      <c r="B57" s="13"/>
      <c r="C57" s="55" t="s">
        <v>115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  <c r="AK57" s="141">
        <f>NC[[#This Row],[LÍQUIDO]]/NC[[#This Row],[QTDE]]</f>
        <v>-0.41609090909090901</v>
      </c>
    </row>
    <row r="58" spans="1:37">
      <c r="A58" s="13">
        <v>57</v>
      </c>
      <c r="B58" s="13"/>
      <c r="C58" s="55" t="s">
        <v>111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  <c r="AK58" s="141">
        <f>NC[[#This Row],[LÍQUIDO]]/NC[[#This Row],[QTDE]]</f>
        <v>0</v>
      </c>
    </row>
    <row r="59" spans="1:37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  <c r="AK59" s="141">
        <f>NC[[#This Row],[LÍQUIDO]]/NC[[#This Row],[QTDE]]</f>
        <v>0</v>
      </c>
    </row>
    <row r="60" spans="1:37">
      <c r="A60" s="13">
        <v>59</v>
      </c>
      <c r="B60" s="13"/>
      <c r="C60" s="55" t="s">
        <v>114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  <c r="AK60" s="141">
        <f>NC[[#This Row],[LÍQUIDO]]/NC[[#This Row],[QTDE]]</f>
        <v>1.4282187500000001</v>
      </c>
    </row>
    <row r="61" spans="1:37">
      <c r="A61" s="13">
        <v>60</v>
      </c>
      <c r="B61" s="13" t="s">
        <v>49</v>
      </c>
      <c r="C61" s="55" t="s">
        <v>115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  <c r="AK61" s="141">
        <f>NC[[#This Row],[LÍQUIDO]]/NC[[#This Row],[QTDE]]</f>
        <v>0.53718125000000005</v>
      </c>
    </row>
    <row r="62" spans="1:37">
      <c r="A62" s="13">
        <v>61</v>
      </c>
      <c r="B62" s="13"/>
      <c r="C62" s="55" t="s">
        <v>114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  <c r="AK62" s="141">
        <f>NC[[#This Row],[LÍQUIDO]]/NC[[#This Row],[QTDE]]</f>
        <v>-2.2728749999999995</v>
      </c>
    </row>
    <row r="63" spans="1:37">
      <c r="A63" s="13">
        <v>62</v>
      </c>
      <c r="B63" s="13"/>
      <c r="C63" s="55" t="s">
        <v>115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  <c r="AK63" s="141">
        <f>NC[[#This Row],[LÍQUIDO]]/NC[[#This Row],[QTDE]]</f>
        <v>1.9874687500000001</v>
      </c>
    </row>
    <row r="64" spans="1:37">
      <c r="A64" s="13">
        <v>63</v>
      </c>
      <c r="B64" s="13"/>
      <c r="C64" s="55" t="s">
        <v>130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  <c r="AK64" s="141">
        <f>NC[[#This Row],[LÍQUIDO]]/NC[[#This Row],[QTDE]]</f>
        <v>-0.5252</v>
      </c>
    </row>
    <row r="65" spans="1:37">
      <c r="A65" s="13">
        <v>64</v>
      </c>
      <c r="B65" s="13"/>
      <c r="C65" s="55" t="s">
        <v>133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  <c r="AK65" s="141">
        <f>NC[[#This Row],[LÍQUIDO]]/NC[[#This Row],[QTDE]]</f>
        <v>-2.1242276422764231E-2</v>
      </c>
    </row>
    <row r="66" spans="1:37">
      <c r="A66" s="13">
        <v>65</v>
      </c>
      <c r="B66" s="13"/>
      <c r="C66" s="55" t="s">
        <v>133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  <c r="AK66" s="141">
        <f>NC[[#This Row],[LÍQUIDO]]/NC[[#This Row],[QTDE]]</f>
        <v>-2.4869918699186992E-3</v>
      </c>
    </row>
    <row r="67" spans="1:37">
      <c r="A67" s="13">
        <v>66</v>
      </c>
      <c r="B67" s="13"/>
      <c r="C67" s="92" t="s">
        <v>131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  <c r="AK67" s="141">
        <f>NC[[#This Row],[LÍQUIDO]]/NC[[#This Row],[QTDE]]</f>
        <v>0.25605999999999995</v>
      </c>
    </row>
    <row r="68" spans="1:37">
      <c r="A68" s="13">
        <v>67</v>
      </c>
      <c r="B68" s="13"/>
      <c r="C68" s="98" t="s">
        <v>130</v>
      </c>
      <c r="D68" s="99" t="s">
        <v>25</v>
      </c>
      <c r="E68" s="100">
        <v>41102</v>
      </c>
      <c r="F68" s="99">
        <v>3500</v>
      </c>
      <c r="G68" s="101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  <c r="AK68" s="141">
        <f>NC[[#This Row],[LÍQUIDO]]/NC[[#This Row],[QTDE]]</f>
        <v>4.5431428571428567E-2</v>
      </c>
    </row>
    <row r="69" spans="1:37">
      <c r="A69" s="13">
        <v>68</v>
      </c>
      <c r="B69" s="13"/>
      <c r="C69" s="55" t="s">
        <v>131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  <c r="AK69" s="141">
        <f>NC[[#This Row],[LÍQUIDO]]/NC[[#This Row],[QTDE]]</f>
        <v>-0.24946571428571429</v>
      </c>
    </row>
    <row r="70" spans="1:37">
      <c r="A70" s="13">
        <v>69</v>
      </c>
      <c r="B70" s="85"/>
      <c r="C70" s="55" t="s">
        <v>131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  <c r="AK70" s="141">
        <f>NC[[#This Row],[LÍQUIDO]]/NC[[#This Row],[QTDE]]</f>
        <v>-0.68477500000000013</v>
      </c>
    </row>
    <row r="71" spans="1:37">
      <c r="A71" s="13">
        <v>70</v>
      </c>
      <c r="B71" s="13"/>
      <c r="C71" s="55" t="s">
        <v>131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  <c r="AK71" s="141">
        <f>NC[[#This Row],[LÍQUIDO]]/NC[[#This Row],[QTDE]]</f>
        <v>0.49145</v>
      </c>
    </row>
    <row r="72" spans="1:37">
      <c r="A72" s="13">
        <v>71</v>
      </c>
      <c r="B72" s="85"/>
      <c r="C72" s="85" t="s">
        <v>134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  <c r="AK72" s="141">
        <f>NC[[#This Row],[LÍQUIDO]]/NC[[#This Row],[QTDE]]</f>
        <v>-0.44054000000000004</v>
      </c>
    </row>
    <row r="73" spans="1:37">
      <c r="A73" s="13">
        <v>72</v>
      </c>
      <c r="B73" s="85"/>
      <c r="C73" s="85" t="s">
        <v>134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  <c r="AK73" s="141">
        <f>NC[[#This Row],[LÍQUIDO]]/NC[[#This Row],[QTDE]]</f>
        <v>-0.18108000000000002</v>
      </c>
    </row>
    <row r="74" spans="1:37">
      <c r="A74" s="13">
        <v>73</v>
      </c>
      <c r="B74" s="85"/>
      <c r="C74" s="85" t="s">
        <v>135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  <c r="AK74" s="141">
        <f>NC[[#This Row],[LÍQUIDO]]/NC[[#This Row],[QTDE]]</f>
        <v>-1.8502333333333334</v>
      </c>
    </row>
    <row r="75" spans="1:37">
      <c r="A75" s="13">
        <v>74</v>
      </c>
      <c r="B75" s="85"/>
      <c r="C75" s="85" t="s">
        <v>136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  <c r="AK75" s="141">
        <f>NC[[#This Row],[LÍQUIDO]]/NC[[#This Row],[QTDE]]</f>
        <v>-0.53541666666666665</v>
      </c>
    </row>
    <row r="76" spans="1:37">
      <c r="A76" s="13">
        <v>75</v>
      </c>
      <c r="B76" s="85"/>
      <c r="C76" s="85" t="s">
        <v>136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  <c r="AK76" s="141">
        <f>NC[[#This Row],[LÍQUIDO]]/NC[[#This Row],[QTDE]]</f>
        <v>0.25155833333333333</v>
      </c>
    </row>
    <row r="77" spans="1:37">
      <c r="A77" s="13">
        <v>76</v>
      </c>
      <c r="B77" s="85" t="s">
        <v>49</v>
      </c>
      <c r="C77" s="85" t="s">
        <v>135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  <c r="AK77" s="141">
        <f>NC[[#This Row],[LÍQUIDO]]/NC[[#This Row],[QTDE]]</f>
        <v>3.1967666666666665</v>
      </c>
    </row>
    <row r="78" spans="1:37">
      <c r="A78" s="13">
        <v>77</v>
      </c>
      <c r="B78" s="85"/>
      <c r="C78" s="85" t="s">
        <v>137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  <c r="AK78" s="141">
        <f>NC[[#This Row],[LÍQUIDO]]/NC[[#This Row],[QTDE]]</f>
        <v>-0.69042666666666674</v>
      </c>
    </row>
    <row r="79" spans="1:37">
      <c r="A79" s="13">
        <v>78</v>
      </c>
      <c r="B79" s="85"/>
      <c r="C79" s="85" t="s">
        <v>137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  <c r="AK79" s="141">
        <f>NC[[#This Row],[LÍQUIDO]]/NC[[#This Row],[QTDE]]</f>
        <v>-0.17156666666666676</v>
      </c>
    </row>
    <row r="80" spans="1:37">
      <c r="A80" s="13">
        <v>79</v>
      </c>
      <c r="B80" s="85"/>
      <c r="C80" s="85" t="s">
        <v>138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  <c r="AK80" s="141">
        <f>NC[[#This Row],[LÍQUIDO]]/NC[[#This Row],[QTDE]]</f>
        <v>-0.30673478260869563</v>
      </c>
    </row>
    <row r="81" spans="1:37">
      <c r="A81" s="13">
        <v>80</v>
      </c>
      <c r="B81" s="85" t="s">
        <v>49</v>
      </c>
      <c r="C81" s="85" t="s">
        <v>138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  <c r="AK81" s="141">
        <f>NC[[#This Row],[LÍQUIDO]]/NC[[#This Row],[QTDE]]</f>
        <v>-0.1034391304347826</v>
      </c>
    </row>
    <row r="82" spans="1:37">
      <c r="A82" s="13">
        <v>81</v>
      </c>
      <c r="B82" s="85"/>
      <c r="C82" s="85" t="s">
        <v>139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  <c r="AK82" s="141">
        <f>NC[[#This Row],[LÍQUIDO]]/NC[[#This Row],[QTDE]]</f>
        <v>-0.191603</v>
      </c>
    </row>
    <row r="83" spans="1:37">
      <c r="A83" s="13">
        <v>82</v>
      </c>
      <c r="B83" s="85"/>
      <c r="C83" s="85" t="s">
        <v>139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  <c r="AK83" s="141">
        <f>NC[[#This Row],[LÍQUIDO]]/NC[[#This Row],[QTDE]]</f>
        <v>-3.2090000000000005E-3</v>
      </c>
    </row>
    <row r="84" spans="1:37">
      <c r="A84" s="13">
        <v>83</v>
      </c>
      <c r="B84" s="85"/>
      <c r="C84" s="85" t="s">
        <v>140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  <c r="AK84" s="141">
        <f>NC[[#This Row],[LÍQUIDO]]/NC[[#This Row],[QTDE]]</f>
        <v>-0.21517956989247314</v>
      </c>
    </row>
    <row r="85" spans="1:37">
      <c r="A85" s="13">
        <v>84</v>
      </c>
      <c r="B85" s="85"/>
      <c r="C85" s="85" t="s">
        <v>140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  <c r="AK85" s="141">
        <f>NC[[#This Row],[LÍQUIDO]]/NC[[#This Row],[QTDE]]</f>
        <v>-1.6904301075268819E-2</v>
      </c>
    </row>
    <row r="86" spans="1:37">
      <c r="A86" s="13">
        <v>85</v>
      </c>
      <c r="B86" s="85"/>
      <c r="C86" s="85" t="s">
        <v>141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  <c r="AK86" s="141">
        <f>NC[[#This Row],[LÍQUIDO]]/NC[[#This Row],[QTDE]]</f>
        <v>-0.24091764705882354</v>
      </c>
    </row>
    <row r="87" spans="1:37">
      <c r="A87" s="13">
        <v>86</v>
      </c>
      <c r="B87" s="85"/>
      <c r="C87" s="85" t="s">
        <v>142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  <c r="AK87" s="141">
        <f>NC[[#This Row],[LÍQUIDO]]/NC[[#This Row],[QTDE]]</f>
        <v>-0.37479999999999997</v>
      </c>
    </row>
    <row r="88" spans="1:37">
      <c r="A88" s="13">
        <v>87</v>
      </c>
      <c r="B88" s="85"/>
      <c r="C88" s="85" t="s">
        <v>141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  <c r="AK88" s="141">
        <f>NC[[#This Row],[LÍQUIDO]]/NC[[#This Row],[QTDE]]</f>
        <v>2.8105882352941178E-2</v>
      </c>
    </row>
    <row r="89" spans="1:37">
      <c r="A89" s="13">
        <v>88</v>
      </c>
      <c r="B89" s="85" t="s">
        <v>49</v>
      </c>
      <c r="C89" s="85" t="s">
        <v>142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  <c r="AK89" s="141">
        <f>NC[[#This Row],[LÍQUIDO]]/NC[[#This Row],[QTDE]]</f>
        <v>0</v>
      </c>
    </row>
    <row r="90" spans="1:37">
      <c r="A90" s="13">
        <v>89</v>
      </c>
      <c r="B90" s="85"/>
      <c r="C90" s="85" t="s">
        <v>143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  <c r="AK90" s="141">
        <f>NC[[#This Row],[LÍQUIDO]]/NC[[#This Row],[QTDE]]</f>
        <v>-0.56007499999999999</v>
      </c>
    </row>
    <row r="91" spans="1:37">
      <c r="A91" s="13">
        <v>90</v>
      </c>
      <c r="B91" s="85"/>
      <c r="C91" s="85" t="s">
        <v>143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  <c r="AK91" s="141">
        <f>NC[[#This Row],[LÍQUIDO]]/NC[[#This Row],[QTDE]]</f>
        <v>0.39004999999999995</v>
      </c>
    </row>
    <row r="92" spans="1:37">
      <c r="A92" s="132">
        <v>91</v>
      </c>
      <c r="B92" s="132"/>
      <c r="C92" s="132" t="s">
        <v>177</v>
      </c>
      <c r="D92" s="132" t="s">
        <v>24</v>
      </c>
      <c r="E92" s="133">
        <v>41697</v>
      </c>
      <c r="F92" s="132">
        <v>1000</v>
      </c>
      <c r="G92" s="134">
        <v>0.47</v>
      </c>
      <c r="H92" s="135"/>
      <c r="I92" s="136"/>
      <c r="J92" s="132" t="s">
        <v>6</v>
      </c>
      <c r="K92" s="133">
        <f>WORKDAY(NC[[#This Row],[DATA]],1,0)</f>
        <v>41698</v>
      </c>
      <c r="L92" s="137">
        <f>EOMONTH(NC[[#This Row],[DATA DE LIQUIDAÇÃO]],0)</f>
        <v>41698</v>
      </c>
      <c r="M92" s="132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2" s="134">
        <f>[QTDE]*[PREÇO]</f>
        <v>470</v>
      </c>
      <c r="O92" s="134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-470</v>
      </c>
      <c r="P92" s="134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92" s="134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92" s="134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92" s="134">
        <f>SETUP!$E$3 * IF([PARCIAL] &gt; 0, [QTDE] / [PARCIAL], 1)</f>
        <v>14.9</v>
      </c>
      <c r="T92" s="134">
        <f>SUMPRODUCT(N([DATA]=NC[[#This Row],[DATA]]),N([ID]&lt;=NC[[#This Row],[ID]]), [CORR])</f>
        <v>14.9</v>
      </c>
      <c r="U92" s="134">
        <f>TRUNC([CORRETAGEM]*SETUP!$F$3,2)</f>
        <v>0.28999999999999998</v>
      </c>
      <c r="V92" s="134">
        <f>ROUND([CORRETAGEM]*SETUP!$G$3,2)</f>
        <v>0.57999999999999996</v>
      </c>
      <c r="W92" s="134">
        <f>[VALOR LÍQUIDO DAS OPERAÇÕES]-[TAXA DE LIQUIDAÇÃO]-[EMOLUMENTOS]-[TAXA DE REGISTRO]-[CORRETAGEM]-[ISS]-IF(['[D/N']]="D",    0,    [OUTRAS BOVESPA]) - [AJUSTE]</f>
        <v>-486.38</v>
      </c>
      <c r="X92" s="134">
        <f>IF(AND(['[D/N']]="D",    [T]="CV",    [LÍQUIDO BASE] &gt; 0),    TRUNC([LÍQUIDO BASE]*0.01, 2),    0)</f>
        <v>0</v>
      </c>
      <c r="Y92" s="63">
        <f>IF([PREÇO] &gt; 0,    [LÍQUIDO BASE]-SUMPRODUCT(N([DATA]=NC[[#This Row],[DATA]]),    [IRRF FONTE]),    0)</f>
        <v>-486.38</v>
      </c>
      <c r="Z92" s="134">
        <f>[LÍQUIDO]-SUMPRODUCT(N([DATA]=NC[[#This Row],[DATA]]),N([ID]=(NC[[#This Row],[ID]]-1)),[LÍQUIDO])</f>
        <v>-486.38</v>
      </c>
      <c r="AA92" s="134">
        <f>IF([T] = "VC", ABS([VALOR OP]) / [QTDE], [VALOR OP]/[QTDE])</f>
        <v>-0.48637999999999998</v>
      </c>
      <c r="AB92" s="134">
        <f>TRUNC(IF(OR([T]="CV",[T]="VV"),     N92*SETUP!$H$3,     0),2)</f>
        <v>0</v>
      </c>
      <c r="AC92" s="132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92" s="138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2" s="139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2" s="13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2" s="134">
        <f>IF([LUCRO TMP] &lt;&gt; 0, [LUCRO TMP] - SUMPRODUCT(N([ATIVO]=NC[[#This Row],[ATIVO]]),N(['[D/N']]="N"),N([ID]&lt;NC[[#This Row],[ID]]),N([PAR]=NC[[#This Row],[PAR]]), [LUCRO TMP]), 0)</f>
        <v>0</v>
      </c>
      <c r="AH92" s="134">
        <f>IF([U] = "U", SUMPRODUCT(N([ID]&lt;=NC[[#This Row],[ID]]),N([DATA BASE]=NC[[#This Row],[DATA BASE]]), N(['[D/N']] = "N"),    [LUCRO P/ OP]), 0)</f>
        <v>0</v>
      </c>
      <c r="AI92" s="134">
        <f>IF([U] = "U", SUMPRODUCT(N([DATA BASE]=NC[[#This Row],[DATA BASE]]), N(['[D/N']] = "D"),    [LUCRO P/ OP]), 0)</f>
        <v>0</v>
      </c>
      <c r="AJ92" s="134">
        <f>IF([U] = "U", SUMPRODUCT(N([DATA BASE]=NC[[#This Row],[DATA BASE]]), N(['[D/N']] = "D"),    [IRRF FONTE]), 0)</f>
        <v>0</v>
      </c>
      <c r="AK92" s="141">
        <f>NC[[#This Row],[LÍQUIDO]]/NC[[#This Row],[QTDE]]</f>
        <v>-0.48637999999999998</v>
      </c>
    </row>
    <row r="93" spans="1:37">
      <c r="A93" s="13">
        <v>92</v>
      </c>
      <c r="B93" s="132"/>
      <c r="C93" s="132" t="s">
        <v>177</v>
      </c>
      <c r="D93" s="132" t="s">
        <v>25</v>
      </c>
      <c r="E93" s="133">
        <v>41698</v>
      </c>
      <c r="F93" s="132">
        <v>500</v>
      </c>
      <c r="G93" s="134">
        <v>0.65</v>
      </c>
      <c r="H93" s="135"/>
      <c r="I93" s="136"/>
      <c r="J93" s="132" t="s">
        <v>6</v>
      </c>
      <c r="K93" s="133">
        <f>WORKDAY(NC[[#This Row],[DATA]],1,0)</f>
        <v>41701</v>
      </c>
      <c r="L93" s="137">
        <f>EOMONTH(NC[[#This Row],[DATA DE LIQUIDAÇÃO]],0)</f>
        <v>41729</v>
      </c>
      <c r="M93" s="132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3" s="134">
        <f>[QTDE]*[PREÇO]</f>
        <v>325</v>
      </c>
      <c r="O93" s="134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325</v>
      </c>
      <c r="P93" s="134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93" s="134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93" s="134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93" s="134">
        <f>SETUP!$E$3 * IF([PARCIAL] &gt; 0, [QTDE] / [PARCIAL], 1)</f>
        <v>14.9</v>
      </c>
      <c r="T93" s="134">
        <f>SUMPRODUCT(N([DATA]=NC[[#This Row],[DATA]]),N([ID]&lt;=NC[[#This Row],[ID]]), [CORR])</f>
        <v>14.9</v>
      </c>
      <c r="U93" s="134">
        <f>TRUNC([CORRETAGEM]*SETUP!$F$3,2)</f>
        <v>0.28999999999999998</v>
      </c>
      <c r="V93" s="134">
        <f>ROUND([CORRETAGEM]*SETUP!$G$3,2)</f>
        <v>0.57999999999999996</v>
      </c>
      <c r="W93" s="134">
        <f>[VALOR LÍQUIDO DAS OPERAÇÕES]-[TAXA DE LIQUIDAÇÃO]-[EMOLUMENTOS]-[TAXA DE REGISTRO]-[CORRETAGEM]-[ISS]-IF(['[D/N']]="D",    0,    [OUTRAS BOVESPA]) - [AJUSTE]</f>
        <v>308.81</v>
      </c>
      <c r="X93" s="134">
        <f>IF(AND(['[D/N']]="D",    [T]="CV",    [LÍQUIDO BASE] &gt; 0),    TRUNC([LÍQUIDO BASE]*0.01, 2),    0)</f>
        <v>0</v>
      </c>
      <c r="Y93" s="63">
        <f>IF([PREÇO] &gt; 0,    [LÍQUIDO BASE]-SUMPRODUCT(N([DATA]=NC[[#This Row],[DATA]]),    [IRRF FONTE]),    0)</f>
        <v>308.81</v>
      </c>
      <c r="Z93" s="134">
        <f>[LÍQUIDO]-SUMPRODUCT(N([DATA]=NC[[#This Row],[DATA]]),N([ID]=(NC[[#This Row],[ID]]-1)),[LÍQUIDO])</f>
        <v>308.81</v>
      </c>
      <c r="AA93" s="134">
        <f>IF([T] = "VC", ABS([VALOR OP]) / [QTDE], [VALOR OP]/[QTDE])</f>
        <v>0.61762000000000006</v>
      </c>
      <c r="AB93" s="134">
        <f>TRUNC(IF(OR([T]="CV",[T]="VV"),     N93*SETUP!$H$3,     0),2)</f>
        <v>0.01</v>
      </c>
      <c r="AC93" s="132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93" s="138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3" s="139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0.61762000000000006</v>
      </c>
      <c r="AF93" s="13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65.620000000000033</v>
      </c>
      <c r="AG93" s="134">
        <f>IF([LUCRO TMP] &lt;&gt; 0, [LUCRO TMP] - SUMPRODUCT(N([ATIVO]=NC[[#This Row],[ATIVO]]),N(['[D/N']]="N"),N([ID]&lt;NC[[#This Row],[ID]]),N([PAR]=NC[[#This Row],[PAR]]), [LUCRO TMP]), 0)</f>
        <v>65.620000000000033</v>
      </c>
      <c r="AH93" s="134">
        <f>IF([U] = "U", SUMPRODUCT(N([ID]&lt;=NC[[#This Row],[ID]]),N([DATA BASE]=NC[[#This Row],[DATA BASE]]), N(['[D/N']] = "N"),    [LUCRO P/ OP]), 0)</f>
        <v>0</v>
      </c>
      <c r="AI93" s="134">
        <f>IF([U] = "U", SUMPRODUCT(N([DATA BASE]=NC[[#This Row],[DATA BASE]]), N(['[D/N']] = "D"),    [LUCRO P/ OP]), 0)</f>
        <v>0</v>
      </c>
      <c r="AJ93" s="134">
        <f>IF([U] = "U", SUMPRODUCT(N([DATA BASE]=NC[[#This Row],[DATA BASE]]), N(['[D/N']] = "D"),    [IRRF FONTE]), 0)</f>
        <v>0</v>
      </c>
      <c r="AK93" s="141">
        <f>NC[[#This Row],[LÍQUIDO]]/NC[[#This Row],[QTDE]]</f>
        <v>0.61762000000000006</v>
      </c>
    </row>
    <row r="94" spans="1:37">
      <c r="A94" s="132">
        <v>93</v>
      </c>
      <c r="B94" s="132"/>
      <c r="C94" s="132" t="s">
        <v>183</v>
      </c>
      <c r="D94" s="132" t="s">
        <v>24</v>
      </c>
      <c r="E94" s="133">
        <v>41758</v>
      </c>
      <c r="F94" s="132">
        <v>1700</v>
      </c>
      <c r="G94" s="134">
        <v>0.9</v>
      </c>
      <c r="H94" s="135"/>
      <c r="I94" s="136"/>
      <c r="J94" s="132" t="s">
        <v>6</v>
      </c>
      <c r="K94" s="133">
        <f>WORKDAY(NC[[#This Row],[DATA]],1,0)</f>
        <v>41759</v>
      </c>
      <c r="L94" s="137">
        <f>EOMONTH(NC[[#This Row],[DATA DE LIQUIDAÇÃO]],0)</f>
        <v>41759</v>
      </c>
      <c r="M94" s="132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4" s="134">
        <f>[QTDE]*[PREÇO]</f>
        <v>1530</v>
      </c>
      <c r="O94" s="134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-1530</v>
      </c>
      <c r="P94" s="134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0.42</v>
      </c>
      <c r="Q94" s="134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0.56000000000000005</v>
      </c>
      <c r="R94" s="134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1.06</v>
      </c>
      <c r="S94" s="134">
        <f>SETUP!$E$3 * IF([PARCIAL] &gt; 0, [QTDE] / [PARCIAL], 1)</f>
        <v>14.9</v>
      </c>
      <c r="T94" s="134">
        <f>SUMPRODUCT(N([DATA]=NC[[#This Row],[DATA]]),N([ID]&lt;=NC[[#This Row],[ID]]), [CORR])</f>
        <v>14.9</v>
      </c>
      <c r="U94" s="134">
        <f>TRUNC([CORRETAGEM]*SETUP!$F$3,2)</f>
        <v>0.28999999999999998</v>
      </c>
      <c r="V94" s="134">
        <f>ROUND([CORRETAGEM]*SETUP!$G$3,2)</f>
        <v>0.57999999999999996</v>
      </c>
      <c r="W94" s="134">
        <f>[VALOR LÍQUIDO DAS OPERAÇÕES]-[TAXA DE LIQUIDAÇÃO]-[EMOLUMENTOS]-[TAXA DE REGISTRO]-[CORRETAGEM]-[ISS]-IF(['[D/N']]="D",    0,    [OUTRAS BOVESPA]) - [AJUSTE]</f>
        <v>-1547.81</v>
      </c>
      <c r="X94" s="134">
        <f>IF(AND(['[D/N']]="D",    [T]="CV",    [LÍQUIDO BASE] &gt; 0),    TRUNC([LÍQUIDO BASE]*0.01, 2),    0)</f>
        <v>0</v>
      </c>
      <c r="Y94" s="63">
        <f>IF([PREÇO] &gt; 0,    [LÍQUIDO BASE]-SUMPRODUCT(N([DATA]=NC[[#This Row],[DATA]]),    [IRRF FONTE]),    0)</f>
        <v>-1547.81</v>
      </c>
      <c r="Z94" s="134">
        <f>[LÍQUIDO]-SUMPRODUCT(N([DATA]=NC[[#This Row],[DATA]]),N([ID]=(NC[[#This Row],[ID]]-1)),[LÍQUIDO])</f>
        <v>-1547.81</v>
      </c>
      <c r="AA94" s="134">
        <f>IF([T] = "VC", ABS([VALOR OP]) / [QTDE], [VALOR OP]/[QTDE])</f>
        <v>-0.91047647058823522</v>
      </c>
      <c r="AB94" s="134">
        <f>TRUNC(IF(OR([T]="CV",[T]="VV"),     N94*SETUP!$H$3,     0),2)</f>
        <v>0</v>
      </c>
      <c r="AC94" s="132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94" s="138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0.91047647058823522</v>
      </c>
      <c r="AE94" s="139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4" s="13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4" s="134">
        <f>IF([LUCRO TMP] &lt;&gt; 0, [LUCRO TMP] - SUMPRODUCT(N([ATIVO]=NC[[#This Row],[ATIVO]]),N(['[D/N']]="N"),N([ID]&lt;NC[[#This Row],[ID]]),N([PAR]=NC[[#This Row],[PAR]]), [LUCRO TMP]), 0)</f>
        <v>0</v>
      </c>
      <c r="AH94" s="134">
        <f>IF([U] = "U", SUMPRODUCT(N([ID]&lt;=NC[[#This Row],[ID]]),N([DATA BASE]=NC[[#This Row],[DATA BASE]]), N(['[D/N']] = "N"),    [LUCRO P/ OP]), 0)</f>
        <v>0</v>
      </c>
      <c r="AI94" s="134">
        <f>IF([U] = "U", SUMPRODUCT(N([DATA BASE]=NC[[#This Row],[DATA BASE]]), N(['[D/N']] = "D"),    [LUCRO P/ OP]), 0)</f>
        <v>0</v>
      </c>
      <c r="AJ94" s="134">
        <f>IF([U] = "U", SUMPRODUCT(N([DATA BASE]=NC[[#This Row],[DATA BASE]]), N(['[D/N']] = "D"),    [IRRF FONTE]), 0)</f>
        <v>0</v>
      </c>
      <c r="AK94" s="152">
        <f>NC[[#This Row],[LÍQUIDO]]/NC[[#This Row],[QTDE]]</f>
        <v>-0.91047647058823522</v>
      </c>
    </row>
    <row r="95" spans="1:37">
      <c r="A95" s="132">
        <v>94</v>
      </c>
      <c r="B95" s="132"/>
      <c r="C95" s="132" t="s">
        <v>183</v>
      </c>
      <c r="D95" s="132" t="s">
        <v>25</v>
      </c>
      <c r="E95" s="133">
        <v>41759</v>
      </c>
      <c r="F95" s="132">
        <v>1700</v>
      </c>
      <c r="G95" s="134">
        <v>1.8</v>
      </c>
      <c r="H95" s="135"/>
      <c r="I95" s="136"/>
      <c r="J95" s="132" t="s">
        <v>6</v>
      </c>
      <c r="K95" s="133">
        <f>WORKDAY(NC[[#This Row],[DATA]],1,0)</f>
        <v>41760</v>
      </c>
      <c r="L95" s="137">
        <f>EOMONTH(NC[[#This Row],[DATA DE LIQUIDAÇÃO]],0)</f>
        <v>41790</v>
      </c>
      <c r="M95" s="132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5" s="134">
        <f>[QTDE]*[PREÇO]</f>
        <v>3060</v>
      </c>
      <c r="O95" s="134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3060</v>
      </c>
      <c r="P95" s="134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0.84</v>
      </c>
      <c r="Q95" s="134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1.1299999999999999</v>
      </c>
      <c r="R95" s="134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2.12</v>
      </c>
      <c r="S95" s="134">
        <f>SETUP!$E$3 * IF([PARCIAL] &gt; 0, [QTDE] / [PARCIAL], 1)</f>
        <v>14.9</v>
      </c>
      <c r="T95" s="134">
        <f>SUMPRODUCT(N([DATA]=NC[[#This Row],[DATA]]),N([ID]&lt;=NC[[#This Row],[ID]]), [CORR])</f>
        <v>14.9</v>
      </c>
      <c r="U95" s="134">
        <f>TRUNC([CORRETAGEM]*SETUP!$F$3,2)</f>
        <v>0.28999999999999998</v>
      </c>
      <c r="V95" s="134">
        <f>ROUND([CORRETAGEM]*SETUP!$G$3,2)</f>
        <v>0.57999999999999996</v>
      </c>
      <c r="W95" s="134">
        <f>[VALOR LÍQUIDO DAS OPERAÇÕES]-[TAXA DE LIQUIDAÇÃO]-[EMOLUMENTOS]-[TAXA DE REGISTRO]-[CORRETAGEM]-[ISS]-IF(['[D/N']]="D",    0,    [OUTRAS BOVESPA]) - [AJUSTE]</f>
        <v>3040.14</v>
      </c>
      <c r="X95" s="134">
        <f>IF(AND(['[D/N']]="D",    [T]="CV",    [LÍQUIDO BASE] &gt; 0),    TRUNC([LÍQUIDO BASE]*0.01, 2),    0)</f>
        <v>0</v>
      </c>
      <c r="Y95" s="63">
        <f>IF([PREÇO] &gt; 0,    [LÍQUIDO BASE]-SUMPRODUCT(N([DATA]=NC[[#This Row],[DATA]]),    [IRRF FONTE]),    0)</f>
        <v>3040.14</v>
      </c>
      <c r="Z95" s="134">
        <f>[LÍQUIDO]-SUMPRODUCT(N([DATA]=NC[[#This Row],[DATA]]),N([ID]=(NC[[#This Row],[ID]]-1)),[LÍQUIDO])</f>
        <v>3040.14</v>
      </c>
      <c r="AA95" s="134">
        <f>IF([T] = "VC", ABS([VALOR OP]) / [QTDE], [VALOR OP]/[QTDE])</f>
        <v>1.7883176470588233</v>
      </c>
      <c r="AB95" s="134">
        <f>TRUNC(IF(OR([T]="CV",[T]="VV"),     N95*SETUP!$H$3,     0),2)</f>
        <v>0.15</v>
      </c>
      <c r="AC95" s="132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5" s="138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0.91047647058823522</v>
      </c>
      <c r="AE95" s="139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1.7883176470588233</v>
      </c>
      <c r="AF95" s="13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1492.3299999999997</v>
      </c>
      <c r="AG95" s="134">
        <f>IF([LUCRO TMP] &lt;&gt; 0, [LUCRO TMP] - SUMPRODUCT(N([ATIVO]=NC[[#This Row],[ATIVO]]),N(['[D/N']]="N"),N([ID]&lt;NC[[#This Row],[ID]]),N([PAR]=NC[[#This Row],[PAR]]), [LUCRO TMP]), 0)</f>
        <v>1492.3299999999997</v>
      </c>
      <c r="AH95" s="134">
        <f>IF([U] = "U", SUMPRODUCT(N([ID]&lt;=NC[[#This Row],[ID]]),N([DATA BASE]=NC[[#This Row],[DATA BASE]]), N(['[D/N']] = "N"),    [LUCRO P/ OP]), 0)</f>
        <v>0</v>
      </c>
      <c r="AI95" s="134">
        <f>IF([U] = "U", SUMPRODUCT(N([DATA BASE]=NC[[#This Row],[DATA BASE]]), N(['[D/N']] = "D"),    [LUCRO P/ OP]), 0)</f>
        <v>0</v>
      </c>
      <c r="AJ95" s="134">
        <f>IF([U] = "U", SUMPRODUCT(N([DATA BASE]=NC[[#This Row],[DATA BASE]]), N(['[D/N']] = "D"),    [IRRF FONTE]), 0)</f>
        <v>0</v>
      </c>
      <c r="AK95" s="152">
        <f>NC[[#This Row],[LÍQUIDO]]/NC[[#This Row],[QTDE]]</f>
        <v>1.7883176470588233</v>
      </c>
    </row>
    <row r="96" spans="1:37">
      <c r="Y96" s="27"/>
      <c r="AG96" s="27"/>
    </row>
    <row r="98" spans="2:28">
      <c r="X98" s="25">
        <f>AG95*5%</f>
        <v>74.616499999999988</v>
      </c>
      <c r="Y98" s="25">
        <f>AG95*15%</f>
        <v>223.84949999999995</v>
      </c>
      <c r="Z98" s="25">
        <f>AG95*60%</f>
        <v>895.3979999999998</v>
      </c>
      <c r="AB98" s="23"/>
    </row>
    <row r="99" spans="2:28">
      <c r="Y99" s="27">
        <f>ABS(AG95/Z94)</f>
        <v>0.9641558072373223</v>
      </c>
    </row>
    <row r="102" spans="2:28">
      <c r="C102" s="7">
        <v>1900</v>
      </c>
      <c r="D102" s="25">
        <v>0.48</v>
      </c>
      <c r="E102" s="25">
        <f>C102*D102</f>
        <v>912</v>
      </c>
      <c r="Z102" s="27"/>
    </row>
    <row r="103" spans="2:28">
      <c r="B103" s="7">
        <v>530</v>
      </c>
      <c r="C103" s="7">
        <f>B103/D103-MOD(B103/D103,100)</f>
        <v>2600</v>
      </c>
      <c r="D103" s="25">
        <v>0.2</v>
      </c>
      <c r="E103" s="25">
        <f>C103*D103</f>
        <v>520</v>
      </c>
      <c r="AB103" s="27"/>
    </row>
    <row r="104" spans="2:28">
      <c r="C104" s="7">
        <f>C103+C102</f>
        <v>4500</v>
      </c>
      <c r="E104" s="23">
        <f>E102+E103</f>
        <v>1432</v>
      </c>
      <c r="F104" s="7">
        <f>E104/C104</f>
        <v>0.31822222222222224</v>
      </c>
      <c r="G104" s="7">
        <f>F104*2</f>
        <v>0.63644444444444448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E18" sqref="E1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225" t="s">
        <v>7</v>
      </c>
      <c r="B1" s="225"/>
      <c r="C1" s="225" t="s">
        <v>8</v>
      </c>
      <c r="D1" s="225"/>
      <c r="E1" s="224" t="s">
        <v>9</v>
      </c>
      <c r="F1" s="224" t="s">
        <v>4</v>
      </c>
      <c r="G1" s="224" t="s">
        <v>10</v>
      </c>
      <c r="H1" s="224" t="s">
        <v>11</v>
      </c>
      <c r="I1" s="224" t="s">
        <v>23</v>
      </c>
      <c r="K1" s="223" t="s">
        <v>147</v>
      </c>
      <c r="L1" s="223"/>
      <c r="M1" s="223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224"/>
      <c r="F2" s="224"/>
      <c r="G2" s="224"/>
      <c r="H2" s="224"/>
      <c r="I2" s="224"/>
      <c r="K2" s="18" t="s">
        <v>144</v>
      </c>
      <c r="L2" s="18" t="s">
        <v>145</v>
      </c>
      <c r="M2" s="18" t="s">
        <v>146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4">
        <v>0</v>
      </c>
    </row>
    <row r="4" spans="1:13">
      <c r="A4" s="223" t="s">
        <v>26</v>
      </c>
      <c r="B4" s="223"/>
      <c r="C4" s="223"/>
      <c r="D4" s="223"/>
      <c r="E4" s="223"/>
      <c r="F4" s="223"/>
      <c r="K4" s="17">
        <v>498.62</v>
      </c>
      <c r="L4" s="17">
        <v>0</v>
      </c>
      <c r="M4" s="104">
        <v>0.02</v>
      </c>
    </row>
    <row r="5" spans="1:13">
      <c r="A5" s="223" t="s">
        <v>7</v>
      </c>
      <c r="B5" s="223"/>
      <c r="C5" s="223"/>
      <c r="D5" s="223" t="s">
        <v>8</v>
      </c>
      <c r="E5" s="223"/>
      <c r="F5" s="223"/>
      <c r="K5" s="17">
        <v>1514.69</v>
      </c>
      <c r="L5" s="17">
        <v>2.4900000000000002</v>
      </c>
      <c r="M5" s="104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4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4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Plan10"/>
  <dimension ref="A1:Y80"/>
  <sheetViews>
    <sheetView workbookViewId="0">
      <selection activeCell="L24" sqref="L24"/>
    </sheetView>
  </sheetViews>
  <sheetFormatPr defaultRowHeight="11.25"/>
  <cols>
    <col min="1" max="1" width="8.5703125" style="25" bestFit="1" customWidth="1"/>
    <col min="2" max="2" width="10" style="25" customWidth="1"/>
    <col min="3" max="3" width="7.7109375" style="25" bestFit="1" customWidth="1"/>
    <col min="4" max="4" width="7.42578125" style="150" bestFit="1" customWidth="1"/>
    <col min="5" max="5" width="7.7109375" style="27" bestFit="1" customWidth="1"/>
    <col min="6" max="6" width="6.5703125" style="157" bestFit="1" customWidth="1"/>
    <col min="7" max="7" width="8" style="150" bestFit="1" customWidth="1"/>
    <col min="8" max="8" width="8.28515625" style="153" bestFit="1" customWidth="1"/>
    <col min="9" max="9" width="6.5703125" style="157" bestFit="1" customWidth="1"/>
    <col min="10" max="10" width="6.5703125" style="7" bestFit="1" customWidth="1"/>
    <col min="11" max="11" width="9.140625" style="25" customWidth="1"/>
    <col min="12" max="12" width="8.5703125" style="25" bestFit="1" customWidth="1"/>
    <col min="13" max="13" width="8.42578125" style="25" bestFit="1" customWidth="1"/>
    <col min="14" max="14" width="8.42578125" style="25" customWidth="1"/>
    <col min="15" max="15" width="9.140625" style="7"/>
    <col min="16" max="17" width="7.7109375" style="25" bestFit="1" customWidth="1"/>
    <col min="18" max="18" width="7.7109375" style="25" customWidth="1"/>
    <col min="19" max="19" width="9.140625" style="7"/>
    <col min="20" max="20" width="13.85546875" style="25" bestFit="1" customWidth="1"/>
    <col min="21" max="22" width="10.85546875" style="7" bestFit="1" customWidth="1"/>
    <col min="23" max="25" width="11.7109375" style="7" bestFit="1" customWidth="1"/>
    <col min="26" max="16384" width="9.140625" style="7"/>
  </cols>
  <sheetData>
    <row r="1" spans="1:24" s="24" customFormat="1">
      <c r="A1" s="26" t="s">
        <v>189</v>
      </c>
      <c r="B1" s="154">
        <f>SUM(B2:B29)/COUNTA(B2:B29)</f>
        <v>5.0618245184613569E-4</v>
      </c>
      <c r="C1" s="26" t="s">
        <v>184</v>
      </c>
      <c r="D1" s="155" t="s">
        <v>185</v>
      </c>
      <c r="E1" s="154" t="s">
        <v>186</v>
      </c>
      <c r="F1" s="156"/>
      <c r="G1" s="155" t="s">
        <v>187</v>
      </c>
      <c r="H1" s="158" t="s">
        <v>188</v>
      </c>
      <c r="I1" s="156"/>
      <c r="K1" s="26"/>
      <c r="L1" s="26" t="s">
        <v>189</v>
      </c>
      <c r="M1" s="26" t="s">
        <v>190</v>
      </c>
      <c r="N1" s="26" t="s">
        <v>235</v>
      </c>
      <c r="P1" s="26" t="s">
        <v>217</v>
      </c>
      <c r="Q1" s="26" t="s">
        <v>218</v>
      </c>
      <c r="R1" s="26"/>
      <c r="T1" s="26"/>
    </row>
    <row r="2" spans="1:24">
      <c r="A2" s="25">
        <v>17.27</v>
      </c>
      <c r="C2" s="25">
        <f>IF(COUNTBLANK(A2:A10)&gt;0,"",AVERAGE(A2:A10))</f>
        <v>17.194444444444443</v>
      </c>
      <c r="D2" s="150">
        <f t="shared" ref="D2:D9" si="0">IF(C2="","",STDEV(A2:A10))</f>
        <v>0.10417666618671308</v>
      </c>
      <c r="E2" s="27">
        <f>D2/C2</f>
        <v>6.0587398751561728E-3</v>
      </c>
      <c r="G2" s="150">
        <f>VAR(A2:A10)</f>
        <v>1.0852777777777847E-2</v>
      </c>
      <c r="H2" s="153">
        <f t="shared" ref="H2:H33" si="1">G2/C2</f>
        <v>6.3117932148627222E-4</v>
      </c>
      <c r="L2" s="25">
        <v>17.27</v>
      </c>
      <c r="M2" s="25">
        <v>26.03</v>
      </c>
      <c r="N2" s="25">
        <v>51.65</v>
      </c>
      <c r="P2" s="25">
        <v>17.68</v>
      </c>
      <c r="Q2" s="25">
        <v>26.13</v>
      </c>
      <c r="T2" s="25">
        <v>600</v>
      </c>
      <c r="U2" s="80">
        <f>T2*85%*20%</f>
        <v>102</v>
      </c>
      <c r="V2" s="80">
        <f>T2-U2</f>
        <v>498</v>
      </c>
      <c r="W2" s="80">
        <f>SUM($V$2:V2)</f>
        <v>498</v>
      </c>
      <c r="X2" s="80">
        <f>W2+U2+T2</f>
        <v>1200</v>
      </c>
    </row>
    <row r="3" spans="1:24">
      <c r="A3" s="25">
        <v>17.149999999999999</v>
      </c>
      <c r="B3" s="27">
        <f>IF(A3&gt;0,A3/A2-1,"")</f>
        <v>-6.9484655471917511E-3</v>
      </c>
      <c r="C3" s="25">
        <f t="shared" ref="C3:C66" si="2">IF(COUNTBLANK(A3:A11)&gt;0,"",AVERAGE(A3:A11))</f>
        <v>17.188888888888886</v>
      </c>
      <c r="D3" s="150">
        <f t="shared" si="0"/>
        <v>0.10092626571468487</v>
      </c>
      <c r="E3" s="27">
        <f t="shared" ref="E3:E15" si="3">D3/C3</f>
        <v>5.8715991689215511E-3</v>
      </c>
      <c r="F3" s="157">
        <f>E3/E2</f>
        <v>0.96911227250372789</v>
      </c>
      <c r="G3" s="150">
        <f t="shared" ref="G3:G66" si="4">VAR(A3:A11)</f>
        <v>1.0186111111111174E-2</v>
      </c>
      <c r="H3" s="153">
        <f t="shared" si="1"/>
        <v>5.9259857789269925E-4</v>
      </c>
      <c r="I3" s="157">
        <f>ROUND(H3/H2,2)</f>
        <v>0.94</v>
      </c>
      <c r="J3" s="27">
        <f>IF(COUNTBLANK(B3:B11)&gt;0,"",AVERAGE(B3:B11))</f>
        <v>-2.9701549983770131E-4</v>
      </c>
      <c r="L3" s="25">
        <v>17.149999999999999</v>
      </c>
      <c r="M3" s="25">
        <v>26.17</v>
      </c>
      <c r="N3" s="25">
        <v>51.5</v>
      </c>
      <c r="O3" s="80"/>
      <c r="P3" s="25">
        <v>18.07</v>
      </c>
      <c r="Q3" s="25">
        <v>26.61</v>
      </c>
      <c r="T3" s="25">
        <f t="shared" ref="T3:T15" si="5">T2+U2+600</f>
        <v>1302</v>
      </c>
      <c r="U3" s="80">
        <f t="shared" ref="U3:U47" si="6">T3*85%*20%</f>
        <v>221.34000000000003</v>
      </c>
      <c r="V3" s="80">
        <f t="shared" ref="V3:V22" si="7">T3-U3</f>
        <v>1080.6599999999999</v>
      </c>
      <c r="W3" s="80">
        <f>SUM($V$2:V3)</f>
        <v>1578.6599999999999</v>
      </c>
      <c r="X3" s="80">
        <f t="shared" ref="X3:X22" si="8">W3+U3+T3</f>
        <v>3102</v>
      </c>
    </row>
    <row r="4" spans="1:24">
      <c r="A4" s="25">
        <v>17.3</v>
      </c>
      <c r="B4" s="27">
        <f t="shared" ref="B4:B29" si="9">IF(A4&gt;0,A4/A3-1,"")</f>
        <v>8.7463556851312685E-3</v>
      </c>
      <c r="C4" s="25">
        <f t="shared" si="2"/>
        <v>17.171111111111109</v>
      </c>
      <c r="D4" s="150">
        <f t="shared" si="0"/>
        <v>0.12077297342994921</v>
      </c>
      <c r="E4" s="27">
        <f t="shared" si="3"/>
        <v>7.0334978702571698E-3</v>
      </c>
      <c r="F4" s="157">
        <f t="shared" ref="F4:F67" si="10">E4/E3</f>
        <v>1.1978845401241902</v>
      </c>
      <c r="G4" s="150">
        <f t="shared" si="4"/>
        <v>1.4586111111111218E-2</v>
      </c>
      <c r="H4" s="153">
        <f t="shared" si="1"/>
        <v>8.4945645140417354E-4</v>
      </c>
      <c r="I4" s="157">
        <f>ROUND(H4/H3,2)</f>
        <v>1.43</v>
      </c>
      <c r="J4" s="27">
        <f t="shared" ref="J4:J67" si="11">IF(COUNTBLANK(B4:B12)&gt;0,"",AVERAGE(B4:B12))</f>
        <v>-1.0090262320441672E-3</v>
      </c>
      <c r="L4" s="25">
        <v>17.3</v>
      </c>
      <c r="M4" s="25">
        <v>26.34</v>
      </c>
      <c r="N4" s="25">
        <v>51.64</v>
      </c>
      <c r="O4" s="80"/>
      <c r="P4" s="25">
        <v>18.34</v>
      </c>
      <c r="Q4" s="25">
        <v>26.4</v>
      </c>
      <c r="T4" s="25">
        <f t="shared" si="5"/>
        <v>2123.34</v>
      </c>
      <c r="U4" s="80">
        <f t="shared" si="6"/>
        <v>360.96780000000007</v>
      </c>
      <c r="V4" s="80">
        <f t="shared" si="7"/>
        <v>1762.3722</v>
      </c>
      <c r="W4" s="80">
        <f>SUM($V$2:V4)</f>
        <v>3341.0321999999996</v>
      </c>
      <c r="X4" s="80">
        <f t="shared" si="8"/>
        <v>5825.34</v>
      </c>
    </row>
    <row r="5" spans="1:24">
      <c r="A5" s="25">
        <v>17.29</v>
      </c>
      <c r="B5" s="27">
        <f t="shared" si="9"/>
        <v>-5.7803468208106334E-4</v>
      </c>
      <c r="C5" s="25">
        <f t="shared" si="2"/>
        <v>17.151111111111113</v>
      </c>
      <c r="D5" s="150">
        <f t="shared" si="0"/>
        <v>0.11129290683197722</v>
      </c>
      <c r="E5" s="27">
        <f t="shared" si="3"/>
        <v>6.4889619168683266E-3</v>
      </c>
      <c r="F5" s="157">
        <f t="shared" si="10"/>
        <v>0.92257963769470319</v>
      </c>
      <c r="G5" s="150">
        <f t="shared" si="4"/>
        <v>1.2386111111111162E-2</v>
      </c>
      <c r="H5" s="153">
        <f t="shared" si="1"/>
        <v>7.2217543405027492E-4</v>
      </c>
      <c r="I5" s="157">
        <f t="shared" ref="I5:I68" si="12">ROUND(H5/H4,2)</f>
        <v>0.85</v>
      </c>
      <c r="J5" s="27">
        <f t="shared" si="11"/>
        <v>-1.1306702258338335E-3</v>
      </c>
      <c r="L5" s="25">
        <v>17.29</v>
      </c>
      <c r="M5" s="25">
        <v>26.35</v>
      </c>
      <c r="N5" s="25">
        <v>51.69</v>
      </c>
      <c r="O5" s="80"/>
      <c r="P5" s="25">
        <v>18.88</v>
      </c>
      <c r="Q5" s="25">
        <v>26.4</v>
      </c>
      <c r="T5" s="25">
        <f t="shared" si="5"/>
        <v>3084.3078</v>
      </c>
      <c r="U5" s="80">
        <f t="shared" si="6"/>
        <v>524.33232600000008</v>
      </c>
      <c r="V5" s="80">
        <f t="shared" si="7"/>
        <v>2559.9754739999998</v>
      </c>
      <c r="W5" s="80">
        <f>SUM($V$2:V5)</f>
        <v>5901.0076739999995</v>
      </c>
      <c r="X5" s="80">
        <f t="shared" si="8"/>
        <v>9509.6477999999988</v>
      </c>
    </row>
    <row r="6" spans="1:24">
      <c r="A6" s="25">
        <v>17.11</v>
      </c>
      <c r="B6" s="27">
        <f t="shared" si="9"/>
        <v>-1.0410641989589298E-2</v>
      </c>
      <c r="C6" s="25">
        <f t="shared" si="2"/>
        <v>17.133333333333329</v>
      </c>
      <c r="D6" s="150">
        <f t="shared" si="0"/>
        <v>9.8361577864530342E-2</v>
      </c>
      <c r="E6" s="27">
        <f t="shared" si="3"/>
        <v>5.7409481243889315E-3</v>
      </c>
      <c r="F6" s="157">
        <f t="shared" si="10"/>
        <v>0.88472519918249137</v>
      </c>
      <c r="G6" s="150">
        <f t="shared" si="4"/>
        <v>9.6750000000000655E-3</v>
      </c>
      <c r="H6" s="153">
        <f t="shared" si="1"/>
        <v>5.6468871595331132E-4</v>
      </c>
      <c r="I6" s="157">
        <f t="shared" si="12"/>
        <v>0.78</v>
      </c>
      <c r="J6" s="27">
        <f t="shared" si="11"/>
        <v>-1.0015428000989719E-3</v>
      </c>
      <c r="L6" s="25">
        <v>17.11</v>
      </c>
      <c r="M6" s="25">
        <v>26.75</v>
      </c>
      <c r="N6" s="25">
        <v>51.94</v>
      </c>
      <c r="O6" s="80"/>
      <c r="P6" s="25">
        <v>18.989999999999998</v>
      </c>
      <c r="Q6" s="25">
        <v>25.75</v>
      </c>
      <c r="T6" s="25">
        <f t="shared" si="5"/>
        <v>4208.6401260000002</v>
      </c>
      <c r="U6" s="80">
        <f t="shared" si="6"/>
        <v>715.46882142000004</v>
      </c>
      <c r="V6" s="80">
        <f t="shared" si="7"/>
        <v>3493.1713045800002</v>
      </c>
      <c r="W6" s="80">
        <f>SUM($V$2:V6)</f>
        <v>9394.1789785799992</v>
      </c>
      <c r="X6" s="80">
        <f t="shared" si="8"/>
        <v>14318.287925999999</v>
      </c>
    </row>
    <row r="7" spans="1:24">
      <c r="A7" s="25">
        <v>16.989999999999998</v>
      </c>
      <c r="B7" s="27">
        <f t="shared" si="9"/>
        <v>-7.013442431326733E-3</v>
      </c>
      <c r="C7" s="25">
        <f t="shared" si="2"/>
        <v>17.145555555555557</v>
      </c>
      <c r="D7" s="150">
        <f t="shared" si="0"/>
        <v>0.10187137859957442</v>
      </c>
      <c r="E7" s="27">
        <f t="shared" si="3"/>
        <v>5.9415618391301253E-3</v>
      </c>
      <c r="F7" s="157">
        <f t="shared" si="10"/>
        <v>1.0349443524648723</v>
      </c>
      <c r="G7" s="150">
        <f t="shared" si="4"/>
        <v>1.0377777777777829E-2</v>
      </c>
      <c r="H7" s="153">
        <f t="shared" si="1"/>
        <v>6.0527509558680871E-4</v>
      </c>
      <c r="I7" s="157">
        <f t="shared" si="12"/>
        <v>1.07</v>
      </c>
      <c r="J7" s="27">
        <f t="shared" si="11"/>
        <v>7.3896636044890052E-4</v>
      </c>
      <c r="L7" s="25">
        <v>16.989999999999998</v>
      </c>
      <c r="M7" s="25">
        <v>26.69</v>
      </c>
      <c r="N7" s="25">
        <v>51.7</v>
      </c>
      <c r="O7" s="80"/>
      <c r="P7" s="25">
        <v>18.32</v>
      </c>
      <c r="Q7" s="25">
        <v>25.49</v>
      </c>
      <c r="T7" s="25">
        <f t="shared" si="5"/>
        <v>5524.1089474199998</v>
      </c>
      <c r="U7" s="80">
        <f t="shared" si="6"/>
        <v>939.09852106139988</v>
      </c>
      <c r="V7" s="80">
        <f t="shared" si="7"/>
        <v>4585.0104263585999</v>
      </c>
      <c r="W7" s="80">
        <f>SUM($V$2:V7)</f>
        <v>13979.189404938599</v>
      </c>
      <c r="X7" s="80">
        <f t="shared" si="8"/>
        <v>20442.396873419999</v>
      </c>
    </row>
    <row r="8" spans="1:24">
      <c r="A8" s="25">
        <v>17.170000000000002</v>
      </c>
      <c r="B8" s="27">
        <f t="shared" si="9"/>
        <v>1.0594467333725932E-2</v>
      </c>
      <c r="C8" s="25">
        <f t="shared" si="2"/>
        <v>17.185555555555553</v>
      </c>
      <c r="D8" s="150">
        <f t="shared" si="0"/>
        <v>0.10381607668264999</v>
      </c>
      <c r="E8" s="27">
        <f t="shared" si="3"/>
        <v>6.0408915118888599E-3</v>
      </c>
      <c r="F8" s="157">
        <f t="shared" si="10"/>
        <v>1.0167177714291495</v>
      </c>
      <c r="G8" s="150">
        <f t="shared" si="4"/>
        <v>1.0777777777777862E-2</v>
      </c>
      <c r="H8" s="153">
        <f t="shared" si="1"/>
        <v>6.2714165642982326E-4</v>
      </c>
      <c r="I8" s="157">
        <f t="shared" si="12"/>
        <v>1.04</v>
      </c>
      <c r="J8" s="27">
        <f t="shared" si="11"/>
        <v>2.3570556536960754E-3</v>
      </c>
      <c r="L8" s="25">
        <v>17.170000000000002</v>
      </c>
      <c r="M8" s="25">
        <v>26.71</v>
      </c>
      <c r="N8" s="25">
        <v>51.78</v>
      </c>
      <c r="O8" s="80"/>
      <c r="P8" s="25">
        <v>19</v>
      </c>
      <c r="Q8" s="25">
        <v>25.84</v>
      </c>
      <c r="T8" s="25">
        <f t="shared" si="5"/>
        <v>7063.2074684813997</v>
      </c>
      <c r="U8" s="80">
        <f t="shared" si="6"/>
        <v>1200.7452696418379</v>
      </c>
      <c r="V8" s="80">
        <f t="shared" si="7"/>
        <v>5862.462198839562</v>
      </c>
      <c r="W8" s="80">
        <f>SUM($V$2:V8)</f>
        <v>19841.651603778162</v>
      </c>
      <c r="X8" s="80">
        <f t="shared" si="8"/>
        <v>28105.604341901399</v>
      </c>
    </row>
    <row r="9" spans="1:24">
      <c r="A9" s="25">
        <v>17.18</v>
      </c>
      <c r="B9" s="27">
        <f t="shared" si="9"/>
        <v>5.8241118229451772E-4</v>
      </c>
      <c r="C9" s="25">
        <f t="shared" si="2"/>
        <v>17.222222222222221</v>
      </c>
      <c r="D9" s="150">
        <f t="shared" si="0"/>
        <v>0.14695048296762281</v>
      </c>
      <c r="E9" s="27">
        <f t="shared" si="3"/>
        <v>8.5326086884426142E-3</v>
      </c>
      <c r="F9" s="157">
        <f t="shared" si="10"/>
        <v>1.4124750745233374</v>
      </c>
      <c r="G9" s="150">
        <f t="shared" si="4"/>
        <v>2.1594444444417604E-2</v>
      </c>
      <c r="H9" s="153">
        <f t="shared" si="1"/>
        <v>1.253870967740377E-3</v>
      </c>
      <c r="I9" s="157">
        <f>ROUND(H9/H8,2)</f>
        <v>2</v>
      </c>
      <c r="J9" s="27">
        <f t="shared" si="11"/>
        <v>2.1405074100832281E-3</v>
      </c>
      <c r="L9" s="25">
        <v>17.18</v>
      </c>
      <c r="M9" s="25">
        <v>26.69</v>
      </c>
      <c r="N9" s="25">
        <v>51.84</v>
      </c>
      <c r="O9" s="80"/>
      <c r="P9" s="25">
        <v>18.7</v>
      </c>
      <c r="Q9" s="25">
        <v>25.78</v>
      </c>
      <c r="T9" s="25">
        <f t="shared" si="5"/>
        <v>8863.9527381232383</v>
      </c>
      <c r="U9" s="80">
        <f t="shared" si="6"/>
        <v>1506.8719654809506</v>
      </c>
      <c r="V9" s="80">
        <f t="shared" si="7"/>
        <v>7357.0807726422881</v>
      </c>
      <c r="W9" s="80">
        <f>SUM($V$2:V9)</f>
        <v>27198.732376420448</v>
      </c>
      <c r="X9" s="80">
        <f t="shared" si="8"/>
        <v>37569.557080024635</v>
      </c>
    </row>
    <row r="10" spans="1:24">
      <c r="A10" s="25">
        <v>17.29</v>
      </c>
      <c r="B10" s="27">
        <f t="shared" si="9"/>
        <v>6.40279394644927E-3</v>
      </c>
      <c r="C10" s="25">
        <f t="shared" si="2"/>
        <v>17.25</v>
      </c>
      <c r="D10" s="150">
        <f>IF(C10="","",STDEV(A10:A17))</f>
        <v>0.15618212811594162</v>
      </c>
      <c r="E10" s="27">
        <f t="shared" si="3"/>
        <v>9.0540364125183542E-3</v>
      </c>
      <c r="F10" s="157">
        <f t="shared" si="10"/>
        <v>1.0611100008350332</v>
      </c>
      <c r="G10" s="150">
        <f t="shared" si="4"/>
        <v>2.5899999999978718E-2</v>
      </c>
      <c r="H10" s="153">
        <f t="shared" si="1"/>
        <v>1.501449275361085E-3</v>
      </c>
      <c r="I10" s="157">
        <f t="shared" si="12"/>
        <v>1.2</v>
      </c>
      <c r="J10" s="27">
        <f t="shared" si="11"/>
        <v>1.6313506120505033E-3</v>
      </c>
      <c r="L10" s="25">
        <v>17.29</v>
      </c>
      <c r="M10" s="25">
        <v>27.08</v>
      </c>
      <c r="N10" s="25">
        <v>51.86</v>
      </c>
      <c r="O10" s="80"/>
      <c r="P10" s="25">
        <v>18.3</v>
      </c>
      <c r="Q10" s="25">
        <v>26.17</v>
      </c>
      <c r="T10" s="171">
        <f t="shared" si="5"/>
        <v>10970.824703604188</v>
      </c>
      <c r="U10" s="80">
        <f t="shared" si="6"/>
        <v>1865.0401996127121</v>
      </c>
      <c r="V10" s="170">
        <f t="shared" si="7"/>
        <v>9105.7845039914755</v>
      </c>
      <c r="W10" s="170">
        <f>SUM($V$2:V10)</f>
        <v>36304.516880411924</v>
      </c>
      <c r="X10" s="170">
        <f t="shared" si="8"/>
        <v>49140.381783628822</v>
      </c>
    </row>
    <row r="11" spans="1:24">
      <c r="A11" s="25">
        <v>17.22</v>
      </c>
      <c r="B11" s="27">
        <f t="shared" si="9"/>
        <v>-4.0485829959514552E-3</v>
      </c>
      <c r="C11" s="25">
        <f t="shared" si="2"/>
        <v>17.268888888888892</v>
      </c>
      <c r="D11" s="150">
        <f t="shared" ref="D11:D17" si="13">IF(C11="","",STDEV(A11:A19))</f>
        <v>0.17553094060895186</v>
      </c>
      <c r="E11" s="27">
        <f t="shared" si="3"/>
        <v>1.016457640896002E-2</v>
      </c>
      <c r="F11" s="157">
        <f t="shared" si="10"/>
        <v>1.1226568953164584</v>
      </c>
      <c r="G11" s="150">
        <f t="shared" si="4"/>
        <v>3.0811111111063383E-2</v>
      </c>
      <c r="H11" s="153">
        <f t="shared" si="1"/>
        <v>1.7841976579563144E-3</v>
      </c>
      <c r="I11" s="157">
        <f t="shared" si="12"/>
        <v>1.19</v>
      </c>
      <c r="J11" s="27">
        <f t="shared" si="11"/>
        <v>1.1111702175416152E-3</v>
      </c>
      <c r="L11" s="25">
        <v>17.22</v>
      </c>
      <c r="M11" s="25">
        <v>27.14</v>
      </c>
      <c r="N11" s="25">
        <v>51.62</v>
      </c>
      <c r="P11" s="25">
        <v>17.64</v>
      </c>
      <c r="Q11" s="25">
        <v>25.8</v>
      </c>
      <c r="T11" s="25">
        <f t="shared" si="5"/>
        <v>13435.864903216901</v>
      </c>
      <c r="U11" s="80">
        <f t="shared" si="6"/>
        <v>2284.0970335468733</v>
      </c>
      <c r="V11" s="80">
        <f t="shared" si="7"/>
        <v>11151.767869670028</v>
      </c>
      <c r="W11" s="80">
        <f>SUM($V$2:V11)</f>
        <v>47456.284750081948</v>
      </c>
      <c r="X11" s="80">
        <f t="shared" si="8"/>
        <v>63176.246686845727</v>
      </c>
    </row>
    <row r="12" spans="1:24">
      <c r="A12" s="25">
        <v>16.989999999999998</v>
      </c>
      <c r="B12" s="27">
        <f t="shared" si="9"/>
        <v>-1.3356562137049943E-2</v>
      </c>
      <c r="C12" s="25">
        <f>IF(COUNTBLANK(A12:A20)&gt;0,"",AVERAGE(A12:A20))</f>
        <v>17.3</v>
      </c>
      <c r="D12" s="150">
        <f t="shared" si="13"/>
        <v>0.18999999999978795</v>
      </c>
      <c r="E12" s="27">
        <f t="shared" si="3"/>
        <v>1.0982658959525314E-2</v>
      </c>
      <c r="F12" s="157">
        <f t="shared" si="10"/>
        <v>1.0804836834955718</v>
      </c>
      <c r="G12" s="150">
        <f t="shared" si="4"/>
        <v>3.6099999999919419E-2</v>
      </c>
      <c r="H12" s="153">
        <f t="shared" si="1"/>
        <v>2.0867052023074806E-3</v>
      </c>
      <c r="I12" s="157">
        <f t="shared" si="12"/>
        <v>1.17</v>
      </c>
      <c r="J12" s="27">
        <f t="shared" si="11"/>
        <v>1.8155628553761084E-3</v>
      </c>
      <c r="L12" s="25">
        <v>16.989999999999998</v>
      </c>
      <c r="M12" s="25">
        <v>27.13</v>
      </c>
      <c r="N12" s="25">
        <v>51.39</v>
      </c>
      <c r="P12" s="25">
        <v>17.29</v>
      </c>
      <c r="Q12" s="25">
        <v>25.82</v>
      </c>
      <c r="T12" s="25">
        <f t="shared" si="5"/>
        <v>16319.961936763775</v>
      </c>
      <c r="U12" s="80">
        <f t="shared" si="6"/>
        <v>2774.3935292498418</v>
      </c>
      <c r="V12" s="80">
        <f t="shared" si="7"/>
        <v>13545.568407513932</v>
      </c>
      <c r="W12" s="80">
        <f>SUM($V$2:V12)</f>
        <v>61001.853157595877</v>
      </c>
      <c r="X12" s="80">
        <f t="shared" si="8"/>
        <v>80096.208623609491</v>
      </c>
    </row>
    <row r="13" spans="1:24">
      <c r="A13" s="25">
        <v>17.12</v>
      </c>
      <c r="B13" s="27">
        <f t="shared" si="9"/>
        <v>7.6515597410242719E-3</v>
      </c>
      <c r="C13" s="25" t="str">
        <f t="shared" si="2"/>
        <v/>
      </c>
      <c r="D13" s="150" t="str">
        <f t="shared" si="13"/>
        <v/>
      </c>
      <c r="E13" s="27" t="e">
        <f t="shared" si="3"/>
        <v>#VALUE!</v>
      </c>
      <c r="F13" s="157" t="e">
        <f t="shared" si="10"/>
        <v>#VALUE!</v>
      </c>
      <c r="G13" s="150">
        <f t="shared" si="4"/>
        <v>2.5812499999964138E-2</v>
      </c>
      <c r="H13" s="153" t="e">
        <f t="shared" si="1"/>
        <v>#VALUE!</v>
      </c>
      <c r="I13" s="157" t="e">
        <f t="shared" si="12"/>
        <v>#VALUE!</v>
      </c>
      <c r="J13" s="27" t="str">
        <f t="shared" si="11"/>
        <v/>
      </c>
      <c r="L13" s="25">
        <v>17.12</v>
      </c>
      <c r="M13" s="25">
        <v>27.2</v>
      </c>
      <c r="N13" s="25">
        <v>51.62</v>
      </c>
      <c r="P13" s="25">
        <v>17.32</v>
      </c>
      <c r="Q13" s="25">
        <v>26.38</v>
      </c>
      <c r="T13" s="25">
        <f t="shared" si="5"/>
        <v>19694.355466013618</v>
      </c>
      <c r="U13" s="80">
        <f t="shared" si="6"/>
        <v>3348.0404292223157</v>
      </c>
      <c r="V13" s="80">
        <f t="shared" si="7"/>
        <v>16346.315036791302</v>
      </c>
      <c r="W13" s="80">
        <f>SUM($V$2:V13)</f>
        <v>77348.168194387181</v>
      </c>
      <c r="X13" s="80">
        <f t="shared" si="8"/>
        <v>100390.56408962311</v>
      </c>
    </row>
    <row r="14" spans="1:24">
      <c r="A14" s="25">
        <v>17.13</v>
      </c>
      <c r="B14" s="27">
        <f t="shared" si="9"/>
        <v>5.8411214953268953E-4</v>
      </c>
      <c r="C14" s="25" t="str">
        <f t="shared" si="2"/>
        <v/>
      </c>
      <c r="D14" s="150" t="str">
        <f t="shared" si="13"/>
        <v/>
      </c>
      <c r="E14" s="27" t="e">
        <f t="shared" si="3"/>
        <v>#VALUE!</v>
      </c>
      <c r="F14" s="157" t="e">
        <f t="shared" si="10"/>
        <v>#VALUE!</v>
      </c>
      <c r="G14" s="150">
        <f t="shared" si="4"/>
        <v>2.0999999999958163E-2</v>
      </c>
      <c r="H14" s="153" t="e">
        <f t="shared" si="1"/>
        <v>#VALUE!</v>
      </c>
      <c r="I14" s="157" t="e">
        <f t="shared" si="12"/>
        <v>#VALUE!</v>
      </c>
      <c r="J14" s="27" t="str">
        <f t="shared" si="11"/>
        <v/>
      </c>
      <c r="L14" s="25">
        <v>17.13</v>
      </c>
      <c r="M14" s="25">
        <v>27.68</v>
      </c>
      <c r="N14" s="25">
        <v>51.81</v>
      </c>
      <c r="P14" s="25">
        <v>17.2</v>
      </c>
      <c r="Q14" s="25">
        <v>26.21</v>
      </c>
      <c r="T14" s="25">
        <f t="shared" si="5"/>
        <v>23642.395895235932</v>
      </c>
      <c r="U14" s="80">
        <f t="shared" si="6"/>
        <v>4019.2073021901083</v>
      </c>
      <c r="V14" s="80">
        <f t="shared" si="7"/>
        <v>19623.188593045823</v>
      </c>
      <c r="W14" s="80">
        <f>SUM($V$2:V14)</f>
        <v>96971.356787433004</v>
      </c>
      <c r="X14" s="80">
        <f t="shared" si="8"/>
        <v>124632.95998485904</v>
      </c>
    </row>
    <row r="15" spans="1:24">
      <c r="A15" s="25">
        <v>17.22</v>
      </c>
      <c r="B15" s="27">
        <f t="shared" si="9"/>
        <v>5.2539404553415547E-3</v>
      </c>
      <c r="C15" s="25" t="str">
        <f>IF(COUNTBLANK(A15:A23)&gt;0,"",AVERAGE(A15:A23))</f>
        <v/>
      </c>
      <c r="D15" s="150" t="str">
        <f t="shared" si="13"/>
        <v/>
      </c>
      <c r="E15" s="27" t="e">
        <f t="shared" si="3"/>
        <v>#VALUE!</v>
      </c>
      <c r="F15" s="157" t="e">
        <f t="shared" si="10"/>
        <v>#VALUE!</v>
      </c>
      <c r="G15" s="150">
        <f t="shared" si="4"/>
        <v>1.1760000000000067E-2</v>
      </c>
      <c r="H15" s="153" t="e">
        <f t="shared" si="1"/>
        <v>#VALUE!</v>
      </c>
      <c r="I15" s="157" t="e">
        <f t="shared" si="12"/>
        <v>#VALUE!</v>
      </c>
      <c r="J15" s="27" t="str">
        <f t="shared" si="11"/>
        <v/>
      </c>
      <c r="L15" s="25">
        <v>17.22</v>
      </c>
      <c r="M15" s="25">
        <v>27.84</v>
      </c>
      <c r="N15" s="25">
        <v>52.05</v>
      </c>
      <c r="P15" s="25">
        <v>17.29</v>
      </c>
      <c r="Q15" s="25">
        <v>26.35</v>
      </c>
      <c r="T15" s="25">
        <f t="shared" si="5"/>
        <v>28261.60319742604</v>
      </c>
      <c r="U15" s="80">
        <f t="shared" si="6"/>
        <v>4804.4725435624268</v>
      </c>
      <c r="V15" s="80">
        <f t="shared" si="7"/>
        <v>23457.130653863613</v>
      </c>
      <c r="W15" s="80">
        <f>SUM($V$2:V15)</f>
        <v>120428.48744129662</v>
      </c>
      <c r="X15" s="80">
        <f t="shared" si="8"/>
        <v>153494.56318228508</v>
      </c>
    </row>
    <row r="16" spans="1:24">
      <c r="A16" s="25">
        <v>17.350000000000001</v>
      </c>
      <c r="B16" s="27">
        <f t="shared" si="9"/>
        <v>7.5493612078978423E-3</v>
      </c>
      <c r="C16" s="25" t="str">
        <f>IF(COUNTBLANK(A16:A24)&gt;0,"",AVERAGE(A16:A24))</f>
        <v/>
      </c>
      <c r="D16" s="150" t="str">
        <f t="shared" si="13"/>
        <v/>
      </c>
      <c r="E16" s="27" t="e">
        <f t="shared" ref="E16:E33" si="14">D16/C16</f>
        <v>#VALUE!</v>
      </c>
      <c r="F16" s="157" t="e">
        <f t="shared" si="10"/>
        <v>#VALUE!</v>
      </c>
      <c r="G16" s="150">
        <f t="shared" si="4"/>
        <v>3.8699999999999377E-3</v>
      </c>
      <c r="H16" s="153" t="e">
        <f t="shared" si="1"/>
        <v>#VALUE!</v>
      </c>
      <c r="I16" s="157" t="e">
        <f t="shared" si="12"/>
        <v>#VALUE!</v>
      </c>
      <c r="J16" s="27" t="str">
        <f t="shared" si="11"/>
        <v/>
      </c>
      <c r="L16" s="25">
        <v>17.350000000000001</v>
      </c>
      <c r="M16" s="25">
        <v>27.87</v>
      </c>
      <c r="N16" s="25">
        <v>52.21</v>
      </c>
      <c r="P16" s="25">
        <v>17.18</v>
      </c>
      <c r="Q16" s="25">
        <v>26.69</v>
      </c>
      <c r="T16" s="25">
        <f t="shared" ref="T16:T22" si="15">T15+U15+600</f>
        <v>33666.075740988468</v>
      </c>
      <c r="U16" s="80">
        <f t="shared" si="6"/>
        <v>5723.2328759680395</v>
      </c>
      <c r="V16" s="80">
        <f t="shared" si="7"/>
        <v>27942.84286502043</v>
      </c>
      <c r="W16" s="80">
        <f>SUM($V$2:V16)</f>
        <v>148371.33030631705</v>
      </c>
      <c r="X16" s="80">
        <f t="shared" si="8"/>
        <v>187760.63892327354</v>
      </c>
    </row>
    <row r="17" spans="1:25">
      <c r="A17" s="25">
        <v>17.5</v>
      </c>
      <c r="B17" s="27">
        <f t="shared" si="9"/>
        <v>8.6455331412103043E-3</v>
      </c>
      <c r="C17" s="25" t="str">
        <f t="shared" si="2"/>
        <v/>
      </c>
      <c r="D17" s="150" t="str">
        <f t="shared" si="13"/>
        <v/>
      </c>
      <c r="E17" s="27" t="e">
        <f t="shared" si="14"/>
        <v>#VALUE!</v>
      </c>
      <c r="F17" s="157" t="e">
        <f t="shared" si="10"/>
        <v>#VALUE!</v>
      </c>
      <c r="G17" s="150">
        <f t="shared" si="4"/>
        <v>1.1583333333333343E-3</v>
      </c>
      <c r="H17" s="153" t="e">
        <f t="shared" si="1"/>
        <v>#VALUE!</v>
      </c>
      <c r="I17" s="157" t="e">
        <f t="shared" si="12"/>
        <v>#VALUE!</v>
      </c>
      <c r="J17" s="27" t="str">
        <f t="shared" si="11"/>
        <v/>
      </c>
      <c r="L17" s="25">
        <v>17.5</v>
      </c>
      <c r="M17" s="25">
        <v>27.78</v>
      </c>
      <c r="N17" s="25">
        <v>52.48</v>
      </c>
      <c r="P17" s="25">
        <v>17.12</v>
      </c>
      <c r="Q17" s="25">
        <v>27.2</v>
      </c>
      <c r="T17" s="25">
        <f t="shared" si="15"/>
        <v>39989.308616956507</v>
      </c>
      <c r="U17" s="80">
        <f t="shared" si="6"/>
        <v>6798.1824648826068</v>
      </c>
      <c r="V17" s="80">
        <f t="shared" si="7"/>
        <v>33191.126152073899</v>
      </c>
      <c r="W17" s="80">
        <f>SUM($V$2:V17)</f>
        <v>181562.45645839095</v>
      </c>
      <c r="X17" s="80">
        <f t="shared" si="8"/>
        <v>228349.94754023006</v>
      </c>
    </row>
    <row r="18" spans="1:25">
      <c r="A18" s="25">
        <v>17.43</v>
      </c>
      <c r="B18" s="27">
        <f t="shared" si="9"/>
        <v>-4.0000000000000036E-3</v>
      </c>
      <c r="C18" s="25" t="str">
        <f t="shared" si="2"/>
        <v/>
      </c>
      <c r="D18" s="150" t="str">
        <f>IF(C18="","",STDEV(A17:A26))</f>
        <v/>
      </c>
      <c r="E18" s="27" t="e">
        <f t="shared" si="14"/>
        <v>#VALUE!</v>
      </c>
      <c r="F18" s="157" t="e">
        <f t="shared" si="10"/>
        <v>#VALUE!</v>
      </c>
      <c r="G18" s="150">
        <f t="shared" si="4"/>
        <v>1.23333333333334E-3</v>
      </c>
      <c r="H18" s="153" t="e">
        <f t="shared" si="1"/>
        <v>#VALUE!</v>
      </c>
      <c r="I18" s="157" t="e">
        <f t="shared" si="12"/>
        <v>#VALUE!</v>
      </c>
      <c r="J18" s="27" t="str">
        <f t="shared" si="11"/>
        <v/>
      </c>
      <c r="L18" s="25">
        <v>17.43</v>
      </c>
      <c r="M18" s="25">
        <v>27.72</v>
      </c>
      <c r="N18" s="25">
        <v>52.36</v>
      </c>
      <c r="P18" s="25">
        <v>17.5</v>
      </c>
      <c r="Q18" s="25">
        <v>27.78</v>
      </c>
      <c r="T18" s="25">
        <f t="shared" si="15"/>
        <v>47387.491081839114</v>
      </c>
      <c r="U18" s="80">
        <f t="shared" si="6"/>
        <v>8055.87348391265</v>
      </c>
      <c r="V18" s="80">
        <f t="shared" si="7"/>
        <v>39331.617597926466</v>
      </c>
      <c r="W18" s="80">
        <f>SUM($V$2:V18)</f>
        <v>220894.07405631742</v>
      </c>
      <c r="X18" s="80">
        <f t="shared" si="8"/>
        <v>276337.4386220692</v>
      </c>
    </row>
    <row r="19" spans="1:25">
      <c r="A19" s="25">
        <v>17.46</v>
      </c>
      <c r="B19" s="27">
        <f t="shared" si="9"/>
        <v>1.7211703958692759E-3</v>
      </c>
      <c r="C19" s="25" t="str">
        <f t="shared" si="2"/>
        <v/>
      </c>
      <c r="D19" s="150" t="str">
        <f t="shared" ref="D19:D50" si="16">IF(C19="","",STDEV(A19:A27))</f>
        <v/>
      </c>
      <c r="E19" s="27" t="e">
        <f t="shared" si="14"/>
        <v>#VALUE!</v>
      </c>
      <c r="F19" s="157" t="e">
        <f t="shared" si="10"/>
        <v>#VALUE!</v>
      </c>
      <c r="G19" s="150">
        <f t="shared" si="4"/>
        <v>7.9999999999996589E-4</v>
      </c>
      <c r="H19" s="153" t="e">
        <f t="shared" si="1"/>
        <v>#VALUE!</v>
      </c>
      <c r="I19" s="157" t="e">
        <f t="shared" si="12"/>
        <v>#VALUE!</v>
      </c>
      <c r="J19" s="27" t="str">
        <f t="shared" si="11"/>
        <v/>
      </c>
      <c r="L19" s="25">
        <v>17.46</v>
      </c>
      <c r="M19" s="25">
        <v>27.8</v>
      </c>
      <c r="N19" s="25">
        <v>52.64</v>
      </c>
      <c r="P19" s="25">
        <v>17.5</v>
      </c>
      <c r="Q19" s="25">
        <v>27.86</v>
      </c>
      <c r="T19" s="25">
        <f t="shared" si="15"/>
        <v>56043.364565751763</v>
      </c>
      <c r="U19" s="80">
        <f t="shared" si="6"/>
        <v>9527.3719761777993</v>
      </c>
      <c r="V19" s="80">
        <f t="shared" si="7"/>
        <v>46515.992589573965</v>
      </c>
      <c r="W19" s="80">
        <f>SUM($V$2:V19)</f>
        <v>267410.06664589141</v>
      </c>
      <c r="X19" s="80">
        <f t="shared" si="8"/>
        <v>332980.80318782094</v>
      </c>
    </row>
    <row r="20" spans="1:25">
      <c r="A20" s="25">
        <v>17.5</v>
      </c>
      <c r="B20" s="27">
        <f t="shared" si="9"/>
        <v>2.2909507445589838E-3</v>
      </c>
      <c r="C20" s="25" t="str">
        <f t="shared" si="2"/>
        <v/>
      </c>
      <c r="D20" s="150" t="str">
        <f t="shared" si="16"/>
        <v/>
      </c>
      <c r="E20" s="27" t="e">
        <f t="shared" si="14"/>
        <v>#VALUE!</v>
      </c>
      <c r="F20" s="157" t="e">
        <f t="shared" si="10"/>
        <v>#VALUE!</v>
      </c>
      <c r="G20" s="150" t="e">
        <f t="shared" si="4"/>
        <v>#DIV/0!</v>
      </c>
      <c r="H20" s="153" t="e">
        <f t="shared" si="1"/>
        <v>#DIV/0!</v>
      </c>
      <c r="I20" s="157" t="e">
        <f t="shared" si="12"/>
        <v>#DIV/0!</v>
      </c>
      <c r="J20" s="27" t="str">
        <f t="shared" si="11"/>
        <v/>
      </c>
      <c r="L20" s="25">
        <v>17.5</v>
      </c>
      <c r="M20" s="25">
        <v>27.86</v>
      </c>
      <c r="N20" s="25">
        <v>52.64</v>
      </c>
      <c r="T20" s="25">
        <f t="shared" si="15"/>
        <v>66170.736541929567</v>
      </c>
      <c r="U20" s="80">
        <f t="shared" si="6"/>
        <v>11249.025212128028</v>
      </c>
      <c r="V20" s="80">
        <f t="shared" si="7"/>
        <v>54921.711329801539</v>
      </c>
      <c r="W20" s="80">
        <f>SUM($V$2:V20)</f>
        <v>322331.77797569294</v>
      </c>
      <c r="X20" s="80">
        <f t="shared" si="8"/>
        <v>399751.53972975048</v>
      </c>
    </row>
    <row r="21" spans="1:25">
      <c r="B21" s="27" t="str">
        <f t="shared" si="9"/>
        <v/>
      </c>
      <c r="C21" s="25" t="str">
        <f t="shared" si="2"/>
        <v/>
      </c>
      <c r="D21" s="150" t="str">
        <f t="shared" si="16"/>
        <v/>
      </c>
      <c r="E21" s="27" t="e">
        <f t="shared" si="14"/>
        <v>#VALUE!</v>
      </c>
      <c r="F21" s="157" t="e">
        <f t="shared" si="10"/>
        <v>#VALUE!</v>
      </c>
      <c r="G21" s="150" t="e">
        <f t="shared" si="4"/>
        <v>#DIV/0!</v>
      </c>
      <c r="H21" s="153" t="e">
        <f t="shared" si="1"/>
        <v>#DIV/0!</v>
      </c>
      <c r="I21" s="157" t="e">
        <f t="shared" si="12"/>
        <v>#DIV/0!</v>
      </c>
      <c r="J21" s="27" t="str">
        <f t="shared" si="11"/>
        <v/>
      </c>
      <c r="T21" s="25">
        <f t="shared" si="15"/>
        <v>78019.761754057603</v>
      </c>
      <c r="U21" s="80">
        <f t="shared" si="6"/>
        <v>13263.359498189791</v>
      </c>
      <c r="V21" s="80">
        <f t="shared" si="7"/>
        <v>64756.402255867812</v>
      </c>
      <c r="W21" s="80">
        <f>SUM($V$2:V21)</f>
        <v>387088.18023156072</v>
      </c>
      <c r="X21" s="80">
        <f t="shared" si="8"/>
        <v>478371.30148380809</v>
      </c>
    </row>
    <row r="22" spans="1:25">
      <c r="B22" s="27" t="str">
        <f t="shared" si="9"/>
        <v/>
      </c>
      <c r="C22" s="25" t="str">
        <f t="shared" si="2"/>
        <v/>
      </c>
      <c r="D22" s="150" t="str">
        <f t="shared" si="16"/>
        <v/>
      </c>
      <c r="E22" s="27" t="e">
        <f t="shared" si="14"/>
        <v>#VALUE!</v>
      </c>
      <c r="F22" s="157" t="e">
        <f t="shared" si="10"/>
        <v>#VALUE!</v>
      </c>
      <c r="G22" s="150" t="e">
        <f t="shared" si="4"/>
        <v>#DIV/0!</v>
      </c>
      <c r="H22" s="153" t="e">
        <f t="shared" si="1"/>
        <v>#DIV/0!</v>
      </c>
      <c r="I22" s="157" t="e">
        <f t="shared" si="12"/>
        <v>#DIV/0!</v>
      </c>
      <c r="J22" s="27" t="str">
        <f t="shared" si="11"/>
        <v/>
      </c>
      <c r="T22" s="171">
        <f t="shared" si="15"/>
        <v>91883.121252247394</v>
      </c>
      <c r="U22" s="170">
        <f t="shared" si="6"/>
        <v>15620.130612882058</v>
      </c>
      <c r="V22" s="170">
        <f t="shared" si="7"/>
        <v>76262.990639365336</v>
      </c>
      <c r="W22" s="170">
        <f>SUM($V$2:V22)</f>
        <v>463351.17087092606</v>
      </c>
      <c r="X22" s="170">
        <f t="shared" si="8"/>
        <v>570854.42273605545</v>
      </c>
      <c r="Y22" s="80">
        <f>X22-X10</f>
        <v>521714.04095242661</v>
      </c>
    </row>
    <row r="23" spans="1:25">
      <c r="B23" s="27" t="str">
        <f t="shared" si="9"/>
        <v/>
      </c>
      <c r="C23" s="25" t="str">
        <f t="shared" si="2"/>
        <v/>
      </c>
      <c r="D23" s="150" t="str">
        <f t="shared" si="16"/>
        <v/>
      </c>
      <c r="E23" s="27" t="e">
        <f t="shared" si="14"/>
        <v>#VALUE!</v>
      </c>
      <c r="F23" s="157" t="e">
        <f t="shared" si="10"/>
        <v>#VALUE!</v>
      </c>
      <c r="G23" s="150" t="e">
        <f t="shared" si="4"/>
        <v>#DIV/0!</v>
      </c>
      <c r="H23" s="153" t="e">
        <f t="shared" si="1"/>
        <v>#DIV/0!</v>
      </c>
      <c r="I23" s="157" t="e">
        <f t="shared" si="12"/>
        <v>#DIV/0!</v>
      </c>
      <c r="J23" s="27" t="str">
        <f t="shared" si="11"/>
        <v/>
      </c>
      <c r="T23" s="25">
        <f>T22+U22+600</f>
        <v>108103.25186512945</v>
      </c>
      <c r="U23" s="80">
        <f t="shared" si="6"/>
        <v>18377.552817072006</v>
      </c>
      <c r="V23" s="80">
        <f>T23-U23</f>
        <v>89725.699048057446</v>
      </c>
      <c r="W23" s="80">
        <f>SUM($V$2:V23)</f>
        <v>553076.86991898355</v>
      </c>
      <c r="X23" s="80">
        <f>W23+U23+T23</f>
        <v>679557.67460118502</v>
      </c>
    </row>
    <row r="24" spans="1:25">
      <c r="B24" s="27" t="str">
        <f t="shared" si="9"/>
        <v/>
      </c>
      <c r="C24" s="25" t="str">
        <f t="shared" si="2"/>
        <v/>
      </c>
      <c r="D24" s="150" t="str">
        <f t="shared" si="16"/>
        <v/>
      </c>
      <c r="E24" s="27" t="e">
        <f t="shared" si="14"/>
        <v>#VALUE!</v>
      </c>
      <c r="F24" s="157" t="e">
        <f t="shared" si="10"/>
        <v>#VALUE!</v>
      </c>
      <c r="G24" s="150" t="e">
        <f t="shared" si="4"/>
        <v>#DIV/0!</v>
      </c>
      <c r="H24" s="153" t="e">
        <f t="shared" si="1"/>
        <v>#DIV/0!</v>
      </c>
      <c r="I24" s="157" t="e">
        <f t="shared" si="12"/>
        <v>#DIV/0!</v>
      </c>
      <c r="J24" s="27" t="str">
        <f t="shared" si="11"/>
        <v/>
      </c>
      <c r="T24" s="25">
        <f t="shared" ref="T24:T29" si="17">T23+U23+600</f>
        <v>127080.80468220146</v>
      </c>
      <c r="U24" s="80">
        <f t="shared" si="6"/>
        <v>21603.736795974248</v>
      </c>
      <c r="V24" s="80">
        <f t="shared" ref="V24:V29" si="18">T24-U24</f>
        <v>105477.06788622722</v>
      </c>
      <c r="W24" s="80">
        <f>SUM($V$2:V24)</f>
        <v>658553.93780521071</v>
      </c>
      <c r="X24" s="80">
        <f t="shared" ref="X24:X29" si="19">W24+U24+T24</f>
        <v>807238.47928338638</v>
      </c>
    </row>
    <row r="25" spans="1:25">
      <c r="B25" s="27" t="str">
        <f>IF(A25&gt;0,A25/A24-1,"")</f>
        <v/>
      </c>
      <c r="C25" s="25" t="str">
        <f t="shared" si="2"/>
        <v/>
      </c>
      <c r="D25" s="150" t="str">
        <f t="shared" si="16"/>
        <v/>
      </c>
      <c r="E25" s="27" t="e">
        <f t="shared" si="14"/>
        <v>#VALUE!</v>
      </c>
      <c r="F25" s="157" t="e">
        <f t="shared" si="10"/>
        <v>#VALUE!</v>
      </c>
      <c r="G25" s="150" t="e">
        <f t="shared" si="4"/>
        <v>#DIV/0!</v>
      </c>
      <c r="H25" s="153" t="e">
        <f t="shared" si="1"/>
        <v>#DIV/0!</v>
      </c>
      <c r="I25" s="157" t="e">
        <f t="shared" si="12"/>
        <v>#DIV/0!</v>
      </c>
      <c r="J25" s="27" t="str">
        <f t="shared" si="11"/>
        <v/>
      </c>
      <c r="T25" s="25">
        <f t="shared" si="17"/>
        <v>149284.5414781757</v>
      </c>
      <c r="U25" s="80">
        <f t="shared" si="6"/>
        <v>25378.372051289869</v>
      </c>
      <c r="V25" s="80">
        <f t="shared" si="18"/>
        <v>123906.16942688583</v>
      </c>
      <c r="W25" s="80">
        <f>SUM($V$2:V25)</f>
        <v>782460.10723209649</v>
      </c>
      <c r="X25" s="80">
        <f t="shared" si="19"/>
        <v>957123.02076156205</v>
      </c>
    </row>
    <row r="26" spans="1:25">
      <c r="B26" s="27" t="str">
        <f t="shared" si="9"/>
        <v/>
      </c>
      <c r="C26" s="25" t="str">
        <f t="shared" si="2"/>
        <v/>
      </c>
      <c r="D26" s="150" t="str">
        <f t="shared" si="16"/>
        <v/>
      </c>
      <c r="E26" s="27" t="e">
        <f t="shared" si="14"/>
        <v>#VALUE!</v>
      </c>
      <c r="F26" s="157" t="e">
        <f t="shared" si="10"/>
        <v>#VALUE!</v>
      </c>
      <c r="G26" s="150" t="e">
        <f t="shared" si="4"/>
        <v>#DIV/0!</v>
      </c>
      <c r="H26" s="153" t="e">
        <f t="shared" si="1"/>
        <v>#DIV/0!</v>
      </c>
      <c r="I26" s="157" t="e">
        <f t="shared" si="12"/>
        <v>#DIV/0!</v>
      </c>
      <c r="J26" s="27" t="str">
        <f t="shared" si="11"/>
        <v/>
      </c>
      <c r="T26" s="25">
        <f t="shared" si="17"/>
        <v>175262.91352946556</v>
      </c>
      <c r="U26" s="80">
        <f t="shared" si="6"/>
        <v>29794.695300009145</v>
      </c>
      <c r="V26" s="80">
        <f t="shared" si="18"/>
        <v>145468.2182294564</v>
      </c>
      <c r="W26" s="80">
        <f>SUM($V$2:V26)</f>
        <v>927928.32546155294</v>
      </c>
      <c r="X26" s="80">
        <f t="shared" si="19"/>
        <v>1132985.9342910275</v>
      </c>
    </row>
    <row r="27" spans="1:25">
      <c r="B27" s="27" t="str">
        <f t="shared" si="9"/>
        <v/>
      </c>
      <c r="C27" s="25" t="str">
        <f t="shared" si="2"/>
        <v/>
      </c>
      <c r="D27" s="150" t="str">
        <f t="shared" si="16"/>
        <v/>
      </c>
      <c r="E27" s="27" t="e">
        <f t="shared" si="14"/>
        <v>#VALUE!</v>
      </c>
      <c r="F27" s="157" t="e">
        <f t="shared" si="10"/>
        <v>#VALUE!</v>
      </c>
      <c r="G27" s="150" t="e">
        <f t="shared" si="4"/>
        <v>#DIV/0!</v>
      </c>
      <c r="H27" s="153" t="e">
        <f t="shared" si="1"/>
        <v>#DIV/0!</v>
      </c>
      <c r="I27" s="157" t="e">
        <f t="shared" si="12"/>
        <v>#DIV/0!</v>
      </c>
      <c r="J27" s="27" t="str">
        <f t="shared" si="11"/>
        <v/>
      </c>
      <c r="K27" s="27"/>
      <c r="T27" s="25">
        <f t="shared" si="17"/>
        <v>205657.60882947472</v>
      </c>
      <c r="U27" s="80">
        <f t="shared" si="6"/>
        <v>34961.793501010703</v>
      </c>
      <c r="V27" s="80">
        <f t="shared" si="18"/>
        <v>170695.81532846403</v>
      </c>
      <c r="W27" s="80">
        <f>SUM($V$2:V27)</f>
        <v>1098624.1407900169</v>
      </c>
      <c r="X27" s="80">
        <f t="shared" si="19"/>
        <v>1339243.5431205023</v>
      </c>
    </row>
    <row r="28" spans="1:25">
      <c r="B28" s="27" t="str">
        <f t="shared" si="9"/>
        <v/>
      </c>
      <c r="C28" s="25" t="str">
        <f t="shared" si="2"/>
        <v/>
      </c>
      <c r="D28" s="150" t="str">
        <f t="shared" si="16"/>
        <v/>
      </c>
      <c r="E28" s="27" t="e">
        <f t="shared" si="14"/>
        <v>#VALUE!</v>
      </c>
      <c r="F28" s="157" t="e">
        <f t="shared" si="10"/>
        <v>#VALUE!</v>
      </c>
      <c r="G28" s="150" t="e">
        <f t="shared" si="4"/>
        <v>#DIV/0!</v>
      </c>
      <c r="H28" s="153" t="e">
        <f t="shared" si="1"/>
        <v>#DIV/0!</v>
      </c>
      <c r="I28" s="157" t="e">
        <f t="shared" si="12"/>
        <v>#DIV/0!</v>
      </c>
      <c r="J28" s="27" t="str">
        <f t="shared" si="11"/>
        <v/>
      </c>
      <c r="T28" s="25">
        <f t="shared" si="17"/>
        <v>241219.40233048541</v>
      </c>
      <c r="U28" s="80">
        <f t="shared" si="6"/>
        <v>41007.298396182523</v>
      </c>
      <c r="V28" s="80">
        <f t="shared" si="18"/>
        <v>200212.10393430287</v>
      </c>
      <c r="W28" s="80">
        <f>SUM($V$2:V28)</f>
        <v>1298836.2447243198</v>
      </c>
      <c r="X28" s="80">
        <f t="shared" si="19"/>
        <v>1581062.9454509877</v>
      </c>
    </row>
    <row r="29" spans="1:25">
      <c r="B29" s="27" t="str">
        <f t="shared" si="9"/>
        <v/>
      </c>
      <c r="C29" s="25" t="str">
        <f t="shared" si="2"/>
        <v/>
      </c>
      <c r="D29" s="150" t="str">
        <f t="shared" si="16"/>
        <v/>
      </c>
      <c r="E29" s="27" t="e">
        <f t="shared" si="14"/>
        <v>#VALUE!</v>
      </c>
      <c r="F29" s="157" t="e">
        <f t="shared" si="10"/>
        <v>#VALUE!</v>
      </c>
      <c r="G29" s="150" t="e">
        <f t="shared" si="4"/>
        <v>#DIV/0!</v>
      </c>
      <c r="H29" s="153" t="e">
        <f t="shared" si="1"/>
        <v>#DIV/0!</v>
      </c>
      <c r="I29" s="157" t="e">
        <f t="shared" si="12"/>
        <v>#DIV/0!</v>
      </c>
      <c r="J29" s="27" t="str">
        <f t="shared" si="11"/>
        <v/>
      </c>
      <c r="T29" s="25">
        <f t="shared" si="17"/>
        <v>282826.70072666794</v>
      </c>
      <c r="U29" s="80">
        <f t="shared" si="6"/>
        <v>48080.539123533556</v>
      </c>
      <c r="V29" s="80">
        <f t="shared" si="18"/>
        <v>234746.16160313439</v>
      </c>
      <c r="W29" s="80">
        <f>SUM($V$2:V29)</f>
        <v>1533582.4063274541</v>
      </c>
      <c r="X29" s="80">
        <f t="shared" si="19"/>
        <v>1864489.6461776556</v>
      </c>
    </row>
    <row r="30" spans="1:25">
      <c r="C30" s="25" t="str">
        <f t="shared" si="2"/>
        <v/>
      </c>
      <c r="D30" s="150" t="str">
        <f t="shared" si="16"/>
        <v/>
      </c>
      <c r="E30" s="27" t="e">
        <f t="shared" si="14"/>
        <v>#VALUE!</v>
      </c>
      <c r="F30" s="157" t="e">
        <f t="shared" si="10"/>
        <v>#VALUE!</v>
      </c>
      <c r="G30" s="150" t="e">
        <f t="shared" si="4"/>
        <v>#DIV/0!</v>
      </c>
      <c r="H30" s="153" t="e">
        <f t="shared" si="1"/>
        <v>#DIV/0!</v>
      </c>
      <c r="I30" s="157" t="e">
        <f t="shared" si="12"/>
        <v>#DIV/0!</v>
      </c>
      <c r="J30" s="27" t="str">
        <f t="shared" si="11"/>
        <v/>
      </c>
      <c r="T30" s="25">
        <f t="shared" ref="T30:T35" si="20">T29+U29+600</f>
        <v>331507.23985020153</v>
      </c>
      <c r="U30" s="80">
        <f t="shared" si="6"/>
        <v>56356.230774534262</v>
      </c>
      <c r="V30" s="80">
        <f t="shared" ref="V30:V35" si="21">T30-U30</f>
        <v>275151.00907566724</v>
      </c>
      <c r="W30" s="80">
        <f>SUM($V$2:V30)</f>
        <v>1808733.4154031214</v>
      </c>
      <c r="X30" s="80">
        <f t="shared" ref="X30:X35" si="22">W30+U30+T30</f>
        <v>2196596.8860278572</v>
      </c>
    </row>
    <row r="31" spans="1:25">
      <c r="C31" s="25" t="str">
        <f t="shared" si="2"/>
        <v/>
      </c>
      <c r="D31" s="150" t="str">
        <f t="shared" si="16"/>
        <v/>
      </c>
      <c r="E31" s="27" t="e">
        <f t="shared" si="14"/>
        <v>#VALUE!</v>
      </c>
      <c r="F31" s="157" t="e">
        <f t="shared" si="10"/>
        <v>#VALUE!</v>
      </c>
      <c r="G31" s="150" t="e">
        <f t="shared" si="4"/>
        <v>#DIV/0!</v>
      </c>
      <c r="H31" s="153" t="e">
        <f t="shared" si="1"/>
        <v>#DIV/0!</v>
      </c>
      <c r="I31" s="157" t="e">
        <f t="shared" si="12"/>
        <v>#DIV/0!</v>
      </c>
      <c r="J31" s="27" t="str">
        <f t="shared" si="11"/>
        <v/>
      </c>
      <c r="T31" s="25">
        <f t="shared" si="20"/>
        <v>388463.47062473581</v>
      </c>
      <c r="U31" s="80">
        <f t="shared" si="6"/>
        <v>66038.79000620509</v>
      </c>
      <c r="V31" s="80">
        <f t="shared" si="21"/>
        <v>322424.68061853072</v>
      </c>
      <c r="W31" s="80">
        <f>SUM($V$2:V31)</f>
        <v>2131158.0960216522</v>
      </c>
      <c r="X31" s="80">
        <f t="shared" si="22"/>
        <v>2585660.3566525932</v>
      </c>
    </row>
    <row r="32" spans="1:25">
      <c r="C32" s="25" t="str">
        <f t="shared" si="2"/>
        <v/>
      </c>
      <c r="D32" s="150" t="str">
        <f t="shared" si="16"/>
        <v/>
      </c>
      <c r="E32" s="27" t="e">
        <f t="shared" si="14"/>
        <v>#VALUE!</v>
      </c>
      <c r="F32" s="157" t="e">
        <f t="shared" si="10"/>
        <v>#VALUE!</v>
      </c>
      <c r="G32" s="150" t="e">
        <f t="shared" si="4"/>
        <v>#DIV/0!</v>
      </c>
      <c r="H32" s="153" t="e">
        <f t="shared" si="1"/>
        <v>#DIV/0!</v>
      </c>
      <c r="I32" s="157" t="e">
        <f t="shared" si="12"/>
        <v>#DIV/0!</v>
      </c>
      <c r="J32" s="27" t="str">
        <f t="shared" si="11"/>
        <v/>
      </c>
      <c r="T32" s="25">
        <f t="shared" si="20"/>
        <v>455102.2606309409</v>
      </c>
      <c r="U32" s="80">
        <f t="shared" si="6"/>
        <v>77367.384307259956</v>
      </c>
      <c r="V32" s="80">
        <f t="shared" si="21"/>
        <v>377734.87632368098</v>
      </c>
      <c r="W32" s="80">
        <f>SUM($V$2:V32)</f>
        <v>2508892.9723453331</v>
      </c>
      <c r="X32" s="80">
        <f t="shared" si="22"/>
        <v>3041362.6172835343</v>
      </c>
    </row>
    <row r="33" spans="3:25">
      <c r="C33" s="25" t="str">
        <f t="shared" si="2"/>
        <v/>
      </c>
      <c r="D33" s="150" t="str">
        <f t="shared" si="16"/>
        <v/>
      </c>
      <c r="E33" s="27" t="e">
        <f t="shared" si="14"/>
        <v>#VALUE!</v>
      </c>
      <c r="F33" s="157" t="e">
        <f t="shared" si="10"/>
        <v>#VALUE!</v>
      </c>
      <c r="G33" s="150" t="e">
        <f t="shared" si="4"/>
        <v>#DIV/0!</v>
      </c>
      <c r="H33" s="153" t="e">
        <f t="shared" si="1"/>
        <v>#DIV/0!</v>
      </c>
      <c r="I33" s="157" t="e">
        <f t="shared" si="12"/>
        <v>#DIV/0!</v>
      </c>
      <c r="J33" s="27" t="str">
        <f t="shared" si="11"/>
        <v/>
      </c>
      <c r="T33" s="25">
        <f t="shared" si="20"/>
        <v>533069.64493820083</v>
      </c>
      <c r="U33" s="80">
        <f t="shared" si="6"/>
        <v>90621.839639494137</v>
      </c>
      <c r="V33" s="80">
        <f t="shared" si="21"/>
        <v>442447.80529870669</v>
      </c>
      <c r="W33" s="80">
        <f>SUM($V$2:V33)</f>
        <v>2951340.7776440396</v>
      </c>
      <c r="X33" s="80">
        <f t="shared" si="22"/>
        <v>3575032.2622217345</v>
      </c>
    </row>
    <row r="34" spans="3:25">
      <c r="C34" s="25" t="str">
        <f t="shared" si="2"/>
        <v/>
      </c>
      <c r="D34" s="150" t="str">
        <f t="shared" si="16"/>
        <v/>
      </c>
      <c r="E34" s="27" t="e">
        <f t="shared" ref="E34:E49" si="23">D34/C34</f>
        <v>#VALUE!</v>
      </c>
      <c r="F34" s="157" t="e">
        <f t="shared" si="10"/>
        <v>#VALUE!</v>
      </c>
      <c r="G34" s="150" t="e">
        <f t="shared" si="4"/>
        <v>#DIV/0!</v>
      </c>
      <c r="H34" s="153" t="e">
        <f t="shared" ref="H34:H65" si="24">G34/C34</f>
        <v>#DIV/0!</v>
      </c>
      <c r="I34" s="157" t="e">
        <f t="shared" si="12"/>
        <v>#DIV/0!</v>
      </c>
      <c r="J34" s="27" t="str">
        <f t="shared" si="11"/>
        <v/>
      </c>
      <c r="T34" s="171">
        <f t="shared" si="20"/>
        <v>624291.48457769491</v>
      </c>
      <c r="U34" s="170">
        <f t="shared" si="6"/>
        <v>106129.55237820813</v>
      </c>
      <c r="V34" s="170">
        <f t="shared" si="21"/>
        <v>518161.93219948676</v>
      </c>
      <c r="W34" s="170">
        <f>SUM($V$2:V34)</f>
        <v>3469502.7098435266</v>
      </c>
      <c r="X34" s="170">
        <f t="shared" si="22"/>
        <v>4199923.7467994299</v>
      </c>
      <c r="Y34" s="80">
        <f>X34-X22</f>
        <v>3629069.3240633747</v>
      </c>
    </row>
    <row r="35" spans="3:25">
      <c r="C35" s="25" t="str">
        <f t="shared" si="2"/>
        <v/>
      </c>
      <c r="D35" s="150" t="str">
        <f t="shared" si="16"/>
        <v/>
      </c>
      <c r="E35" s="27" t="e">
        <f t="shared" si="23"/>
        <v>#VALUE!</v>
      </c>
      <c r="F35" s="157" t="e">
        <f t="shared" si="10"/>
        <v>#VALUE!</v>
      </c>
      <c r="G35" s="150" t="e">
        <f t="shared" si="4"/>
        <v>#DIV/0!</v>
      </c>
      <c r="H35" s="153" t="e">
        <f t="shared" si="24"/>
        <v>#DIV/0!</v>
      </c>
      <c r="I35" s="157" t="e">
        <f t="shared" si="12"/>
        <v>#DIV/0!</v>
      </c>
      <c r="J35" s="27" t="str">
        <f t="shared" si="11"/>
        <v/>
      </c>
      <c r="T35" s="25">
        <f t="shared" si="20"/>
        <v>731021.03695590305</v>
      </c>
      <c r="U35" s="80">
        <f t="shared" si="6"/>
        <v>124273.57628250353</v>
      </c>
      <c r="V35" s="80">
        <f t="shared" si="21"/>
        <v>606747.4606733995</v>
      </c>
      <c r="W35" s="80">
        <f>SUM($V$2:V35)</f>
        <v>4076250.1705169259</v>
      </c>
      <c r="X35" s="80">
        <f t="shared" si="22"/>
        <v>4931544.7837553322</v>
      </c>
    </row>
    <row r="36" spans="3:25">
      <c r="C36" s="25" t="str">
        <f t="shared" si="2"/>
        <v/>
      </c>
      <c r="D36" s="150" t="str">
        <f t="shared" si="16"/>
        <v/>
      </c>
      <c r="E36" s="27" t="e">
        <f t="shared" si="23"/>
        <v>#VALUE!</v>
      </c>
      <c r="F36" s="157" t="e">
        <f t="shared" si="10"/>
        <v>#VALUE!</v>
      </c>
      <c r="G36" s="150" t="e">
        <f t="shared" si="4"/>
        <v>#DIV/0!</v>
      </c>
      <c r="H36" s="153" t="e">
        <f t="shared" si="24"/>
        <v>#DIV/0!</v>
      </c>
      <c r="I36" s="157" t="e">
        <f t="shared" si="12"/>
        <v>#DIV/0!</v>
      </c>
      <c r="J36" s="27" t="str">
        <f t="shared" si="11"/>
        <v/>
      </c>
      <c r="T36" s="25">
        <f t="shared" ref="T36:T47" si="25">T35+U35+600</f>
        <v>855894.6132384066</v>
      </c>
      <c r="U36" s="80">
        <f t="shared" si="6"/>
        <v>145502.08425052912</v>
      </c>
      <c r="V36" s="80">
        <f t="shared" ref="V36:V47" si="26">T36-U36</f>
        <v>710392.52898787754</v>
      </c>
      <c r="W36" s="80">
        <f>SUM($V$2:V36)</f>
        <v>4786642.6995048039</v>
      </c>
      <c r="X36" s="80">
        <f t="shared" ref="X36:X47" si="27">W36+U36+T36</f>
        <v>5788039.3969937395</v>
      </c>
    </row>
    <row r="37" spans="3:25">
      <c r="C37" s="25" t="str">
        <f t="shared" si="2"/>
        <v/>
      </c>
      <c r="D37" s="150" t="str">
        <f t="shared" si="16"/>
        <v/>
      </c>
      <c r="E37" s="27" t="e">
        <f t="shared" si="23"/>
        <v>#VALUE!</v>
      </c>
      <c r="F37" s="157" t="e">
        <f t="shared" si="10"/>
        <v>#VALUE!</v>
      </c>
      <c r="G37" s="150" t="e">
        <f t="shared" si="4"/>
        <v>#DIV/0!</v>
      </c>
      <c r="H37" s="153" t="e">
        <f t="shared" si="24"/>
        <v>#DIV/0!</v>
      </c>
      <c r="I37" s="157" t="e">
        <f t="shared" si="12"/>
        <v>#DIV/0!</v>
      </c>
      <c r="J37" s="27" t="str">
        <f t="shared" si="11"/>
        <v/>
      </c>
      <c r="T37" s="25">
        <f t="shared" si="25"/>
        <v>1001996.6974889357</v>
      </c>
      <c r="U37" s="80">
        <f t="shared" si="6"/>
        <v>170339.43857311909</v>
      </c>
      <c r="V37" s="80">
        <f t="shared" si="26"/>
        <v>831657.25891581655</v>
      </c>
      <c r="W37" s="80">
        <f>SUM($V$2:V37)</f>
        <v>5618299.9584206203</v>
      </c>
      <c r="X37" s="80">
        <f t="shared" si="27"/>
        <v>6790636.0944826752</v>
      </c>
    </row>
    <row r="38" spans="3:25">
      <c r="C38" s="25" t="str">
        <f t="shared" si="2"/>
        <v/>
      </c>
      <c r="D38" s="150" t="str">
        <f t="shared" si="16"/>
        <v/>
      </c>
      <c r="E38" s="27" t="e">
        <f t="shared" si="23"/>
        <v>#VALUE!</v>
      </c>
      <c r="F38" s="157" t="e">
        <f t="shared" si="10"/>
        <v>#VALUE!</v>
      </c>
      <c r="G38" s="150" t="e">
        <f t="shared" si="4"/>
        <v>#DIV/0!</v>
      </c>
      <c r="H38" s="153" t="e">
        <f t="shared" si="24"/>
        <v>#DIV/0!</v>
      </c>
      <c r="I38" s="157" t="e">
        <f t="shared" si="12"/>
        <v>#DIV/0!</v>
      </c>
      <c r="J38" s="27" t="str">
        <f t="shared" si="11"/>
        <v/>
      </c>
      <c r="T38" s="25">
        <f t="shared" si="25"/>
        <v>1172936.1360620547</v>
      </c>
      <c r="U38" s="80">
        <f t="shared" si="6"/>
        <v>199399.14313054929</v>
      </c>
      <c r="V38" s="80">
        <f t="shared" si="26"/>
        <v>973536.99293150543</v>
      </c>
      <c r="W38" s="80">
        <f>SUM($V$2:V38)</f>
        <v>6591836.951352126</v>
      </c>
      <c r="X38" s="80">
        <f t="shared" si="27"/>
        <v>7964172.2305447301</v>
      </c>
    </row>
    <row r="39" spans="3:25">
      <c r="C39" s="25" t="str">
        <f t="shared" si="2"/>
        <v/>
      </c>
      <c r="D39" s="150" t="str">
        <f t="shared" si="16"/>
        <v/>
      </c>
      <c r="E39" s="27" t="e">
        <f t="shared" si="23"/>
        <v>#VALUE!</v>
      </c>
      <c r="F39" s="157" t="e">
        <f t="shared" si="10"/>
        <v>#VALUE!</v>
      </c>
      <c r="G39" s="150" t="e">
        <f t="shared" si="4"/>
        <v>#DIV/0!</v>
      </c>
      <c r="H39" s="153" t="e">
        <f t="shared" si="24"/>
        <v>#DIV/0!</v>
      </c>
      <c r="I39" s="157" t="e">
        <f t="shared" si="12"/>
        <v>#DIV/0!</v>
      </c>
      <c r="J39" s="27" t="str">
        <f t="shared" si="11"/>
        <v/>
      </c>
      <c r="T39" s="25">
        <f t="shared" si="25"/>
        <v>1372935.2791926039</v>
      </c>
      <c r="U39" s="80">
        <f t="shared" si="6"/>
        <v>233398.99746274264</v>
      </c>
      <c r="V39" s="80">
        <f t="shared" si="26"/>
        <v>1139536.2817298612</v>
      </c>
      <c r="W39" s="80">
        <f>SUM($V$2:V39)</f>
        <v>7731373.2330819871</v>
      </c>
      <c r="X39" s="80">
        <f t="shared" si="27"/>
        <v>9337707.5097373333</v>
      </c>
    </row>
    <row r="40" spans="3:25">
      <c r="C40" s="25" t="str">
        <f t="shared" si="2"/>
        <v/>
      </c>
      <c r="D40" s="150" t="str">
        <f t="shared" si="16"/>
        <v/>
      </c>
      <c r="E40" s="27" t="e">
        <f t="shared" si="23"/>
        <v>#VALUE!</v>
      </c>
      <c r="F40" s="157" t="e">
        <f t="shared" si="10"/>
        <v>#VALUE!</v>
      </c>
      <c r="G40" s="150" t="e">
        <f t="shared" si="4"/>
        <v>#DIV/0!</v>
      </c>
      <c r="H40" s="153" t="e">
        <f t="shared" si="24"/>
        <v>#DIV/0!</v>
      </c>
      <c r="I40" s="157" t="e">
        <f t="shared" si="12"/>
        <v>#DIV/0!</v>
      </c>
      <c r="J40" s="27" t="str">
        <f t="shared" si="11"/>
        <v/>
      </c>
      <c r="T40" s="25">
        <f t="shared" si="25"/>
        <v>1606934.2766553466</v>
      </c>
      <c r="U40" s="80">
        <f t="shared" si="6"/>
        <v>273178.8270314089</v>
      </c>
      <c r="V40" s="80">
        <f t="shared" si="26"/>
        <v>1333755.4496239377</v>
      </c>
      <c r="W40" s="80">
        <f>SUM($V$2:V40)</f>
        <v>9065128.6827059239</v>
      </c>
      <c r="X40" s="80">
        <f t="shared" si="27"/>
        <v>10945241.786392679</v>
      </c>
    </row>
    <row r="41" spans="3:25">
      <c r="C41" s="25" t="str">
        <f t="shared" si="2"/>
        <v/>
      </c>
      <c r="D41" s="150" t="str">
        <f t="shared" si="16"/>
        <v/>
      </c>
      <c r="E41" s="27" t="e">
        <f t="shared" si="23"/>
        <v>#VALUE!</v>
      </c>
      <c r="F41" s="157" t="e">
        <f t="shared" si="10"/>
        <v>#VALUE!</v>
      </c>
      <c r="G41" s="150" t="e">
        <f t="shared" si="4"/>
        <v>#DIV/0!</v>
      </c>
      <c r="H41" s="153" t="e">
        <f t="shared" si="24"/>
        <v>#DIV/0!</v>
      </c>
      <c r="I41" s="157" t="e">
        <f t="shared" si="12"/>
        <v>#DIV/0!</v>
      </c>
      <c r="J41" s="27" t="str">
        <f t="shared" si="11"/>
        <v/>
      </c>
      <c r="T41" s="25">
        <f t="shared" si="25"/>
        <v>1880713.1036867555</v>
      </c>
      <c r="U41" s="80">
        <f t="shared" si="6"/>
        <v>319721.22762674844</v>
      </c>
      <c r="V41" s="80">
        <f t="shared" si="26"/>
        <v>1560991.8760600071</v>
      </c>
      <c r="W41" s="80">
        <f>SUM($V$2:V41)</f>
        <v>10626120.558765931</v>
      </c>
      <c r="X41" s="80">
        <f t="shared" si="27"/>
        <v>12826554.890079435</v>
      </c>
    </row>
    <row r="42" spans="3:25">
      <c r="C42" s="25" t="str">
        <f t="shared" si="2"/>
        <v/>
      </c>
      <c r="D42" s="150" t="str">
        <f t="shared" si="16"/>
        <v/>
      </c>
      <c r="E42" s="27" t="e">
        <f t="shared" si="23"/>
        <v>#VALUE!</v>
      </c>
      <c r="F42" s="157" t="e">
        <f t="shared" si="10"/>
        <v>#VALUE!</v>
      </c>
      <c r="G42" s="150" t="e">
        <f t="shared" si="4"/>
        <v>#DIV/0!</v>
      </c>
      <c r="H42" s="153" t="e">
        <f t="shared" si="24"/>
        <v>#DIV/0!</v>
      </c>
      <c r="I42" s="157" t="e">
        <f t="shared" si="12"/>
        <v>#DIV/0!</v>
      </c>
      <c r="J42" s="27" t="str">
        <f t="shared" si="11"/>
        <v/>
      </c>
      <c r="T42" s="25">
        <f t="shared" si="25"/>
        <v>2201034.3313135039</v>
      </c>
      <c r="U42" s="80">
        <f t="shared" si="6"/>
        <v>374175.83632329572</v>
      </c>
      <c r="V42" s="80">
        <f t="shared" si="26"/>
        <v>1826858.4949902082</v>
      </c>
      <c r="W42" s="80">
        <f>SUM($V$2:V42)</f>
        <v>12452979.05375614</v>
      </c>
      <c r="X42" s="80">
        <f t="shared" si="27"/>
        <v>15028189.221392939</v>
      </c>
    </row>
    <row r="43" spans="3:25">
      <c r="C43" s="25" t="str">
        <f t="shared" si="2"/>
        <v/>
      </c>
      <c r="D43" s="150" t="str">
        <f t="shared" si="16"/>
        <v/>
      </c>
      <c r="E43" s="27" t="e">
        <f t="shared" si="23"/>
        <v>#VALUE!</v>
      </c>
      <c r="F43" s="157" t="e">
        <f t="shared" si="10"/>
        <v>#VALUE!</v>
      </c>
      <c r="G43" s="150" t="e">
        <f t="shared" si="4"/>
        <v>#DIV/0!</v>
      </c>
      <c r="H43" s="153" t="e">
        <f t="shared" si="24"/>
        <v>#DIV/0!</v>
      </c>
      <c r="I43" s="157" t="e">
        <f t="shared" si="12"/>
        <v>#DIV/0!</v>
      </c>
      <c r="J43" s="27" t="str">
        <f t="shared" si="11"/>
        <v/>
      </c>
      <c r="T43" s="25">
        <f t="shared" si="25"/>
        <v>2575810.1676367996</v>
      </c>
      <c r="U43" s="80">
        <f t="shared" si="6"/>
        <v>437887.72849825595</v>
      </c>
      <c r="V43" s="80">
        <f t="shared" si="26"/>
        <v>2137922.4391385438</v>
      </c>
      <c r="W43" s="80">
        <f>SUM($V$2:V43)</f>
        <v>14590901.492894683</v>
      </c>
      <c r="X43" s="80">
        <f t="shared" si="27"/>
        <v>17604599.389029738</v>
      </c>
    </row>
    <row r="44" spans="3:25">
      <c r="C44" s="25" t="str">
        <f t="shared" si="2"/>
        <v/>
      </c>
      <c r="D44" s="150" t="str">
        <f t="shared" si="16"/>
        <v/>
      </c>
      <c r="E44" s="27" t="e">
        <f t="shared" si="23"/>
        <v>#VALUE!</v>
      </c>
      <c r="F44" s="157" t="e">
        <f t="shared" si="10"/>
        <v>#VALUE!</v>
      </c>
      <c r="G44" s="150" t="e">
        <f t="shared" si="4"/>
        <v>#DIV/0!</v>
      </c>
      <c r="H44" s="153" t="e">
        <f t="shared" si="24"/>
        <v>#DIV/0!</v>
      </c>
      <c r="I44" s="157" t="e">
        <f t="shared" si="12"/>
        <v>#DIV/0!</v>
      </c>
      <c r="J44" s="27" t="str">
        <f t="shared" si="11"/>
        <v/>
      </c>
      <c r="T44" s="25">
        <f t="shared" si="25"/>
        <v>3014297.8961350555</v>
      </c>
      <c r="U44" s="80">
        <f t="shared" si="6"/>
        <v>512430.64234295947</v>
      </c>
      <c r="V44" s="80">
        <f t="shared" si="26"/>
        <v>2501867.2537920959</v>
      </c>
      <c r="W44" s="80">
        <f>SUM($V$2:V44)</f>
        <v>17092768.746686779</v>
      </c>
      <c r="X44" s="80">
        <f t="shared" si="27"/>
        <v>20619497.285164792</v>
      </c>
    </row>
    <row r="45" spans="3:25">
      <c r="C45" s="25" t="str">
        <f t="shared" si="2"/>
        <v/>
      </c>
      <c r="D45" s="150" t="str">
        <f t="shared" si="16"/>
        <v/>
      </c>
      <c r="E45" s="27" t="e">
        <f t="shared" si="23"/>
        <v>#VALUE!</v>
      </c>
      <c r="F45" s="157" t="e">
        <f t="shared" si="10"/>
        <v>#VALUE!</v>
      </c>
      <c r="G45" s="150" t="e">
        <f t="shared" si="4"/>
        <v>#DIV/0!</v>
      </c>
      <c r="H45" s="153" t="e">
        <f t="shared" si="24"/>
        <v>#DIV/0!</v>
      </c>
      <c r="I45" s="157" t="e">
        <f t="shared" si="12"/>
        <v>#DIV/0!</v>
      </c>
      <c r="J45" s="27" t="str">
        <f t="shared" si="11"/>
        <v/>
      </c>
      <c r="T45" s="25">
        <f t="shared" si="25"/>
        <v>3527328.538478015</v>
      </c>
      <c r="U45" s="80">
        <f t="shared" si="6"/>
        <v>599645.85154126247</v>
      </c>
      <c r="V45" s="80">
        <f t="shared" si="26"/>
        <v>2927682.6869367524</v>
      </c>
      <c r="W45" s="80">
        <f>SUM($V$2:V45)</f>
        <v>20020451.43362353</v>
      </c>
      <c r="X45" s="80">
        <f t="shared" si="27"/>
        <v>24147425.823642805</v>
      </c>
    </row>
    <row r="46" spans="3:25">
      <c r="C46" s="25" t="str">
        <f t="shared" si="2"/>
        <v/>
      </c>
      <c r="D46" s="150" t="str">
        <f t="shared" si="16"/>
        <v/>
      </c>
      <c r="E46" s="27" t="e">
        <f t="shared" si="23"/>
        <v>#VALUE!</v>
      </c>
      <c r="F46" s="157" t="e">
        <f t="shared" si="10"/>
        <v>#VALUE!</v>
      </c>
      <c r="G46" s="150" t="e">
        <f t="shared" si="4"/>
        <v>#DIV/0!</v>
      </c>
      <c r="H46" s="153" t="e">
        <f t="shared" si="24"/>
        <v>#DIV/0!</v>
      </c>
      <c r="I46" s="157" t="e">
        <f t="shared" si="12"/>
        <v>#DIV/0!</v>
      </c>
      <c r="J46" s="27" t="str">
        <f t="shared" si="11"/>
        <v/>
      </c>
      <c r="T46" s="25">
        <f t="shared" si="25"/>
        <v>4127574.3900192776</v>
      </c>
      <c r="U46" s="80">
        <f t="shared" si="6"/>
        <v>701687.64630327723</v>
      </c>
      <c r="V46" s="80">
        <f t="shared" si="26"/>
        <v>3425886.7437160006</v>
      </c>
      <c r="W46" s="80">
        <f>SUM($V$2:V46)</f>
        <v>23446338.177339531</v>
      </c>
      <c r="X46" s="80">
        <f t="shared" si="27"/>
        <v>28275600.213662088</v>
      </c>
      <c r="Y46" s="80">
        <f>X46-X34</f>
        <v>24075676.466862656</v>
      </c>
    </row>
    <row r="47" spans="3:25">
      <c r="C47" s="25" t="str">
        <f t="shared" si="2"/>
        <v/>
      </c>
      <c r="D47" s="150" t="str">
        <f t="shared" si="16"/>
        <v/>
      </c>
      <c r="E47" s="27" t="e">
        <f t="shared" si="23"/>
        <v>#VALUE!</v>
      </c>
      <c r="F47" s="157" t="e">
        <f t="shared" si="10"/>
        <v>#VALUE!</v>
      </c>
      <c r="G47" s="150" t="e">
        <f t="shared" si="4"/>
        <v>#DIV/0!</v>
      </c>
      <c r="H47" s="153" t="e">
        <f t="shared" si="24"/>
        <v>#DIV/0!</v>
      </c>
      <c r="I47" s="157" t="e">
        <f t="shared" si="12"/>
        <v>#DIV/0!</v>
      </c>
      <c r="J47" s="27" t="str">
        <f t="shared" si="11"/>
        <v/>
      </c>
      <c r="T47" s="25">
        <f t="shared" si="25"/>
        <v>4829862.0363225546</v>
      </c>
      <c r="U47" s="80">
        <f t="shared" si="6"/>
        <v>821076.54617483437</v>
      </c>
      <c r="V47" s="80">
        <f t="shared" si="26"/>
        <v>4008785.4901477201</v>
      </c>
      <c r="W47" s="80">
        <f>SUM($V$2:V47)</f>
        <v>27455123.667487253</v>
      </c>
      <c r="X47" s="80">
        <f t="shared" si="27"/>
        <v>33106062.249984644</v>
      </c>
      <c r="Y47" s="80"/>
    </row>
    <row r="48" spans="3:25">
      <c r="C48" s="25" t="str">
        <f t="shared" si="2"/>
        <v/>
      </c>
      <c r="D48" s="150" t="str">
        <f t="shared" si="16"/>
        <v/>
      </c>
      <c r="E48" s="27" t="e">
        <f t="shared" si="23"/>
        <v>#VALUE!</v>
      </c>
      <c r="F48" s="157" t="e">
        <f t="shared" si="10"/>
        <v>#VALUE!</v>
      </c>
      <c r="G48" s="150" t="e">
        <f t="shared" si="4"/>
        <v>#DIV/0!</v>
      </c>
      <c r="H48" s="153" t="e">
        <f t="shared" si="24"/>
        <v>#DIV/0!</v>
      </c>
      <c r="I48" s="157" t="e">
        <f t="shared" si="12"/>
        <v>#DIV/0!</v>
      </c>
      <c r="J48" s="27" t="str">
        <f t="shared" si="11"/>
        <v/>
      </c>
    </row>
    <row r="49" spans="3:24">
      <c r="C49" s="25" t="str">
        <f t="shared" si="2"/>
        <v/>
      </c>
      <c r="D49" s="150" t="str">
        <f t="shared" si="16"/>
        <v/>
      </c>
      <c r="E49" s="27" t="e">
        <f t="shared" si="23"/>
        <v>#VALUE!</v>
      </c>
      <c r="F49" s="157" t="e">
        <f t="shared" si="10"/>
        <v>#VALUE!</v>
      </c>
      <c r="G49" s="150" t="e">
        <f t="shared" si="4"/>
        <v>#DIV/0!</v>
      </c>
      <c r="H49" s="153" t="e">
        <f t="shared" si="24"/>
        <v>#DIV/0!</v>
      </c>
      <c r="I49" s="157" t="e">
        <f t="shared" si="12"/>
        <v>#DIV/0!</v>
      </c>
      <c r="J49" s="27" t="str">
        <f t="shared" si="11"/>
        <v/>
      </c>
    </row>
    <row r="50" spans="3:24">
      <c r="C50" s="25" t="str">
        <f t="shared" si="2"/>
        <v/>
      </c>
      <c r="D50" s="150" t="str">
        <f t="shared" si="16"/>
        <v/>
      </c>
      <c r="E50" s="27" t="e">
        <f t="shared" ref="E50:E61" si="28">D50/C50</f>
        <v>#VALUE!</v>
      </c>
      <c r="F50" s="157" t="e">
        <f t="shared" si="10"/>
        <v>#VALUE!</v>
      </c>
      <c r="G50" s="150" t="e">
        <f t="shared" si="4"/>
        <v>#DIV/0!</v>
      </c>
      <c r="H50" s="153" t="e">
        <f t="shared" si="24"/>
        <v>#DIV/0!</v>
      </c>
      <c r="I50" s="157" t="e">
        <f t="shared" si="12"/>
        <v>#DIV/0!</v>
      </c>
      <c r="J50" s="27" t="str">
        <f t="shared" si="11"/>
        <v/>
      </c>
    </row>
    <row r="51" spans="3:24">
      <c r="C51" s="25" t="str">
        <f t="shared" si="2"/>
        <v/>
      </c>
      <c r="D51" s="150" t="str">
        <f t="shared" ref="D51:D80" si="29">IF(C51="","",STDEV(A51:A59))</f>
        <v/>
      </c>
      <c r="E51" s="27" t="e">
        <f t="shared" si="28"/>
        <v>#VALUE!</v>
      </c>
      <c r="F51" s="157" t="e">
        <f t="shared" si="10"/>
        <v>#VALUE!</v>
      </c>
      <c r="G51" s="150" t="e">
        <f t="shared" si="4"/>
        <v>#DIV/0!</v>
      </c>
      <c r="H51" s="153" t="e">
        <f t="shared" si="24"/>
        <v>#DIV/0!</v>
      </c>
      <c r="I51" s="157" t="e">
        <f t="shared" si="12"/>
        <v>#DIV/0!</v>
      </c>
      <c r="J51" s="27" t="str">
        <f t="shared" si="11"/>
        <v/>
      </c>
      <c r="T51" s="25">
        <v>1000</v>
      </c>
    </row>
    <row r="52" spans="3:24">
      <c r="C52" s="25" t="str">
        <f t="shared" si="2"/>
        <v/>
      </c>
      <c r="D52" s="150" t="str">
        <f t="shared" si="29"/>
        <v/>
      </c>
      <c r="E52" s="27" t="e">
        <f t="shared" si="28"/>
        <v>#VALUE!</v>
      </c>
      <c r="F52" s="157" t="e">
        <f t="shared" si="10"/>
        <v>#VALUE!</v>
      </c>
      <c r="G52" s="150" t="e">
        <f t="shared" si="4"/>
        <v>#DIV/0!</v>
      </c>
      <c r="H52" s="153" t="e">
        <f t="shared" si="24"/>
        <v>#DIV/0!</v>
      </c>
      <c r="I52" s="157" t="e">
        <f t="shared" si="12"/>
        <v>#DIV/0!</v>
      </c>
      <c r="J52" s="27" t="str">
        <f t="shared" si="11"/>
        <v/>
      </c>
      <c r="T52" s="25">
        <v>900</v>
      </c>
    </row>
    <row r="53" spans="3:24">
      <c r="C53" s="25" t="str">
        <f t="shared" si="2"/>
        <v/>
      </c>
      <c r="D53" s="150" t="str">
        <f t="shared" si="29"/>
        <v/>
      </c>
      <c r="E53" s="27" t="e">
        <f t="shared" si="28"/>
        <v>#VALUE!</v>
      </c>
      <c r="F53" s="157" t="e">
        <f t="shared" si="10"/>
        <v>#VALUE!</v>
      </c>
      <c r="G53" s="150" t="e">
        <f t="shared" si="4"/>
        <v>#DIV/0!</v>
      </c>
      <c r="H53" s="153" t="e">
        <f t="shared" si="24"/>
        <v>#DIV/0!</v>
      </c>
      <c r="I53" s="157" t="e">
        <f t="shared" si="12"/>
        <v>#DIV/0!</v>
      </c>
      <c r="J53" s="27" t="str">
        <f t="shared" si="11"/>
        <v/>
      </c>
      <c r="T53" s="25">
        <v>600</v>
      </c>
    </row>
    <row r="54" spans="3:24">
      <c r="C54" s="25" t="str">
        <f t="shared" si="2"/>
        <v/>
      </c>
      <c r="D54" s="150" t="str">
        <f t="shared" si="29"/>
        <v/>
      </c>
      <c r="E54" s="27" t="e">
        <f t="shared" si="28"/>
        <v>#VALUE!</v>
      </c>
      <c r="F54" s="157" t="e">
        <f t="shared" si="10"/>
        <v>#VALUE!</v>
      </c>
      <c r="G54" s="150" t="e">
        <f t="shared" si="4"/>
        <v>#DIV/0!</v>
      </c>
      <c r="H54" s="153" t="e">
        <f t="shared" si="24"/>
        <v>#DIV/0!</v>
      </c>
      <c r="I54" s="157" t="e">
        <f t="shared" si="12"/>
        <v>#DIV/0!</v>
      </c>
      <c r="J54" s="27" t="str">
        <f t="shared" si="11"/>
        <v/>
      </c>
      <c r="T54" s="25">
        <v>4000</v>
      </c>
    </row>
    <row r="55" spans="3:24">
      <c r="C55" s="25" t="str">
        <f t="shared" si="2"/>
        <v/>
      </c>
      <c r="D55" s="150" t="str">
        <f t="shared" si="29"/>
        <v/>
      </c>
      <c r="E55" s="27" t="e">
        <f t="shared" si="28"/>
        <v>#VALUE!</v>
      </c>
      <c r="F55" s="157" t="e">
        <f t="shared" si="10"/>
        <v>#VALUE!</v>
      </c>
      <c r="G55" s="150" t="e">
        <f t="shared" si="4"/>
        <v>#DIV/0!</v>
      </c>
      <c r="H55" s="153" t="e">
        <f t="shared" si="24"/>
        <v>#DIV/0!</v>
      </c>
      <c r="I55" s="157" t="e">
        <f t="shared" si="12"/>
        <v>#DIV/0!</v>
      </c>
      <c r="J55" s="27" t="str">
        <f t="shared" si="11"/>
        <v/>
      </c>
      <c r="T55" s="25">
        <f>SUM(T51:T54)</f>
        <v>6500</v>
      </c>
      <c r="U55" s="27">
        <f>T55/T57</f>
        <v>0.95588235294117652</v>
      </c>
    </row>
    <row r="56" spans="3:24">
      <c r="C56" s="25" t="str">
        <f t="shared" si="2"/>
        <v/>
      </c>
      <c r="D56" s="150" t="str">
        <f t="shared" si="29"/>
        <v/>
      </c>
      <c r="E56" s="27" t="e">
        <f t="shared" si="28"/>
        <v>#VALUE!</v>
      </c>
      <c r="F56" s="157" t="e">
        <f t="shared" si="10"/>
        <v>#VALUE!</v>
      </c>
      <c r="G56" s="150" t="e">
        <f t="shared" si="4"/>
        <v>#DIV/0!</v>
      </c>
      <c r="H56" s="153" t="e">
        <f t="shared" si="24"/>
        <v>#DIV/0!</v>
      </c>
      <c r="I56" s="157" t="e">
        <f t="shared" si="12"/>
        <v>#DIV/0!</v>
      </c>
      <c r="J56" s="27" t="str">
        <f t="shared" si="11"/>
        <v/>
      </c>
      <c r="T56" s="25">
        <v>300</v>
      </c>
      <c r="U56" s="27">
        <f>T56/T57</f>
        <v>4.4117647058823532E-2</v>
      </c>
    </row>
    <row r="57" spans="3:24">
      <c r="C57" s="25" t="str">
        <f t="shared" si="2"/>
        <v/>
      </c>
      <c r="D57" s="150" t="str">
        <f t="shared" si="29"/>
        <v/>
      </c>
      <c r="E57" s="27" t="e">
        <f t="shared" si="28"/>
        <v>#VALUE!</v>
      </c>
      <c r="F57" s="157" t="e">
        <f t="shared" si="10"/>
        <v>#VALUE!</v>
      </c>
      <c r="G57" s="150" t="e">
        <f t="shared" si="4"/>
        <v>#DIV/0!</v>
      </c>
      <c r="H57" s="153" t="e">
        <f t="shared" si="24"/>
        <v>#DIV/0!</v>
      </c>
      <c r="I57" s="157" t="e">
        <f t="shared" si="12"/>
        <v>#DIV/0!</v>
      </c>
      <c r="J57" s="27" t="str">
        <f t="shared" si="11"/>
        <v/>
      </c>
      <c r="T57" s="25">
        <f>T56+T55</f>
        <v>6800</v>
      </c>
    </row>
    <row r="58" spans="3:24">
      <c r="C58" s="25" t="str">
        <f t="shared" si="2"/>
        <v/>
      </c>
      <c r="D58" s="150" t="str">
        <f t="shared" si="29"/>
        <v/>
      </c>
      <c r="E58" s="27" t="e">
        <f t="shared" si="28"/>
        <v>#VALUE!</v>
      </c>
      <c r="F58" s="157" t="e">
        <f t="shared" si="10"/>
        <v>#VALUE!</v>
      </c>
      <c r="G58" s="150" t="e">
        <f t="shared" si="4"/>
        <v>#DIV/0!</v>
      </c>
      <c r="H58" s="153" t="e">
        <f t="shared" si="24"/>
        <v>#DIV/0!</v>
      </c>
      <c r="I58" s="157" t="e">
        <f t="shared" si="12"/>
        <v>#DIV/0!</v>
      </c>
      <c r="J58" s="27" t="str">
        <f t="shared" si="11"/>
        <v/>
      </c>
    </row>
    <row r="59" spans="3:24">
      <c r="C59" s="25" t="str">
        <f t="shared" si="2"/>
        <v/>
      </c>
      <c r="D59" s="150" t="str">
        <f t="shared" si="29"/>
        <v/>
      </c>
      <c r="E59" s="27" t="e">
        <f t="shared" si="28"/>
        <v>#VALUE!</v>
      </c>
      <c r="F59" s="157" t="e">
        <f t="shared" si="10"/>
        <v>#VALUE!</v>
      </c>
      <c r="G59" s="150" t="e">
        <f t="shared" si="4"/>
        <v>#DIV/0!</v>
      </c>
      <c r="H59" s="153" t="e">
        <f t="shared" si="24"/>
        <v>#DIV/0!</v>
      </c>
      <c r="I59" s="157" t="e">
        <f t="shared" si="12"/>
        <v>#DIV/0!</v>
      </c>
      <c r="J59" s="27" t="str">
        <f t="shared" si="11"/>
        <v/>
      </c>
      <c r="T59" s="25">
        <v>24075676</v>
      </c>
      <c r="U59" s="80">
        <f>T59*U56</f>
        <v>1062162.1764705882</v>
      </c>
    </row>
    <row r="60" spans="3:24">
      <c r="C60" s="25" t="str">
        <f t="shared" si="2"/>
        <v/>
      </c>
      <c r="D60" s="150" t="str">
        <f t="shared" si="29"/>
        <v/>
      </c>
      <c r="E60" s="27" t="e">
        <f t="shared" si="28"/>
        <v>#VALUE!</v>
      </c>
      <c r="F60" s="157" t="e">
        <f t="shared" si="10"/>
        <v>#VALUE!</v>
      </c>
      <c r="G60" s="150" t="e">
        <f t="shared" si="4"/>
        <v>#DIV/0!</v>
      </c>
      <c r="H60" s="153" t="e">
        <f t="shared" si="24"/>
        <v>#DIV/0!</v>
      </c>
      <c r="I60" s="157" t="e">
        <f t="shared" si="12"/>
        <v>#DIV/0!</v>
      </c>
      <c r="J60" s="27" t="str">
        <f t="shared" si="11"/>
        <v/>
      </c>
    </row>
    <row r="61" spans="3:24">
      <c r="C61" s="25" t="str">
        <f t="shared" si="2"/>
        <v/>
      </c>
      <c r="D61" s="150" t="str">
        <f t="shared" si="29"/>
        <v/>
      </c>
      <c r="E61" s="27" t="e">
        <f t="shared" si="28"/>
        <v>#VALUE!</v>
      </c>
      <c r="F61" s="157" t="e">
        <f t="shared" si="10"/>
        <v>#VALUE!</v>
      </c>
      <c r="G61" s="150" t="e">
        <f t="shared" si="4"/>
        <v>#DIV/0!</v>
      </c>
      <c r="H61" s="153" t="e">
        <f t="shared" si="24"/>
        <v>#DIV/0!</v>
      </c>
      <c r="I61" s="157" t="e">
        <f t="shared" si="12"/>
        <v>#DIV/0!</v>
      </c>
      <c r="J61" s="27" t="str">
        <f t="shared" si="11"/>
        <v/>
      </c>
    </row>
    <row r="62" spans="3:24">
      <c r="C62" s="25" t="str">
        <f t="shared" si="2"/>
        <v/>
      </c>
      <c r="D62" s="150" t="str">
        <f t="shared" si="29"/>
        <v/>
      </c>
      <c r="E62" s="27" t="e">
        <f t="shared" ref="E62:E67" si="30">D62/C62</f>
        <v>#VALUE!</v>
      </c>
      <c r="F62" s="157" t="e">
        <f t="shared" si="10"/>
        <v>#VALUE!</v>
      </c>
      <c r="G62" s="150" t="e">
        <f t="shared" si="4"/>
        <v>#DIV/0!</v>
      </c>
      <c r="H62" s="153" t="e">
        <f t="shared" si="24"/>
        <v>#DIV/0!</v>
      </c>
      <c r="I62" s="157" t="e">
        <f t="shared" si="12"/>
        <v>#DIV/0!</v>
      </c>
      <c r="J62" s="27" t="str">
        <f t="shared" si="11"/>
        <v/>
      </c>
      <c r="T62" s="25">
        <v>4100</v>
      </c>
      <c r="U62" s="80">
        <f>T62*20%</f>
        <v>820</v>
      </c>
      <c r="V62" s="211">
        <v>8.5000000000000006E-3</v>
      </c>
      <c r="W62" s="7">
        <f>X62*12</f>
        <v>288</v>
      </c>
      <c r="X62" s="7">
        <v>24</v>
      </c>
    </row>
    <row r="63" spans="3:24">
      <c r="C63" s="25" t="str">
        <f t="shared" si="2"/>
        <v/>
      </c>
      <c r="D63" s="150" t="str">
        <f t="shared" si="29"/>
        <v/>
      </c>
      <c r="E63" s="27" t="e">
        <f t="shared" si="30"/>
        <v>#VALUE!</v>
      </c>
      <c r="F63" s="157" t="e">
        <f t="shared" si="10"/>
        <v>#VALUE!</v>
      </c>
      <c r="G63" s="150" t="e">
        <f t="shared" si="4"/>
        <v>#DIV/0!</v>
      </c>
      <c r="H63" s="153" t="e">
        <f t="shared" si="24"/>
        <v>#DIV/0!</v>
      </c>
      <c r="I63" s="157" t="e">
        <f t="shared" si="12"/>
        <v>#DIV/0!</v>
      </c>
      <c r="J63" s="27" t="str">
        <f t="shared" si="11"/>
        <v/>
      </c>
      <c r="T63" s="25">
        <f>FV(V62,W62,-U62)</f>
        <v>1007747.5093152359</v>
      </c>
    </row>
    <row r="64" spans="3:24">
      <c r="C64" s="25" t="str">
        <f t="shared" si="2"/>
        <v/>
      </c>
      <c r="D64" s="150" t="str">
        <f t="shared" si="29"/>
        <v/>
      </c>
      <c r="E64" s="27" t="e">
        <f t="shared" si="30"/>
        <v>#VALUE!</v>
      </c>
      <c r="F64" s="157" t="e">
        <f t="shared" si="10"/>
        <v>#VALUE!</v>
      </c>
      <c r="G64" s="150" t="e">
        <f t="shared" si="4"/>
        <v>#DIV/0!</v>
      </c>
      <c r="H64" s="153" t="e">
        <f t="shared" si="24"/>
        <v>#DIV/0!</v>
      </c>
      <c r="I64" s="157" t="e">
        <f t="shared" si="12"/>
        <v>#DIV/0!</v>
      </c>
      <c r="J64" s="27" t="str">
        <f t="shared" si="11"/>
        <v/>
      </c>
      <c r="V64" s="80">
        <f>T63*V62*85%</f>
        <v>7280.9757548025791</v>
      </c>
      <c r="W64" s="80">
        <f>V64*60%</f>
        <v>4368.5854528815471</v>
      </c>
    </row>
    <row r="65" spans="3:10">
      <c r="C65" s="25" t="str">
        <f t="shared" si="2"/>
        <v/>
      </c>
      <c r="D65" s="150" t="str">
        <f t="shared" si="29"/>
        <v/>
      </c>
      <c r="E65" s="27" t="e">
        <f t="shared" si="30"/>
        <v>#VALUE!</v>
      </c>
      <c r="F65" s="157" t="e">
        <f t="shared" si="10"/>
        <v>#VALUE!</v>
      </c>
      <c r="G65" s="150" t="e">
        <f t="shared" si="4"/>
        <v>#DIV/0!</v>
      </c>
      <c r="H65" s="153" t="e">
        <f t="shared" si="24"/>
        <v>#DIV/0!</v>
      </c>
      <c r="I65" s="157" t="e">
        <f t="shared" si="12"/>
        <v>#DIV/0!</v>
      </c>
      <c r="J65" s="27" t="str">
        <f t="shared" si="11"/>
        <v/>
      </c>
    </row>
    <row r="66" spans="3:10">
      <c r="C66" s="25" t="str">
        <f t="shared" si="2"/>
        <v/>
      </c>
      <c r="D66" s="150" t="str">
        <f t="shared" si="29"/>
        <v/>
      </c>
      <c r="E66" s="27" t="e">
        <f t="shared" si="30"/>
        <v>#VALUE!</v>
      </c>
      <c r="F66" s="157" t="e">
        <f t="shared" si="10"/>
        <v>#VALUE!</v>
      </c>
      <c r="G66" s="150" t="e">
        <f t="shared" si="4"/>
        <v>#DIV/0!</v>
      </c>
      <c r="H66" s="153" t="e">
        <f t="shared" ref="H66:H80" si="31">G66/C66</f>
        <v>#DIV/0!</v>
      </c>
      <c r="I66" s="157" t="e">
        <f t="shared" si="12"/>
        <v>#DIV/0!</v>
      </c>
      <c r="J66" s="27" t="str">
        <f t="shared" si="11"/>
        <v/>
      </c>
    </row>
    <row r="67" spans="3:10">
      <c r="C67" s="25" t="str">
        <f t="shared" ref="C67:C80" si="32">IF(COUNTBLANK(A67:A75)&gt;0,"",AVERAGE(A67:A75))</f>
        <v/>
      </c>
      <c r="D67" s="150" t="str">
        <f t="shared" si="29"/>
        <v/>
      </c>
      <c r="E67" s="27" t="e">
        <f t="shared" si="30"/>
        <v>#VALUE!</v>
      </c>
      <c r="F67" s="157" t="e">
        <f t="shared" si="10"/>
        <v>#VALUE!</v>
      </c>
      <c r="G67" s="150" t="e">
        <f t="shared" ref="G67:G80" si="33">VAR(A67:A75)</f>
        <v>#DIV/0!</v>
      </c>
      <c r="H67" s="153" t="e">
        <f t="shared" si="31"/>
        <v>#DIV/0!</v>
      </c>
      <c r="I67" s="157" t="e">
        <f t="shared" si="12"/>
        <v>#DIV/0!</v>
      </c>
      <c r="J67" s="27" t="str">
        <f t="shared" si="11"/>
        <v/>
      </c>
    </row>
    <row r="68" spans="3:10">
      <c r="C68" s="25" t="str">
        <f t="shared" si="32"/>
        <v/>
      </c>
      <c r="D68" s="150" t="str">
        <f t="shared" si="29"/>
        <v/>
      </c>
      <c r="E68" s="27" t="e">
        <f t="shared" ref="E68:E80" si="34">D68/C68</f>
        <v>#VALUE!</v>
      </c>
      <c r="F68" s="157" t="e">
        <f t="shared" ref="F68:F80" si="35">E68/E67</f>
        <v>#VALUE!</v>
      </c>
      <c r="G68" s="150" t="e">
        <f t="shared" si="33"/>
        <v>#DIV/0!</v>
      </c>
      <c r="H68" s="153" t="e">
        <f t="shared" si="31"/>
        <v>#DIV/0!</v>
      </c>
      <c r="I68" s="157" t="e">
        <f t="shared" si="12"/>
        <v>#DIV/0!</v>
      </c>
      <c r="J68" s="27" t="str">
        <f t="shared" ref="J68:J80" si="36">IF(COUNTBLANK(B68:B76)&gt;0,"",AVERAGE(B68:B76))</f>
        <v/>
      </c>
    </row>
    <row r="69" spans="3:10">
      <c r="C69" s="25" t="str">
        <f t="shared" si="32"/>
        <v/>
      </c>
      <c r="D69" s="150" t="str">
        <f t="shared" si="29"/>
        <v/>
      </c>
      <c r="E69" s="27" t="e">
        <f t="shared" si="34"/>
        <v>#VALUE!</v>
      </c>
      <c r="F69" s="157" t="e">
        <f t="shared" si="35"/>
        <v>#VALUE!</v>
      </c>
      <c r="G69" s="150" t="e">
        <f t="shared" si="33"/>
        <v>#DIV/0!</v>
      </c>
      <c r="H69" s="153" t="e">
        <f t="shared" si="31"/>
        <v>#DIV/0!</v>
      </c>
      <c r="I69" s="157" t="e">
        <f t="shared" ref="I69:I80" si="37">ROUND(H69/H68,2)</f>
        <v>#DIV/0!</v>
      </c>
      <c r="J69" s="27" t="str">
        <f t="shared" si="36"/>
        <v/>
      </c>
    </row>
    <row r="70" spans="3:10">
      <c r="C70" s="25" t="str">
        <f t="shared" si="32"/>
        <v/>
      </c>
      <c r="D70" s="150" t="str">
        <f t="shared" si="29"/>
        <v/>
      </c>
      <c r="E70" s="27" t="e">
        <f t="shared" si="34"/>
        <v>#VALUE!</v>
      </c>
      <c r="F70" s="157" t="e">
        <f t="shared" si="35"/>
        <v>#VALUE!</v>
      </c>
      <c r="G70" s="150" t="e">
        <f t="shared" si="33"/>
        <v>#DIV/0!</v>
      </c>
      <c r="H70" s="153" t="e">
        <f t="shared" si="31"/>
        <v>#DIV/0!</v>
      </c>
      <c r="I70" s="157" t="e">
        <f t="shared" si="37"/>
        <v>#DIV/0!</v>
      </c>
      <c r="J70" s="27" t="str">
        <f t="shared" si="36"/>
        <v/>
      </c>
    </row>
    <row r="71" spans="3:10">
      <c r="C71" s="25" t="str">
        <f t="shared" si="32"/>
        <v/>
      </c>
      <c r="D71" s="150" t="str">
        <f t="shared" si="29"/>
        <v/>
      </c>
      <c r="E71" s="27" t="e">
        <f t="shared" si="34"/>
        <v>#VALUE!</v>
      </c>
      <c r="F71" s="157" t="e">
        <f t="shared" si="35"/>
        <v>#VALUE!</v>
      </c>
      <c r="G71" s="150" t="e">
        <f t="shared" si="33"/>
        <v>#DIV/0!</v>
      </c>
      <c r="H71" s="153" t="e">
        <f t="shared" si="31"/>
        <v>#DIV/0!</v>
      </c>
      <c r="I71" s="157" t="e">
        <f t="shared" si="37"/>
        <v>#DIV/0!</v>
      </c>
      <c r="J71" s="27" t="str">
        <f t="shared" si="36"/>
        <v/>
      </c>
    </row>
    <row r="72" spans="3:10">
      <c r="C72" s="25" t="str">
        <f t="shared" si="32"/>
        <v/>
      </c>
      <c r="D72" s="150" t="str">
        <f t="shared" si="29"/>
        <v/>
      </c>
      <c r="E72" s="27" t="e">
        <f t="shared" si="34"/>
        <v>#VALUE!</v>
      </c>
      <c r="F72" s="157" t="e">
        <f t="shared" si="35"/>
        <v>#VALUE!</v>
      </c>
      <c r="G72" s="150" t="e">
        <f t="shared" si="33"/>
        <v>#DIV/0!</v>
      </c>
      <c r="H72" s="153" t="e">
        <f t="shared" si="31"/>
        <v>#DIV/0!</v>
      </c>
      <c r="I72" s="157" t="e">
        <f t="shared" si="37"/>
        <v>#DIV/0!</v>
      </c>
      <c r="J72" s="27" t="str">
        <f t="shared" si="36"/>
        <v/>
      </c>
    </row>
    <row r="73" spans="3:10">
      <c r="C73" s="25" t="str">
        <f t="shared" si="32"/>
        <v/>
      </c>
      <c r="D73" s="150" t="str">
        <f t="shared" si="29"/>
        <v/>
      </c>
      <c r="E73" s="27" t="e">
        <f t="shared" si="34"/>
        <v>#VALUE!</v>
      </c>
      <c r="F73" s="157" t="e">
        <f t="shared" si="35"/>
        <v>#VALUE!</v>
      </c>
      <c r="G73" s="150" t="e">
        <f t="shared" si="33"/>
        <v>#DIV/0!</v>
      </c>
      <c r="H73" s="153" t="e">
        <f t="shared" si="31"/>
        <v>#DIV/0!</v>
      </c>
      <c r="I73" s="157" t="e">
        <f t="shared" si="37"/>
        <v>#DIV/0!</v>
      </c>
      <c r="J73" s="27" t="str">
        <f t="shared" si="36"/>
        <v/>
      </c>
    </row>
    <row r="74" spans="3:10">
      <c r="C74" s="25" t="str">
        <f t="shared" si="32"/>
        <v/>
      </c>
      <c r="D74" s="150" t="str">
        <f t="shared" si="29"/>
        <v/>
      </c>
      <c r="E74" s="27" t="e">
        <f t="shared" si="34"/>
        <v>#VALUE!</v>
      </c>
      <c r="F74" s="157" t="e">
        <f t="shared" si="35"/>
        <v>#VALUE!</v>
      </c>
      <c r="G74" s="150" t="e">
        <f t="shared" si="33"/>
        <v>#DIV/0!</v>
      </c>
      <c r="H74" s="153" t="e">
        <f t="shared" si="31"/>
        <v>#DIV/0!</v>
      </c>
      <c r="I74" s="157" t="e">
        <f t="shared" si="37"/>
        <v>#DIV/0!</v>
      </c>
      <c r="J74" s="27" t="str">
        <f t="shared" si="36"/>
        <v/>
      </c>
    </row>
    <row r="75" spans="3:10">
      <c r="C75" s="25" t="str">
        <f t="shared" si="32"/>
        <v/>
      </c>
      <c r="D75" s="150" t="str">
        <f t="shared" si="29"/>
        <v/>
      </c>
      <c r="E75" s="27" t="e">
        <f t="shared" si="34"/>
        <v>#VALUE!</v>
      </c>
      <c r="F75" s="157" t="e">
        <f t="shared" si="35"/>
        <v>#VALUE!</v>
      </c>
      <c r="G75" s="150" t="e">
        <f t="shared" si="33"/>
        <v>#DIV/0!</v>
      </c>
      <c r="H75" s="153" t="e">
        <f t="shared" si="31"/>
        <v>#DIV/0!</v>
      </c>
      <c r="I75" s="157" t="e">
        <f t="shared" si="37"/>
        <v>#DIV/0!</v>
      </c>
      <c r="J75" s="27" t="str">
        <f t="shared" si="36"/>
        <v/>
      </c>
    </row>
    <row r="76" spans="3:10">
      <c r="C76" s="25" t="str">
        <f t="shared" si="32"/>
        <v/>
      </c>
      <c r="D76" s="150" t="str">
        <f t="shared" si="29"/>
        <v/>
      </c>
      <c r="E76" s="27" t="e">
        <f t="shared" si="34"/>
        <v>#VALUE!</v>
      </c>
      <c r="F76" s="157" t="e">
        <f t="shared" si="35"/>
        <v>#VALUE!</v>
      </c>
      <c r="G76" s="150" t="e">
        <f t="shared" si="33"/>
        <v>#DIV/0!</v>
      </c>
      <c r="H76" s="153" t="e">
        <f t="shared" si="31"/>
        <v>#DIV/0!</v>
      </c>
      <c r="I76" s="157" t="e">
        <f t="shared" si="37"/>
        <v>#DIV/0!</v>
      </c>
      <c r="J76" s="27" t="str">
        <f t="shared" si="36"/>
        <v/>
      </c>
    </row>
    <row r="77" spans="3:10">
      <c r="C77" s="25" t="str">
        <f t="shared" si="32"/>
        <v/>
      </c>
      <c r="D77" s="150" t="str">
        <f t="shared" si="29"/>
        <v/>
      </c>
      <c r="E77" s="27" t="e">
        <f t="shared" si="34"/>
        <v>#VALUE!</v>
      </c>
      <c r="F77" s="157" t="e">
        <f t="shared" si="35"/>
        <v>#VALUE!</v>
      </c>
      <c r="G77" s="150" t="e">
        <f t="shared" si="33"/>
        <v>#DIV/0!</v>
      </c>
      <c r="H77" s="153" t="e">
        <f t="shared" si="31"/>
        <v>#DIV/0!</v>
      </c>
      <c r="I77" s="157" t="e">
        <f t="shared" si="37"/>
        <v>#DIV/0!</v>
      </c>
      <c r="J77" s="27" t="str">
        <f t="shared" si="36"/>
        <v/>
      </c>
    </row>
    <row r="78" spans="3:10">
      <c r="C78" s="25" t="str">
        <f t="shared" si="32"/>
        <v/>
      </c>
      <c r="D78" s="150" t="str">
        <f t="shared" si="29"/>
        <v/>
      </c>
      <c r="E78" s="27" t="e">
        <f t="shared" si="34"/>
        <v>#VALUE!</v>
      </c>
      <c r="F78" s="157" t="e">
        <f t="shared" si="35"/>
        <v>#VALUE!</v>
      </c>
      <c r="G78" s="150" t="e">
        <f t="shared" si="33"/>
        <v>#DIV/0!</v>
      </c>
      <c r="H78" s="153" t="e">
        <f t="shared" si="31"/>
        <v>#DIV/0!</v>
      </c>
      <c r="I78" s="157" t="e">
        <f t="shared" si="37"/>
        <v>#DIV/0!</v>
      </c>
      <c r="J78" s="27" t="str">
        <f t="shared" si="36"/>
        <v/>
      </c>
    </row>
    <row r="79" spans="3:10">
      <c r="C79" s="25" t="str">
        <f t="shared" si="32"/>
        <v/>
      </c>
      <c r="D79" s="150" t="str">
        <f t="shared" si="29"/>
        <v/>
      </c>
      <c r="E79" s="27" t="e">
        <f t="shared" si="34"/>
        <v>#VALUE!</v>
      </c>
      <c r="F79" s="157" t="e">
        <f t="shared" si="35"/>
        <v>#VALUE!</v>
      </c>
      <c r="G79" s="150" t="e">
        <f t="shared" si="33"/>
        <v>#DIV/0!</v>
      </c>
      <c r="H79" s="153" t="e">
        <f t="shared" si="31"/>
        <v>#DIV/0!</v>
      </c>
      <c r="I79" s="157" t="e">
        <f t="shared" si="37"/>
        <v>#DIV/0!</v>
      </c>
      <c r="J79" s="27" t="str">
        <f t="shared" si="36"/>
        <v/>
      </c>
    </row>
    <row r="80" spans="3:10">
      <c r="C80" s="25" t="str">
        <f t="shared" si="32"/>
        <v/>
      </c>
      <c r="D80" s="150" t="str">
        <f t="shared" si="29"/>
        <v/>
      </c>
      <c r="E80" s="27" t="e">
        <f t="shared" si="34"/>
        <v>#VALUE!</v>
      </c>
      <c r="F80" s="157" t="e">
        <f t="shared" si="35"/>
        <v>#VALUE!</v>
      </c>
      <c r="G80" s="150" t="e">
        <f t="shared" si="33"/>
        <v>#DIV/0!</v>
      </c>
      <c r="H80" s="153" t="e">
        <f t="shared" si="31"/>
        <v>#DIV/0!</v>
      </c>
      <c r="I80" s="157" t="e">
        <f t="shared" si="37"/>
        <v>#DIV/0!</v>
      </c>
      <c r="J80" s="27" t="str">
        <f t="shared" si="36"/>
        <v/>
      </c>
    </row>
  </sheetData>
  <conditionalFormatting sqref="I4:I80">
    <cfRule type="cellIs" dxfId="26" priority="1" operator="lessThanOrEqual">
      <formula>0.5</formula>
    </cfRule>
    <cfRule type="cellIs" dxfId="25" priority="2" operator="greaterThanOrEqual">
      <formula>2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11"/>
  <dimension ref="A1:R90"/>
  <sheetViews>
    <sheetView workbookViewId="0">
      <selection activeCell="E17" sqref="E17"/>
    </sheetView>
  </sheetViews>
  <sheetFormatPr defaultRowHeight="10.5"/>
  <cols>
    <col min="1" max="1" width="9.140625" style="191"/>
    <col min="2" max="2" width="11.140625" style="191" customWidth="1"/>
    <col min="3" max="8" width="9.140625" style="191"/>
    <col min="9" max="9" width="11.28515625" style="191" customWidth="1"/>
    <col min="10" max="10" width="9.140625" style="191"/>
    <col min="11" max="11" width="12.7109375" style="191" customWidth="1"/>
    <col min="12" max="16384" width="9.140625" style="191"/>
  </cols>
  <sheetData>
    <row r="1" spans="1:16">
      <c r="A1" s="168" t="s">
        <v>197</v>
      </c>
      <c r="B1" s="169" t="s">
        <v>208</v>
      </c>
      <c r="C1" s="168" t="s">
        <v>198</v>
      </c>
      <c r="D1" s="168" t="s">
        <v>199</v>
      </c>
      <c r="E1" s="168" t="s">
        <v>200</v>
      </c>
      <c r="F1" s="168" t="s">
        <v>201</v>
      </c>
      <c r="G1" s="168" t="s">
        <v>209</v>
      </c>
      <c r="H1" s="168" t="s">
        <v>210</v>
      </c>
      <c r="I1" s="169" t="s">
        <v>211</v>
      </c>
      <c r="J1" s="168" t="s">
        <v>215</v>
      </c>
      <c r="K1" s="168" t="s">
        <v>202</v>
      </c>
      <c r="L1" s="168" t="s">
        <v>203</v>
      </c>
      <c r="M1" s="168" t="s">
        <v>204</v>
      </c>
      <c r="N1" s="168" t="s">
        <v>205</v>
      </c>
      <c r="O1" s="168" t="s">
        <v>15</v>
      </c>
    </row>
    <row r="2" spans="1:16">
      <c r="A2" s="189"/>
      <c r="B2" s="189"/>
      <c r="C2" s="189" t="s">
        <v>231</v>
      </c>
      <c r="D2" s="189"/>
      <c r="E2" s="189" t="s">
        <v>194</v>
      </c>
      <c r="F2" s="189"/>
      <c r="G2" s="189"/>
      <c r="H2" s="189"/>
      <c r="I2" s="189"/>
      <c r="J2" s="174"/>
      <c r="K2" s="178" t="s">
        <v>219</v>
      </c>
      <c r="L2" s="174"/>
      <c r="M2" s="184">
        <v>-5.62</v>
      </c>
      <c r="N2" s="203">
        <v>597.65</v>
      </c>
      <c r="O2" s="190">
        <f>Tabela9[[#This Row],[Swap]]+Tabela9[[#This Row],[Profit]]</f>
        <v>592.03</v>
      </c>
      <c r="P2" s="191">
        <v>-27.81</v>
      </c>
    </row>
    <row r="3" spans="1:16">
      <c r="A3" s="179"/>
      <c r="B3" s="185"/>
      <c r="C3" s="178" t="s">
        <v>231</v>
      </c>
      <c r="D3" s="178"/>
      <c r="E3" s="178" t="s">
        <v>191</v>
      </c>
      <c r="F3" s="178"/>
      <c r="G3" s="178"/>
      <c r="H3" s="178"/>
      <c r="I3" s="185"/>
      <c r="J3" s="178"/>
      <c r="K3" s="178" t="s">
        <v>233</v>
      </c>
      <c r="L3" s="178"/>
      <c r="M3" s="163">
        <v>-46.8</v>
      </c>
      <c r="N3" s="172">
        <v>5471.47</v>
      </c>
      <c r="O3" s="190">
        <f>Tabela9[[#This Row],[Swap]]+Tabela9[[#This Row],[Profit]]</f>
        <v>5424.67</v>
      </c>
    </row>
    <row r="4" spans="1:16">
      <c r="A4" s="176"/>
      <c r="B4" s="176"/>
      <c r="C4" s="176" t="s">
        <v>232</v>
      </c>
      <c r="D4" s="176"/>
      <c r="E4" s="176" t="s">
        <v>195</v>
      </c>
      <c r="F4" s="176"/>
      <c r="G4" s="176"/>
      <c r="H4" s="176"/>
      <c r="I4" s="176"/>
      <c r="J4" s="175"/>
      <c r="K4" s="178" t="s">
        <v>234</v>
      </c>
      <c r="L4" s="178"/>
      <c r="M4" s="163">
        <v>4.9800000000000004</v>
      </c>
      <c r="N4" s="193">
        <v>-187.68</v>
      </c>
      <c r="O4" s="190">
        <f>Tabela9[[#This Row],[Swap]]+Tabela9[[#This Row],[Profit]]</f>
        <v>-182.70000000000002</v>
      </c>
    </row>
    <row r="5" spans="1:16">
      <c r="A5" s="189"/>
      <c r="B5" s="197"/>
      <c r="C5" s="174" t="s">
        <v>232</v>
      </c>
      <c r="D5" s="174"/>
      <c r="E5" s="174" t="s">
        <v>192</v>
      </c>
      <c r="F5" s="174"/>
      <c r="G5" s="174"/>
      <c r="H5" s="174"/>
      <c r="I5" s="197"/>
      <c r="J5" s="174"/>
      <c r="K5" s="178" t="s">
        <v>219</v>
      </c>
      <c r="L5" s="174"/>
      <c r="M5" s="161">
        <v>-2.8</v>
      </c>
      <c r="N5" s="173">
        <v>-268.8</v>
      </c>
      <c r="O5" s="190">
        <f>Tabela9[[#This Row],[Swap]]+Tabela9[[#This Row],[Profit]]</f>
        <v>-271.60000000000002</v>
      </c>
    </row>
    <row r="6" spans="1:16">
      <c r="A6" s="189"/>
      <c r="B6" s="189"/>
      <c r="C6" s="189" t="s">
        <v>232</v>
      </c>
      <c r="D6" s="189"/>
      <c r="E6" s="189" t="s">
        <v>193</v>
      </c>
      <c r="F6" s="189"/>
      <c r="G6" s="189"/>
      <c r="H6" s="189"/>
      <c r="I6" s="189"/>
      <c r="J6" s="174"/>
      <c r="K6" s="178" t="s">
        <v>219</v>
      </c>
      <c r="L6" s="174"/>
      <c r="M6" s="161">
        <v>-2.12</v>
      </c>
      <c r="N6" s="193">
        <v>796.1</v>
      </c>
      <c r="O6" s="190">
        <f>Tabela9[[#This Row],[Swap]]+Tabela9[[#This Row],[Profit]]</f>
        <v>793.98</v>
      </c>
    </row>
    <row r="7" spans="1:16">
      <c r="A7" s="179"/>
      <c r="B7" s="185"/>
      <c r="C7" s="178" t="s">
        <v>231</v>
      </c>
      <c r="D7" s="178"/>
      <c r="E7" s="178" t="s">
        <v>196</v>
      </c>
      <c r="F7" s="178"/>
      <c r="G7" s="178"/>
      <c r="H7" s="178"/>
      <c r="I7" s="185"/>
      <c r="J7" s="178"/>
      <c r="K7" s="178" t="s">
        <v>234</v>
      </c>
      <c r="L7" s="178"/>
      <c r="M7" s="163">
        <v>0</v>
      </c>
      <c r="N7" s="172">
        <v>-607.80999999999995</v>
      </c>
      <c r="O7" s="190">
        <f>Tabela9[[#This Row],[Swap]]+Tabela9[[#This Row],[Profit]]</f>
        <v>-607.80999999999995</v>
      </c>
    </row>
    <row r="8" spans="1:16">
      <c r="A8" s="176"/>
      <c r="B8" s="176"/>
      <c r="C8" s="176" t="s">
        <v>231</v>
      </c>
      <c r="D8" s="176"/>
      <c r="E8" s="176" t="s">
        <v>196</v>
      </c>
      <c r="F8" s="176"/>
      <c r="G8" s="176"/>
      <c r="H8" s="176"/>
      <c r="I8" s="176"/>
      <c r="J8" s="175"/>
      <c r="K8" s="178" t="s">
        <v>219</v>
      </c>
      <c r="L8" s="178"/>
      <c r="M8" s="178">
        <v>-1.1200000000000001</v>
      </c>
      <c r="N8" s="194">
        <v>-69.150000000000006</v>
      </c>
      <c r="O8" s="190">
        <f>Tabela9[[#This Row],[Swap]]+Tabela9[[#This Row],[Profit]]</f>
        <v>-70.27000000000001</v>
      </c>
    </row>
    <row r="9" spans="1:16">
      <c r="A9" s="189"/>
      <c r="B9" s="197"/>
      <c r="C9" s="174" t="s">
        <v>232</v>
      </c>
      <c r="D9" s="174"/>
      <c r="E9" s="174" t="s">
        <v>195</v>
      </c>
      <c r="F9" s="174"/>
      <c r="G9" s="174"/>
      <c r="H9" s="174"/>
      <c r="I9" s="197"/>
      <c r="J9" s="174"/>
      <c r="K9" s="178" t="s">
        <v>219</v>
      </c>
      <c r="L9" s="174"/>
      <c r="M9" s="174">
        <v>11.66</v>
      </c>
      <c r="N9" s="199">
        <v>-184.68</v>
      </c>
      <c r="O9" s="190">
        <f>Tabela9[[#This Row],[Swap]]+Tabela9[[#This Row],[Profit]]</f>
        <v>-173.02</v>
      </c>
    </row>
    <row r="10" spans="1:16">
      <c r="A10" s="189"/>
      <c r="B10" s="189"/>
      <c r="C10" s="189" t="s">
        <v>231</v>
      </c>
      <c r="D10" s="189"/>
      <c r="E10" s="189" t="s">
        <v>196</v>
      </c>
      <c r="F10" s="189"/>
      <c r="G10" s="189"/>
      <c r="H10" s="189"/>
      <c r="I10" s="189"/>
      <c r="J10" s="174"/>
      <c r="K10" s="178" t="s">
        <v>219</v>
      </c>
      <c r="L10" s="174"/>
      <c r="M10" s="174"/>
      <c r="N10" s="194">
        <v>-306.97000000000003</v>
      </c>
      <c r="O10" s="190">
        <f>Tabela9[[#This Row],[Swap]]+Tabela9[[#This Row],[Profit]]</f>
        <v>-306.97000000000003</v>
      </c>
    </row>
    <row r="11" spans="1:16">
      <c r="A11" s="179"/>
      <c r="B11" s="185"/>
      <c r="C11" s="178" t="s">
        <v>232</v>
      </c>
      <c r="D11" s="178"/>
      <c r="E11" s="178" t="s">
        <v>193</v>
      </c>
      <c r="F11" s="202"/>
      <c r="G11" s="202"/>
      <c r="H11" s="178"/>
      <c r="I11" s="185"/>
      <c r="J11" s="202"/>
      <c r="K11" s="178" t="s">
        <v>219</v>
      </c>
      <c r="L11" s="178"/>
      <c r="M11" s="178"/>
      <c r="N11" s="186">
        <v>-216</v>
      </c>
      <c r="O11" s="190">
        <f>Tabela9[[#This Row],[Swap]]+Tabela9[[#This Row],[Profit]]</f>
        <v>-216</v>
      </c>
    </row>
    <row r="12" spans="1:16">
      <c r="A12" s="176"/>
      <c r="B12" s="176"/>
      <c r="C12" s="176" t="s">
        <v>231</v>
      </c>
      <c r="D12" s="176"/>
      <c r="E12" s="176" t="s">
        <v>195</v>
      </c>
      <c r="F12" s="176"/>
      <c r="G12" s="176"/>
      <c r="H12" s="176"/>
      <c r="I12" s="176"/>
      <c r="J12" s="175"/>
      <c r="K12" s="178" t="s">
        <v>219</v>
      </c>
      <c r="L12" s="178"/>
      <c r="M12" s="178"/>
      <c r="N12" s="194">
        <v>-311.52</v>
      </c>
      <c r="O12" s="190">
        <f>Tabela9[[#This Row],[Swap]]+Tabela9[[#This Row],[Profit]]</f>
        <v>-311.52</v>
      </c>
    </row>
    <row r="13" spans="1:16">
      <c r="A13" s="189"/>
      <c r="B13" s="197"/>
      <c r="C13" s="174" t="s">
        <v>231</v>
      </c>
      <c r="D13" s="174"/>
      <c r="E13" s="176" t="s">
        <v>191</v>
      </c>
      <c r="F13" s="198"/>
      <c r="G13" s="198"/>
      <c r="H13" s="174"/>
      <c r="I13" s="197"/>
      <c r="J13" s="198"/>
      <c r="K13" s="178" t="s">
        <v>219</v>
      </c>
      <c r="L13" s="174"/>
      <c r="M13" s="174">
        <v>-1.58</v>
      </c>
      <c r="N13" s="199">
        <v>95.07</v>
      </c>
      <c r="O13" s="190">
        <f>Tabela9[[#This Row],[Swap]]+Tabela9[[#This Row],[Profit]]</f>
        <v>93.49</v>
      </c>
    </row>
    <row r="14" spans="1:16">
      <c r="A14" s="189"/>
      <c r="B14" s="189"/>
      <c r="C14" s="189" t="s">
        <v>231</v>
      </c>
      <c r="D14" s="189"/>
      <c r="E14" s="189" t="s">
        <v>191</v>
      </c>
      <c r="F14" s="189"/>
      <c r="G14" s="189"/>
      <c r="H14" s="189"/>
      <c r="I14" s="189"/>
      <c r="J14" s="174"/>
      <c r="K14" s="178" t="s">
        <v>219</v>
      </c>
      <c r="L14" s="174"/>
      <c r="M14" s="174"/>
      <c r="N14" s="194">
        <v>-430.84</v>
      </c>
      <c r="O14" s="190">
        <f>Tabela9[[#This Row],[Swap]]+Tabela9[[#This Row],[Profit]]</f>
        <v>-430.84</v>
      </c>
    </row>
    <row r="15" spans="1:16">
      <c r="A15" s="179"/>
      <c r="B15" s="185"/>
      <c r="C15" s="178" t="s">
        <v>231</v>
      </c>
      <c r="D15" s="178"/>
      <c r="E15" s="178" t="s">
        <v>191</v>
      </c>
      <c r="F15" s="202"/>
      <c r="G15" s="202"/>
      <c r="H15" s="178"/>
      <c r="I15" s="185"/>
      <c r="J15" s="202"/>
      <c r="K15" s="178" t="s">
        <v>219</v>
      </c>
      <c r="L15" s="178"/>
      <c r="M15" s="178"/>
      <c r="N15" s="186">
        <v>-325.54000000000002</v>
      </c>
      <c r="O15" s="190">
        <f>Tabela9[[#This Row],[Swap]]+Tabela9[[#This Row],[Profit]]</f>
        <v>-325.54000000000002</v>
      </c>
    </row>
    <row r="16" spans="1:16">
      <c r="A16" s="176"/>
      <c r="B16" s="176"/>
      <c r="C16" s="176" t="s">
        <v>232</v>
      </c>
      <c r="D16" s="176"/>
      <c r="E16" s="176" t="s">
        <v>193</v>
      </c>
      <c r="F16" s="176"/>
      <c r="G16" s="176"/>
      <c r="H16" s="176"/>
      <c r="I16" s="176"/>
      <c r="J16" s="175"/>
      <c r="K16" s="178" t="s">
        <v>233</v>
      </c>
      <c r="L16" s="178"/>
      <c r="M16" s="178">
        <v>-16.39</v>
      </c>
      <c r="N16" s="194">
        <v>814.08</v>
      </c>
      <c r="O16" s="190">
        <f>Tabela9[[#This Row],[Swap]]+Tabela9[[#This Row],[Profit]]</f>
        <v>797.69</v>
      </c>
    </row>
    <row r="17" spans="1:15">
      <c r="A17" s="204"/>
      <c r="B17" s="205"/>
      <c r="C17" s="206"/>
      <c r="D17" s="206"/>
      <c r="E17" s="206"/>
      <c r="F17" s="207"/>
      <c r="G17" s="207"/>
      <c r="H17" s="206"/>
      <c r="I17" s="205"/>
      <c r="J17" s="207"/>
      <c r="K17" s="178"/>
      <c r="L17" s="206"/>
      <c r="M17" s="206"/>
      <c r="N17" s="209"/>
      <c r="O17" s="210">
        <f>Tabela9[[#This Row],[Swap]]+Tabela9[[#This Row],[Profit]]</f>
        <v>0</v>
      </c>
    </row>
    <row r="18" spans="1:15">
      <c r="A18" s="204"/>
      <c r="B18" s="204"/>
      <c r="C18" s="204"/>
      <c r="D18" s="204"/>
      <c r="E18" s="204"/>
      <c r="F18" s="204"/>
      <c r="G18" s="204"/>
      <c r="H18" s="204"/>
      <c r="I18" s="204"/>
      <c r="J18" s="206"/>
      <c r="K18" s="178"/>
      <c r="L18" s="206"/>
      <c r="M18" s="206"/>
      <c r="N18" s="212"/>
      <c r="O18" s="210">
        <f>Tabela9[[#This Row],[Swap]]+Tabela9[[#This Row],[Profit]]</f>
        <v>0</v>
      </c>
    </row>
    <row r="19" spans="1:15">
      <c r="A19" s="213"/>
      <c r="B19" s="214"/>
      <c r="C19" s="208"/>
      <c r="D19" s="208"/>
      <c r="E19" s="208"/>
      <c r="F19" s="208"/>
      <c r="G19" s="208"/>
      <c r="H19" s="208"/>
      <c r="I19" s="214"/>
      <c r="J19" s="208"/>
      <c r="K19" s="178"/>
      <c r="L19" s="208"/>
      <c r="M19" s="208"/>
      <c r="N19" s="215"/>
      <c r="O19" s="210">
        <f>Tabela9[[#This Row],[Swap]]+Tabela9[[#This Row],[Profit]]</f>
        <v>0</v>
      </c>
    </row>
    <row r="20" spans="1:15">
      <c r="A20" s="216"/>
      <c r="B20" s="216"/>
      <c r="C20" s="216"/>
      <c r="D20" s="216"/>
      <c r="E20" s="216"/>
      <c r="F20" s="216"/>
      <c r="G20" s="216"/>
      <c r="H20" s="216"/>
      <c r="I20" s="216"/>
      <c r="J20" s="217"/>
      <c r="K20" s="178"/>
      <c r="L20" s="208"/>
      <c r="M20" s="208"/>
      <c r="N20" s="212"/>
      <c r="O20" s="210">
        <f>Tabela9[[#This Row],[Swap]]+Tabela9[[#This Row],[Profit]]</f>
        <v>0</v>
      </c>
    </row>
    <row r="21" spans="1:15">
      <c r="A21" s="204"/>
      <c r="B21" s="205"/>
      <c r="C21" s="206"/>
      <c r="D21" s="206"/>
      <c r="E21" s="206"/>
      <c r="F21" s="206"/>
      <c r="G21" s="206"/>
      <c r="H21" s="206"/>
      <c r="I21" s="205"/>
      <c r="J21" s="206"/>
      <c r="K21" s="208"/>
      <c r="L21" s="206"/>
      <c r="M21" s="206"/>
      <c r="N21" s="209"/>
      <c r="O21" s="210">
        <f>Tabela9[[#This Row],[Swap]]+Tabela9[[#This Row],[Profit]]</f>
        <v>0</v>
      </c>
    </row>
    <row r="22" spans="1:15">
      <c r="A22" s="204"/>
      <c r="B22" s="204"/>
      <c r="C22" s="204"/>
      <c r="D22" s="204"/>
      <c r="E22" s="204"/>
      <c r="F22" s="204"/>
      <c r="G22" s="204"/>
      <c r="H22" s="204"/>
      <c r="I22" s="204"/>
      <c r="J22" s="206"/>
      <c r="K22" s="178"/>
      <c r="L22" s="206"/>
      <c r="M22" s="206"/>
      <c r="N22" s="212"/>
      <c r="O22" s="210">
        <f>Tabela9[[#This Row],[Swap]]+Tabela9[[#This Row],[Profit]]</f>
        <v>0</v>
      </c>
    </row>
    <row r="23" spans="1:15">
      <c r="A23" s="213"/>
      <c r="B23" s="214"/>
      <c r="C23" s="208"/>
      <c r="D23" s="208"/>
      <c r="E23" s="208"/>
      <c r="F23" s="208"/>
      <c r="G23" s="208"/>
      <c r="H23" s="208"/>
      <c r="I23" s="214"/>
      <c r="J23" s="208"/>
      <c r="K23" s="178"/>
      <c r="L23" s="208"/>
      <c r="M23" s="208"/>
      <c r="N23" s="215"/>
      <c r="O23" s="210">
        <f>Tabela9[[#This Row],[Swap]]+Tabela9[[#This Row],[Profit]]</f>
        <v>0</v>
      </c>
    </row>
    <row r="24" spans="1:15">
      <c r="A24" s="176"/>
      <c r="B24" s="176"/>
      <c r="C24" s="176"/>
      <c r="D24" s="176"/>
      <c r="E24" s="176"/>
      <c r="F24" s="176"/>
      <c r="G24" s="176"/>
      <c r="H24" s="176"/>
      <c r="I24" s="176"/>
      <c r="J24" s="175"/>
      <c r="K24" s="178"/>
      <c r="L24" s="178"/>
      <c r="M24" s="178"/>
      <c r="N24" s="194"/>
      <c r="O24" s="190">
        <f>Tabela9[[#This Row],[Swap]]+Tabela9[[#This Row],[Profit]]</f>
        <v>0</v>
      </c>
    </row>
    <row r="25" spans="1:15">
      <c r="A25" s="189"/>
      <c r="B25" s="197"/>
      <c r="C25" s="174"/>
      <c r="D25" s="174"/>
      <c r="E25" s="174"/>
      <c r="F25" s="198"/>
      <c r="G25" s="198"/>
      <c r="H25" s="174"/>
      <c r="I25" s="197"/>
      <c r="J25" s="198"/>
      <c r="K25" s="178"/>
      <c r="L25" s="174"/>
      <c r="M25" s="174"/>
      <c r="N25" s="199"/>
      <c r="O25" s="190">
        <f>Tabela9[[#This Row],[Swap]]+Tabela9[[#This Row],[Profit]]</f>
        <v>0</v>
      </c>
    </row>
    <row r="26" spans="1:15">
      <c r="A26" s="189"/>
      <c r="B26" s="189"/>
      <c r="C26" s="189"/>
      <c r="D26" s="189"/>
      <c r="E26" s="189"/>
      <c r="F26" s="189"/>
      <c r="G26" s="189"/>
      <c r="H26" s="189"/>
      <c r="I26" s="189"/>
      <c r="J26" s="174"/>
      <c r="K26" s="178"/>
      <c r="L26" s="174"/>
      <c r="M26" s="174"/>
      <c r="N26" s="194"/>
      <c r="O26" s="190">
        <f>Tabela9[[#This Row],[Swap]]+Tabela9[[#This Row],[Profit]]</f>
        <v>0</v>
      </c>
    </row>
    <row r="27" spans="1:15">
      <c r="A27" s="179"/>
      <c r="B27" s="185"/>
      <c r="C27" s="178"/>
      <c r="D27" s="178"/>
      <c r="E27" s="178"/>
      <c r="F27" s="178"/>
      <c r="G27" s="178"/>
      <c r="H27" s="178"/>
      <c r="I27" s="185"/>
      <c r="J27" s="178"/>
      <c r="K27" s="178"/>
      <c r="L27" s="178"/>
      <c r="M27" s="178"/>
      <c r="N27" s="186"/>
      <c r="O27" s="190">
        <f>Tabela9[[#This Row],[Swap]]+Tabela9[[#This Row],[Profit]]</f>
        <v>0</v>
      </c>
    </row>
    <row r="28" spans="1:15">
      <c r="A28" s="176"/>
      <c r="B28" s="176"/>
      <c r="C28" s="176"/>
      <c r="D28" s="176"/>
      <c r="E28" s="176"/>
      <c r="F28" s="176"/>
      <c r="G28" s="176"/>
      <c r="H28" s="176"/>
      <c r="I28" s="176"/>
      <c r="J28" s="175"/>
      <c r="K28" s="178"/>
      <c r="L28" s="178"/>
      <c r="M28" s="178"/>
      <c r="N28" s="194"/>
      <c r="O28" s="190">
        <f>Tabela9[[#This Row],[Swap]]+Tabela9[[#This Row],[Profit]]</f>
        <v>0</v>
      </c>
    </row>
    <row r="29" spans="1:15">
      <c r="A29" s="189"/>
      <c r="B29" s="197"/>
      <c r="C29" s="174"/>
      <c r="D29" s="174"/>
      <c r="E29" s="174"/>
      <c r="F29" s="198"/>
      <c r="G29" s="198"/>
      <c r="H29" s="174"/>
      <c r="I29" s="197"/>
      <c r="J29" s="198"/>
      <c r="K29" s="178"/>
      <c r="L29" s="174"/>
      <c r="M29" s="174"/>
      <c r="N29" s="199"/>
      <c r="O29" s="190">
        <f>Tabela9[[#This Row],[Swap]]+Tabela9[[#This Row],[Profit]]</f>
        <v>0</v>
      </c>
    </row>
    <row r="30" spans="1:15">
      <c r="A30" s="189"/>
      <c r="B30" s="189"/>
      <c r="C30" s="189"/>
      <c r="D30" s="189"/>
      <c r="E30" s="189"/>
      <c r="F30" s="189"/>
      <c r="G30" s="189"/>
      <c r="H30" s="189"/>
      <c r="I30" s="189"/>
      <c r="J30" s="174"/>
      <c r="K30" s="178"/>
      <c r="L30" s="174"/>
      <c r="M30" s="174"/>
      <c r="N30" s="194"/>
      <c r="O30" s="190">
        <f>Tabela9[[#This Row],[Swap]]+Tabela9[[#This Row],[Profit]]</f>
        <v>0</v>
      </c>
    </row>
    <row r="31" spans="1:15">
      <c r="A31" s="179"/>
      <c r="B31" s="185"/>
      <c r="C31" s="178"/>
      <c r="D31" s="178"/>
      <c r="E31" s="178"/>
      <c r="F31" s="178"/>
      <c r="G31" s="178"/>
      <c r="H31" s="178"/>
      <c r="I31" s="185"/>
      <c r="J31" s="178"/>
      <c r="K31" s="178"/>
      <c r="L31" s="178"/>
      <c r="M31" s="178"/>
      <c r="N31" s="186"/>
      <c r="O31" s="190">
        <f>Tabela9[[#This Row],[Swap]]+Tabela9[[#This Row],[Profit]]</f>
        <v>0</v>
      </c>
    </row>
    <row r="32" spans="1:15">
      <c r="A32" s="176"/>
      <c r="B32" s="176"/>
      <c r="C32" s="176"/>
      <c r="D32" s="176"/>
      <c r="E32" s="176"/>
      <c r="F32" s="176"/>
      <c r="G32" s="176"/>
      <c r="H32" s="176"/>
      <c r="I32" s="176"/>
      <c r="J32" s="175"/>
      <c r="K32" s="178"/>
      <c r="L32" s="178"/>
      <c r="M32" s="178"/>
      <c r="N32" s="194"/>
      <c r="O32" s="190">
        <f>Tabela9[[#This Row],[Swap]]+Tabela9[[#This Row],[Profit]]</f>
        <v>0</v>
      </c>
    </row>
    <row r="33" spans="1:15">
      <c r="A33" s="189"/>
      <c r="B33" s="197"/>
      <c r="C33" s="174"/>
      <c r="D33" s="174"/>
      <c r="E33" s="174"/>
      <c r="F33" s="198"/>
      <c r="G33" s="198"/>
      <c r="H33" s="174"/>
      <c r="I33" s="197"/>
      <c r="J33" s="198"/>
      <c r="K33" s="178"/>
      <c r="L33" s="174"/>
      <c r="M33" s="174"/>
      <c r="N33" s="199"/>
      <c r="O33" s="190">
        <f>Tabela9[[#This Row],[Swap]]+Tabela9[[#This Row],[Profit]]</f>
        <v>0</v>
      </c>
    </row>
    <row r="34" spans="1:15">
      <c r="A34" s="189"/>
      <c r="B34" s="189"/>
      <c r="C34" s="189"/>
      <c r="D34" s="189"/>
      <c r="E34" s="189"/>
      <c r="F34" s="189"/>
      <c r="G34" s="189"/>
      <c r="H34" s="189"/>
      <c r="I34" s="189"/>
      <c r="J34" s="174"/>
      <c r="K34" s="178"/>
      <c r="L34" s="174"/>
      <c r="M34" s="174"/>
      <c r="N34" s="194"/>
      <c r="O34" s="190">
        <f>Tabela9[[#This Row],[Swap]]+Tabela9[[#This Row],[Profit]]</f>
        <v>0</v>
      </c>
    </row>
    <row r="35" spans="1:15">
      <c r="A35" s="179"/>
      <c r="B35" s="185"/>
      <c r="C35" s="178"/>
      <c r="D35" s="178"/>
      <c r="E35" s="178"/>
      <c r="F35" s="178"/>
      <c r="G35" s="178"/>
      <c r="H35" s="178"/>
      <c r="I35" s="185"/>
      <c r="J35" s="178"/>
      <c r="K35" s="178"/>
      <c r="L35" s="178"/>
      <c r="M35" s="178"/>
      <c r="N35" s="186"/>
      <c r="O35" s="190">
        <f>Tabela9[[#This Row],[Swap]]+Tabela9[[#This Row],[Profit]]</f>
        <v>0</v>
      </c>
    </row>
    <row r="36" spans="1:15">
      <c r="A36" s="176"/>
      <c r="B36" s="176"/>
      <c r="C36" s="176"/>
      <c r="D36" s="176"/>
      <c r="E36" s="176"/>
      <c r="F36" s="176"/>
      <c r="G36" s="176"/>
      <c r="H36" s="176"/>
      <c r="I36" s="176"/>
      <c r="J36" s="175"/>
      <c r="K36" s="178"/>
      <c r="L36" s="178"/>
      <c r="M36" s="178"/>
      <c r="N36" s="194"/>
      <c r="O36" s="190">
        <f>Tabela9[[#This Row],[Swap]]+Tabela9[[#This Row],[Profit]]</f>
        <v>0</v>
      </c>
    </row>
    <row r="37" spans="1:15">
      <c r="A37" s="189"/>
      <c r="B37" s="197"/>
      <c r="C37" s="174"/>
      <c r="D37" s="174"/>
      <c r="E37" s="174"/>
      <c r="F37" s="174"/>
      <c r="G37" s="174"/>
      <c r="H37" s="174"/>
      <c r="I37" s="197"/>
      <c r="J37" s="174"/>
      <c r="K37" s="178"/>
      <c r="L37" s="174"/>
      <c r="M37" s="174"/>
      <c r="N37" s="199"/>
      <c r="O37" s="190">
        <f>Tabela9[[#This Row],[Swap]]+Tabela9[[#This Row],[Profit]]</f>
        <v>0</v>
      </c>
    </row>
    <row r="38" spans="1:15">
      <c r="A38" s="189"/>
      <c r="B38" s="189"/>
      <c r="C38" s="189"/>
      <c r="D38" s="189"/>
      <c r="E38" s="189"/>
      <c r="F38" s="189"/>
      <c r="G38" s="189"/>
      <c r="H38" s="189"/>
      <c r="I38" s="189"/>
      <c r="J38" s="174"/>
      <c r="K38" s="178"/>
      <c r="L38" s="174"/>
      <c r="M38" s="174"/>
      <c r="N38" s="194"/>
      <c r="O38" s="190">
        <f>Tabela9[[#This Row],[Swap]]+Tabela9[[#This Row],[Profit]]</f>
        <v>0</v>
      </c>
    </row>
    <row r="39" spans="1:15">
      <c r="A39" s="179"/>
      <c r="B39" s="185"/>
      <c r="C39" s="178"/>
      <c r="D39" s="178"/>
      <c r="E39" s="178"/>
      <c r="F39" s="202"/>
      <c r="G39" s="202"/>
      <c r="H39" s="178"/>
      <c r="I39" s="185"/>
      <c r="J39" s="202"/>
      <c r="K39" s="178"/>
      <c r="L39" s="178"/>
      <c r="M39" s="178"/>
      <c r="N39" s="186"/>
      <c r="O39" s="190">
        <f>Tabela9[[#This Row],[Swap]]+Tabela9[[#This Row],[Profit]]</f>
        <v>0</v>
      </c>
    </row>
    <row r="40" spans="1:15">
      <c r="A40" s="176"/>
      <c r="B40" s="176"/>
      <c r="C40" s="176"/>
      <c r="D40" s="176"/>
      <c r="E40" s="176"/>
      <c r="F40" s="176"/>
      <c r="G40" s="176"/>
      <c r="H40" s="176"/>
      <c r="I40" s="176"/>
      <c r="J40" s="175"/>
      <c r="K40" s="178"/>
      <c r="L40" s="178"/>
      <c r="M40" s="178"/>
      <c r="N40" s="194"/>
      <c r="O40" s="190">
        <f>Tabela9[[#This Row],[Swap]]+Tabela9[[#This Row],[Profit]]</f>
        <v>0</v>
      </c>
    </row>
    <row r="41" spans="1:15">
      <c r="A41" s="189"/>
      <c r="B41" s="197"/>
      <c r="C41" s="174"/>
      <c r="D41" s="174"/>
      <c r="E41" s="174"/>
      <c r="F41" s="174"/>
      <c r="G41" s="174"/>
      <c r="H41" s="174"/>
      <c r="I41" s="197"/>
      <c r="J41" s="174"/>
      <c r="K41" s="178"/>
      <c r="L41" s="174"/>
      <c r="M41" s="174"/>
      <c r="N41" s="199"/>
      <c r="O41" s="190">
        <f>Tabela9[[#This Row],[Swap]]+Tabela9[[#This Row],[Profit]]</f>
        <v>0</v>
      </c>
    </row>
    <row r="42" spans="1:15">
      <c r="A42" s="189"/>
      <c r="B42" s="189"/>
      <c r="C42" s="189"/>
      <c r="D42" s="189"/>
      <c r="E42" s="189"/>
      <c r="F42" s="189"/>
      <c r="G42" s="189"/>
      <c r="H42" s="189"/>
      <c r="I42" s="189"/>
      <c r="J42" s="174"/>
      <c r="K42" s="178"/>
      <c r="L42" s="174"/>
      <c r="M42" s="174"/>
      <c r="N42" s="194"/>
      <c r="O42" s="190">
        <f>Tabela9[[#This Row],[Swap]]+Tabela9[[#This Row],[Profit]]</f>
        <v>0</v>
      </c>
    </row>
    <row r="43" spans="1:15">
      <c r="A43" s="179"/>
      <c r="B43" s="185"/>
      <c r="C43" s="178"/>
      <c r="D43" s="178"/>
      <c r="E43" s="178"/>
      <c r="F43" s="178"/>
      <c r="G43" s="178"/>
      <c r="H43" s="178"/>
      <c r="I43" s="185"/>
      <c r="J43" s="178"/>
      <c r="K43" s="178"/>
      <c r="L43" s="178"/>
      <c r="M43" s="178"/>
      <c r="N43" s="186"/>
      <c r="O43" s="190">
        <f>Tabela9[[#This Row],[Swap]]+Tabela9[[#This Row],[Profit]]</f>
        <v>0</v>
      </c>
    </row>
    <row r="44" spans="1:15">
      <c r="A44" s="176"/>
      <c r="B44" s="176"/>
      <c r="C44" s="176"/>
      <c r="D44" s="176"/>
      <c r="E44" s="178"/>
      <c r="F44" s="176"/>
      <c r="G44" s="176"/>
      <c r="H44" s="176"/>
      <c r="I44" s="176"/>
      <c r="J44" s="175"/>
      <c r="K44" s="178"/>
      <c r="L44" s="178"/>
      <c r="M44" s="178"/>
      <c r="N44" s="194"/>
      <c r="O44" s="190">
        <f>Tabela9[[#This Row],[Swap]]+Tabela9[[#This Row],[Profit]]</f>
        <v>0</v>
      </c>
    </row>
    <row r="45" spans="1:15">
      <c r="A45" s="189"/>
      <c r="B45" s="197"/>
      <c r="C45" s="174"/>
      <c r="D45" s="174"/>
      <c r="E45" s="176"/>
      <c r="F45" s="198"/>
      <c r="G45" s="198"/>
      <c r="H45" s="174"/>
      <c r="I45" s="197"/>
      <c r="J45" s="198"/>
      <c r="K45" s="178"/>
      <c r="L45" s="174"/>
      <c r="M45" s="174"/>
      <c r="N45" s="199"/>
      <c r="O45" s="190">
        <f>Tabela9[[#This Row],[Swap]]+Tabela9[[#This Row],[Profit]]</f>
        <v>0</v>
      </c>
    </row>
    <row r="46" spans="1:15">
      <c r="A46" s="189"/>
      <c r="B46" s="189"/>
      <c r="C46" s="189"/>
      <c r="D46" s="189"/>
      <c r="E46" s="174"/>
      <c r="F46" s="189"/>
      <c r="G46" s="189"/>
      <c r="H46" s="189"/>
      <c r="I46" s="189"/>
      <c r="J46" s="174"/>
      <c r="K46" s="178"/>
      <c r="L46" s="174"/>
      <c r="M46" s="174"/>
      <c r="N46" s="194"/>
      <c r="O46" s="190">
        <f>Tabela9[[#This Row],[Swap]]+Tabela9[[#This Row],[Profit]]</f>
        <v>0</v>
      </c>
    </row>
    <row r="47" spans="1:15">
      <c r="A47" s="179"/>
      <c r="B47" s="185"/>
      <c r="C47" s="178"/>
      <c r="D47" s="178"/>
      <c r="E47" s="178"/>
      <c r="F47" s="178"/>
      <c r="G47" s="178"/>
      <c r="H47" s="178"/>
      <c r="I47" s="185"/>
      <c r="J47" s="178"/>
      <c r="K47" s="178"/>
      <c r="L47" s="178"/>
      <c r="M47" s="178"/>
      <c r="N47" s="186"/>
      <c r="O47" s="190">
        <f>Tabela9[[#This Row],[Swap]]+Tabela9[[#This Row],[Profit]]</f>
        <v>0</v>
      </c>
    </row>
    <row r="48" spans="1:15">
      <c r="A48" s="176"/>
      <c r="B48" s="176"/>
      <c r="C48" s="176"/>
      <c r="D48" s="176"/>
      <c r="E48" s="176"/>
      <c r="F48" s="176"/>
      <c r="G48" s="176"/>
      <c r="H48" s="176"/>
      <c r="I48" s="176"/>
      <c r="J48" s="175"/>
      <c r="K48" s="178"/>
      <c r="L48" s="178"/>
      <c r="M48" s="178"/>
      <c r="N48" s="194"/>
      <c r="O48" s="190">
        <f>Tabela9[[#This Row],[Swap]]+Tabela9[[#This Row],[Profit]]</f>
        <v>0</v>
      </c>
    </row>
    <row r="49" spans="1:15">
      <c r="A49" s="189"/>
      <c r="B49" s="197"/>
      <c r="C49" s="174"/>
      <c r="D49" s="174"/>
      <c r="E49" s="174"/>
      <c r="F49" s="198"/>
      <c r="G49" s="198"/>
      <c r="H49" s="174"/>
      <c r="I49" s="197"/>
      <c r="J49" s="198"/>
      <c r="K49" s="178"/>
      <c r="L49" s="174"/>
      <c r="M49" s="174"/>
      <c r="N49" s="199"/>
      <c r="O49" s="190">
        <f>Tabela9[[#This Row],[Swap]]+Tabela9[[#This Row],[Profit]]</f>
        <v>0</v>
      </c>
    </row>
    <row r="50" spans="1:15">
      <c r="A50" s="189"/>
      <c r="B50" s="189"/>
      <c r="C50" s="189"/>
      <c r="D50" s="189"/>
      <c r="E50" s="189"/>
      <c r="F50" s="189"/>
      <c r="G50" s="189"/>
      <c r="H50" s="189"/>
      <c r="I50" s="189"/>
      <c r="J50" s="174"/>
      <c r="K50" s="178"/>
      <c r="L50" s="174"/>
      <c r="M50" s="174"/>
      <c r="N50" s="194"/>
      <c r="O50" s="190">
        <f>Tabela9[[#This Row],[Swap]]+Tabela9[[#This Row],[Profit]]</f>
        <v>0</v>
      </c>
    </row>
    <row r="51" spans="1:15">
      <c r="A51" s="179"/>
      <c r="B51" s="185"/>
      <c r="C51" s="178"/>
      <c r="D51" s="178"/>
      <c r="E51" s="178"/>
      <c r="F51" s="178"/>
      <c r="G51" s="178"/>
      <c r="H51" s="178"/>
      <c r="I51" s="185"/>
      <c r="J51" s="178"/>
      <c r="K51" s="178"/>
      <c r="L51" s="178"/>
      <c r="M51" s="178"/>
      <c r="N51" s="186"/>
      <c r="O51" s="190">
        <f>Tabela9[[#This Row],[Swap]]+Tabela9[[#This Row],[Profit]]</f>
        <v>0</v>
      </c>
    </row>
    <row r="52" spans="1:15">
      <c r="A52" s="176"/>
      <c r="B52" s="176"/>
      <c r="C52" s="176"/>
      <c r="D52" s="176"/>
      <c r="E52" s="176"/>
      <c r="F52" s="176"/>
      <c r="G52" s="176"/>
      <c r="H52" s="176"/>
      <c r="I52" s="176"/>
      <c r="J52" s="175"/>
      <c r="K52" s="178"/>
      <c r="L52" s="178"/>
      <c r="M52" s="178"/>
      <c r="N52" s="194"/>
      <c r="O52" s="190">
        <f>Tabela9[[#This Row],[Swap]]+Tabela9[[#This Row],[Profit]]</f>
        <v>0</v>
      </c>
    </row>
    <row r="53" spans="1:15">
      <c r="A53" s="189"/>
      <c r="B53" s="197"/>
      <c r="C53" s="174"/>
      <c r="D53" s="174"/>
      <c r="E53" s="174"/>
      <c r="F53" s="174"/>
      <c r="G53" s="174"/>
      <c r="H53" s="174"/>
      <c r="I53" s="197"/>
      <c r="J53" s="174"/>
      <c r="K53" s="178"/>
      <c r="L53" s="174"/>
      <c r="M53" s="174"/>
      <c r="N53" s="199"/>
      <c r="O53" s="190">
        <f>Tabela9[[#This Row],[Swap]]+Tabela9[[#This Row],[Profit]]</f>
        <v>0</v>
      </c>
    </row>
    <row r="54" spans="1:15">
      <c r="A54" s="189"/>
      <c r="B54" s="189"/>
      <c r="C54" s="189"/>
      <c r="D54" s="189"/>
      <c r="E54" s="189"/>
      <c r="F54" s="189"/>
      <c r="G54" s="189"/>
      <c r="H54" s="189"/>
      <c r="I54" s="189"/>
      <c r="J54" s="174"/>
      <c r="K54" s="178"/>
      <c r="L54" s="174"/>
      <c r="M54" s="174"/>
      <c r="N54" s="194"/>
      <c r="O54" s="190">
        <f>Tabela9[[#This Row],[Swap]]+Tabela9[[#This Row],[Profit]]</f>
        <v>0</v>
      </c>
    </row>
    <row r="55" spans="1:15">
      <c r="A55" s="179"/>
      <c r="B55" s="185"/>
      <c r="C55" s="178"/>
      <c r="D55" s="178"/>
      <c r="E55" s="178"/>
      <c r="F55" s="202"/>
      <c r="G55" s="202"/>
      <c r="H55" s="178"/>
      <c r="I55" s="185"/>
      <c r="J55" s="202"/>
      <c r="K55" s="178"/>
      <c r="L55" s="178"/>
      <c r="M55" s="178"/>
      <c r="N55" s="186"/>
      <c r="O55" s="190">
        <f>Tabela9[[#This Row],[Swap]]+Tabela9[[#This Row],[Profit]]</f>
        <v>0</v>
      </c>
    </row>
    <row r="56" spans="1:15">
      <c r="A56" s="176"/>
      <c r="B56" s="176"/>
      <c r="C56" s="176"/>
      <c r="D56" s="176"/>
      <c r="E56" s="176"/>
      <c r="F56" s="176"/>
      <c r="G56" s="176"/>
      <c r="H56" s="176"/>
      <c r="I56" s="176"/>
      <c r="J56" s="175"/>
      <c r="K56" s="178"/>
      <c r="L56" s="178"/>
      <c r="M56" s="178"/>
      <c r="N56" s="194"/>
      <c r="O56" s="190">
        <f>Tabela9[[#This Row],[Swap]]+Tabela9[[#This Row],[Profit]]</f>
        <v>0</v>
      </c>
    </row>
    <row r="57" spans="1:15">
      <c r="A57" s="204"/>
      <c r="B57" s="205"/>
      <c r="C57" s="206"/>
      <c r="D57" s="206"/>
      <c r="E57" s="206"/>
      <c r="F57" s="207"/>
      <c r="G57" s="207"/>
      <c r="H57" s="206"/>
      <c r="I57" s="205"/>
      <c r="J57" s="207"/>
      <c r="K57" s="178"/>
      <c r="L57" s="206"/>
      <c r="M57" s="206"/>
      <c r="N57" s="209"/>
      <c r="O57" s="210">
        <f>Tabela9[[#This Row],[Swap]]+Tabela9[[#This Row],[Profit]]</f>
        <v>0</v>
      </c>
    </row>
    <row r="58" spans="1:15">
      <c r="A58" s="204"/>
      <c r="B58" s="204"/>
      <c r="C58" s="204"/>
      <c r="D58" s="204"/>
      <c r="E58" s="204"/>
      <c r="F58" s="204"/>
      <c r="G58" s="204"/>
      <c r="H58" s="204"/>
      <c r="I58" s="204"/>
      <c r="J58" s="206"/>
      <c r="K58" s="178"/>
      <c r="L58" s="206"/>
      <c r="M58" s="206"/>
      <c r="N58" s="212"/>
      <c r="O58" s="210">
        <f>Tabela9[[#This Row],[Swap]]+Tabela9[[#This Row],[Profit]]</f>
        <v>0</v>
      </c>
    </row>
    <row r="59" spans="1:15">
      <c r="A59" s="213"/>
      <c r="B59" s="214"/>
      <c r="C59" s="208"/>
      <c r="D59" s="208"/>
      <c r="E59" s="208"/>
      <c r="F59" s="218"/>
      <c r="G59" s="218"/>
      <c r="H59" s="208"/>
      <c r="I59" s="214"/>
      <c r="J59" s="218"/>
      <c r="K59" s="178"/>
      <c r="L59" s="208"/>
      <c r="M59" s="208"/>
      <c r="N59" s="215"/>
      <c r="O59" s="210">
        <f>Tabela9[[#This Row],[Swap]]+Tabela9[[#This Row],[Profit]]</f>
        <v>0</v>
      </c>
    </row>
    <row r="60" spans="1:15">
      <c r="A60" s="216"/>
      <c r="B60" s="216"/>
      <c r="C60" s="216"/>
      <c r="D60" s="216"/>
      <c r="E60" s="216"/>
      <c r="F60" s="216"/>
      <c r="G60" s="216"/>
      <c r="H60" s="216"/>
      <c r="I60" s="216"/>
      <c r="J60" s="217"/>
      <c r="K60" s="178"/>
      <c r="L60" s="208"/>
      <c r="M60" s="208"/>
      <c r="N60" s="212"/>
      <c r="O60" s="210">
        <f>Tabela9[[#This Row],[Swap]]+Tabela9[[#This Row],[Profit]]</f>
        <v>0</v>
      </c>
    </row>
    <row r="61" spans="1:15">
      <c r="A61" s="204"/>
      <c r="B61" s="205"/>
      <c r="C61" s="206"/>
      <c r="D61" s="206"/>
      <c r="E61" s="206"/>
      <c r="F61" s="207"/>
      <c r="G61" s="207"/>
      <c r="H61" s="206"/>
      <c r="I61" s="205"/>
      <c r="J61" s="207"/>
      <c r="K61" s="208"/>
      <c r="L61" s="206"/>
      <c r="M61" s="206"/>
      <c r="N61" s="209"/>
      <c r="O61" s="210">
        <f>Tabela9[[#This Row],[Swap]]+Tabela9[[#This Row],[Profit]]</f>
        <v>0</v>
      </c>
    </row>
    <row r="62" spans="1:15">
      <c r="A62" s="159"/>
      <c r="B62" s="159"/>
      <c r="C62" s="159"/>
      <c r="D62" s="159"/>
      <c r="E62" s="159"/>
      <c r="F62" s="159"/>
      <c r="G62" s="159"/>
      <c r="H62" s="159"/>
      <c r="I62" s="159"/>
      <c r="J62" s="161"/>
      <c r="K62" s="163"/>
      <c r="L62" s="161"/>
      <c r="M62" s="161"/>
      <c r="N62" s="193"/>
    </row>
    <row r="63" spans="1:15">
      <c r="A63" s="177"/>
      <c r="B63" s="162"/>
      <c r="C63" s="163"/>
      <c r="D63" s="163"/>
      <c r="E63" s="163"/>
      <c r="F63" s="163"/>
      <c r="G63" s="163"/>
      <c r="H63" s="163"/>
      <c r="I63" s="162"/>
      <c r="J63" s="163"/>
      <c r="K63" s="163"/>
      <c r="L63" s="163"/>
      <c r="M63" s="163"/>
      <c r="N63" s="172"/>
    </row>
    <row r="64" spans="1:15">
      <c r="A64" s="167"/>
      <c r="B64" s="167"/>
      <c r="C64" s="167"/>
      <c r="D64" s="167"/>
      <c r="E64" s="167"/>
      <c r="F64" s="167"/>
      <c r="G64" s="167"/>
      <c r="H64" s="167"/>
      <c r="I64" s="167"/>
      <c r="J64" s="165"/>
      <c r="K64" s="161"/>
      <c r="L64" s="163"/>
      <c r="M64" s="163"/>
      <c r="N64" s="193"/>
    </row>
    <row r="65" spans="1:14">
      <c r="A65" s="159"/>
      <c r="B65" s="160"/>
      <c r="C65" s="161"/>
      <c r="D65" s="161"/>
      <c r="E65" s="161"/>
      <c r="F65" s="166"/>
      <c r="G65" s="166"/>
      <c r="H65" s="161"/>
      <c r="I65" s="160"/>
      <c r="J65" s="166"/>
      <c r="K65" s="161"/>
      <c r="L65" s="161"/>
      <c r="M65" s="161"/>
      <c r="N65" s="173"/>
    </row>
    <row r="66" spans="1:14">
      <c r="A66" s="159"/>
      <c r="B66" s="159"/>
      <c r="C66" s="159"/>
      <c r="D66" s="159"/>
      <c r="E66" s="159"/>
      <c r="F66" s="159"/>
      <c r="G66" s="159"/>
      <c r="H66" s="159"/>
      <c r="I66" s="159"/>
      <c r="J66" s="161"/>
      <c r="K66" s="163"/>
      <c r="L66" s="161"/>
      <c r="M66" s="161"/>
      <c r="N66" s="193"/>
    </row>
    <row r="67" spans="1:14">
      <c r="A67" s="177"/>
      <c r="B67" s="162"/>
      <c r="C67" s="163"/>
      <c r="D67" s="163"/>
      <c r="E67" s="163"/>
      <c r="F67" s="163"/>
      <c r="G67" s="163"/>
      <c r="H67" s="163"/>
      <c r="I67" s="162"/>
      <c r="J67" s="163"/>
      <c r="K67" s="163"/>
      <c r="L67" s="163"/>
      <c r="M67" s="163"/>
      <c r="N67" s="172"/>
    </row>
    <row r="68" spans="1:14">
      <c r="A68" s="167"/>
      <c r="B68" s="167"/>
      <c r="C68" s="167"/>
      <c r="D68" s="167"/>
      <c r="E68" s="167"/>
      <c r="F68" s="167"/>
      <c r="G68" s="167"/>
      <c r="H68" s="167"/>
      <c r="I68" s="167"/>
      <c r="J68" s="165"/>
      <c r="K68" s="161"/>
      <c r="L68" s="163"/>
      <c r="M68" s="163"/>
      <c r="N68" s="193"/>
    </row>
    <row r="69" spans="1:14">
      <c r="A69" s="159"/>
      <c r="B69" s="160"/>
      <c r="C69" s="161"/>
      <c r="D69" s="161"/>
      <c r="E69" s="161"/>
      <c r="F69" s="166"/>
      <c r="G69" s="166"/>
      <c r="H69" s="161"/>
      <c r="I69" s="160"/>
      <c r="J69" s="166"/>
      <c r="K69" s="161"/>
      <c r="L69" s="161"/>
      <c r="M69" s="161"/>
      <c r="N69" s="173"/>
    </row>
    <row r="70" spans="1:14">
      <c r="A70" s="159"/>
      <c r="B70" s="159"/>
      <c r="C70" s="159"/>
      <c r="D70" s="159"/>
      <c r="E70" s="159"/>
      <c r="F70" s="159"/>
      <c r="G70" s="159"/>
      <c r="H70" s="159"/>
      <c r="I70" s="159"/>
      <c r="J70" s="161"/>
      <c r="K70" s="163"/>
      <c r="L70" s="161"/>
      <c r="M70" s="161"/>
      <c r="N70" s="193"/>
    </row>
    <row r="71" spans="1:14">
      <c r="A71" s="177"/>
      <c r="B71" s="162"/>
      <c r="C71" s="163"/>
      <c r="D71" s="163"/>
      <c r="E71" s="163"/>
      <c r="F71" s="164"/>
      <c r="G71" s="164"/>
      <c r="H71" s="163"/>
      <c r="I71" s="162"/>
      <c r="J71" s="164"/>
      <c r="K71" s="163"/>
      <c r="L71" s="163"/>
      <c r="M71" s="163"/>
      <c r="N71" s="172"/>
    </row>
    <row r="72" spans="1:14">
      <c r="A72" s="167"/>
      <c r="B72" s="167"/>
      <c r="C72" s="167"/>
      <c r="D72" s="167"/>
      <c r="E72" s="167"/>
      <c r="F72" s="167"/>
      <c r="G72" s="167"/>
      <c r="H72" s="167"/>
      <c r="I72" s="167"/>
      <c r="J72" s="165"/>
      <c r="K72" s="161"/>
      <c r="L72" s="163"/>
      <c r="M72" s="163"/>
      <c r="N72" s="193"/>
    </row>
    <row r="73" spans="1:14">
      <c r="A73" s="159"/>
      <c r="B73" s="160"/>
      <c r="C73" s="161"/>
      <c r="D73" s="161"/>
      <c r="E73" s="161"/>
      <c r="F73" s="166"/>
      <c r="G73" s="166"/>
      <c r="H73" s="161"/>
      <c r="I73" s="160"/>
      <c r="J73" s="166"/>
      <c r="K73" s="161"/>
      <c r="L73" s="161"/>
      <c r="M73" s="161"/>
      <c r="N73" s="173"/>
    </row>
    <row r="74" spans="1:14">
      <c r="A74" s="159"/>
      <c r="B74" s="159"/>
      <c r="C74" s="159"/>
      <c r="D74" s="159"/>
      <c r="E74" s="159"/>
      <c r="F74" s="159"/>
      <c r="G74" s="159"/>
      <c r="H74" s="159"/>
      <c r="I74" s="159"/>
      <c r="J74" s="161"/>
      <c r="K74" s="163"/>
      <c r="L74" s="161"/>
      <c r="M74" s="161"/>
      <c r="N74" s="193"/>
    </row>
    <row r="75" spans="1:14">
      <c r="A75" s="177"/>
      <c r="B75" s="162"/>
      <c r="C75" s="163"/>
      <c r="D75" s="163"/>
      <c r="E75" s="163"/>
      <c r="F75" s="164"/>
      <c r="G75" s="164"/>
      <c r="H75" s="163"/>
      <c r="I75" s="162"/>
      <c r="J75" s="164"/>
      <c r="K75" s="163"/>
      <c r="L75" s="163"/>
      <c r="M75" s="163"/>
      <c r="N75" s="172"/>
    </row>
    <row r="76" spans="1:14">
      <c r="A76" s="167"/>
      <c r="B76" s="167"/>
      <c r="C76" s="167"/>
      <c r="D76" s="167"/>
      <c r="E76" s="167"/>
      <c r="F76" s="167"/>
      <c r="G76" s="167"/>
      <c r="H76" s="167"/>
      <c r="I76" s="167"/>
      <c r="J76" s="165"/>
      <c r="K76" s="161"/>
      <c r="L76" s="163"/>
      <c r="M76" s="163"/>
      <c r="N76" s="193"/>
    </row>
    <row r="77" spans="1:14">
      <c r="A77" s="159"/>
      <c r="B77" s="160"/>
      <c r="C77" s="161"/>
      <c r="D77" s="161"/>
      <c r="E77" s="161"/>
      <c r="F77" s="166"/>
      <c r="G77" s="166"/>
      <c r="H77" s="161"/>
      <c r="I77" s="160"/>
      <c r="J77" s="166"/>
      <c r="K77" s="161"/>
      <c r="L77" s="161"/>
      <c r="M77" s="161"/>
      <c r="N77" s="173"/>
    </row>
    <row r="78" spans="1:14">
      <c r="A78" s="159"/>
      <c r="B78" s="159"/>
      <c r="C78" s="159"/>
      <c r="D78" s="159"/>
      <c r="E78" s="159"/>
      <c r="F78" s="159"/>
      <c r="G78" s="159"/>
      <c r="H78" s="159"/>
      <c r="I78" s="159"/>
      <c r="J78" s="161"/>
      <c r="K78" s="163"/>
      <c r="L78" s="161"/>
      <c r="M78" s="161"/>
      <c r="N78" s="193"/>
    </row>
    <row r="79" spans="1:14">
      <c r="A79" s="177"/>
      <c r="B79" s="162"/>
      <c r="C79" s="163"/>
      <c r="D79" s="163"/>
      <c r="E79" s="163"/>
      <c r="F79" s="164"/>
      <c r="G79" s="164"/>
      <c r="H79" s="163"/>
      <c r="I79" s="162"/>
      <c r="J79" s="164"/>
      <c r="K79" s="163"/>
      <c r="L79" s="163"/>
      <c r="M79" s="163"/>
      <c r="N79" s="172"/>
    </row>
    <row r="80" spans="1:14">
      <c r="A80" s="167"/>
      <c r="B80" s="167"/>
      <c r="C80" s="167"/>
      <c r="D80" s="167"/>
      <c r="E80" s="167"/>
      <c r="F80" s="167"/>
      <c r="G80" s="167"/>
      <c r="H80" s="167"/>
      <c r="I80" s="167"/>
      <c r="J80" s="165"/>
      <c r="K80" s="161"/>
      <c r="L80" s="163"/>
      <c r="M80" s="163"/>
      <c r="N80" s="193"/>
    </row>
    <row r="81" spans="1:18">
      <c r="A81" s="159"/>
      <c r="B81" s="160"/>
      <c r="C81" s="161"/>
      <c r="D81" s="161"/>
      <c r="E81" s="161"/>
      <c r="F81" s="166"/>
      <c r="G81" s="166"/>
      <c r="H81" s="161"/>
      <c r="I81" s="160"/>
      <c r="J81" s="166"/>
      <c r="K81" s="195"/>
      <c r="L81" s="161"/>
      <c r="M81" s="161"/>
      <c r="N81" s="173"/>
    </row>
    <row r="82" spans="1:18">
      <c r="A82" s="159"/>
      <c r="B82" s="159"/>
      <c r="C82" s="159"/>
      <c r="D82" s="159"/>
      <c r="E82" s="159"/>
      <c r="F82" s="159"/>
      <c r="G82" s="159"/>
      <c r="H82" s="159"/>
      <c r="I82" s="159"/>
      <c r="J82" s="161"/>
      <c r="K82" s="192"/>
      <c r="L82" s="195"/>
      <c r="M82" s="195"/>
      <c r="N82" s="193"/>
    </row>
    <row r="83" spans="1:18">
      <c r="A83" s="177"/>
      <c r="B83" s="162"/>
      <c r="C83" s="163"/>
      <c r="D83" s="163"/>
      <c r="E83" s="163"/>
      <c r="F83" s="164"/>
      <c r="G83" s="164"/>
      <c r="H83" s="163"/>
      <c r="I83" s="162"/>
      <c r="J83" s="164"/>
      <c r="L83" s="192"/>
      <c r="M83" s="192"/>
      <c r="N83" s="172"/>
    </row>
    <row r="84" spans="1:18">
      <c r="A84" s="167"/>
      <c r="B84" s="167"/>
      <c r="C84" s="167"/>
      <c r="D84" s="167"/>
      <c r="E84" s="167"/>
      <c r="F84" s="167"/>
      <c r="G84" s="167"/>
      <c r="H84" s="167"/>
      <c r="I84" s="167"/>
      <c r="J84" s="165"/>
      <c r="N84" s="193"/>
    </row>
    <row r="85" spans="1:18">
      <c r="A85" s="159"/>
      <c r="B85" s="160"/>
      <c r="C85" s="161"/>
      <c r="D85" s="161"/>
      <c r="E85" s="161"/>
      <c r="F85" s="161"/>
      <c r="G85" s="161"/>
      <c r="H85" s="161"/>
      <c r="I85" s="160"/>
      <c r="J85" s="161"/>
      <c r="N85" s="173"/>
      <c r="Q85" s="184">
        <v>-13.96</v>
      </c>
      <c r="R85" s="203">
        <v>-594.52</v>
      </c>
    </row>
    <row r="86" spans="1:18">
      <c r="A86" s="159"/>
      <c r="B86" s="159"/>
      <c r="C86" s="159"/>
      <c r="D86" s="159"/>
      <c r="E86" s="159"/>
      <c r="F86" s="159"/>
      <c r="G86" s="159"/>
      <c r="H86" s="159"/>
      <c r="I86" s="159"/>
      <c r="J86" s="161"/>
      <c r="N86" s="193"/>
      <c r="Q86" s="163"/>
      <c r="R86" s="172">
        <v>-299.45</v>
      </c>
    </row>
    <row r="87" spans="1:18">
      <c r="A87" s="226"/>
      <c r="B87" s="226"/>
      <c r="C87" s="226"/>
      <c r="D87" s="226"/>
      <c r="E87" s="226"/>
      <c r="F87" s="226"/>
      <c r="G87" s="226"/>
      <c r="H87" s="226"/>
      <c r="I87" s="226"/>
      <c r="J87" s="226"/>
      <c r="N87" s="196"/>
      <c r="Q87" s="163"/>
      <c r="R87" s="193">
        <v>-401.33</v>
      </c>
    </row>
    <row r="88" spans="1:18">
      <c r="Q88" s="161"/>
      <c r="R88" s="173">
        <v>-194.7</v>
      </c>
    </row>
    <row r="89" spans="1:18">
      <c r="Q89" s="161"/>
      <c r="R89" s="193">
        <v>-461.63</v>
      </c>
    </row>
    <row r="90" spans="1:18">
      <c r="Q90" s="163">
        <v>-64.61</v>
      </c>
      <c r="R90" s="172">
        <v>1060.2</v>
      </c>
    </row>
  </sheetData>
  <mergeCells count="1">
    <mergeCell ref="A87:J87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Plan12"/>
  <dimension ref="A1:V94"/>
  <sheetViews>
    <sheetView workbookViewId="0">
      <selection activeCell="A6" sqref="A6"/>
    </sheetView>
  </sheetViews>
  <sheetFormatPr defaultRowHeight="12"/>
  <cols>
    <col min="1" max="1" width="10.5703125" style="180" bestFit="1" customWidth="1"/>
    <col min="2" max="2" width="8.42578125" style="180" customWidth="1"/>
    <col min="3" max="3" width="8.85546875" style="180" customWidth="1"/>
    <col min="4" max="5" width="9.7109375" style="180" customWidth="1"/>
    <col min="6" max="6" width="11.5703125" style="180" customWidth="1"/>
    <col min="7" max="7" width="13.42578125" style="180" customWidth="1"/>
    <col min="8" max="8" width="13.7109375" style="180" customWidth="1"/>
    <col min="9" max="9" width="3" style="180" bestFit="1" customWidth="1"/>
    <col min="10" max="10" width="11.28515625" style="181" bestFit="1" customWidth="1"/>
    <col min="11" max="11" width="6.7109375" style="182" bestFit="1" customWidth="1"/>
    <col min="12" max="12" width="11" style="183" bestFit="1" customWidth="1"/>
    <col min="13" max="13" width="2.85546875" style="180" customWidth="1"/>
    <col min="14" max="14" width="9.140625" style="183" bestFit="1" customWidth="1"/>
    <col min="15" max="15" width="8" style="180" bestFit="1" customWidth="1"/>
    <col min="16" max="16" width="9.140625" style="180"/>
    <col min="17" max="17" width="6.42578125" style="180" bestFit="1" customWidth="1"/>
    <col min="18" max="19" width="16.5703125" style="180" bestFit="1" customWidth="1"/>
    <col min="20" max="20" width="12.28515625" style="180" bestFit="1" customWidth="1"/>
    <col min="21" max="22" width="12.140625" style="180" bestFit="1" customWidth="1"/>
    <col min="23" max="16384" width="9.140625" style="180"/>
  </cols>
  <sheetData>
    <row r="1" spans="1:22">
      <c r="A1" s="220" t="s">
        <v>202</v>
      </c>
      <c r="B1" s="180" t="s">
        <v>219</v>
      </c>
    </row>
    <row r="2" spans="1:22">
      <c r="Q2" s="188" t="s">
        <v>226</v>
      </c>
      <c r="R2" s="188" t="s">
        <v>227</v>
      </c>
      <c r="S2" s="188" t="s">
        <v>228</v>
      </c>
      <c r="T2" s="188" t="s">
        <v>229</v>
      </c>
    </row>
    <row r="3" spans="1:22" ht="12.75">
      <c r="B3" s="220" t="s">
        <v>207</v>
      </c>
      <c r="H3"/>
      <c r="J3" s="181">
        <v>26717.360000000001</v>
      </c>
      <c r="N3" s="181">
        <v>100</v>
      </c>
      <c r="O3" s="182"/>
      <c r="P3" s="183"/>
      <c r="Q3" s="187">
        <v>41760</v>
      </c>
      <c r="R3" s="181">
        <v>30023.86</v>
      </c>
      <c r="S3" s="181">
        <v>29986.69</v>
      </c>
      <c r="T3" s="182">
        <f>(S3-R3)/R3</f>
        <v>-1.2380153651130098E-3</v>
      </c>
      <c r="U3" s="183">
        <v>100</v>
      </c>
      <c r="V3" s="219">
        <f>U3*(1+T3)</f>
        <v>99.876198463488691</v>
      </c>
    </row>
    <row r="4" spans="1:22" ht="12.75">
      <c r="A4" s="220" t="s">
        <v>216</v>
      </c>
      <c r="B4" s="180" t="s">
        <v>212</v>
      </c>
      <c r="C4" s="180" t="s">
        <v>222</v>
      </c>
      <c r="D4" s="180" t="s">
        <v>213</v>
      </c>
      <c r="E4" s="180" t="s">
        <v>223</v>
      </c>
      <c r="F4" s="180" t="s">
        <v>224</v>
      </c>
      <c r="G4" s="180" t="s">
        <v>225</v>
      </c>
      <c r="H4"/>
      <c r="I4" s="180" t="s">
        <v>214</v>
      </c>
      <c r="J4" s="181">
        <v>-626.26</v>
      </c>
      <c r="K4" s="182">
        <f>J4/$J$3</f>
        <v>-2.3440190198432777E-2</v>
      </c>
      <c r="L4" s="183">
        <f>J4*40%</f>
        <v>-250.50400000000002</v>
      </c>
      <c r="N4" s="181">
        <f>$N$3*K4</f>
        <v>-2.3440190198432775</v>
      </c>
      <c r="O4" s="183">
        <f>N4*40%</f>
        <v>-0.93760760793731102</v>
      </c>
      <c r="Q4" s="187">
        <v>41791</v>
      </c>
      <c r="R4" s="183">
        <f>S3</f>
        <v>29986.69</v>
      </c>
      <c r="S4" s="183">
        <v>26717.360000000001</v>
      </c>
      <c r="T4" s="182">
        <f>(S4-R4)/R4</f>
        <v>-0.10902603788547513</v>
      </c>
      <c r="U4" s="183">
        <f>V3+100</f>
        <v>199.87619846348869</v>
      </c>
      <c r="V4" s="219">
        <f>U4*(1+T4)</f>
        <v>178.08448847740362</v>
      </c>
    </row>
    <row r="5" spans="1:22" ht="12.75">
      <c r="A5" s="221" t="s">
        <v>195</v>
      </c>
      <c r="B5" s="222">
        <v>2</v>
      </c>
      <c r="C5" s="183">
        <v>11.66</v>
      </c>
      <c r="D5" s="183">
        <v>-496.2</v>
      </c>
      <c r="E5" s="183">
        <v>-484.53999999999996</v>
      </c>
      <c r="F5" s="183">
        <v>-242.26999999999998</v>
      </c>
      <c r="G5" s="183">
        <v>97.934289194336827</v>
      </c>
      <c r="H5"/>
      <c r="I5" s="180" t="s">
        <v>220</v>
      </c>
      <c r="J5" s="181">
        <v>-790.51</v>
      </c>
      <c r="K5" s="182">
        <f>J5/$J$3</f>
        <v>-2.9587878443079703E-2</v>
      </c>
      <c r="L5" s="183">
        <f>J5*40%</f>
        <v>-316.20400000000001</v>
      </c>
      <c r="N5" s="181">
        <f>$N$3*K5</f>
        <v>-2.9587878443079703</v>
      </c>
      <c r="O5" s="183">
        <f>N5*40%</f>
        <v>-1.1835151377231881</v>
      </c>
      <c r="Q5" s="187">
        <v>41821</v>
      </c>
      <c r="R5" s="183">
        <f>S4</f>
        <v>26717.360000000001</v>
      </c>
      <c r="S5" s="183">
        <f>J9</f>
        <v>31522.95</v>
      </c>
      <c r="T5" s="182">
        <f>(S5-R5)/R5</f>
        <v>0.17986769650893653</v>
      </c>
      <c r="U5" s="183">
        <f>V4+100</f>
        <v>278.08448847740362</v>
      </c>
      <c r="V5" s="219">
        <f>U5*(1+T5)</f>
        <v>328.10290485470011</v>
      </c>
    </row>
    <row r="6" spans="1:22" ht="12.75">
      <c r="A6" s="221" t="s">
        <v>191</v>
      </c>
      <c r="B6" s="222">
        <v>3</v>
      </c>
      <c r="C6" s="183">
        <v>-1.58</v>
      </c>
      <c r="D6" s="183">
        <v>-661.31</v>
      </c>
      <c r="E6" s="183">
        <v>-662.89</v>
      </c>
      <c r="F6" s="183">
        <v>-220.96333333333334</v>
      </c>
      <c r="G6" s="183">
        <v>277.36743974975388</v>
      </c>
      <c r="H6"/>
      <c r="I6" s="180" t="s">
        <v>221</v>
      </c>
      <c r="J6" s="181">
        <v>6222.36</v>
      </c>
      <c r="K6" s="182">
        <f>J6/$J$3</f>
        <v>0.23289576515044899</v>
      </c>
      <c r="L6" s="183">
        <f>J6*40%</f>
        <v>2488.944</v>
      </c>
      <c r="N6" s="181">
        <f>$N$3*K6</f>
        <v>23.289576515044899</v>
      </c>
      <c r="O6" s="183">
        <f>N6*40%</f>
        <v>9.3158306060179594</v>
      </c>
      <c r="Q6" s="187">
        <v>41852</v>
      </c>
      <c r="R6" s="183">
        <f t="shared" ref="R6:R14" si="0">S5+100</f>
        <v>31622.95</v>
      </c>
      <c r="S6" s="183">
        <f t="shared" ref="S6:S68" si="1">(1+$T$3)*R6</f>
        <v>31583.8003020098</v>
      </c>
      <c r="U6" s="183"/>
    </row>
    <row r="7" spans="1:22" ht="12.75">
      <c r="A7" s="221" t="s">
        <v>192</v>
      </c>
      <c r="B7" s="222">
        <v>1</v>
      </c>
      <c r="C7" s="183">
        <v>-2.8</v>
      </c>
      <c r="D7" s="183">
        <v>-268.8</v>
      </c>
      <c r="E7" s="183">
        <v>-271.60000000000002</v>
      </c>
      <c r="F7" s="183">
        <v>-271.60000000000002</v>
      </c>
      <c r="G7" s="183" t="e">
        <v>#DIV/0!</v>
      </c>
      <c r="H7"/>
      <c r="N7" s="181">
        <f>$N$3*K8</f>
        <v>17.986769650893653</v>
      </c>
      <c r="O7" s="181">
        <f>O4+O5+O6</f>
        <v>7.1947078603574601</v>
      </c>
      <c r="P7" s="183"/>
      <c r="Q7" s="187">
        <v>41883</v>
      </c>
      <c r="R7" s="183">
        <f t="shared" si="0"/>
        <v>31683.8003020098</v>
      </c>
      <c r="S7" s="183">
        <f t="shared" si="1"/>
        <v>31644.57527041074</v>
      </c>
      <c r="U7" s="183"/>
    </row>
    <row r="8" spans="1:22" ht="12.75">
      <c r="A8" s="221" t="s">
        <v>193</v>
      </c>
      <c r="B8" s="222">
        <v>2</v>
      </c>
      <c r="C8" s="183">
        <v>-2.12</v>
      </c>
      <c r="D8" s="183">
        <v>580.1</v>
      </c>
      <c r="E8" s="183">
        <v>577.98</v>
      </c>
      <c r="F8" s="183">
        <v>288.99</v>
      </c>
      <c r="G8" s="183">
        <v>714.16370686278924</v>
      </c>
      <c r="H8"/>
      <c r="J8" s="181">
        <f>J4+J5+J6+J7</f>
        <v>4805.59</v>
      </c>
      <c r="K8" s="182">
        <f>J8/$J$3</f>
        <v>0.17986769650893653</v>
      </c>
      <c r="N8" s="181">
        <f>N3+N7</f>
        <v>117.98676965089365</v>
      </c>
      <c r="Q8" s="187">
        <v>41913</v>
      </c>
      <c r="R8" s="183">
        <f t="shared" si="0"/>
        <v>31744.57527041074</v>
      </c>
      <c r="S8" s="183">
        <f t="shared" si="1"/>
        <v>31705.274998466983</v>
      </c>
      <c r="U8" s="183"/>
    </row>
    <row r="9" spans="1:22" ht="12.75">
      <c r="A9" s="221" t="s">
        <v>196</v>
      </c>
      <c r="B9" s="222">
        <v>2</v>
      </c>
      <c r="C9" s="183">
        <v>-1.1200000000000001</v>
      </c>
      <c r="D9" s="183">
        <v>-376.12</v>
      </c>
      <c r="E9" s="183">
        <v>-377.24</v>
      </c>
      <c r="F9" s="183">
        <v>-188.62</v>
      </c>
      <c r="G9" s="183">
        <v>167.37217510685582</v>
      </c>
      <c r="H9"/>
      <c r="J9" s="181">
        <f>J3+J8</f>
        <v>31522.95</v>
      </c>
      <c r="Q9" s="187">
        <v>41944</v>
      </c>
      <c r="R9" s="183">
        <f t="shared" si="0"/>
        <v>31805.274998466983</v>
      </c>
      <c r="S9" s="183">
        <f t="shared" si="1"/>
        <v>31765.899579327233</v>
      </c>
      <c r="U9" s="183"/>
    </row>
    <row r="10" spans="1:22" ht="12.75">
      <c r="A10" s="221" t="s">
        <v>194</v>
      </c>
      <c r="B10" s="222">
        <v>1</v>
      </c>
      <c r="C10" s="183">
        <v>-5.62</v>
      </c>
      <c r="D10" s="183">
        <v>597.65</v>
      </c>
      <c r="E10" s="183">
        <v>592.03</v>
      </c>
      <c r="F10" s="183">
        <v>592.03</v>
      </c>
      <c r="G10" s="183" t="e">
        <v>#DIV/0!</v>
      </c>
      <c r="H10"/>
      <c r="Q10" s="187">
        <v>41974</v>
      </c>
      <c r="R10" s="183">
        <f t="shared" si="0"/>
        <v>31865.899579327233</v>
      </c>
      <c r="S10" s="183">
        <f t="shared" si="1"/>
        <v>31826.449106024877</v>
      </c>
      <c r="U10" s="183"/>
    </row>
    <row r="11" spans="1:22" ht="12.75">
      <c r="A11" s="221" t="s">
        <v>206</v>
      </c>
      <c r="B11" s="222">
        <v>11</v>
      </c>
      <c r="C11" s="183">
        <v>-1.58</v>
      </c>
      <c r="D11" s="183">
        <v>-624.67999999999995</v>
      </c>
      <c r="E11" s="183">
        <v>-626.25999999999976</v>
      </c>
      <c r="F11" s="183">
        <v>-56.932727272727249</v>
      </c>
      <c r="G11" s="183">
        <v>399.01885837867133</v>
      </c>
      <c r="H11"/>
      <c r="Q11" s="187">
        <v>42005</v>
      </c>
      <c r="R11" s="183">
        <f t="shared" si="0"/>
        <v>31926.449106024877</v>
      </c>
      <c r="S11" s="183">
        <f t="shared" si="1"/>
        <v>31886.923671478118</v>
      </c>
      <c r="U11" s="183"/>
    </row>
    <row r="12" spans="1:22" ht="12.75">
      <c r="A12"/>
      <c r="B12"/>
      <c r="C12"/>
      <c r="D12"/>
      <c r="E12"/>
      <c r="F12"/>
      <c r="G12"/>
      <c r="Q12" s="187">
        <v>42036</v>
      </c>
      <c r="R12" s="183">
        <f t="shared" si="0"/>
        <v>31986.923671478118</v>
      </c>
      <c r="S12" s="183">
        <f t="shared" si="1"/>
        <v>31947.323368490132</v>
      </c>
      <c r="U12" s="183"/>
    </row>
    <row r="13" spans="1:22" ht="12.75">
      <c r="A13"/>
      <c r="B13"/>
      <c r="C13"/>
      <c r="D13"/>
      <c r="E13"/>
      <c r="F13"/>
      <c r="G13"/>
      <c r="Q13" s="187">
        <v>42064</v>
      </c>
      <c r="R13" s="183">
        <f t="shared" si="0"/>
        <v>32047.323368490132</v>
      </c>
      <c r="S13" s="183">
        <f t="shared" si="1"/>
        <v>32007.648289749195</v>
      </c>
      <c r="U13" s="183"/>
    </row>
    <row r="14" spans="1:22">
      <c r="Q14" s="187">
        <v>42095</v>
      </c>
      <c r="R14" s="183">
        <f t="shared" si="0"/>
        <v>32107.648289749195</v>
      </c>
      <c r="S14" s="183">
        <f t="shared" si="1"/>
        <v>32067.898527828842</v>
      </c>
      <c r="U14" s="183"/>
    </row>
    <row r="15" spans="1:22">
      <c r="Q15" s="187">
        <v>42125</v>
      </c>
      <c r="R15" s="183">
        <f t="shared" ref="R15:R68" si="2">S14</f>
        <v>32067.898527828842</v>
      </c>
      <c r="S15" s="183">
        <f t="shared" si="1"/>
        <v>32028.197976724503</v>
      </c>
      <c r="U15" s="183"/>
    </row>
    <row r="16" spans="1:22">
      <c r="Q16" s="187">
        <v>42156</v>
      </c>
      <c r="R16" s="183">
        <f t="shared" si="2"/>
        <v>32028.197976724503</v>
      </c>
      <c r="S16" s="183">
        <f t="shared" si="1"/>
        <v>31988.546575512435</v>
      </c>
      <c r="U16" s="183"/>
    </row>
    <row r="17" spans="17:21">
      <c r="Q17" s="187">
        <v>42186</v>
      </c>
      <c r="R17" s="183">
        <f t="shared" si="2"/>
        <v>31988.546575512435</v>
      </c>
      <c r="S17" s="183">
        <f t="shared" si="1"/>
        <v>31948.944263344318</v>
      </c>
      <c r="U17" s="183"/>
    </row>
    <row r="18" spans="17:21">
      <c r="Q18" s="187">
        <v>42217</v>
      </c>
      <c r="R18" s="183">
        <f t="shared" si="2"/>
        <v>31948.944263344318</v>
      </c>
      <c r="S18" s="183">
        <f t="shared" si="1"/>
        <v>31909.390979447158</v>
      </c>
      <c r="U18" s="183"/>
    </row>
    <row r="19" spans="17:21">
      <c r="Q19" s="187">
        <v>42248</v>
      </c>
      <c r="R19" s="183">
        <f t="shared" si="2"/>
        <v>31909.390979447158</v>
      </c>
      <c r="S19" s="183">
        <f t="shared" si="1"/>
        <v>31869.886663123205</v>
      </c>
      <c r="U19" s="183"/>
    </row>
    <row r="20" spans="17:21">
      <c r="Q20" s="187">
        <v>42278</v>
      </c>
      <c r="R20" s="183">
        <f t="shared" si="2"/>
        <v>31869.886663123205</v>
      </c>
      <c r="S20" s="183">
        <f t="shared" si="1"/>
        <v>31830.431253749848</v>
      </c>
      <c r="U20" s="183"/>
    </row>
    <row r="21" spans="17:21">
      <c r="Q21" s="187">
        <v>42309</v>
      </c>
      <c r="R21" s="183">
        <f t="shared" si="2"/>
        <v>31830.431253749848</v>
      </c>
      <c r="S21" s="183">
        <f t="shared" si="1"/>
        <v>31791.02469077953</v>
      </c>
      <c r="U21" s="183"/>
    </row>
    <row r="22" spans="17:21">
      <c r="Q22" s="187">
        <v>42339</v>
      </c>
      <c r="R22" s="183">
        <f t="shared" si="2"/>
        <v>31791.02469077953</v>
      </c>
      <c r="S22" s="183">
        <f t="shared" si="1"/>
        <v>31751.666913739657</v>
      </c>
      <c r="U22" s="183"/>
    </row>
    <row r="23" spans="17:21">
      <c r="Q23" s="187">
        <v>42370</v>
      </c>
      <c r="R23" s="183">
        <f t="shared" si="2"/>
        <v>31751.666913739657</v>
      </c>
      <c r="S23" s="183">
        <f t="shared" si="1"/>
        <v>31712.357862232497</v>
      </c>
      <c r="U23" s="183"/>
    </row>
    <row r="24" spans="17:21">
      <c r="Q24" s="187">
        <v>42401</v>
      </c>
      <c r="R24" s="183">
        <f t="shared" si="2"/>
        <v>31712.357862232497</v>
      </c>
      <c r="S24" s="183">
        <f t="shared" si="1"/>
        <v>31673.09747593509</v>
      </c>
      <c r="U24" s="183"/>
    </row>
    <row r="25" spans="17:21">
      <c r="Q25" s="187">
        <v>42430</v>
      </c>
      <c r="R25" s="183">
        <f t="shared" si="2"/>
        <v>31673.09747593509</v>
      </c>
      <c r="S25" s="183">
        <f t="shared" si="1"/>
        <v>31633.885694599161</v>
      </c>
      <c r="U25" s="183"/>
    </row>
    <row r="26" spans="17:21">
      <c r="Q26" s="187">
        <v>42461</v>
      </c>
      <c r="R26" s="183">
        <f t="shared" si="2"/>
        <v>31633.885694599161</v>
      </c>
      <c r="S26" s="183">
        <f t="shared" si="1"/>
        <v>31594.722458051019</v>
      </c>
      <c r="U26" s="183"/>
    </row>
    <row r="27" spans="17:21">
      <c r="Q27" s="187">
        <v>42491</v>
      </c>
      <c r="R27" s="183">
        <f t="shared" si="2"/>
        <v>31594.722458051019</v>
      </c>
      <c r="S27" s="183">
        <f t="shared" si="1"/>
        <v>31555.607706191469</v>
      </c>
      <c r="U27" s="183"/>
    </row>
    <row r="28" spans="17:21">
      <c r="Q28" s="187">
        <v>42522</v>
      </c>
      <c r="R28" s="183">
        <f t="shared" si="2"/>
        <v>31555.607706191469</v>
      </c>
      <c r="S28" s="183">
        <f t="shared" si="1"/>
        <v>31516.541378995724</v>
      </c>
      <c r="U28" s="183"/>
    </row>
    <row r="29" spans="17:21">
      <c r="Q29" s="187">
        <v>42552</v>
      </c>
      <c r="R29" s="183">
        <f t="shared" si="2"/>
        <v>31516.541378995724</v>
      </c>
      <c r="S29" s="183">
        <f t="shared" si="1"/>
        <v>31477.523416513308</v>
      </c>
      <c r="U29" s="183"/>
    </row>
    <row r="30" spans="17:21">
      <c r="Q30" s="187">
        <v>42583</v>
      </c>
      <c r="R30" s="183">
        <f t="shared" si="2"/>
        <v>31477.523416513308</v>
      </c>
      <c r="S30" s="183">
        <f t="shared" si="1"/>
        <v>31438.553758867958</v>
      </c>
      <c r="U30" s="183"/>
    </row>
    <row r="31" spans="17:21">
      <c r="Q31" s="187">
        <v>42614</v>
      </c>
      <c r="R31" s="183">
        <f t="shared" si="2"/>
        <v>31438.553758867958</v>
      </c>
      <c r="S31" s="183">
        <f t="shared" si="1"/>
        <v>31399.632346257549</v>
      </c>
      <c r="U31" s="183"/>
    </row>
    <row r="32" spans="17:21">
      <c r="Q32" s="187">
        <v>42644</v>
      </c>
      <c r="R32" s="183">
        <f t="shared" si="2"/>
        <v>31399.632346257549</v>
      </c>
      <c r="S32" s="183">
        <f t="shared" si="1"/>
        <v>31360.759118953982</v>
      </c>
      <c r="U32" s="183"/>
    </row>
    <row r="33" spans="17:21">
      <c r="Q33" s="187">
        <v>42675</v>
      </c>
      <c r="R33" s="183">
        <f t="shared" si="2"/>
        <v>31360.759118953982</v>
      </c>
      <c r="S33" s="183">
        <f t="shared" si="1"/>
        <v>31321.934017303109</v>
      </c>
      <c r="U33" s="183"/>
    </row>
    <row r="34" spans="17:21">
      <c r="Q34" s="187">
        <v>42705</v>
      </c>
      <c r="R34" s="183">
        <f t="shared" si="2"/>
        <v>31321.934017303109</v>
      </c>
      <c r="S34" s="183">
        <f t="shared" si="1"/>
        <v>31283.156981724631</v>
      </c>
      <c r="U34" s="183"/>
    </row>
    <row r="35" spans="17:21">
      <c r="Q35" s="187">
        <v>42736</v>
      </c>
      <c r="R35" s="183">
        <f t="shared" si="2"/>
        <v>31283.156981724631</v>
      </c>
      <c r="S35" s="183">
        <f t="shared" si="1"/>
        <v>31244.427952712012</v>
      </c>
      <c r="U35" s="183"/>
    </row>
    <row r="36" spans="17:21">
      <c r="Q36" s="187">
        <v>42767</v>
      </c>
      <c r="R36" s="183">
        <f t="shared" si="2"/>
        <v>31244.427952712012</v>
      </c>
      <c r="S36" s="183">
        <f t="shared" si="1"/>
        <v>31205.746870832387</v>
      </c>
      <c r="U36" s="183"/>
    </row>
    <row r="37" spans="17:21">
      <c r="Q37" s="187">
        <v>42795</v>
      </c>
      <c r="R37" s="183">
        <f t="shared" si="2"/>
        <v>31205.746870832387</v>
      </c>
      <c r="S37" s="183">
        <f t="shared" si="1"/>
        <v>31167.113676726469</v>
      </c>
      <c r="U37" s="183"/>
    </row>
    <row r="38" spans="17:21">
      <c r="Q38" s="187">
        <v>42826</v>
      </c>
      <c r="R38" s="183">
        <f t="shared" si="2"/>
        <v>31167.113676726469</v>
      </c>
      <c r="S38" s="183">
        <f t="shared" si="1"/>
        <v>31128.528311108457</v>
      </c>
      <c r="U38" s="183"/>
    </row>
    <row r="39" spans="17:21">
      <c r="Q39" s="187">
        <v>42856</v>
      </c>
      <c r="R39" s="183">
        <f t="shared" si="2"/>
        <v>31128.528311108457</v>
      </c>
      <c r="S39" s="183">
        <f t="shared" si="1"/>
        <v>31089.990714765951</v>
      </c>
      <c r="U39" s="183"/>
    </row>
    <row r="40" spans="17:21">
      <c r="Q40" s="187">
        <v>42887</v>
      </c>
      <c r="R40" s="183">
        <f t="shared" si="2"/>
        <v>31089.990714765951</v>
      </c>
      <c r="S40" s="183">
        <f t="shared" si="1"/>
        <v>31051.500828559849</v>
      </c>
    </row>
    <row r="41" spans="17:21">
      <c r="Q41" s="187">
        <v>42917</v>
      </c>
      <c r="R41" s="183">
        <f t="shared" si="2"/>
        <v>31051.500828559849</v>
      </c>
      <c r="S41" s="183">
        <f t="shared" si="1"/>
        <v>31013.05859342427</v>
      </c>
    </row>
    <row r="42" spans="17:21">
      <c r="Q42" s="187">
        <v>42948</v>
      </c>
      <c r="R42" s="183">
        <f t="shared" si="2"/>
        <v>31013.05859342427</v>
      </c>
      <c r="S42" s="183">
        <f t="shared" si="1"/>
        <v>30974.663950366459</v>
      </c>
    </row>
    <row r="43" spans="17:21">
      <c r="Q43" s="187">
        <v>42979</v>
      </c>
      <c r="R43" s="183">
        <f t="shared" si="2"/>
        <v>30974.663950366459</v>
      </c>
      <c r="S43" s="183">
        <f t="shared" si="1"/>
        <v>30936.316840466694</v>
      </c>
    </row>
    <row r="44" spans="17:21">
      <c r="Q44" s="187">
        <v>43009</v>
      </c>
      <c r="R44" s="183">
        <f t="shared" si="2"/>
        <v>30936.316840466694</v>
      </c>
      <c r="S44" s="183">
        <f t="shared" si="1"/>
        <v>30898.01720487819</v>
      </c>
    </row>
    <row r="45" spans="17:21">
      <c r="Q45" s="187">
        <v>43040</v>
      </c>
      <c r="R45" s="183">
        <f t="shared" si="2"/>
        <v>30898.01720487819</v>
      </c>
      <c r="S45" s="183">
        <f t="shared" si="1"/>
        <v>30859.764984827023</v>
      </c>
    </row>
    <row r="46" spans="17:21">
      <c r="Q46" s="187">
        <v>43070</v>
      </c>
      <c r="R46" s="183">
        <f t="shared" si="2"/>
        <v>30859.764984827023</v>
      </c>
      <c r="S46" s="183">
        <f t="shared" si="1"/>
        <v>30821.56012161203</v>
      </c>
    </row>
    <row r="47" spans="17:21">
      <c r="Q47" s="187">
        <v>43101</v>
      </c>
      <c r="R47" s="183">
        <f t="shared" si="2"/>
        <v>30821.56012161203</v>
      </c>
      <c r="S47" s="183">
        <f t="shared" si="1"/>
        <v>30783.40255660472</v>
      </c>
    </row>
    <row r="48" spans="17:21">
      <c r="Q48" s="187">
        <v>43132</v>
      </c>
      <c r="R48" s="183">
        <f t="shared" si="2"/>
        <v>30783.40255660472</v>
      </c>
      <c r="S48" s="183">
        <f t="shared" si="1"/>
        <v>30745.292231249183</v>
      </c>
    </row>
    <row r="49" spans="17:19">
      <c r="Q49" s="187">
        <v>43160</v>
      </c>
      <c r="R49" s="183">
        <f t="shared" si="2"/>
        <v>30745.292231249183</v>
      </c>
      <c r="S49" s="183">
        <f t="shared" si="1"/>
        <v>30707.229087062005</v>
      </c>
    </row>
    <row r="50" spans="17:19">
      <c r="Q50" s="187">
        <v>43191</v>
      </c>
      <c r="R50" s="183">
        <f t="shared" si="2"/>
        <v>30707.229087062005</v>
      </c>
      <c r="S50" s="183">
        <f t="shared" si="1"/>
        <v>30669.213065632175</v>
      </c>
    </row>
    <row r="51" spans="17:19">
      <c r="Q51" s="187">
        <v>43221</v>
      </c>
      <c r="R51" s="183">
        <f t="shared" si="2"/>
        <v>30669.213065632175</v>
      </c>
      <c r="S51" s="183">
        <f t="shared" si="1"/>
        <v>30631.244108620998</v>
      </c>
    </row>
    <row r="52" spans="17:19">
      <c r="Q52" s="187">
        <v>43252</v>
      </c>
      <c r="R52" s="183">
        <f t="shared" si="2"/>
        <v>30631.244108620998</v>
      </c>
      <c r="S52" s="183">
        <f t="shared" si="1"/>
        <v>30593.322157761999</v>
      </c>
    </row>
    <row r="53" spans="17:19">
      <c r="Q53" s="187">
        <v>43282</v>
      </c>
      <c r="R53" s="183">
        <f t="shared" si="2"/>
        <v>30593.322157761999</v>
      </c>
      <c r="S53" s="183">
        <f t="shared" si="1"/>
        <v>30555.447154860838</v>
      </c>
    </row>
    <row r="54" spans="17:19">
      <c r="Q54" s="187">
        <v>43313</v>
      </c>
      <c r="R54" s="183">
        <f t="shared" si="2"/>
        <v>30555.447154860838</v>
      </c>
      <c r="S54" s="183">
        <f t="shared" si="1"/>
        <v>30517.61904179522</v>
      </c>
    </row>
    <row r="55" spans="17:19">
      <c r="Q55" s="187">
        <v>43344</v>
      </c>
      <c r="R55" s="183">
        <f t="shared" si="2"/>
        <v>30517.61904179522</v>
      </c>
      <c r="S55" s="183">
        <f t="shared" si="1"/>
        <v>30479.837760514813</v>
      </c>
    </row>
    <row r="56" spans="17:19">
      <c r="Q56" s="187">
        <v>43374</v>
      </c>
      <c r="R56" s="183">
        <f t="shared" si="2"/>
        <v>30479.837760514813</v>
      </c>
      <c r="S56" s="183">
        <f t="shared" si="1"/>
        <v>30442.103253041143</v>
      </c>
    </row>
    <row r="57" spans="17:19">
      <c r="Q57" s="187">
        <v>43405</v>
      </c>
      <c r="R57" s="183">
        <f t="shared" si="2"/>
        <v>30442.103253041143</v>
      </c>
      <c r="S57" s="183">
        <f t="shared" si="1"/>
        <v>30404.415461467521</v>
      </c>
    </row>
    <row r="58" spans="17:19">
      <c r="Q58" s="187">
        <v>43435</v>
      </c>
      <c r="R58" s="183">
        <f t="shared" si="2"/>
        <v>30404.415461467521</v>
      </c>
      <c r="S58" s="183">
        <f t="shared" si="1"/>
        <v>30366.774327958945</v>
      </c>
    </row>
    <row r="59" spans="17:19">
      <c r="Q59" s="187">
        <v>43466</v>
      </c>
      <c r="R59" s="183">
        <f t="shared" si="2"/>
        <v>30366.774327958945</v>
      </c>
      <c r="S59" s="183">
        <f t="shared" si="1"/>
        <v>30329.179794752014</v>
      </c>
    </row>
    <row r="60" spans="17:19">
      <c r="Q60" s="187">
        <v>43497</v>
      </c>
      <c r="R60" s="183">
        <f t="shared" si="2"/>
        <v>30329.179794752014</v>
      </c>
      <c r="S60" s="183">
        <f t="shared" si="1"/>
        <v>30291.631804154837</v>
      </c>
    </row>
    <row r="61" spans="17:19">
      <c r="Q61" s="187">
        <v>43525</v>
      </c>
      <c r="R61" s="183">
        <f t="shared" si="2"/>
        <v>30291.631804154837</v>
      </c>
      <c r="S61" s="183">
        <f t="shared" si="1"/>
        <v>30254.130298546945</v>
      </c>
    </row>
    <row r="62" spans="17:19">
      <c r="Q62" s="187">
        <v>43556</v>
      </c>
      <c r="R62" s="183">
        <f t="shared" si="2"/>
        <v>30254.130298546945</v>
      </c>
      <c r="S62" s="183">
        <f t="shared" si="1"/>
        <v>30216.675220379213</v>
      </c>
    </row>
    <row r="63" spans="17:19">
      <c r="Q63" s="187">
        <v>43586</v>
      </c>
      <c r="R63" s="183">
        <f t="shared" si="2"/>
        <v>30216.675220379213</v>
      </c>
      <c r="S63" s="183">
        <f t="shared" si="1"/>
        <v>30179.266512173752</v>
      </c>
    </row>
    <row r="64" spans="17:19">
      <c r="Q64" s="187">
        <v>43617</v>
      </c>
      <c r="R64" s="183">
        <f t="shared" si="2"/>
        <v>30179.266512173752</v>
      </c>
      <c r="S64" s="183">
        <f t="shared" si="1"/>
        <v>30141.904116523838</v>
      </c>
    </row>
    <row r="65" spans="17:19">
      <c r="Q65" s="187">
        <v>43647</v>
      </c>
      <c r="R65" s="183">
        <f t="shared" si="2"/>
        <v>30141.904116523838</v>
      </c>
      <c r="S65" s="183">
        <f t="shared" si="1"/>
        <v>30104.587976093819</v>
      </c>
    </row>
    <row r="66" spans="17:19">
      <c r="Q66" s="187">
        <v>43678</v>
      </c>
      <c r="R66" s="183">
        <f t="shared" si="2"/>
        <v>30104.587976093819</v>
      </c>
      <c r="S66" s="183">
        <f t="shared" si="1"/>
        <v>30067.318033619016</v>
      </c>
    </row>
    <row r="67" spans="17:19">
      <c r="Q67" s="187">
        <v>43709</v>
      </c>
      <c r="R67" s="183">
        <f t="shared" si="2"/>
        <v>30067.318033619016</v>
      </c>
      <c r="S67" s="183">
        <f t="shared" si="1"/>
        <v>30030.094231905656</v>
      </c>
    </row>
    <row r="68" spans="17:19">
      <c r="Q68" s="187">
        <v>43739</v>
      </c>
      <c r="R68" s="183">
        <f t="shared" si="2"/>
        <v>30030.094231905656</v>
      </c>
      <c r="S68" s="183">
        <f t="shared" si="1"/>
        <v>29992.916513830765</v>
      </c>
    </row>
    <row r="69" spans="17:19">
      <c r="Q69" s="187">
        <v>43770</v>
      </c>
      <c r="R69" s="183">
        <f t="shared" ref="R69:R94" si="3">S68</f>
        <v>29992.916513830765</v>
      </c>
      <c r="S69" s="183">
        <f t="shared" ref="S69:S94" si="4">(1+$T$3)*R69</f>
        <v>29955.784822342092</v>
      </c>
    </row>
    <row r="70" spans="17:19">
      <c r="Q70" s="187">
        <v>43800</v>
      </c>
      <c r="R70" s="183">
        <f t="shared" si="3"/>
        <v>29955.784822342092</v>
      </c>
      <c r="S70" s="183">
        <f t="shared" si="4"/>
        <v>29918.699100458012</v>
      </c>
    </row>
    <row r="71" spans="17:19">
      <c r="Q71" s="187">
        <v>43831</v>
      </c>
      <c r="R71" s="183">
        <f t="shared" si="3"/>
        <v>29918.699100458012</v>
      </c>
      <c r="S71" s="183">
        <f t="shared" si="4"/>
        <v>29881.659291267453</v>
      </c>
    </row>
    <row r="72" spans="17:19">
      <c r="Q72" s="187">
        <v>43862</v>
      </c>
      <c r="R72" s="183">
        <f t="shared" si="3"/>
        <v>29881.659291267453</v>
      </c>
      <c r="S72" s="183">
        <f t="shared" si="4"/>
        <v>29844.665337929793</v>
      </c>
    </row>
    <row r="73" spans="17:19">
      <c r="Q73" s="187">
        <v>43891</v>
      </c>
      <c r="R73" s="183">
        <f t="shared" si="3"/>
        <v>29844.665337929793</v>
      </c>
      <c r="S73" s="183">
        <f t="shared" si="4"/>
        <v>29807.71718367478</v>
      </c>
    </row>
    <row r="74" spans="17:19">
      <c r="Q74" s="187">
        <v>43922</v>
      </c>
      <c r="R74" s="183">
        <f t="shared" si="3"/>
        <v>29807.71718367478</v>
      </c>
      <c r="S74" s="183">
        <f t="shared" si="4"/>
        <v>29770.814771802448</v>
      </c>
    </row>
    <row r="75" spans="17:19">
      <c r="Q75" s="187">
        <v>43952</v>
      </c>
      <c r="R75" s="183">
        <f t="shared" si="3"/>
        <v>29770.814771802448</v>
      </c>
      <c r="S75" s="183">
        <f t="shared" si="4"/>
        <v>29733.958045683023</v>
      </c>
    </row>
    <row r="76" spans="17:19">
      <c r="Q76" s="187">
        <v>43983</v>
      </c>
      <c r="R76" s="183">
        <f t="shared" si="3"/>
        <v>29733.958045683023</v>
      </c>
      <c r="S76" s="183">
        <f t="shared" si="4"/>
        <v>29697.146948756839</v>
      </c>
    </row>
    <row r="77" spans="17:19">
      <c r="Q77" s="187">
        <v>44013</v>
      </c>
      <c r="R77" s="183">
        <f t="shared" si="3"/>
        <v>29697.146948756839</v>
      </c>
      <c r="S77" s="183">
        <f t="shared" si="4"/>
        <v>29660.381424534258</v>
      </c>
    </row>
    <row r="78" spans="17:19">
      <c r="Q78" s="187">
        <v>44044</v>
      </c>
      <c r="R78" s="183">
        <f t="shared" si="3"/>
        <v>29660.381424534258</v>
      </c>
      <c r="S78" s="183">
        <f t="shared" si="4"/>
        <v>29623.661416595573</v>
      </c>
    </row>
    <row r="79" spans="17:19">
      <c r="Q79" s="187">
        <v>44075</v>
      </c>
      <c r="R79" s="183">
        <f t="shared" si="3"/>
        <v>29623.661416595573</v>
      </c>
      <c r="S79" s="183">
        <f t="shared" si="4"/>
        <v>29586.98686859092</v>
      </c>
    </row>
    <row r="80" spans="17:19">
      <c r="Q80" s="187">
        <v>44105</v>
      </c>
      <c r="R80" s="183">
        <f t="shared" si="3"/>
        <v>29586.98686859092</v>
      </c>
      <c r="S80" s="183">
        <f t="shared" si="4"/>
        <v>29550.357724240206</v>
      </c>
    </row>
    <row r="81" spans="17:19">
      <c r="Q81" s="187">
        <v>44136</v>
      </c>
      <c r="R81" s="183">
        <f t="shared" si="3"/>
        <v>29550.357724240206</v>
      </c>
      <c r="S81" s="183">
        <f t="shared" si="4"/>
        <v>29513.773927333012</v>
      </c>
    </row>
    <row r="82" spans="17:19">
      <c r="Q82" s="187">
        <v>44166</v>
      </c>
      <c r="R82" s="183">
        <f t="shared" si="3"/>
        <v>29513.773927333012</v>
      </c>
      <c r="S82" s="183">
        <f t="shared" si="4"/>
        <v>29477.235421728499</v>
      </c>
    </row>
    <row r="83" spans="17:19">
      <c r="Q83" s="187">
        <v>44197</v>
      </c>
      <c r="R83" s="183">
        <f t="shared" si="3"/>
        <v>29477.235421728499</v>
      </c>
      <c r="S83" s="183">
        <f t="shared" si="4"/>
        <v>29440.742151355345</v>
      </c>
    </row>
    <row r="84" spans="17:19">
      <c r="Q84" s="187">
        <v>44228</v>
      </c>
      <c r="R84" s="183">
        <f t="shared" si="3"/>
        <v>29440.742151355345</v>
      </c>
      <c r="S84" s="183">
        <f t="shared" si="4"/>
        <v>29404.294060211636</v>
      </c>
    </row>
    <row r="85" spans="17:19">
      <c r="Q85" s="187">
        <v>44256</v>
      </c>
      <c r="R85" s="183">
        <f t="shared" si="3"/>
        <v>29404.294060211636</v>
      </c>
      <c r="S85" s="183">
        <f t="shared" si="4"/>
        <v>29367.891092364793</v>
      </c>
    </row>
    <row r="86" spans="17:19">
      <c r="Q86" s="187">
        <v>44287</v>
      </c>
      <c r="R86" s="183">
        <f t="shared" si="3"/>
        <v>29367.891092364793</v>
      </c>
      <c r="S86" s="183">
        <f t="shared" si="4"/>
        <v>29331.533191951479</v>
      </c>
    </row>
    <row r="87" spans="17:19">
      <c r="Q87" s="187">
        <v>44317</v>
      </c>
      <c r="R87" s="183">
        <f t="shared" si="3"/>
        <v>29331.533191951479</v>
      </c>
      <c r="S87" s="183">
        <f t="shared" si="4"/>
        <v>29295.220303177521</v>
      </c>
    </row>
    <row r="88" spans="17:19">
      <c r="Q88" s="187">
        <v>44348</v>
      </c>
      <c r="R88" s="183">
        <f t="shared" si="3"/>
        <v>29295.220303177521</v>
      </c>
      <c r="S88" s="183">
        <f t="shared" si="4"/>
        <v>29258.952370317817</v>
      </c>
    </row>
    <row r="89" spans="17:19">
      <c r="Q89" s="187">
        <v>44378</v>
      </c>
      <c r="R89" s="183">
        <f t="shared" si="3"/>
        <v>29258.952370317817</v>
      </c>
      <c r="S89" s="183">
        <f t="shared" si="4"/>
        <v>29222.729337716253</v>
      </c>
    </row>
    <row r="90" spans="17:19">
      <c r="Q90" s="187">
        <v>44409</v>
      </c>
      <c r="R90" s="183">
        <f t="shared" si="3"/>
        <v>29222.729337716253</v>
      </c>
      <c r="S90" s="183">
        <f t="shared" si="4"/>
        <v>29186.551149785621</v>
      </c>
    </row>
    <row r="91" spans="17:19">
      <c r="Q91" s="187">
        <v>44440</v>
      </c>
      <c r="R91" s="183">
        <f t="shared" si="3"/>
        <v>29186.551149785621</v>
      </c>
      <c r="S91" s="183">
        <f t="shared" si="4"/>
        <v>29150.417751007528</v>
      </c>
    </row>
    <row r="92" spans="17:19">
      <c r="Q92" s="187">
        <v>44470</v>
      </c>
      <c r="R92" s="183">
        <f t="shared" si="3"/>
        <v>29150.417751007528</v>
      </c>
      <c r="S92" s="183">
        <f t="shared" si="4"/>
        <v>29114.329085932317</v>
      </c>
    </row>
    <row r="93" spans="17:19">
      <c r="Q93" s="187">
        <v>44501</v>
      </c>
      <c r="R93" s="183">
        <f t="shared" si="3"/>
        <v>29114.329085932317</v>
      </c>
      <c r="S93" s="183">
        <f t="shared" si="4"/>
        <v>29078.285099178975</v>
      </c>
    </row>
    <row r="94" spans="17:19">
      <c r="Q94" s="187">
        <v>44531</v>
      </c>
      <c r="R94" s="183">
        <f t="shared" si="3"/>
        <v>29078.285099178975</v>
      </c>
      <c r="S94" s="183">
        <f t="shared" si="4"/>
        <v>29042.285735435053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A1:AK64"/>
  <sheetViews>
    <sheetView workbookViewId="0">
      <pane xSplit="10" ySplit="1" topLeftCell="K44" activePane="bottomRight" state="frozen"/>
      <selection pane="topRight" activeCell="K1" sqref="K1"/>
      <selection pane="bottomLeft" activeCell="A2" sqref="A2"/>
      <selection pane="bottomRight" activeCell="A60" sqref="A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148</v>
      </c>
      <c r="T1" s="10" t="s">
        <v>127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117</v>
      </c>
      <c r="AK1" s="10" t="s">
        <v>126</v>
      </c>
    </row>
    <row r="2" spans="1:37">
      <c r="A2" s="13">
        <v>1</v>
      </c>
      <c r="B2" s="85"/>
      <c r="C2" s="85" t="s">
        <v>143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143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07"/>
      <c r="C4" s="107" t="s">
        <v>143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08">
        <f>WORKDAY(NOTAS_80[[#This Row],[DATA]],1,0)</f>
        <v>41150</v>
      </c>
      <c r="L4" s="109">
        <f>EOMONTH(NOTAS_80[[#This Row],[DATA DE LIQUIDAÇÃO]],0)</f>
        <v>41152</v>
      </c>
      <c r="M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06">
        <f>[QTDE]*[PREÇO]</f>
        <v>120</v>
      </c>
      <c r="O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06">
        <f>TRUNC([CORR BOV] * 20% * IF([PARCIAL] &gt; 0, [QTDE] / [PARCIAL], 1),2)</f>
        <v>0.54</v>
      </c>
      <c r="U4" s="106">
        <f>SUMPRODUCT(N([DATA]=NOTAS_80[[#This Row],[DATA]]),N([ID]&lt;=NOTAS_80[[#This Row],[ID]]), [CORR])</f>
        <v>0.54</v>
      </c>
      <c r="V4" s="106">
        <f>TRUNC([CORRETAGEM]*SETUP!$F$3,2)</f>
        <v>0.01</v>
      </c>
      <c r="W4" s="106">
        <f>ROUND([CORRETAGEM]*SETUP!$G$3,2)</f>
        <v>0.02</v>
      </c>
      <c r="X4" s="106">
        <f>[VALOR LÍQUIDO DAS OPERAÇÕES]-[TAXA DE LIQUIDAÇÃO]-[EMOLUMENTOS]-[TAXA DE REGISTRO]-[CORRETAGEM]-[ISS]-IF(['[D/N']]="D",    0,    [OUTRAS BOVESPA]) - [AJUSTE]</f>
        <v>-120.72000000000001</v>
      </c>
      <c r="Y4" s="106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0">
        <f>[LÍQUIDO]-SUMPRODUCT(N([DATA]=NOTAS_80[[#This Row],[DATA]]),N([ID]=(NOTAS_80[[#This Row],[ID]]-1)),[LÍQUIDO])</f>
        <v>-120.72000000000001</v>
      </c>
      <c r="AB4" s="106">
        <f>IF([T] = "VC", ABS([VALOR OP]) / [QTDE], [VALOR OP]/[QTDE])</f>
        <v>-0.40240000000000004</v>
      </c>
      <c r="AC4" s="106">
        <f>TRUNC(IF(OR([T]="CV",[T]="VV"),     N4*SETUP!$H$3,     0),2)</f>
        <v>0</v>
      </c>
      <c r="AD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06">
        <f>IF([LUCRO TMP] &lt;&gt; 0, [LUCRO TMP] - SUMPRODUCT(N([ATIVO]=NOTAS_80[[#This Row],[ATIVO]]),N(['[D/N']]="N"),N([ID]&lt;NOTAS_80[[#This Row],[ID]]),N([PAR]=NOTAS_80[[#This Row],[PAR]]), [LUCRO TMP]), 0)</f>
        <v>0</v>
      </c>
      <c r="AI4" s="106">
        <f>IF([U] = "U", SUMPRODUCT(N([ID]&lt;=NOTAS_80[[#This Row],[ID]]),N([DATA BASE]=NOTAS_80[[#This Row],[DATA BASE]]), N(['[D/N']] = "N"),    [LUCRO P/ OP]), 0)</f>
        <v>0</v>
      </c>
      <c r="AJ4" s="106">
        <f>IF([U] = "U", SUMPRODUCT(N([DATA BASE]=NOTAS_80[[#This Row],[DATA BASE]]), N(['[D/N']] = "D"),    [LUCRO P/ OP]), 0)</f>
        <v>0</v>
      </c>
      <c r="AK4" s="106">
        <f>IF([U] = "U", SUMPRODUCT(N([DATA BASE]=NOTAS_80[[#This Row],[DATA BASE]]), N(['[D/N']] = "D"),    [IRRF FONTE]), 0)</f>
        <v>0</v>
      </c>
    </row>
    <row r="5" spans="1:37">
      <c r="A5" s="13">
        <v>4</v>
      </c>
      <c r="B5" s="114" t="s">
        <v>49</v>
      </c>
      <c r="C5" s="107" t="s">
        <v>143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5">
        <f>WORKDAY(NOTAS_80[[#This Row],[DATA]],1,0)</f>
        <v>41151</v>
      </c>
      <c r="L5" s="117">
        <f>EOMONTH(NOTAS_80[[#This Row],[DATA DE LIQUIDAÇÃO]],0)</f>
        <v>41152</v>
      </c>
      <c r="M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16">
        <f>[QTDE]*[PREÇO]</f>
        <v>122.99999999999999</v>
      </c>
      <c r="O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16">
        <f>TRUNC([CORR BOV] * 20% * IF([PARCIAL] &gt; 0, [QTDE] / [PARCIAL], 1),2)</f>
        <v>0.54</v>
      </c>
      <c r="U5" s="116">
        <f>SUMPRODUCT(N([DATA]=NOTAS_80[[#This Row],[DATA]]),N([ID]&lt;=NOTAS_80[[#This Row],[ID]]), [CORR])</f>
        <v>0.54</v>
      </c>
      <c r="V5" s="116">
        <f>TRUNC([CORRETAGEM]*SETUP!$F$3,2)</f>
        <v>0.01</v>
      </c>
      <c r="W5" s="116">
        <f>ROUND([CORRETAGEM]*SETUP!$G$3,2)</f>
        <v>0.02</v>
      </c>
      <c r="X5" s="116">
        <f>[VALOR LÍQUIDO DAS OPERAÇÕES]-[TAXA DE LIQUIDAÇÃO]-[EMOLUMENTOS]-[TAXA DE REGISTRO]-[CORRETAGEM]-[ISS]-IF(['[D/N']]="D",    0,    [OUTRAS BOVESPA]) - [AJUSTE]</f>
        <v>122.27999999999997</v>
      </c>
      <c r="Y5" s="116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18">
        <f>[LÍQUIDO]-SUMPRODUCT(N([DATA]=NOTAS_80[[#This Row],[DATA]]),N([ID]=(NOTAS_80[[#This Row],[ID]]-1)),[LÍQUIDO])</f>
        <v>122.27999999999997</v>
      </c>
      <c r="AB5" s="116">
        <f>IF([T] = "VC", ABS([VALOR OP]) / [QTDE], [VALOR OP]/[QTDE])</f>
        <v>0.40759999999999991</v>
      </c>
      <c r="AC5" s="116">
        <f>TRUNC(IF(OR([T]="CV",[T]="VV"),     N5*SETUP!$H$3,     0),2)</f>
        <v>0</v>
      </c>
      <c r="AD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16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16">
        <f>IF([U] = "U", SUMPRODUCT(N([ID]&lt;=NOTAS_80[[#This Row],[ID]]),N([DATA BASE]=NOTAS_80[[#This Row],[DATA BASE]]), N(['[D/N']] = "N"),    [LUCRO P/ OP]), 0)</f>
        <v>-60.290000000000049</v>
      </c>
      <c r="AJ5" s="116">
        <f>IF([U] = "U", SUMPRODUCT(N([DATA BASE]=NOTAS_80[[#This Row],[DATA BASE]]), N(['[D/N']] = "D"),    [LUCRO P/ OP]), 0)</f>
        <v>0</v>
      </c>
      <c r="AK5" s="116">
        <f>IF([U] = "U", SUMPRODUCT(N([DATA BASE]=NOTAS_80[[#This Row],[DATA BASE]]), N(['[D/N']] = "D"),    [IRRF FONTE]), 0)</f>
        <v>0</v>
      </c>
    </row>
    <row r="6" spans="1:37">
      <c r="A6" s="13">
        <v>5</v>
      </c>
      <c r="B6" s="107"/>
      <c r="C6" s="107" t="s">
        <v>154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25"/>
      <c r="J6" s="13" t="s">
        <v>14</v>
      </c>
      <c r="K6" s="108">
        <f>WORKDAY(NOTAS_80[[#This Row],[DATA]],1,0)</f>
        <v>41157</v>
      </c>
      <c r="L6" s="109">
        <f>EOMONTH(NOTAS_80[[#This Row],[DATA DE LIQUIDAÇÃO]],0)</f>
        <v>41182</v>
      </c>
      <c r="M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06">
        <f>[QTDE]*[PREÇO]</f>
        <v>648</v>
      </c>
      <c r="O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06">
        <f>TRUNC([CORR BOV] * 20% * IF([PARCIAL] &gt; 0, [QTDE] / [PARCIAL], 1),2)</f>
        <v>2.44</v>
      </c>
      <c r="U6" s="106">
        <f>SUMPRODUCT(N([DATA]=NOTAS_80[[#This Row],[DATA]]),N([ID]&lt;=NOTAS_80[[#This Row],[ID]]), [CORR])</f>
        <v>2.44</v>
      </c>
      <c r="V6" s="106">
        <f>TRUNC([CORRETAGEM]*SETUP!$F$3,2)</f>
        <v>0.04</v>
      </c>
      <c r="W6" s="106">
        <f>ROUND([CORRETAGEM]*SETUP!$G$3,2)</f>
        <v>0.1</v>
      </c>
      <c r="X6" s="106">
        <f>[VALOR LÍQUIDO DAS OPERAÇÕES]-[TAXA DE LIQUIDAÇÃO]-[EMOLUMENTOS]-[TAXA DE REGISTRO]-[CORRETAGEM]-[ISS]-IF(['[D/N']]="D",    0,    [OUTRAS BOVESPA]) - [AJUSTE]</f>
        <v>-650.75000000000011</v>
      </c>
      <c r="Y6" s="106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0">
        <f>[LÍQUIDO]-SUMPRODUCT(N([DATA]=NOTAS_80[[#This Row],[DATA]]),N([ID]=(NOTAS_80[[#This Row],[ID]]-1)),[LÍQUIDO])</f>
        <v>-650.75000000000011</v>
      </c>
      <c r="AB6" s="106">
        <f>IF([T] = "VC", ABS([VALOR OP]) / [QTDE], [VALOR OP]/[QTDE])</f>
        <v>-1.6268750000000003</v>
      </c>
      <c r="AC6" s="106">
        <f>TRUNC(IF(OR([T]="CV",[T]="VV"),     N6*SETUP!$H$3,     0),2)</f>
        <v>0</v>
      </c>
      <c r="AD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06">
        <f>IF([LUCRO TMP] &lt;&gt; 0, [LUCRO TMP] - SUMPRODUCT(N([ATIVO]=NOTAS_80[[#This Row],[ATIVO]]),N(['[D/N']]="N"),N([ID]&lt;NOTAS_80[[#This Row],[ID]]),N([PAR]=NOTAS_80[[#This Row],[PAR]]), [LUCRO TMP]), 0)</f>
        <v>0</v>
      </c>
      <c r="AI6" s="106">
        <f>IF([U] = "U", SUMPRODUCT(N([ID]&lt;=NOTAS_80[[#This Row],[ID]]),N([DATA BASE]=NOTAS_80[[#This Row],[DATA BASE]]), N(['[D/N']] = "N"),    [LUCRO P/ OP]), 0)</f>
        <v>0</v>
      </c>
      <c r="AJ6" s="106">
        <f>IF([U] = "U", SUMPRODUCT(N([DATA BASE]=NOTAS_80[[#This Row],[DATA BASE]]), N(['[D/N']] = "D"),    [LUCRO P/ OP]), 0)</f>
        <v>0</v>
      </c>
      <c r="AK6" s="106">
        <f>IF([U] = "U", SUMPRODUCT(N([DATA BASE]=NOTAS_80[[#This Row],[DATA BASE]]), N(['[D/N']] = "D"),    [IRRF FONTE]), 0)</f>
        <v>0</v>
      </c>
    </row>
    <row r="7" spans="1:37">
      <c r="A7" s="13">
        <v>6</v>
      </c>
      <c r="B7" s="107"/>
      <c r="C7" s="107" t="s">
        <v>154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25"/>
      <c r="J7" s="13" t="s">
        <v>14</v>
      </c>
      <c r="K7" s="108">
        <f>WORKDAY(NOTAS_80[[#This Row],[DATA]],1,0)</f>
        <v>41157</v>
      </c>
      <c r="L7" s="109">
        <f>EOMONTH(NOTAS_80[[#This Row],[DATA DE LIQUIDAÇÃO]],0)</f>
        <v>41182</v>
      </c>
      <c r="M7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06">
        <f>[QTDE]*[PREÇO]</f>
        <v>644</v>
      </c>
      <c r="O7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06">
        <f>TRUNC([CORR BOV] * 20% * IF([PARCIAL] &gt; 0, [QTDE] / [PARCIAL], 1),2)</f>
        <v>2.4300000000000002</v>
      </c>
      <c r="U7" s="106">
        <f>SUMPRODUCT(N([DATA]=NOTAS_80[[#This Row],[DATA]]),N([ID]&lt;=NOTAS_80[[#This Row],[ID]]), [CORR])</f>
        <v>4.87</v>
      </c>
      <c r="V7" s="106">
        <f>TRUNC([CORRETAGEM]*SETUP!$F$3,2)</f>
        <v>0.09</v>
      </c>
      <c r="W7" s="106">
        <f>ROUND([CORRETAGEM]*SETUP!$G$3,2)</f>
        <v>0.19</v>
      </c>
      <c r="X7" s="106">
        <f>[VALOR LÍQUIDO DAS OPERAÇÕES]-[TAXA DE LIQUIDAÇÃO]-[EMOLUMENTOS]-[TAXA DE REGISTRO]-[CORRETAGEM]-[ISS]-IF(['[D/N']]="D",    0,    [OUTRAS BOVESPA]) - [AJUSTE]</f>
        <v>-9.5300000000000011</v>
      </c>
      <c r="Y7" s="106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0">
        <f>[LÍQUIDO]-SUMPRODUCT(N([DATA]=NOTAS_80[[#This Row],[DATA]]),N([ID]=(NOTAS_80[[#This Row],[ID]]-1)),[LÍQUIDO])</f>
        <v>641.22000000000014</v>
      </c>
      <c r="AB7" s="106">
        <f>IF([T] = "VC", ABS([VALOR OP]) / [QTDE], [VALOR OP]/[QTDE])</f>
        <v>1.6030500000000003</v>
      </c>
      <c r="AC7" s="106">
        <f>TRUNC(IF(OR([T]="CV",[T]="VV"),     N7*SETUP!$H$3,     0),2)</f>
        <v>0.03</v>
      </c>
      <c r="AD7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06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06">
        <f>IF([U] = "U", SUMPRODUCT(N([ID]&lt;=NOTAS_80[[#This Row],[ID]]),N([DATA BASE]=NOTAS_80[[#This Row],[DATA BASE]]), N(['[D/N']] = "N"),    [LUCRO P/ OP]), 0)</f>
        <v>0</v>
      </c>
      <c r="AJ7" s="106">
        <f>IF([U] = "U", SUMPRODUCT(N([DATA BASE]=NOTAS_80[[#This Row],[DATA BASE]]), N(['[D/N']] = "D"),    [LUCRO P/ OP]), 0)</f>
        <v>0</v>
      </c>
      <c r="AK7" s="106">
        <f>IF([U] = "U", SUMPRODUCT(N([DATA BASE]=NOTAS_80[[#This Row],[DATA BASE]]), N(['[D/N']] = "D"),    [IRRF FONTE]), 0)</f>
        <v>0</v>
      </c>
    </row>
    <row r="8" spans="1:37">
      <c r="A8" s="13">
        <v>7</v>
      </c>
      <c r="B8" s="107"/>
      <c r="C8" s="107" t="s">
        <v>153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25"/>
      <c r="J8" s="13" t="s">
        <v>14</v>
      </c>
      <c r="K8" s="108">
        <f>WORKDAY(NOTAS_80[[#This Row],[DATA]],1,0)</f>
        <v>41157</v>
      </c>
      <c r="L8" s="109">
        <f>EOMONTH(NOTAS_80[[#This Row],[DATA DE LIQUIDAÇÃO]],0)</f>
        <v>41182</v>
      </c>
      <c r="M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06">
        <f>[QTDE]*[PREÇO]</f>
        <v>160</v>
      </c>
      <c r="O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06">
        <f>TRUNC([CORR BOV] * 20% * IF([PARCIAL] &gt; 0, [QTDE] / [PARCIAL], 1),2)</f>
        <v>0.64</v>
      </c>
      <c r="U8" s="106">
        <f>SUMPRODUCT(N([DATA]=NOTAS_80[[#This Row],[DATA]]),N([ID]&lt;=NOTAS_80[[#This Row],[ID]]), [CORR])</f>
        <v>5.51</v>
      </c>
      <c r="V8" s="106">
        <f>TRUNC([CORRETAGEM]*SETUP!$F$3,2)</f>
        <v>0.11</v>
      </c>
      <c r="W8" s="106">
        <f>ROUND([CORRETAGEM]*SETUP!$G$3,2)</f>
        <v>0.21</v>
      </c>
      <c r="X8" s="106">
        <f>[VALOR LÍQUIDO DAS OPERAÇÕES]-[TAXA DE LIQUIDAÇÃO]-[EMOLUMENTOS]-[TAXA DE REGISTRO]-[CORRETAGEM]-[ISS]-IF(['[D/N']]="D",    0,    [OUTRAS BOVESPA]) - [AJUSTE]</f>
        <v>149.74</v>
      </c>
      <c r="Y8" s="106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0">
        <f>[LÍQUIDO]-SUMPRODUCT(N([DATA]=NOTAS_80[[#This Row],[DATA]]),N([ID]=(NOTAS_80[[#This Row],[ID]]-1)),[LÍQUIDO])</f>
        <v>159.27000000000001</v>
      </c>
      <c r="AB8" s="106">
        <f>IF([T] = "VC", ABS([VALOR OP]) / [QTDE], [VALOR OP]/[QTDE])</f>
        <v>1.5927</v>
      </c>
      <c r="AC8" s="106">
        <f>TRUNC(IF(OR([T]="CV",[T]="VV"),     N8*SETUP!$H$3,     0),2)</f>
        <v>0</v>
      </c>
      <c r="AD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06">
        <f>IF([LUCRO TMP] &lt;&gt; 0, [LUCRO TMP] - SUMPRODUCT(N([ATIVO]=NOTAS_80[[#This Row],[ATIVO]]),N(['[D/N']]="N"),N([ID]&lt;NOTAS_80[[#This Row],[ID]]),N([PAR]=NOTAS_80[[#This Row],[PAR]]), [LUCRO TMP]), 0)</f>
        <v>0</v>
      </c>
      <c r="AI8" s="106">
        <f>IF([U] = "U", SUMPRODUCT(N([ID]&lt;=NOTAS_80[[#This Row],[ID]]),N([DATA BASE]=NOTAS_80[[#This Row],[DATA BASE]]), N(['[D/N']] = "N"),    [LUCRO P/ OP]), 0)</f>
        <v>0</v>
      </c>
      <c r="AJ8" s="106">
        <f>IF([U] = "U", SUMPRODUCT(N([DATA BASE]=NOTAS_80[[#This Row],[DATA BASE]]), N(['[D/N']] = "D"),    [LUCRO P/ OP]), 0)</f>
        <v>0</v>
      </c>
      <c r="AK8" s="106">
        <f>IF([U] = "U", SUMPRODUCT(N([DATA BASE]=NOTAS_80[[#This Row],[DATA BASE]]), N(['[D/N']] = "D"),    [IRRF FONTE]), 0)</f>
        <v>0</v>
      </c>
    </row>
    <row r="9" spans="1:37">
      <c r="A9" s="13">
        <v>8</v>
      </c>
      <c r="B9" s="107"/>
      <c r="C9" s="107" t="s">
        <v>153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08">
        <f>WORKDAY(NOTAS_80[[#This Row],[DATA]],1,0)</f>
        <v>41157</v>
      </c>
      <c r="L9" s="109">
        <f>EOMONTH(NOTAS_80[[#This Row],[DATA DE LIQUIDAÇÃO]],0)</f>
        <v>41182</v>
      </c>
      <c r="M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06">
        <f>[QTDE]*[PREÇO]</f>
        <v>161</v>
      </c>
      <c r="O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06">
        <f>TRUNC([CORR BOV] * 20% * IF([PARCIAL] &gt; 0, [QTDE] / [PARCIAL], 1),2)</f>
        <v>0.64</v>
      </c>
      <c r="U9" s="106">
        <f>SUMPRODUCT(N([DATA]=NOTAS_80[[#This Row],[DATA]]),N([ID]&lt;=NOTAS_80[[#This Row],[ID]]), [CORR])</f>
        <v>6.1499999999999995</v>
      </c>
      <c r="V9" s="106">
        <f>TRUNC([CORRETAGEM]*SETUP!$F$3,2)</f>
        <v>0.12</v>
      </c>
      <c r="W9" s="106">
        <f>ROUND([CORRETAGEM]*SETUP!$G$3,2)</f>
        <v>0.24</v>
      </c>
      <c r="X9" s="106">
        <f>[VALOR LÍQUIDO DAS OPERAÇÕES]-[TAXA DE LIQUIDAÇÃO]-[EMOLUMENTOS]-[TAXA DE REGISTRO]-[CORRETAGEM]-[ISS]-IF(['[D/N']]="D",    0,    [OUTRAS BOVESPA]) - [AJUSTE]</f>
        <v>-10.43</v>
      </c>
      <c r="Y9" s="106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0">
        <f>[LÍQUIDO]-SUMPRODUCT(N([DATA]=NOTAS_80[[#This Row],[DATA]]),N([ID]=(NOTAS_80[[#This Row],[ID]]-1)),[LÍQUIDO])</f>
        <v>-160.17000000000002</v>
      </c>
      <c r="AB9" s="106">
        <f>IF([T] = "VC", ABS([VALOR OP]) / [QTDE], [VALOR OP]/[QTDE])</f>
        <v>1.6017000000000001</v>
      </c>
      <c r="AC9" s="106">
        <f>TRUNC(IF(OR([T]="CV",[T]="VV"),     N9*SETUP!$H$3,     0),2)</f>
        <v>0</v>
      </c>
      <c r="AD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06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06">
        <f>IF([U] = "U", SUMPRODUCT(N([ID]&lt;=NOTAS_80[[#This Row],[ID]]),N([DATA BASE]=NOTAS_80[[#This Row],[DATA BASE]]), N(['[D/N']] = "N"),    [LUCRO P/ OP]), 0)</f>
        <v>0</v>
      </c>
      <c r="AJ9" s="106">
        <f>IF([U] = "U", SUMPRODUCT(N([DATA BASE]=NOTAS_80[[#This Row],[DATA BASE]]), N(['[D/N']] = "D"),    [LUCRO P/ OP]), 0)</f>
        <v>0</v>
      </c>
      <c r="AK9" s="106">
        <f>IF([U] = "U", SUMPRODUCT(N([DATA BASE]=NOTAS_80[[#This Row],[DATA BASE]]), N(['[D/N']] = "D"),    [IRRF FONTE]), 0)</f>
        <v>0</v>
      </c>
    </row>
    <row r="10" spans="1:37">
      <c r="A10" s="13">
        <v>9</v>
      </c>
      <c r="B10" s="114"/>
      <c r="C10" s="107" t="s">
        <v>151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25"/>
      <c r="J10" s="85" t="s">
        <v>6</v>
      </c>
      <c r="K10" s="115">
        <f>WORKDAY(NOTAS_80[[#This Row],[DATA]],1,0)</f>
        <v>41157</v>
      </c>
      <c r="L10" s="117">
        <f>EOMONTH(NOTAS_80[[#This Row],[DATA DE LIQUIDAÇÃO]],0)</f>
        <v>41182</v>
      </c>
      <c r="M1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16">
        <f>[QTDE]*[PREÇO]</f>
        <v>483.00000000000006</v>
      </c>
      <c r="O1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16">
        <f>TRUNC([CORR BOV] * 20% * IF([PARCIAL] &gt; 0, [QTDE] / [PARCIAL], 1),2)</f>
        <v>1.93</v>
      </c>
      <c r="U10" s="116">
        <f>SUMPRODUCT(N([DATA]=NOTAS_80[[#This Row],[DATA]]),N([ID]&lt;=NOTAS_80[[#This Row],[ID]]), [CORR])</f>
        <v>8.08</v>
      </c>
      <c r="V10" s="116">
        <f>TRUNC([CORRETAGEM]*SETUP!$F$3,2)</f>
        <v>0.16</v>
      </c>
      <c r="W10" s="116">
        <f>ROUND([CORRETAGEM]*SETUP!$G$3,2)</f>
        <v>0.32</v>
      </c>
      <c r="X10" s="116">
        <f>[VALOR LÍQUIDO DAS OPERAÇÕES]-[TAXA DE LIQUIDAÇÃO]-[EMOLUMENTOS]-[TAXA DE REGISTRO]-[CORRETAGEM]-[ISS]-IF(['[D/N']]="D",    0,    [OUTRAS BOVESPA]) - [AJUSTE]</f>
        <v>468.08</v>
      </c>
      <c r="Y10" s="116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18">
        <f>[LÍQUIDO]-SUMPRODUCT(N([DATA]=NOTAS_80[[#This Row],[DATA]]),N([ID]=(NOTAS_80[[#This Row],[ID]]-1)),[LÍQUIDO])</f>
        <v>478.51</v>
      </c>
      <c r="AB10" s="116">
        <f>IF([T] = "VC", ABS([VALOR OP]) / [QTDE], [VALOR OP]/[QTDE])</f>
        <v>1.5950333333333333</v>
      </c>
      <c r="AC10" s="116">
        <f>TRUNC(IF(OR([T]="CV",[T]="VV"),     N10*SETUP!$H$3,     0),2)</f>
        <v>0.02</v>
      </c>
      <c r="AD1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16">
        <f>IF([LUCRO TMP] &lt;&gt; 0, [LUCRO TMP] - SUMPRODUCT(N([ATIVO]=NOTAS_80[[#This Row],[ATIVO]]),N(['[D/N']]="N"),N([ID]&lt;NOTAS_80[[#This Row],[ID]]),N([PAR]=NOTAS_80[[#This Row],[PAR]]), [LUCRO TMP]), 0)</f>
        <v>0</v>
      </c>
      <c r="AI10" s="116">
        <f>IF([U] = "U", SUMPRODUCT(N([ID]&lt;=NOTAS_80[[#This Row],[ID]]),N([DATA BASE]=NOTAS_80[[#This Row],[DATA BASE]]), N(['[D/N']] = "N"),    [LUCRO P/ OP]), 0)</f>
        <v>0</v>
      </c>
      <c r="AJ10" s="116">
        <f>IF([U] = "U", SUMPRODUCT(N([DATA BASE]=NOTAS_80[[#This Row],[DATA BASE]]), N(['[D/N']] = "D"),    [LUCRO P/ OP]), 0)</f>
        <v>0</v>
      </c>
      <c r="AK10" s="116">
        <f>IF([U] = "U", SUMPRODUCT(N([DATA BASE]=NOTAS_80[[#This Row],[DATA BASE]]), N(['[D/N']] = "D"),    [IRRF FONTE]), 0)</f>
        <v>0</v>
      </c>
    </row>
    <row r="11" spans="1:37">
      <c r="A11" s="13">
        <v>10</v>
      </c>
      <c r="B11" s="114"/>
      <c r="C11" s="114" t="s">
        <v>152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5">
        <f>WORKDAY(NOTAS_80[[#This Row],[DATA]],1,0)</f>
        <v>41157</v>
      </c>
      <c r="L11" s="117">
        <f>EOMONTH(NOTAS_80[[#This Row],[DATA DE LIQUIDAÇÃO]],0)</f>
        <v>41182</v>
      </c>
      <c r="M1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16">
        <f>[QTDE]*[PREÇO]</f>
        <v>276</v>
      </c>
      <c r="O1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16">
        <f>TRUNC([CORR BOV] * 20% * IF([PARCIAL] &gt; 0, [QTDE] / [PARCIAL], 1),2)</f>
        <v>1.1000000000000001</v>
      </c>
      <c r="U11" s="116">
        <f>SUMPRODUCT(N([DATA]=NOTAS_80[[#This Row],[DATA]]),N([ID]&lt;=NOTAS_80[[#This Row],[ID]]), [CORR])</f>
        <v>9.18</v>
      </c>
      <c r="V11" s="116">
        <f>TRUNC([CORRETAGEM]*SETUP!$F$3,2)</f>
        <v>0.18</v>
      </c>
      <c r="W11" s="116">
        <f>ROUND([CORRETAGEM]*SETUP!$G$3,2)</f>
        <v>0.36</v>
      </c>
      <c r="X11" s="116">
        <f>[VALOR LÍQUIDO DAS OPERAÇÕES]-[TAXA DE LIQUIDAÇÃO]-[EMOLUMENTOS]-[TAXA DE REGISTRO]-[CORRETAGEM]-[ISS]-IF(['[D/N']]="D",    0,    [OUTRAS BOVESPA]) - [AJUSTE]</f>
        <v>193.12999999999997</v>
      </c>
      <c r="Y11" s="116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18">
        <f>[LÍQUIDO]-SUMPRODUCT(N([DATA]=NOTAS_80[[#This Row],[DATA]]),N([ID]=(NOTAS_80[[#This Row],[ID]]-1)),[LÍQUIDO])</f>
        <v>-274.95000000000005</v>
      </c>
      <c r="AB11" s="116">
        <f>IF([T] = "VC", ABS([VALOR OP]) / [QTDE], [VALOR OP]/[QTDE])</f>
        <v>-0.9165000000000002</v>
      </c>
      <c r="AC11" s="116">
        <f>TRUNC(IF(OR([T]="CV",[T]="VV"),     N11*SETUP!$H$3,     0),2)</f>
        <v>0</v>
      </c>
      <c r="AD1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16">
        <f>IF([LUCRO TMP] &lt;&gt; 0, [LUCRO TMP] - SUMPRODUCT(N([ATIVO]=NOTAS_80[[#This Row],[ATIVO]]),N(['[D/N']]="N"),N([ID]&lt;NOTAS_80[[#This Row],[ID]]),N([PAR]=NOTAS_80[[#This Row],[PAR]]), [LUCRO TMP]), 0)</f>
        <v>0</v>
      </c>
      <c r="AI11" s="116">
        <f>IF([U] = "U", SUMPRODUCT(N([ID]&lt;=NOTAS_80[[#This Row],[ID]]),N([DATA BASE]=NOTAS_80[[#This Row],[DATA BASE]]), N(['[D/N']] = "N"),    [LUCRO P/ OP]), 0)</f>
        <v>0</v>
      </c>
      <c r="AJ11" s="116">
        <f>IF([U] = "U", SUMPRODUCT(N([DATA BASE]=NOTAS_80[[#This Row],[DATA BASE]]), N(['[D/N']] = "D"),    [LUCRO P/ OP]), 0)</f>
        <v>0</v>
      </c>
      <c r="AK11" s="116">
        <f>IF([U] = "U", SUMPRODUCT(N([DATA BASE]=NOTAS_80[[#This Row],[DATA BASE]]), N(['[D/N']] = "D"),    [IRRF FONTE]), 0)</f>
        <v>0</v>
      </c>
    </row>
    <row r="12" spans="1:37">
      <c r="A12" s="13">
        <v>11</v>
      </c>
      <c r="B12" s="107"/>
      <c r="C12" s="107" t="s">
        <v>151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08">
        <f>WORKDAY(NOTAS_80[[#This Row],[DATA]],1,0)</f>
        <v>41158</v>
      </c>
      <c r="L12" s="109">
        <f>EOMONTH(NOTAS_80[[#This Row],[DATA DE LIQUIDAÇÃO]],0)</f>
        <v>41182</v>
      </c>
      <c r="M1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06">
        <f>[QTDE]*[PREÇO]</f>
        <v>528</v>
      </c>
      <c r="O1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06">
        <f>TRUNC([CORR BOV] * 20% * IF([PARCIAL] &gt; 0, [QTDE] / [PARCIAL], 1),2)</f>
        <v>2.08</v>
      </c>
      <c r="U12" s="106">
        <f>SUMPRODUCT(N([DATA]=NOTAS_80[[#This Row],[DATA]]),N([ID]&lt;=NOTAS_80[[#This Row],[ID]]), [CORR])</f>
        <v>2.08</v>
      </c>
      <c r="V12" s="106">
        <f>TRUNC([CORRETAGEM]*SETUP!$F$3,2)</f>
        <v>0.04</v>
      </c>
      <c r="W12" s="106">
        <f>ROUND([CORRETAGEM]*SETUP!$G$3,2)</f>
        <v>0.08</v>
      </c>
      <c r="X12" s="106">
        <f>[VALOR LÍQUIDO DAS OPERAÇÕES]-[TAXA DE LIQUIDAÇÃO]-[EMOLUMENTOS]-[TAXA DE REGISTRO]-[CORRETAGEM]-[ISS]-IF(['[D/N']]="D",    0,    [OUTRAS BOVESPA]) - [AJUSTE]</f>
        <v>-530.8900000000001</v>
      </c>
      <c r="Y12" s="106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0">
        <f>[LÍQUIDO]-SUMPRODUCT(N([DATA]=NOTAS_80[[#This Row],[DATA]]),N([ID]=(NOTAS_80[[#This Row],[ID]]-1)),[LÍQUIDO])</f>
        <v>-530.8900000000001</v>
      </c>
      <c r="AB12" s="106">
        <f>IF([T] = "VC", ABS([VALOR OP]) / [QTDE], [VALOR OP]/[QTDE])</f>
        <v>1.7696333333333336</v>
      </c>
      <c r="AC12" s="106">
        <f>TRUNC(IF(OR([T]="CV",[T]="VV"),     N12*SETUP!$H$3,     0),2)</f>
        <v>0</v>
      </c>
      <c r="AD1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06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06">
        <f>IF([U] = "U", SUMPRODUCT(N([ID]&lt;=NOTAS_80[[#This Row],[ID]]),N([DATA BASE]=NOTAS_80[[#This Row],[DATA BASE]]), N(['[D/N']] = "N"),    [LUCRO P/ OP]), 0)</f>
        <v>0</v>
      </c>
      <c r="AJ12" s="106">
        <f>IF([U] = "U", SUMPRODUCT(N([DATA BASE]=NOTAS_80[[#This Row],[DATA BASE]]), N(['[D/N']] = "D"),    [LUCRO P/ OP]), 0)</f>
        <v>0</v>
      </c>
      <c r="AK12" s="106">
        <f>IF([U] = "U", SUMPRODUCT(N([DATA BASE]=NOTAS_80[[#This Row],[DATA BASE]]), N(['[D/N']] = "D"),    [IRRF FONTE]), 0)</f>
        <v>0</v>
      </c>
    </row>
    <row r="13" spans="1:37">
      <c r="A13" s="13">
        <v>12</v>
      </c>
      <c r="B13" s="107"/>
      <c r="C13" s="107" t="s">
        <v>155</v>
      </c>
      <c r="D13" s="107" t="s">
        <v>24</v>
      </c>
      <c r="E13" s="108">
        <v>41157</v>
      </c>
      <c r="F13" s="107">
        <v>1400</v>
      </c>
      <c r="G13" s="106">
        <v>0.3</v>
      </c>
      <c r="H13" s="105"/>
      <c r="I13" s="125">
        <v>-0.44</v>
      </c>
      <c r="J13" s="107" t="s">
        <v>6</v>
      </c>
      <c r="K13" s="108">
        <f>WORKDAY(NOTAS_80[[#This Row],[DATA]],1,0)</f>
        <v>41158</v>
      </c>
      <c r="L13" s="109">
        <f>EOMONTH(NOTAS_80[[#This Row],[DATA DE LIQUIDAÇÃO]],0)</f>
        <v>41182</v>
      </c>
      <c r="M1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06">
        <f>[QTDE]*[PREÇO]</f>
        <v>420</v>
      </c>
      <c r="O1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06">
        <f>TRUNC([CORR BOV] * 20% * IF([PARCIAL] &gt; 0, [QTDE] / [PARCIAL], 1),2)</f>
        <v>1.68</v>
      </c>
      <c r="U13" s="106">
        <f>SUMPRODUCT(N([DATA]=NOTAS_80[[#This Row],[DATA]]),N([ID]&lt;=NOTAS_80[[#This Row],[ID]]), [CORR])</f>
        <v>3.76</v>
      </c>
      <c r="V13" s="106">
        <f>TRUNC([CORRETAGEM]*SETUP!$F$3,2)</f>
        <v>7.0000000000000007E-2</v>
      </c>
      <c r="W13" s="106">
        <f>ROUND([CORRETAGEM]*SETUP!$G$3,2)</f>
        <v>0.15</v>
      </c>
      <c r="X13" s="106">
        <f>[VALOR LÍQUIDO DAS OPERAÇÕES]-[TAXA DE LIQUIDAÇÃO]-[EMOLUMENTOS]-[TAXA DE REGISTRO]-[CORRETAGEM]-[ISS]-IF(['[D/N']]="D",    0,    [OUTRAS BOVESPA]) - [AJUSTE]</f>
        <v>-952.8</v>
      </c>
      <c r="Y13" s="106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0">
        <f>[LÍQUIDO]-SUMPRODUCT(N([DATA]=NOTAS_80[[#This Row],[DATA]]),N([ID]=(NOTAS_80[[#This Row],[ID]]-1)),[LÍQUIDO])</f>
        <v>-421.90999999999985</v>
      </c>
      <c r="AB13" s="106">
        <f>IF([T] = "VC", ABS([VALOR OP]) / [QTDE], [VALOR OP]/[QTDE])</f>
        <v>-0.30136428571428558</v>
      </c>
      <c r="AC13" s="106">
        <f>TRUNC(IF(OR([T]="CV",[T]="VV"),     N13*SETUP!$H$3,     0),2)</f>
        <v>0</v>
      </c>
      <c r="AD1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06">
        <f>IF([LUCRO TMP] &lt;&gt; 0, [LUCRO TMP] - SUMPRODUCT(N([ATIVO]=NOTAS_80[[#This Row],[ATIVO]]),N(['[D/N']]="N"),N([ID]&lt;NOTAS_80[[#This Row],[ID]]),N([PAR]=NOTAS_80[[#This Row],[PAR]]), [LUCRO TMP]), 0)</f>
        <v>0</v>
      </c>
      <c r="AI13" s="106">
        <f>IF([U] = "U", SUMPRODUCT(N([ID]&lt;=NOTAS_80[[#This Row],[ID]]),N([DATA BASE]=NOTAS_80[[#This Row],[DATA BASE]]), N(['[D/N']] = "N"),    [LUCRO P/ OP]), 0)</f>
        <v>0</v>
      </c>
      <c r="AJ13" s="106">
        <f>IF([U] = "U", SUMPRODUCT(N([DATA BASE]=NOTAS_80[[#This Row],[DATA BASE]]), N(['[D/N']] = "D"),    [LUCRO P/ OP]), 0)</f>
        <v>0</v>
      </c>
      <c r="AK13" s="106">
        <f>IF([U] = "U", SUMPRODUCT(N([DATA BASE]=NOTAS_80[[#This Row],[DATA BASE]]), N(['[D/N']] = "D"),    [IRRF FONTE]), 0)</f>
        <v>0</v>
      </c>
    </row>
    <row r="14" spans="1:37">
      <c r="A14" s="13">
        <v>13</v>
      </c>
      <c r="B14" s="107"/>
      <c r="C14" s="107" t="s">
        <v>156</v>
      </c>
      <c r="D14" s="107" t="s">
        <v>24</v>
      </c>
      <c r="E14" s="108">
        <v>41162</v>
      </c>
      <c r="F14" s="107">
        <v>800</v>
      </c>
      <c r="G14" s="106">
        <v>0.51</v>
      </c>
      <c r="H14" s="105"/>
      <c r="I14" s="125"/>
      <c r="J14" s="107" t="s">
        <v>14</v>
      </c>
      <c r="K14" s="108">
        <f>WORKDAY(NOTAS_80[[#This Row],[DATA]],1,0)</f>
        <v>41163</v>
      </c>
      <c r="L14" s="109">
        <f>EOMONTH(NOTAS_80[[#This Row],[DATA DE LIQUIDAÇÃO]],0)</f>
        <v>41182</v>
      </c>
      <c r="M1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06">
        <f>[QTDE]*[PREÇO]</f>
        <v>408</v>
      </c>
      <c r="O1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06">
        <f>TRUNC([CORR BOV] * 20% * IF([PARCIAL] &gt; 0, [QTDE] / [PARCIAL], 1),2)</f>
        <v>1.63</v>
      </c>
      <c r="U14" s="106">
        <f>SUMPRODUCT(N([DATA]=NOTAS_80[[#This Row],[DATA]]),N([ID]&lt;=NOTAS_80[[#This Row],[ID]]), [CORR])</f>
        <v>1.63</v>
      </c>
      <c r="V14" s="106">
        <f>TRUNC([CORRETAGEM]*SETUP!$F$3,2)</f>
        <v>0.03</v>
      </c>
      <c r="W14" s="106">
        <f>ROUND([CORRETAGEM]*SETUP!$G$3,2)</f>
        <v>0.06</v>
      </c>
      <c r="X14" s="106">
        <f>[VALOR LÍQUIDO DAS OPERAÇÕES]-[TAXA DE LIQUIDAÇÃO]-[EMOLUMENTOS]-[TAXA DE REGISTRO]-[CORRETAGEM]-[ISS]-IF(['[D/N']]="D",    0,    [OUTRAS BOVESPA]) - [AJUSTE]</f>
        <v>-409.83</v>
      </c>
      <c r="Y14" s="106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0">
        <f>[LÍQUIDO]-SUMPRODUCT(N([DATA]=NOTAS_80[[#This Row],[DATA]]),N([ID]=(NOTAS_80[[#This Row],[ID]]-1)),[LÍQUIDO])</f>
        <v>-409.83</v>
      </c>
      <c r="AB14" s="106">
        <f>IF([T] = "VC", ABS([VALOR OP]) / [QTDE], [VALOR OP]/[QTDE])</f>
        <v>-0.51228750000000001</v>
      </c>
      <c r="AC14" s="106">
        <f>TRUNC(IF(OR([T]="CV",[T]="VV"),     N14*SETUP!$H$3,     0),2)</f>
        <v>0</v>
      </c>
      <c r="AD1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06">
        <f>IF([LUCRO TMP] &lt;&gt; 0, [LUCRO TMP] - SUMPRODUCT(N([ATIVO]=NOTAS_80[[#This Row],[ATIVO]]),N(['[D/N']]="N"),N([ID]&lt;NOTAS_80[[#This Row],[ID]]),N([PAR]=NOTAS_80[[#This Row],[PAR]]), [LUCRO TMP]), 0)</f>
        <v>0</v>
      </c>
      <c r="AI14" s="106">
        <f>IF([U] = "U", SUMPRODUCT(N([ID]&lt;=NOTAS_80[[#This Row],[ID]]),N([DATA BASE]=NOTAS_80[[#This Row],[DATA BASE]]), N(['[D/N']] = "N"),    [LUCRO P/ OP]), 0)</f>
        <v>0</v>
      </c>
      <c r="AJ14" s="106">
        <f>IF([U] = "U", SUMPRODUCT(N([DATA BASE]=NOTAS_80[[#This Row],[DATA BASE]]), N(['[D/N']] = "D"),    [LUCRO P/ OP]), 0)</f>
        <v>0</v>
      </c>
      <c r="AK14" s="106">
        <f>IF([U] = "U", SUMPRODUCT(N([DATA BASE]=NOTAS_80[[#This Row],[DATA BASE]]), N(['[D/N']] = "D"),    [IRRF FONTE]), 0)</f>
        <v>0</v>
      </c>
    </row>
    <row r="15" spans="1:37">
      <c r="A15" s="13">
        <v>14</v>
      </c>
      <c r="B15" s="114"/>
      <c r="C15" s="107" t="s">
        <v>156</v>
      </c>
      <c r="D15" s="114" t="s">
        <v>25</v>
      </c>
      <c r="E15" s="115">
        <v>41162</v>
      </c>
      <c r="F15" s="114">
        <v>800</v>
      </c>
      <c r="G15" s="116">
        <v>0.46</v>
      </c>
      <c r="H15" s="126"/>
      <c r="I15" s="127">
        <v>-0.7</v>
      </c>
      <c r="J15" s="114" t="s">
        <v>14</v>
      </c>
      <c r="K15" s="115">
        <f>WORKDAY(NOTAS_80[[#This Row],[DATA]],1,0)</f>
        <v>41163</v>
      </c>
      <c r="L15" s="117">
        <f>EOMONTH(NOTAS_80[[#This Row],[DATA DE LIQUIDAÇÃO]],0)</f>
        <v>41182</v>
      </c>
      <c r="M1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16">
        <f>[QTDE]*[PREÇO]</f>
        <v>368</v>
      </c>
      <c r="O1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16">
        <f>TRUNC([CORR BOV] * 20% * IF([PARCIAL] &gt; 0, [QTDE] / [PARCIAL], 1),2)</f>
        <v>1.47</v>
      </c>
      <c r="U15" s="116">
        <f>SUMPRODUCT(N([DATA]=NOTAS_80[[#This Row],[DATA]]),N([ID]&lt;=NOTAS_80[[#This Row],[ID]]), [CORR])</f>
        <v>3.0999999999999996</v>
      </c>
      <c r="V15" s="116">
        <f>TRUNC([CORRETAGEM]*SETUP!$F$3,2)</f>
        <v>0.06</v>
      </c>
      <c r="W15" s="116">
        <f>ROUND([CORRETAGEM]*SETUP!$G$3,2)</f>
        <v>0.12</v>
      </c>
      <c r="X15" s="116">
        <f>[VALOR LÍQUIDO DAS OPERAÇÕES]-[TAXA DE LIQUIDAÇÃO]-[EMOLUMENTOS]-[TAXA DE REGISTRO]-[CORRETAGEM]-[ISS]-IF(['[D/N']]="D",    0,    [OUTRAS BOVESPA]) - [AJUSTE]</f>
        <v>-42.790000000000006</v>
      </c>
      <c r="Y15" s="116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18">
        <f>[LÍQUIDO]-SUMPRODUCT(N([DATA]=NOTAS_80[[#This Row],[DATA]]),N([ID]=(NOTAS_80[[#This Row],[ID]]-1)),[LÍQUIDO])</f>
        <v>367.03999999999996</v>
      </c>
      <c r="AB15" s="116">
        <f>IF([T] = "VC", ABS([VALOR OP]) / [QTDE], [VALOR OP]/[QTDE])</f>
        <v>0.45879999999999993</v>
      </c>
      <c r="AC15" s="116">
        <f>TRUNC(IF(OR([T]="CV",[T]="VV"),     N15*SETUP!$H$3,     0),2)</f>
        <v>0.01</v>
      </c>
      <c r="AD1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16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16">
        <f>IF([U] = "U", SUMPRODUCT(N([ID]&lt;=NOTAS_80[[#This Row],[ID]]),N([DATA BASE]=NOTAS_80[[#This Row],[DATA BASE]]), N(['[D/N']] = "N"),    [LUCRO P/ OP]), 0)</f>
        <v>0</v>
      </c>
      <c r="AJ15" s="116">
        <f>IF([U] = "U", SUMPRODUCT(N([DATA BASE]=NOTAS_80[[#This Row],[DATA BASE]]), N(['[D/N']] = "D"),    [LUCRO P/ OP]), 0)</f>
        <v>0</v>
      </c>
      <c r="AK15" s="116">
        <f>IF([U] = "U", SUMPRODUCT(N([DATA BASE]=NOTAS_80[[#This Row],[DATA BASE]]), N(['[D/N']] = "D"),    [IRRF FONTE]), 0)</f>
        <v>0</v>
      </c>
    </row>
    <row r="16" spans="1:37">
      <c r="A16" s="13">
        <v>15</v>
      </c>
      <c r="B16" s="107"/>
      <c r="C16" s="114" t="s">
        <v>152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5">
        <f>WORKDAY(NOTAS_80[[#This Row],[DATA]],1,0)</f>
        <v>41163</v>
      </c>
      <c r="L16" s="117">
        <f>EOMONTH(NOTAS_80[[#This Row],[DATA DE LIQUIDAÇÃO]],0)</f>
        <v>41182</v>
      </c>
      <c r="M16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16">
        <f>[QTDE]*[PREÇO]</f>
        <v>432</v>
      </c>
      <c r="O16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16">
        <f>TRUNC([CORR BOV] * 20% * IF([PARCIAL] &gt; 0, [QTDE] / [PARCIAL], 1),2)</f>
        <v>1.72</v>
      </c>
      <c r="U16" s="116">
        <f>SUMPRODUCT(N([DATA]=NOTAS_80[[#This Row],[DATA]]),N([ID]&lt;=NOTAS_80[[#This Row],[ID]]), [CORR])</f>
        <v>4.8199999999999994</v>
      </c>
      <c r="V16" s="116">
        <f>TRUNC([CORRETAGEM]*SETUP!$F$3,2)</f>
        <v>0.09</v>
      </c>
      <c r="W16" s="116">
        <f>ROUND([CORRETAGEM]*SETUP!$G$3,2)</f>
        <v>0.19</v>
      </c>
      <c r="X16" s="116">
        <f>[VALOR LÍQUIDO DAS OPERAÇÕES]-[TAXA DE LIQUIDAÇÃO]-[EMOLUMENTOS]-[TAXA DE REGISTRO]-[CORRETAGEM]-[ISS]-IF(['[D/N']]="D",    0,    [OUTRAS BOVESPA]) - [AJUSTE]</f>
        <v>385.99</v>
      </c>
      <c r="Y16" s="116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18">
        <f>[LÍQUIDO]-SUMPRODUCT(N([DATA]=NOTAS_80[[#This Row],[DATA]]),N([ID]=(NOTAS_80[[#This Row],[ID]]-1)),[LÍQUIDO])</f>
        <v>428.78000000000003</v>
      </c>
      <c r="AB16" s="116">
        <f>IF([T] = "VC", ABS([VALOR OP]) / [QTDE], [VALOR OP]/[QTDE])</f>
        <v>1.4292666666666667</v>
      </c>
      <c r="AC16" s="116">
        <f>TRUNC(IF(OR([T]="CV",[T]="VV"),     N16*SETUP!$H$3,     0),2)</f>
        <v>0.02</v>
      </c>
      <c r="AD16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16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16">
        <f>IF([U] = "U", SUMPRODUCT(N([ID]&lt;=NOTAS_80[[#This Row],[ID]]),N([DATA BASE]=NOTAS_80[[#This Row],[DATA BASE]]), N(['[D/N']] = "N"),    [LUCRO P/ OP]), 0)</f>
        <v>0</v>
      </c>
      <c r="AJ16" s="116">
        <f>IF([U] = "U", SUMPRODUCT(N([DATA BASE]=NOTAS_80[[#This Row],[DATA BASE]]), N(['[D/N']] = "D"),    [LUCRO P/ OP]), 0)</f>
        <v>0</v>
      </c>
      <c r="AK16" s="116">
        <f>IF([U] = "U", SUMPRODUCT(N([DATA BASE]=NOTAS_80[[#This Row],[DATA BASE]]), N(['[D/N']] = "D"),    [IRRF FONTE]), 0)</f>
        <v>0</v>
      </c>
    </row>
    <row r="17" spans="1:37">
      <c r="A17" s="13">
        <v>16</v>
      </c>
      <c r="B17" s="114"/>
      <c r="C17" s="107" t="s">
        <v>155</v>
      </c>
      <c r="D17" s="114" t="s">
        <v>25</v>
      </c>
      <c r="E17" s="115">
        <v>41162</v>
      </c>
      <c r="F17" s="114">
        <v>1400</v>
      </c>
      <c r="G17" s="116">
        <v>0.43</v>
      </c>
      <c r="H17" s="126"/>
      <c r="I17" s="127">
        <v>4.3899999999999997</v>
      </c>
      <c r="J17" s="114" t="s">
        <v>6</v>
      </c>
      <c r="K17" s="115">
        <f>WORKDAY(NOTAS_80[[#This Row],[DATA]],1,0)</f>
        <v>41163</v>
      </c>
      <c r="L17" s="117">
        <f>EOMONTH(NOTAS_80[[#This Row],[DATA DE LIQUIDAÇÃO]],0)</f>
        <v>41182</v>
      </c>
      <c r="M1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16">
        <f>[QTDE]*[PREÇO]</f>
        <v>602</v>
      </c>
      <c r="O1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16">
        <f>TRUNC([CORR BOV] * 20% * IF([PARCIAL] &gt; 0, [QTDE] / [PARCIAL], 1),2)</f>
        <v>2.2999999999999998</v>
      </c>
      <c r="U17" s="116">
        <f>SUMPRODUCT(N([DATA]=NOTAS_80[[#This Row],[DATA]]),N([ID]&lt;=NOTAS_80[[#This Row],[ID]]), [CORR])</f>
        <v>7.1199999999999992</v>
      </c>
      <c r="V17" s="116">
        <f>TRUNC([CORRETAGEM]*SETUP!$F$3,2)</f>
        <v>0.14000000000000001</v>
      </c>
      <c r="W17" s="116">
        <f>ROUND([CORRETAGEM]*SETUP!$G$3,2)</f>
        <v>0.28000000000000003</v>
      </c>
      <c r="X17" s="116">
        <f>[VALOR LÍQUIDO DAS OPERAÇÕES]-[TAXA DE LIQUIDAÇÃO]-[EMOLUMENTOS]-[TAXA DE REGISTRO]-[CORRETAGEM]-[ISS]-IF(['[D/N']]="D",    0,    [OUTRAS BOVESPA]) - [AJUSTE]</f>
        <v>980.35</v>
      </c>
      <c r="Y17" s="116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18">
        <f>[LÍQUIDO]-SUMPRODUCT(N([DATA]=NOTAS_80[[#This Row],[DATA]]),N([ID]=(NOTAS_80[[#This Row],[ID]]-1)),[LÍQUIDO])</f>
        <v>594.36</v>
      </c>
      <c r="AB17" s="116">
        <f>IF([T] = "VC", ABS([VALOR OP]) / [QTDE], [VALOR OP]/[QTDE])</f>
        <v>0.42454285714285717</v>
      </c>
      <c r="AC17" s="116">
        <f>TRUNC(IF(OR([T]="CV",[T]="VV"),     N17*SETUP!$H$3,     0),2)</f>
        <v>0.03</v>
      </c>
      <c r="AD1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16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16">
        <f>IF([U] = "U", SUMPRODUCT(N([ID]&lt;=NOTAS_80[[#This Row],[ID]]),N([DATA BASE]=NOTAS_80[[#This Row],[DATA BASE]]), N(['[D/N']] = "N"),    [LUCRO P/ OP]), 0)</f>
        <v>0</v>
      </c>
      <c r="AJ17" s="116">
        <f>IF([U] = "U", SUMPRODUCT(N([DATA BASE]=NOTAS_80[[#This Row],[DATA BASE]]), N(['[D/N']] = "D"),    [LUCRO P/ OP]), 0)</f>
        <v>0</v>
      </c>
      <c r="AK17" s="116">
        <f>IF([U] = "U", SUMPRODUCT(N([DATA BASE]=NOTAS_80[[#This Row],[DATA BASE]]), N(['[D/N']] = "D"),    [IRRF FONTE]), 0)</f>
        <v>0</v>
      </c>
    </row>
    <row r="18" spans="1:37">
      <c r="A18" s="13">
        <v>17</v>
      </c>
      <c r="B18" s="107"/>
      <c r="C18" s="107" t="s">
        <v>157</v>
      </c>
      <c r="D18" s="107" t="s">
        <v>24</v>
      </c>
      <c r="E18" s="108">
        <v>41163</v>
      </c>
      <c r="F18" s="107">
        <v>600</v>
      </c>
      <c r="G18" s="106">
        <v>0.81</v>
      </c>
      <c r="H18" s="105"/>
      <c r="I18" s="125"/>
      <c r="J18" s="107" t="s">
        <v>6</v>
      </c>
      <c r="K18" s="108">
        <f>WORKDAY(NOTAS_80[[#This Row],[DATA]],1,0)</f>
        <v>41164</v>
      </c>
      <c r="L18" s="109">
        <f>EOMONTH(NOTAS_80[[#This Row],[DATA DE LIQUIDAÇÃO]],0)</f>
        <v>41182</v>
      </c>
      <c r="M1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06">
        <f>[QTDE]*[PREÇO]</f>
        <v>486.00000000000006</v>
      </c>
      <c r="O1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06">
        <f>TRUNC([CORR BOV] * 20% * IF([PARCIAL] &gt; 0, [QTDE] / [PARCIAL], 1),2)</f>
        <v>1.94</v>
      </c>
      <c r="U18" s="106">
        <f>SUMPRODUCT(N([DATA]=NOTAS_80[[#This Row],[DATA]]),N([ID]&lt;=NOTAS_80[[#This Row],[ID]]), [CORR])</f>
        <v>1.94</v>
      </c>
      <c r="V18" s="106">
        <f>TRUNC([CORRETAGEM]*SETUP!$F$3,2)</f>
        <v>0.03</v>
      </c>
      <c r="W18" s="106">
        <f>ROUND([CORRETAGEM]*SETUP!$G$3,2)</f>
        <v>0.08</v>
      </c>
      <c r="X18" s="106">
        <f>[VALOR LÍQUIDO DAS OPERAÇÕES]-[TAXA DE LIQUIDAÇÃO]-[EMOLUMENTOS]-[TAXA DE REGISTRO]-[CORRETAGEM]-[ISS]-IF(['[D/N']]="D",    0,    [OUTRAS BOVESPA]) - [AJUSTE]</f>
        <v>-488.68</v>
      </c>
      <c r="Y18" s="106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0">
        <f>[LÍQUIDO]-SUMPRODUCT(N([DATA]=NOTAS_80[[#This Row],[DATA]]),N([ID]=(NOTAS_80[[#This Row],[ID]]-1)),[LÍQUIDO])</f>
        <v>-488.68</v>
      </c>
      <c r="AB18" s="106">
        <f>IF([T] = "VC", ABS([VALOR OP]) / [QTDE], [VALOR OP]/[QTDE])</f>
        <v>-0.81446666666666667</v>
      </c>
      <c r="AC18" s="106">
        <f>TRUNC(IF(OR([T]="CV",[T]="VV"),     N18*SETUP!$H$3,     0),2)</f>
        <v>0</v>
      </c>
      <c r="AD1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06">
        <f>IF([LUCRO TMP] &lt;&gt; 0, [LUCRO TMP] - SUMPRODUCT(N([ATIVO]=NOTAS_80[[#This Row],[ATIVO]]),N(['[D/N']]="N"),N([ID]&lt;NOTAS_80[[#This Row],[ID]]),N([PAR]=NOTAS_80[[#This Row],[PAR]]), [LUCRO TMP]), 0)</f>
        <v>0</v>
      </c>
      <c r="AI18" s="106">
        <f>IF([U] = "U", SUMPRODUCT(N([ID]&lt;=NOTAS_80[[#This Row],[ID]]),N([DATA BASE]=NOTAS_80[[#This Row],[DATA BASE]]), N(['[D/N']] = "N"),    [LUCRO P/ OP]), 0)</f>
        <v>0</v>
      </c>
      <c r="AJ18" s="106">
        <f>IF([U] = "U", SUMPRODUCT(N([DATA BASE]=NOTAS_80[[#This Row],[DATA BASE]]), N(['[D/N']] = "D"),    [LUCRO P/ OP]), 0)</f>
        <v>0</v>
      </c>
      <c r="AK18" s="106">
        <f>IF([U] = "U", SUMPRODUCT(N([DATA BASE]=NOTAS_80[[#This Row],[DATA BASE]]), N(['[D/N']] = "D"),    [IRRF FONTE]), 0)</f>
        <v>0</v>
      </c>
    </row>
    <row r="19" spans="1:37">
      <c r="A19" s="13">
        <v>18</v>
      </c>
      <c r="B19" s="107"/>
      <c r="C19" s="107" t="s">
        <v>143</v>
      </c>
      <c r="D19" s="107" t="s">
        <v>24</v>
      </c>
      <c r="E19" s="108">
        <v>41163</v>
      </c>
      <c r="F19" s="107">
        <v>2800</v>
      </c>
      <c r="G19" s="106">
        <v>0.17</v>
      </c>
      <c r="H19" s="105"/>
      <c r="I19" s="125">
        <v>-0.48</v>
      </c>
      <c r="J19" s="107" t="s">
        <v>6</v>
      </c>
      <c r="K19" s="108">
        <f>WORKDAY(NOTAS_80[[#This Row],[DATA]],1,0)</f>
        <v>41164</v>
      </c>
      <c r="L19" s="109">
        <f>EOMONTH(NOTAS_80[[#This Row],[DATA DE LIQUIDAÇÃO]],0)</f>
        <v>41182</v>
      </c>
      <c r="M1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06">
        <f>[QTDE]*[PREÇO]</f>
        <v>476.00000000000006</v>
      </c>
      <c r="O1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06">
        <f>TRUNC([CORR BOV] * 20% * IF([PARCIAL] &gt; 0, [QTDE] / [PARCIAL], 1),2)</f>
        <v>1.9</v>
      </c>
      <c r="U19" s="106">
        <f>SUMPRODUCT(N([DATA]=NOTAS_80[[#This Row],[DATA]]),N([ID]&lt;=NOTAS_80[[#This Row],[ID]]), [CORR])</f>
        <v>3.84</v>
      </c>
      <c r="V19" s="106">
        <f>TRUNC([CORRETAGEM]*SETUP!$F$3,2)</f>
        <v>7.0000000000000007E-2</v>
      </c>
      <c r="W19" s="106">
        <f>ROUND([CORRETAGEM]*SETUP!$G$3,2)</f>
        <v>0.15</v>
      </c>
      <c r="X19" s="106">
        <f>[VALOR LÍQUIDO DAS OPERAÇÕES]-[TAXA DE LIQUIDAÇÃO]-[EMOLUMENTOS]-[TAXA DE REGISTRO]-[CORRETAGEM]-[ISS]-IF(['[D/N']]="D",    0,    [OUTRAS BOVESPA]) - [AJUSTE]</f>
        <v>-966.85000000000014</v>
      </c>
      <c r="Y19" s="106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0">
        <f>[LÍQUIDO]-SUMPRODUCT(N([DATA]=NOTAS_80[[#This Row],[DATA]]),N([ID]=(NOTAS_80[[#This Row],[ID]]-1)),[LÍQUIDO])</f>
        <v>-478.17000000000013</v>
      </c>
      <c r="AB19" s="106">
        <f>IF([T] = "VC", ABS([VALOR OP]) / [QTDE], [VALOR OP]/[QTDE])</f>
        <v>-0.17077500000000004</v>
      </c>
      <c r="AC19" s="106">
        <f>TRUNC(IF(OR([T]="CV",[T]="VV"),     N19*SETUP!$H$3,     0),2)</f>
        <v>0</v>
      </c>
      <c r="AD1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06">
        <f>IF([LUCRO TMP] &lt;&gt; 0, [LUCRO TMP] - SUMPRODUCT(N([ATIVO]=NOTAS_80[[#This Row],[ATIVO]]),N(['[D/N']]="N"),N([ID]&lt;NOTAS_80[[#This Row],[ID]]),N([PAR]=NOTAS_80[[#This Row],[PAR]]), [LUCRO TMP]), 0)</f>
        <v>0</v>
      </c>
      <c r="AI19" s="106">
        <f>IF([U] = "U", SUMPRODUCT(N([ID]&lt;=NOTAS_80[[#This Row],[ID]]),N([DATA BASE]=NOTAS_80[[#This Row],[DATA BASE]]), N(['[D/N']] = "N"),    [LUCRO P/ OP]), 0)</f>
        <v>0</v>
      </c>
      <c r="AJ19" s="106">
        <f>IF([U] = "U", SUMPRODUCT(N([DATA BASE]=NOTAS_80[[#This Row],[DATA BASE]]), N(['[D/N']] = "D"),    [LUCRO P/ OP]), 0)</f>
        <v>0</v>
      </c>
      <c r="AK19" s="106">
        <f>IF([U] = "U", SUMPRODUCT(N([DATA BASE]=NOTAS_80[[#This Row],[DATA BASE]]), N(['[D/N']] = "D"),    [IRRF FONTE]), 0)</f>
        <v>0</v>
      </c>
    </row>
    <row r="20" spans="1:37">
      <c r="A20" s="13">
        <v>19</v>
      </c>
      <c r="B20" s="114"/>
      <c r="C20" s="107" t="s">
        <v>157</v>
      </c>
      <c r="D20" s="114" t="s">
        <v>25</v>
      </c>
      <c r="E20" s="115">
        <v>41164</v>
      </c>
      <c r="F20" s="114">
        <v>600</v>
      </c>
      <c r="G20" s="116">
        <v>1</v>
      </c>
      <c r="H20" s="126"/>
      <c r="I20" s="127"/>
      <c r="J20" s="114" t="s">
        <v>6</v>
      </c>
      <c r="K20" s="115">
        <f>WORKDAY(NOTAS_80[[#This Row],[DATA]],1,0)</f>
        <v>41165</v>
      </c>
      <c r="L20" s="117">
        <f>EOMONTH(NOTAS_80[[#This Row],[DATA DE LIQUIDAÇÃO]],0)</f>
        <v>41182</v>
      </c>
      <c r="M2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16">
        <f>[QTDE]*[PREÇO]</f>
        <v>600</v>
      </c>
      <c r="O2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16">
        <f>TRUNC([CORR BOV] * 20% * IF([PARCIAL] &gt; 0, [QTDE] / [PARCIAL], 1),2)</f>
        <v>2.29</v>
      </c>
      <c r="U20" s="116">
        <f>SUMPRODUCT(N([DATA]=NOTAS_80[[#This Row],[DATA]]),N([ID]&lt;=NOTAS_80[[#This Row],[ID]]), [CORR])</f>
        <v>2.29</v>
      </c>
      <c r="V20" s="116">
        <f>TRUNC([CORRETAGEM]*SETUP!$F$3,2)</f>
        <v>0.04</v>
      </c>
      <c r="W20" s="116">
        <f>ROUND([CORRETAGEM]*SETUP!$G$3,2)</f>
        <v>0.09</v>
      </c>
      <c r="X20" s="116">
        <f>[VALOR LÍQUIDO DAS OPERAÇÕES]-[TAXA DE LIQUIDAÇÃO]-[EMOLUMENTOS]-[TAXA DE REGISTRO]-[CORRETAGEM]-[ISS]-IF(['[D/N']]="D",    0,    [OUTRAS BOVESPA]) - [AJUSTE]</f>
        <v>596.79000000000008</v>
      </c>
      <c r="Y20" s="116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18">
        <f>[LÍQUIDO]-SUMPRODUCT(N([DATA]=NOTAS_80[[#This Row],[DATA]]),N([ID]=(NOTAS_80[[#This Row],[ID]]-1)),[LÍQUIDO])</f>
        <v>596.79000000000008</v>
      </c>
      <c r="AB20" s="116">
        <f>IF([T] = "VC", ABS([VALOR OP]) / [QTDE], [VALOR OP]/[QTDE])</f>
        <v>0.99465000000000015</v>
      </c>
      <c r="AC20" s="116">
        <f>TRUNC(IF(OR([T]="CV",[T]="VV"),     N20*SETUP!$H$3,     0),2)</f>
        <v>0.03</v>
      </c>
      <c r="AD2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16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16">
        <f>IF([U] = "U", SUMPRODUCT(N([ID]&lt;=NOTAS_80[[#This Row],[ID]]),N([DATA BASE]=NOTAS_80[[#This Row],[DATA BASE]]), N(['[D/N']] = "N"),    [LUCRO P/ OP]), 0)</f>
        <v>0</v>
      </c>
      <c r="AJ20" s="116">
        <f>IF([U] = "U", SUMPRODUCT(N([DATA BASE]=NOTAS_80[[#This Row],[DATA BASE]]), N(['[D/N']] = "D"),    [LUCRO P/ OP]), 0)</f>
        <v>0</v>
      </c>
      <c r="AK20" s="116">
        <f>IF([U] = "U", SUMPRODUCT(N([DATA BASE]=NOTAS_80[[#This Row],[DATA BASE]]), N(['[D/N']] = "D"),    [IRRF FONTE]), 0)</f>
        <v>0</v>
      </c>
    </row>
    <row r="21" spans="1:37">
      <c r="A21" s="13">
        <v>20</v>
      </c>
      <c r="B21" s="114"/>
      <c r="C21" s="107" t="s">
        <v>143</v>
      </c>
      <c r="D21" s="114" t="s">
        <v>25</v>
      </c>
      <c r="E21" s="115">
        <v>41164</v>
      </c>
      <c r="F21" s="114">
        <v>2800</v>
      </c>
      <c r="G21" s="116">
        <v>0.27</v>
      </c>
      <c r="H21" s="126"/>
      <c r="I21" s="127">
        <v>-0.52</v>
      </c>
      <c r="J21" s="114" t="s">
        <v>6</v>
      </c>
      <c r="K21" s="115">
        <f>WORKDAY(NOTAS_80[[#This Row],[DATA]],1,0)</f>
        <v>41165</v>
      </c>
      <c r="L21" s="117">
        <f>EOMONTH(NOTAS_80[[#This Row],[DATA DE LIQUIDAÇÃO]],0)</f>
        <v>41182</v>
      </c>
      <c r="M2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16">
        <f>[QTDE]*[PREÇO]</f>
        <v>756</v>
      </c>
      <c r="O2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16">
        <f>TRUNC([CORR BOV] * 20% * IF([PARCIAL] &gt; 0, [QTDE] / [PARCIAL], 1),2)</f>
        <v>2.76</v>
      </c>
      <c r="U21" s="116">
        <f>SUMPRODUCT(N([DATA]=NOTAS_80[[#This Row],[DATA]]),N([ID]&lt;=NOTAS_80[[#This Row],[ID]]), [CORR])</f>
        <v>5.05</v>
      </c>
      <c r="V21" s="116">
        <f>TRUNC([CORRETAGEM]*SETUP!$F$3,2)</f>
        <v>0.1</v>
      </c>
      <c r="W21" s="116">
        <f>ROUND([CORRETAGEM]*SETUP!$G$3,2)</f>
        <v>0.2</v>
      </c>
      <c r="X21" s="116">
        <f>[VALOR LÍQUIDO DAS OPERAÇÕES]-[TAXA DE LIQUIDAÇÃO]-[EMOLUMENTOS]-[TAXA DE REGISTRO]-[CORRETAGEM]-[ISS]-IF(['[D/N']]="D",    0,    [OUTRAS BOVESPA]) - [AJUSTE]</f>
        <v>1349.3600000000001</v>
      </c>
      <c r="Y21" s="116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18">
        <f>[LÍQUIDO]-SUMPRODUCT(N([DATA]=NOTAS_80[[#This Row],[DATA]]),N([ID]=(NOTAS_80[[#This Row],[ID]]-1)),[LÍQUIDO])</f>
        <v>752.57</v>
      </c>
      <c r="AB21" s="116">
        <f>IF([T] = "VC", ABS([VALOR OP]) / [QTDE], [VALOR OP]/[QTDE])</f>
        <v>0.26877500000000004</v>
      </c>
      <c r="AC21" s="116">
        <f>TRUNC(IF(OR([T]="CV",[T]="VV"),     N21*SETUP!$H$3,     0),2)</f>
        <v>0.03</v>
      </c>
      <c r="AD2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16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16">
        <f>IF([U] = "U", SUMPRODUCT(N([ID]&lt;=NOTAS_80[[#This Row],[ID]]),N([DATA BASE]=NOTAS_80[[#This Row],[DATA BASE]]), N(['[D/N']] = "N"),    [LUCRO P/ OP]), 0)</f>
        <v>0</v>
      </c>
      <c r="AJ21" s="116">
        <f>IF([U] = "U", SUMPRODUCT(N([DATA BASE]=NOTAS_80[[#This Row],[DATA BASE]]), N(['[D/N']] = "D"),    [LUCRO P/ OP]), 0)</f>
        <v>0</v>
      </c>
      <c r="AK21" s="116">
        <f>IF([U] = "U", SUMPRODUCT(N([DATA BASE]=NOTAS_80[[#This Row],[DATA BASE]]), N(['[D/N']] = "D"),    [IRRF FONTE]), 0)</f>
        <v>0</v>
      </c>
    </row>
    <row r="22" spans="1:37">
      <c r="A22" s="13">
        <v>21</v>
      </c>
      <c r="B22" s="107"/>
      <c r="C22" s="107" t="s">
        <v>143</v>
      </c>
      <c r="D22" s="107" t="s">
        <v>24</v>
      </c>
      <c r="E22" s="108">
        <v>41165</v>
      </c>
      <c r="F22" s="107">
        <v>1400</v>
      </c>
      <c r="G22" s="106">
        <v>0.5</v>
      </c>
      <c r="H22" s="105"/>
      <c r="I22" s="125"/>
      <c r="J22" s="107" t="s">
        <v>14</v>
      </c>
      <c r="K22" s="108">
        <f>WORKDAY(NOTAS_80[[#This Row],[DATA]],1,0)</f>
        <v>41166</v>
      </c>
      <c r="L22" s="109">
        <f>EOMONTH(NOTAS_80[[#This Row],[DATA DE LIQUIDAÇÃO]],0)</f>
        <v>41182</v>
      </c>
      <c r="M2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06">
        <f>[QTDE]*[PREÇO]</f>
        <v>700</v>
      </c>
      <c r="O2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06">
        <f>TRUNC([CORR BOV] * 20% * IF([PARCIAL] &gt; 0, [QTDE] / [PARCIAL], 1),2)</f>
        <v>2.59</v>
      </c>
      <c r="U22" s="106">
        <f>SUMPRODUCT(N([DATA]=NOTAS_80[[#This Row],[DATA]]),N([ID]&lt;=NOTAS_80[[#This Row],[ID]]), [CORR])</f>
        <v>2.59</v>
      </c>
      <c r="V22" s="106">
        <f>TRUNC([CORRETAGEM]*SETUP!$F$3,2)</f>
        <v>0.05</v>
      </c>
      <c r="W22" s="106">
        <f>ROUND([CORRETAGEM]*SETUP!$G$3,2)</f>
        <v>0.1</v>
      </c>
      <c r="X22" s="106">
        <f>[VALOR LÍQUIDO DAS OPERAÇÕES]-[TAXA DE LIQUIDAÇÃO]-[EMOLUMENTOS]-[TAXA DE REGISTRO]-[CORRETAGEM]-[ISS]-IF(['[D/N']]="D",    0,    [OUTRAS BOVESPA]) - [AJUSTE]</f>
        <v>-702.94</v>
      </c>
      <c r="Y22" s="106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0">
        <f>[LÍQUIDO]-SUMPRODUCT(N([DATA]=NOTAS_80[[#This Row],[DATA]]),N([ID]=(NOTAS_80[[#This Row],[ID]]-1)),[LÍQUIDO])</f>
        <v>-706.18000000000006</v>
      </c>
      <c r="AB22" s="106">
        <f>IF([T] = "VC", ABS([VALOR OP]) / [QTDE], [VALOR OP]/[QTDE])</f>
        <v>-0.50441428571428581</v>
      </c>
      <c r="AC22" s="106">
        <f>TRUNC(IF(OR([T]="CV",[T]="VV"),     N22*SETUP!$H$3,     0),2)</f>
        <v>0</v>
      </c>
      <c r="AD2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06">
        <f>IF([LUCRO TMP] &lt;&gt; 0, [LUCRO TMP] - SUMPRODUCT(N([ATIVO]=NOTAS_80[[#This Row],[ATIVO]]),N(['[D/N']]="N"),N([ID]&lt;NOTAS_80[[#This Row],[ID]]),N([PAR]=NOTAS_80[[#This Row],[PAR]]), [LUCRO TMP]), 0)</f>
        <v>0</v>
      </c>
      <c r="AI22" s="106">
        <f>IF([U] = "U", SUMPRODUCT(N([ID]&lt;=NOTAS_80[[#This Row],[ID]]),N([DATA BASE]=NOTAS_80[[#This Row],[DATA BASE]]), N(['[D/N']] = "N"),    [LUCRO P/ OP]), 0)</f>
        <v>0</v>
      </c>
      <c r="AJ22" s="106">
        <f>IF([U] = "U", SUMPRODUCT(N([DATA BASE]=NOTAS_80[[#This Row],[DATA BASE]]), N(['[D/N']] = "D"),    [LUCRO P/ OP]), 0)</f>
        <v>0</v>
      </c>
      <c r="AK22" s="106">
        <f>IF([U] = "U", SUMPRODUCT(N([DATA BASE]=NOTAS_80[[#This Row],[DATA BASE]]), N(['[D/N']] = "D"),    [IRRF FONTE]), 0)</f>
        <v>0</v>
      </c>
    </row>
    <row r="23" spans="1:37">
      <c r="A23" s="13">
        <v>22</v>
      </c>
      <c r="B23" s="114"/>
      <c r="C23" s="107" t="s">
        <v>143</v>
      </c>
      <c r="D23" s="114" t="s">
        <v>25</v>
      </c>
      <c r="E23" s="115">
        <v>41165</v>
      </c>
      <c r="F23" s="114">
        <v>1400</v>
      </c>
      <c r="G23" s="116">
        <v>0.35</v>
      </c>
      <c r="H23" s="126"/>
      <c r="I23" s="127"/>
      <c r="J23" s="114" t="s">
        <v>14</v>
      </c>
      <c r="K23" s="115">
        <f>WORKDAY(NOTAS_80[[#This Row],[DATA]],1,0)</f>
        <v>41166</v>
      </c>
      <c r="L23" s="117">
        <f>EOMONTH(NOTAS_80[[#This Row],[DATA DE LIQUIDAÇÃO]],0)</f>
        <v>41182</v>
      </c>
      <c r="M2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16">
        <f>[QTDE]*[PREÇO]</f>
        <v>489.99999999999994</v>
      </c>
      <c r="O2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16">
        <f>TRUNC([CORR BOV] * 20% * IF([PARCIAL] &gt; 0, [QTDE] / [PARCIAL], 1),2)</f>
        <v>1.96</v>
      </c>
      <c r="U23" s="116">
        <f>SUMPRODUCT(N([DATA]=NOTAS_80[[#This Row],[DATA]]),N([ID]&lt;=NOTAS_80[[#This Row],[ID]]), [CORR])</f>
        <v>4.55</v>
      </c>
      <c r="V23" s="116">
        <f>TRUNC([CORRETAGEM]*SETUP!$F$3,2)</f>
        <v>0.09</v>
      </c>
      <c r="W23" s="116">
        <f>ROUND([CORRETAGEM]*SETUP!$G$3,2)</f>
        <v>0.18</v>
      </c>
      <c r="X23" s="116">
        <f>[VALOR LÍQUIDO DAS OPERAÇÕES]-[TAXA DE LIQUIDAÇÃO]-[EMOLUMENTOS]-[TAXA DE REGISTRO]-[CORRETAGEM]-[ISS]-IF(['[D/N']]="D",    0,    [OUTRAS BOVESPA]) - [AJUSTE]</f>
        <v>-215.16000000000005</v>
      </c>
      <c r="Y23" s="116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18">
        <f>[LÍQUIDO]-SUMPRODUCT(N([DATA]=NOTAS_80[[#This Row],[DATA]]),N([ID]=(NOTAS_80[[#This Row],[ID]]-1)),[LÍQUIDO])</f>
        <v>487.78</v>
      </c>
      <c r="AB23" s="116">
        <f>IF([T] = "VC", ABS([VALOR OP]) / [QTDE], [VALOR OP]/[QTDE])</f>
        <v>0.34841428571428568</v>
      </c>
      <c r="AC23" s="116">
        <f>TRUNC(IF(OR([T]="CV",[T]="VV"),     N23*SETUP!$H$3,     0),2)</f>
        <v>0.02</v>
      </c>
      <c r="AD2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16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16">
        <f>IF([U] = "U", SUMPRODUCT(N([ID]&lt;=NOTAS_80[[#This Row],[ID]]),N([DATA BASE]=NOTAS_80[[#This Row],[DATA BASE]]), N(['[D/N']] = "N"),    [LUCRO P/ OP]), 0)</f>
        <v>0</v>
      </c>
      <c r="AJ23" s="116">
        <f>IF([U] = "U", SUMPRODUCT(N([DATA BASE]=NOTAS_80[[#This Row],[DATA BASE]]), N(['[D/N']] = "D"),    [LUCRO P/ OP]), 0)</f>
        <v>0</v>
      </c>
      <c r="AK23" s="116">
        <f>IF([U] = "U", SUMPRODUCT(N([DATA BASE]=NOTAS_80[[#This Row],[DATA BASE]]), N(['[D/N']] = "D"),    [IRRF FONTE]), 0)</f>
        <v>0</v>
      </c>
    </row>
    <row r="24" spans="1:37">
      <c r="A24" s="13">
        <v>23</v>
      </c>
      <c r="B24" s="107"/>
      <c r="C24" s="107" t="s">
        <v>158</v>
      </c>
      <c r="D24" s="107" t="s">
        <v>24</v>
      </c>
      <c r="E24" s="108">
        <v>41165</v>
      </c>
      <c r="F24" s="107">
        <v>1200</v>
      </c>
      <c r="G24" s="106">
        <v>0.41</v>
      </c>
      <c r="H24" s="105"/>
      <c r="I24" s="125"/>
      <c r="J24" s="107" t="s">
        <v>14</v>
      </c>
      <c r="K24" s="108">
        <f>WORKDAY(NOTAS_80[[#This Row],[DATA]],1,0)</f>
        <v>41166</v>
      </c>
      <c r="L24" s="109">
        <f>EOMONTH(NOTAS_80[[#This Row],[DATA DE LIQUIDAÇÃO]],0)</f>
        <v>41182</v>
      </c>
      <c r="M2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06">
        <f>[QTDE]*[PREÇO]</f>
        <v>491.99999999999994</v>
      </c>
      <c r="O2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06">
        <f>TRUNC([CORR BOV] * 20% * IF([PARCIAL] &gt; 0, [QTDE] / [PARCIAL], 1),2)</f>
        <v>1.96</v>
      </c>
      <c r="U24" s="106">
        <f>SUMPRODUCT(N([DATA]=NOTAS_80[[#This Row],[DATA]]),N([ID]&lt;=NOTAS_80[[#This Row],[ID]]), [CORR])</f>
        <v>6.51</v>
      </c>
      <c r="V24" s="106">
        <f>TRUNC([CORRETAGEM]*SETUP!$F$3,2)</f>
        <v>0.13</v>
      </c>
      <c r="W24" s="106">
        <f>ROUND([CORRETAGEM]*SETUP!$G$3,2)</f>
        <v>0.25</v>
      </c>
      <c r="X24" s="106">
        <f>[VALOR LÍQUIDO DAS OPERAÇÕES]-[TAXA DE LIQUIDAÇÃO]-[EMOLUMENTOS]-[TAXA DE REGISTRO]-[CORRETAGEM]-[ISS]-IF(['[D/N']]="D",    0,    [OUTRAS BOVESPA]) - [AJUSTE]</f>
        <v>-709.39</v>
      </c>
      <c r="Y24" s="106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0">
        <f>[LÍQUIDO]-SUMPRODUCT(N([DATA]=NOTAS_80[[#This Row],[DATA]]),N([ID]=(NOTAS_80[[#This Row],[ID]]-1)),[LÍQUIDO])</f>
        <v>-494.2299999999999</v>
      </c>
      <c r="AB24" s="106">
        <f>IF([T] = "VC", ABS([VALOR OP]) / [QTDE], [VALOR OP]/[QTDE])</f>
        <v>-0.41185833333333327</v>
      </c>
      <c r="AC24" s="106">
        <f>TRUNC(IF(OR([T]="CV",[T]="VV"),     N24*SETUP!$H$3,     0),2)</f>
        <v>0</v>
      </c>
      <c r="AD2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06">
        <f>IF([LUCRO TMP] &lt;&gt; 0, [LUCRO TMP] - SUMPRODUCT(N([ATIVO]=NOTAS_80[[#This Row],[ATIVO]]),N(['[D/N']]="N"),N([ID]&lt;NOTAS_80[[#This Row],[ID]]),N([PAR]=NOTAS_80[[#This Row],[PAR]]), [LUCRO TMP]), 0)</f>
        <v>0</v>
      </c>
      <c r="AI24" s="106">
        <f>IF([U] = "U", SUMPRODUCT(N([ID]&lt;=NOTAS_80[[#This Row],[ID]]),N([DATA BASE]=NOTAS_80[[#This Row],[DATA BASE]]), N(['[D/N']] = "N"),    [LUCRO P/ OP]), 0)</f>
        <v>0</v>
      </c>
      <c r="AJ24" s="106">
        <f>IF([U] = "U", SUMPRODUCT(N([DATA BASE]=NOTAS_80[[#This Row],[DATA BASE]]), N(['[D/N']] = "D"),    [LUCRO P/ OP]), 0)</f>
        <v>0</v>
      </c>
      <c r="AK24" s="106">
        <f>IF([U] = "U", SUMPRODUCT(N([DATA BASE]=NOTAS_80[[#This Row],[DATA BASE]]), N(['[D/N']] = "D"),    [IRRF FONTE]), 0)</f>
        <v>0</v>
      </c>
    </row>
    <row r="25" spans="1:37">
      <c r="A25" s="13">
        <v>24</v>
      </c>
      <c r="B25" s="114"/>
      <c r="C25" s="107" t="s">
        <v>158</v>
      </c>
      <c r="D25" s="114" t="s">
        <v>25</v>
      </c>
      <c r="E25" s="115">
        <v>41165</v>
      </c>
      <c r="F25" s="114">
        <v>1200</v>
      </c>
      <c r="G25" s="116">
        <v>0.85</v>
      </c>
      <c r="H25" s="126"/>
      <c r="I25" s="127">
        <v>-17.62</v>
      </c>
      <c r="J25" s="114" t="s">
        <v>14</v>
      </c>
      <c r="K25" s="115">
        <f>WORKDAY(NOTAS_80[[#This Row],[DATA]],1,0)</f>
        <v>41166</v>
      </c>
      <c r="L25" s="117">
        <f>EOMONTH(NOTAS_80[[#This Row],[DATA DE LIQUIDAÇÃO]],0)</f>
        <v>41182</v>
      </c>
      <c r="M2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16">
        <f>[QTDE]*[PREÇO]</f>
        <v>1020</v>
      </c>
      <c r="O2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16">
        <f>TRUNC([CORR BOV] * 20% * IF([PARCIAL] &gt; 0, [QTDE] / [PARCIAL], 1),2)</f>
        <v>3.55</v>
      </c>
      <c r="U25" s="116">
        <f>SUMPRODUCT(N([DATA]=NOTAS_80[[#This Row],[DATA]]),N([ID]&lt;=NOTAS_80[[#This Row],[ID]]), [CORR])</f>
        <v>10.059999999999999</v>
      </c>
      <c r="V25" s="116">
        <f>TRUNC([CORRETAGEM]*SETUP!$F$3,2)</f>
        <v>0.2</v>
      </c>
      <c r="W25" s="116">
        <f>ROUND([CORRETAGEM]*SETUP!$G$3,2)</f>
        <v>0.39</v>
      </c>
      <c r="X25" s="116">
        <f>[VALOR LÍQUIDO DAS OPERAÇÕES]-[TAXA DE LIQUIDAÇÃO]-[EMOLUMENTOS]-[TAXA DE REGISTRO]-[CORRETAGEM]-[ISS]-IF(['[D/N']]="D",    0,    [OUTRAS BOVESPA]) - [AJUSTE]</f>
        <v>324.16000000000003</v>
      </c>
      <c r="Y25" s="116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18">
        <f>[LÍQUIDO]-SUMPRODUCT(N([DATA]=NOTAS_80[[#This Row],[DATA]]),N([ID]=(NOTAS_80[[#This Row],[ID]]-1)),[LÍQUIDO])</f>
        <v>1033.55</v>
      </c>
      <c r="AB25" s="116">
        <f>IF([T] = "VC", ABS([VALOR OP]) / [QTDE], [VALOR OP]/[QTDE])</f>
        <v>0.86129166666666668</v>
      </c>
      <c r="AC25" s="116">
        <f>TRUNC(IF(OR([T]="CV",[T]="VV"),     N25*SETUP!$H$3,     0),2)</f>
        <v>0.05</v>
      </c>
      <c r="AD2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16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16">
        <f>IF([U] = "U", SUMPRODUCT(N([ID]&lt;=NOTAS_80[[#This Row],[ID]]),N([DATA BASE]=NOTAS_80[[#This Row],[DATA BASE]]), N(['[D/N']] = "N"),    [LUCRO P/ OP]), 0)</f>
        <v>0</v>
      </c>
      <c r="AJ25" s="116">
        <f>IF([U] = "U", SUMPRODUCT(N([DATA BASE]=NOTAS_80[[#This Row],[DATA BASE]]), N(['[D/N']] = "D"),    [LUCRO P/ OP]), 0)</f>
        <v>0</v>
      </c>
      <c r="AK25" s="116">
        <f>IF([U] = "U", SUMPRODUCT(N([DATA BASE]=NOTAS_80[[#This Row],[DATA BASE]]), N(['[D/N']] = "D"),    [IRRF FONTE]), 0)</f>
        <v>0</v>
      </c>
    </row>
    <row r="26" spans="1:37">
      <c r="A26" s="13">
        <v>25</v>
      </c>
      <c r="B26" s="107"/>
      <c r="C26" s="107" t="s">
        <v>160</v>
      </c>
      <c r="D26" s="107" t="s">
        <v>24</v>
      </c>
      <c r="E26" s="108">
        <v>41166</v>
      </c>
      <c r="F26" s="107">
        <v>1400</v>
      </c>
      <c r="G26" s="106">
        <v>0.44</v>
      </c>
      <c r="H26" s="105"/>
      <c r="I26" s="125"/>
      <c r="J26" s="107" t="s">
        <v>14</v>
      </c>
      <c r="K26" s="108">
        <f>WORKDAY(NOTAS_80[[#This Row],[DATA]],1,0)</f>
        <v>41169</v>
      </c>
      <c r="L26" s="109">
        <f>EOMONTH(NOTAS_80[[#This Row],[DATA DE LIQUIDAÇÃO]],0)</f>
        <v>41182</v>
      </c>
      <c r="M2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06">
        <f>[QTDE]*[PREÇO]</f>
        <v>616</v>
      </c>
      <c r="O2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06">
        <f>TRUNC([CORR BOV] * 20% * IF([PARCIAL] &gt; 0, [QTDE] / [PARCIAL], 1),2)</f>
        <v>2.34</v>
      </c>
      <c r="U26" s="106">
        <f>SUMPRODUCT(N([DATA]=NOTAS_80[[#This Row],[DATA]]),N([ID]&lt;=NOTAS_80[[#This Row],[ID]]), [CORR])</f>
        <v>2.34</v>
      </c>
      <c r="V26" s="106">
        <f>TRUNC([CORRETAGEM]*SETUP!$F$3,2)</f>
        <v>0.04</v>
      </c>
      <c r="W26" s="106">
        <f>ROUND([CORRETAGEM]*SETUP!$G$3,2)</f>
        <v>0.09</v>
      </c>
      <c r="X26" s="106">
        <f>[VALOR LÍQUIDO DAS OPERAÇÕES]-[TAXA DE LIQUIDAÇÃO]-[EMOLUMENTOS]-[TAXA DE REGISTRO]-[CORRETAGEM]-[ISS]-IF(['[D/N']]="D",    0,    [OUTRAS BOVESPA]) - [AJUSTE]</f>
        <v>-618.65000000000009</v>
      </c>
      <c r="Y26" s="106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0">
        <f>[LÍQUIDO]-SUMPRODUCT(N([DATA]=NOTAS_80[[#This Row],[DATA]]),N([ID]=(NOTAS_80[[#This Row],[ID]]-1)),[LÍQUIDO])</f>
        <v>-628.7700000000001</v>
      </c>
      <c r="AB26" s="106">
        <f>IF([T] = "VC", ABS([VALOR OP]) / [QTDE], [VALOR OP]/[QTDE])</f>
        <v>-0.44912142857142862</v>
      </c>
      <c r="AC26" s="106">
        <f>TRUNC(IF(OR([T]="CV",[T]="VV"),     N26*SETUP!$H$3,     0),2)</f>
        <v>0</v>
      </c>
      <c r="AD2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06">
        <f>IF([LUCRO TMP] &lt;&gt; 0, [LUCRO TMP] - SUMPRODUCT(N([ATIVO]=NOTAS_80[[#This Row],[ATIVO]]),N(['[D/N']]="N"),N([ID]&lt;NOTAS_80[[#This Row],[ID]]),N([PAR]=NOTAS_80[[#This Row],[PAR]]), [LUCRO TMP]), 0)</f>
        <v>0</v>
      </c>
      <c r="AI26" s="106">
        <f>IF([U] = "U", SUMPRODUCT(N([ID]&lt;=NOTAS_80[[#This Row],[ID]]),N([DATA BASE]=NOTAS_80[[#This Row],[DATA BASE]]), N(['[D/N']] = "N"),    [LUCRO P/ OP]), 0)</f>
        <v>0</v>
      </c>
      <c r="AJ26" s="106">
        <f>IF([U] = "U", SUMPRODUCT(N([DATA BASE]=NOTAS_80[[#This Row],[DATA BASE]]), N(['[D/N']] = "D"),    [LUCRO P/ OP]), 0)</f>
        <v>0</v>
      </c>
      <c r="AK26" s="106">
        <f>IF([U] = "U", SUMPRODUCT(N([DATA BASE]=NOTAS_80[[#This Row],[DATA BASE]]), N(['[D/N']] = "D"),    [IRRF FONTE]), 0)</f>
        <v>0</v>
      </c>
    </row>
    <row r="27" spans="1:37">
      <c r="A27" s="13">
        <v>26</v>
      </c>
      <c r="B27" s="114"/>
      <c r="C27" s="107" t="s">
        <v>160</v>
      </c>
      <c r="D27" s="114" t="s">
        <v>25</v>
      </c>
      <c r="E27" s="115">
        <v>41166</v>
      </c>
      <c r="F27" s="114">
        <v>1400</v>
      </c>
      <c r="G27" s="116">
        <v>0.84</v>
      </c>
      <c r="H27" s="126"/>
      <c r="I27" s="127"/>
      <c r="J27" s="114" t="s">
        <v>14</v>
      </c>
      <c r="K27" s="115">
        <f>WORKDAY(NOTAS_80[[#This Row],[DATA]],1,0)</f>
        <v>41169</v>
      </c>
      <c r="L27" s="117">
        <f>EOMONTH(NOTAS_80[[#This Row],[DATA DE LIQUIDAÇÃO]],0)</f>
        <v>41182</v>
      </c>
      <c r="M2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16">
        <f>[QTDE]*[PREÇO]</f>
        <v>1176</v>
      </c>
      <c r="O2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16">
        <f>TRUNC([CORR BOV] * 20% * IF([PARCIAL] &gt; 0, [QTDE] / [PARCIAL], 1),2)</f>
        <v>4.0199999999999996</v>
      </c>
      <c r="U27" s="116">
        <f>SUMPRODUCT(N([DATA]=NOTAS_80[[#This Row],[DATA]]),N([ID]&lt;=NOTAS_80[[#This Row],[ID]]), [CORR])</f>
        <v>6.3599999999999994</v>
      </c>
      <c r="V27" s="116">
        <f>TRUNC([CORRETAGEM]*SETUP!$F$3,2)</f>
        <v>0.12</v>
      </c>
      <c r="W27" s="116">
        <f>ROUND([CORRETAGEM]*SETUP!$G$3,2)</f>
        <v>0.25</v>
      </c>
      <c r="X27" s="116">
        <f>[VALOR LÍQUIDO DAS OPERAÇÕES]-[TAXA DE LIQUIDAÇÃO]-[EMOLUMENTOS]-[TAXA DE REGISTRO]-[CORRETAGEM]-[ISS]-IF(['[D/N']]="D",    0,    [OUTRAS BOVESPA]) - [AJUSTE]</f>
        <v>552.7299999999999</v>
      </c>
      <c r="Y27" s="116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18">
        <f>[LÍQUIDO]-SUMPRODUCT(N([DATA]=NOTAS_80[[#This Row],[DATA]]),N([ID]=(NOTAS_80[[#This Row],[ID]]-1)),[LÍQUIDO])</f>
        <v>1171.3800000000001</v>
      </c>
      <c r="AB27" s="116">
        <f>IF([T] = "VC", ABS([VALOR OP]) / [QTDE], [VALOR OP]/[QTDE])</f>
        <v>0.83670000000000011</v>
      </c>
      <c r="AC27" s="116">
        <f>TRUNC(IF(OR([T]="CV",[T]="VV"),     N27*SETUP!$H$3,     0),2)</f>
        <v>0.05</v>
      </c>
      <c r="AD2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16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16">
        <f>IF([U] = "U", SUMPRODUCT(N([ID]&lt;=NOTAS_80[[#This Row],[ID]]),N([DATA BASE]=NOTAS_80[[#This Row],[DATA BASE]]), N(['[D/N']] = "N"),    [LUCRO P/ OP]), 0)</f>
        <v>0</v>
      </c>
      <c r="AJ27" s="116">
        <f>IF([U] = "U", SUMPRODUCT(N([DATA BASE]=NOTAS_80[[#This Row],[DATA BASE]]), N(['[D/N']] = "D"),    [LUCRO P/ OP]), 0)</f>
        <v>0</v>
      </c>
      <c r="AK27" s="116">
        <f>IF([U] = "U", SUMPRODUCT(N([DATA BASE]=NOTAS_80[[#This Row],[DATA BASE]]), N(['[D/N']] = "D"),    [IRRF FONTE]), 0)</f>
        <v>0</v>
      </c>
    </row>
    <row r="28" spans="1:37">
      <c r="A28" s="13">
        <v>27</v>
      </c>
      <c r="B28" s="107"/>
      <c r="C28" s="107" t="s">
        <v>161</v>
      </c>
      <c r="D28" s="107" t="s">
        <v>24</v>
      </c>
      <c r="E28" s="108">
        <v>41166</v>
      </c>
      <c r="F28" s="107">
        <v>800</v>
      </c>
      <c r="G28" s="106">
        <v>0.71</v>
      </c>
      <c r="H28" s="105"/>
      <c r="I28" s="125"/>
      <c r="J28" s="107" t="s">
        <v>14</v>
      </c>
      <c r="K28" s="108">
        <f>WORKDAY(NOTAS_80[[#This Row],[DATA]],1,0)</f>
        <v>41169</v>
      </c>
      <c r="L28" s="109">
        <f>EOMONTH(NOTAS_80[[#This Row],[DATA DE LIQUIDAÇÃO]],0)</f>
        <v>41182</v>
      </c>
      <c r="M2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06">
        <f>[QTDE]*[PREÇO]</f>
        <v>568</v>
      </c>
      <c r="O2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06">
        <f>TRUNC([CORR BOV] * 20% * IF([PARCIAL] &gt; 0, [QTDE] / [PARCIAL], 1),2)</f>
        <v>2.2000000000000002</v>
      </c>
      <c r="U28" s="106">
        <f>SUMPRODUCT(N([DATA]=NOTAS_80[[#This Row],[DATA]]),N([ID]&lt;=NOTAS_80[[#This Row],[ID]]), [CORR])</f>
        <v>8.5599999999999987</v>
      </c>
      <c r="V28" s="106">
        <f>TRUNC([CORRETAGEM]*SETUP!$F$3,2)</f>
        <v>0.17</v>
      </c>
      <c r="W28" s="106">
        <f>ROUND([CORRETAGEM]*SETUP!$G$3,2)</f>
        <v>0.33</v>
      </c>
      <c r="X28" s="106">
        <f>[VALOR LÍQUIDO DAS OPERAÇÕES]-[TAXA DE LIQUIDAÇÃO]-[EMOLUMENTOS]-[TAXA DE REGISTRO]-[CORRETAGEM]-[ISS]-IF(['[D/N']]="D",    0,    [OUTRAS BOVESPA]) - [AJUSTE]</f>
        <v>-17.78</v>
      </c>
      <c r="Y28" s="106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0">
        <f>[LÍQUIDO]-SUMPRODUCT(N([DATA]=NOTAS_80[[#This Row],[DATA]]),N([ID]=(NOTAS_80[[#This Row],[ID]]-1)),[LÍQUIDO])</f>
        <v>-570.50999999999988</v>
      </c>
      <c r="AB28" s="106">
        <f>IF([T] = "VC", ABS([VALOR OP]) / [QTDE], [VALOR OP]/[QTDE])</f>
        <v>-0.71313749999999987</v>
      </c>
      <c r="AC28" s="106">
        <f>TRUNC(IF(OR([T]="CV",[T]="VV"),     N28*SETUP!$H$3,     0),2)</f>
        <v>0</v>
      </c>
      <c r="AD2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06">
        <f>IF([LUCRO TMP] &lt;&gt; 0, [LUCRO TMP] - SUMPRODUCT(N([ATIVO]=NOTAS_80[[#This Row],[ATIVO]]),N(['[D/N']]="N"),N([ID]&lt;NOTAS_80[[#This Row],[ID]]),N([PAR]=NOTAS_80[[#This Row],[PAR]]), [LUCRO TMP]), 0)</f>
        <v>0</v>
      </c>
      <c r="AI28" s="106">
        <f>IF([U] = "U", SUMPRODUCT(N([ID]&lt;=NOTAS_80[[#This Row],[ID]]),N([DATA BASE]=NOTAS_80[[#This Row],[DATA BASE]]), N(['[D/N']] = "N"),    [LUCRO P/ OP]), 0)</f>
        <v>0</v>
      </c>
      <c r="AJ28" s="106">
        <f>IF([U] = "U", SUMPRODUCT(N([DATA BASE]=NOTAS_80[[#This Row],[DATA BASE]]), N(['[D/N']] = "D"),    [LUCRO P/ OP]), 0)</f>
        <v>0</v>
      </c>
      <c r="AK28" s="106">
        <f>IF([U] = "U", SUMPRODUCT(N([DATA BASE]=NOTAS_80[[#This Row],[DATA BASE]]), N(['[D/N']] = "D"),    [IRRF FONTE]), 0)</f>
        <v>0</v>
      </c>
    </row>
    <row r="29" spans="1:37">
      <c r="A29" s="13">
        <v>28</v>
      </c>
      <c r="B29" s="114"/>
      <c r="C29" s="107" t="s">
        <v>161</v>
      </c>
      <c r="D29" s="114" t="s">
        <v>25</v>
      </c>
      <c r="E29" s="115">
        <v>41166</v>
      </c>
      <c r="F29" s="114">
        <v>800</v>
      </c>
      <c r="G29" s="116">
        <v>0.59</v>
      </c>
      <c r="H29" s="126"/>
      <c r="I29" s="127">
        <v>-8.1</v>
      </c>
      <c r="J29" s="114" t="s">
        <v>14</v>
      </c>
      <c r="K29" s="115">
        <f>WORKDAY(NOTAS_80[[#This Row],[DATA]],1,0)</f>
        <v>41169</v>
      </c>
      <c r="L29" s="117">
        <f>EOMONTH(NOTAS_80[[#This Row],[DATA DE LIQUIDAÇÃO]],0)</f>
        <v>41182</v>
      </c>
      <c r="M2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16">
        <f>[QTDE]*[PREÇO]</f>
        <v>472</v>
      </c>
      <c r="O2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16">
        <f>TRUNC([CORR BOV] * 20% * IF([PARCIAL] &gt; 0, [QTDE] / [PARCIAL], 1),2)</f>
        <v>1.88</v>
      </c>
      <c r="U29" s="116">
        <f>SUMPRODUCT(N([DATA]=NOTAS_80[[#This Row],[DATA]]),N([ID]&lt;=NOTAS_80[[#This Row],[ID]]), [CORR])</f>
        <v>10.439999999999998</v>
      </c>
      <c r="V29" s="116">
        <f>TRUNC([CORRETAGEM]*SETUP!$F$3,2)</f>
        <v>0.2</v>
      </c>
      <c r="W29" s="116">
        <f>ROUND([CORRETAGEM]*SETUP!$G$3,2)</f>
        <v>0.41</v>
      </c>
      <c r="X29" s="116">
        <f>[VALOR LÍQUIDO DAS OPERAÇÕES]-[TAXA DE LIQUIDAÇÃO]-[EMOLUMENTOS]-[TAXA DE REGISTRO]-[CORRETAGEM]-[ISS]-IF(['[D/N']]="D",    0,    [OUTRAS BOVESPA]) - [AJUSTE]</f>
        <v>460.21000000000004</v>
      </c>
      <c r="Y29" s="116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18">
        <f>[LÍQUIDO]-SUMPRODUCT(N([DATA]=NOTAS_80[[#This Row],[DATA]]),N([ID]=(NOTAS_80[[#This Row],[ID]]-1)),[LÍQUIDO])</f>
        <v>477.99</v>
      </c>
      <c r="AB29" s="116">
        <f>IF([T] = "VC", ABS([VALOR OP]) / [QTDE], [VALOR OP]/[QTDE])</f>
        <v>0.59748750000000006</v>
      </c>
      <c r="AC29" s="116">
        <f>TRUNC(IF(OR([T]="CV",[T]="VV"),     N29*SETUP!$H$3,     0),2)</f>
        <v>0.02</v>
      </c>
      <c r="AD2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16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16">
        <f>IF([U] = "U", SUMPRODUCT(N([ID]&lt;=NOTAS_80[[#This Row],[ID]]),N([DATA BASE]=NOTAS_80[[#This Row],[DATA BASE]]), N(['[D/N']] = "N"),    [LUCRO P/ OP]), 0)</f>
        <v>0</v>
      </c>
      <c r="AJ29" s="116">
        <f>IF([U] = "U", SUMPRODUCT(N([DATA BASE]=NOTAS_80[[#This Row],[DATA BASE]]), N(['[D/N']] = "D"),    [LUCRO P/ OP]), 0)</f>
        <v>0</v>
      </c>
      <c r="AK29" s="116">
        <f>IF([U] = "U", SUMPRODUCT(N([DATA BASE]=NOTAS_80[[#This Row],[DATA BASE]]), N(['[D/N']] = "D"),    [IRRF FONTE]), 0)</f>
        <v>0</v>
      </c>
    </row>
    <row r="30" spans="1:37">
      <c r="A30" s="13">
        <v>29</v>
      </c>
      <c r="B30" s="107"/>
      <c r="C30" s="107" t="s">
        <v>159</v>
      </c>
      <c r="D30" s="107" t="s">
        <v>24</v>
      </c>
      <c r="E30" s="108">
        <v>41169</v>
      </c>
      <c r="F30" s="107">
        <v>600</v>
      </c>
      <c r="G30" s="106">
        <v>1.86</v>
      </c>
      <c r="H30" s="105"/>
      <c r="I30" s="125"/>
      <c r="J30" s="107" t="s">
        <v>14</v>
      </c>
      <c r="K30" s="108">
        <f>WORKDAY(NOTAS_80[[#This Row],[DATA]],1,0)</f>
        <v>41170</v>
      </c>
      <c r="L30" s="109">
        <f>EOMONTH(NOTAS_80[[#This Row],[DATA DE LIQUIDAÇÃO]],0)</f>
        <v>41182</v>
      </c>
      <c r="M3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06">
        <f>[QTDE]*[PREÇO]</f>
        <v>1116</v>
      </c>
      <c r="O3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06">
        <f>TRUNC([CORR BOV] * 20% * IF([PARCIAL] &gt; 0, [QTDE] / [PARCIAL], 1),2)</f>
        <v>3.84</v>
      </c>
      <c r="U30" s="106">
        <f>SUMPRODUCT(N([DATA]=NOTAS_80[[#This Row],[DATA]]),N([ID]&lt;=NOTAS_80[[#This Row],[ID]]), [CORR])</f>
        <v>3.84</v>
      </c>
      <c r="V30" s="106">
        <f>TRUNC([CORRETAGEM]*SETUP!$F$3,2)</f>
        <v>7.0000000000000007E-2</v>
      </c>
      <c r="W30" s="106">
        <f>ROUND([CORRETAGEM]*SETUP!$G$3,2)</f>
        <v>0.15</v>
      </c>
      <c r="X30" s="106">
        <f>[VALOR LÍQUIDO DAS OPERAÇÕES]-[TAXA DE LIQUIDAÇÃO]-[EMOLUMENTOS]-[TAXA DE REGISTRO]-[CORRETAGEM]-[ISS]-IF(['[D/N']]="D",    0,    [OUTRAS BOVESPA]) - [AJUSTE]</f>
        <v>-1120.4000000000001</v>
      </c>
      <c r="Y30" s="106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0">
        <f>[LÍQUIDO]-SUMPRODUCT(N([DATA]=NOTAS_80[[#This Row],[DATA]]),N([ID]=(NOTAS_80[[#This Row],[ID]]-1)),[LÍQUIDO])</f>
        <v>-1120.4000000000001</v>
      </c>
      <c r="AB30" s="106">
        <f>IF([T] = "VC", ABS([VALOR OP]) / [QTDE], [VALOR OP]/[QTDE])</f>
        <v>-1.8673333333333335</v>
      </c>
      <c r="AC30" s="106">
        <f>TRUNC(IF(OR([T]="CV",[T]="VV"),     N30*SETUP!$H$3,     0),2)</f>
        <v>0</v>
      </c>
      <c r="AD3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06">
        <f>IF([LUCRO TMP] &lt;&gt; 0, [LUCRO TMP] - SUMPRODUCT(N([ATIVO]=NOTAS_80[[#This Row],[ATIVO]]),N(['[D/N']]="N"),N([ID]&lt;NOTAS_80[[#This Row],[ID]]),N([PAR]=NOTAS_80[[#This Row],[PAR]]), [LUCRO TMP]), 0)</f>
        <v>0</v>
      </c>
      <c r="AI30" s="106">
        <f>IF([U] = "U", SUMPRODUCT(N([ID]&lt;=NOTAS_80[[#This Row],[ID]]),N([DATA BASE]=NOTAS_80[[#This Row],[DATA BASE]]), N(['[D/N']] = "N"),    [LUCRO P/ OP]), 0)</f>
        <v>0</v>
      </c>
      <c r="AJ30" s="106">
        <f>IF([U] = "U", SUMPRODUCT(N([DATA BASE]=NOTAS_80[[#This Row],[DATA BASE]]), N(['[D/N']] = "D"),    [LUCRO P/ OP]), 0)</f>
        <v>0</v>
      </c>
      <c r="AK30" s="106">
        <f>IF([U] = "U", SUMPRODUCT(N([DATA BASE]=NOTAS_80[[#This Row],[DATA BASE]]), N(['[D/N']] = "D"),    [IRRF FONTE]), 0)</f>
        <v>0</v>
      </c>
    </row>
    <row r="31" spans="1:37">
      <c r="A31" s="13">
        <v>30</v>
      </c>
      <c r="B31" s="114"/>
      <c r="C31" s="107" t="s">
        <v>159</v>
      </c>
      <c r="D31" s="114" t="s">
        <v>25</v>
      </c>
      <c r="E31" s="115">
        <v>41169</v>
      </c>
      <c r="F31" s="114">
        <v>600</v>
      </c>
      <c r="G31" s="116">
        <v>1.85</v>
      </c>
      <c r="H31" s="126"/>
      <c r="I31" s="127">
        <v>-0.97</v>
      </c>
      <c r="J31" s="114" t="s">
        <v>14</v>
      </c>
      <c r="K31" s="115">
        <f>WORKDAY(NOTAS_80[[#This Row],[DATA]],1,0)</f>
        <v>41170</v>
      </c>
      <c r="L31" s="117">
        <f>EOMONTH(NOTAS_80[[#This Row],[DATA DE LIQUIDAÇÃO]],0)</f>
        <v>41182</v>
      </c>
      <c r="M3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16">
        <f>[QTDE]*[PREÇO]</f>
        <v>1110</v>
      </c>
      <c r="O3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16">
        <f>TRUNC([CORR BOV] * 20% * IF([PARCIAL] &gt; 0, [QTDE] / [PARCIAL], 1),2)</f>
        <v>3.82</v>
      </c>
      <c r="U31" s="116">
        <f>SUMPRODUCT(N([DATA]=NOTAS_80[[#This Row],[DATA]]),N([ID]&lt;=NOTAS_80[[#This Row],[ID]]), [CORR])</f>
        <v>7.66</v>
      </c>
      <c r="V31" s="116">
        <f>TRUNC([CORRETAGEM]*SETUP!$F$3,2)</f>
        <v>0.15</v>
      </c>
      <c r="W31" s="116">
        <f>ROUND([CORRETAGEM]*SETUP!$G$3,2)</f>
        <v>0.3</v>
      </c>
      <c r="X31" s="116">
        <f>[VALOR LÍQUIDO DAS OPERAÇÕES]-[TAXA DE LIQUIDAÇÃO]-[EMOLUMENTOS]-[TAXA DE REGISTRO]-[CORRETAGEM]-[ISS]-IF(['[D/N']]="D",    0,    [OUTRAS BOVESPA]) - [AJUSTE]</f>
        <v>-13.83</v>
      </c>
      <c r="Y31" s="116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18">
        <f>[LÍQUIDO]-SUMPRODUCT(N([DATA]=NOTAS_80[[#This Row],[DATA]]),N([ID]=(NOTAS_80[[#This Row],[ID]]-1)),[LÍQUIDO])</f>
        <v>1106.5700000000002</v>
      </c>
      <c r="AB31" s="116">
        <f>IF([T] = "VC", ABS([VALOR OP]) / [QTDE], [VALOR OP]/[QTDE])</f>
        <v>1.8442833333333335</v>
      </c>
      <c r="AC31" s="116">
        <f>TRUNC(IF(OR([T]="CV",[T]="VV"),     N31*SETUP!$H$3,     0),2)</f>
        <v>0.05</v>
      </c>
      <c r="AD3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16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16">
        <f>IF([U] = "U", SUMPRODUCT(N([ID]&lt;=NOTAS_80[[#This Row],[ID]]),N([DATA BASE]=NOTAS_80[[#This Row],[DATA BASE]]), N(['[D/N']] = "N"),    [LUCRO P/ OP]), 0)</f>
        <v>0</v>
      </c>
      <c r="AJ31" s="116">
        <f>IF([U] = "U", SUMPRODUCT(N([DATA BASE]=NOTAS_80[[#This Row],[DATA BASE]]), N(['[D/N']] = "D"),    [LUCRO P/ OP]), 0)</f>
        <v>0</v>
      </c>
      <c r="AK31" s="116">
        <f>IF([U] = "U", SUMPRODUCT(N([DATA BASE]=NOTAS_80[[#This Row],[DATA BASE]]), N(['[D/N']] = "D"),    [IRRF FONTE]), 0)</f>
        <v>0</v>
      </c>
    </row>
    <row r="32" spans="1:37">
      <c r="A32" s="13">
        <v>31</v>
      </c>
      <c r="B32" s="107"/>
      <c r="C32" s="107" t="s">
        <v>162</v>
      </c>
      <c r="D32" s="107" t="s">
        <v>24</v>
      </c>
      <c r="E32" s="108">
        <v>41170</v>
      </c>
      <c r="F32" s="107">
        <v>600</v>
      </c>
      <c r="G32" s="106">
        <v>1.67</v>
      </c>
      <c r="H32" s="105"/>
      <c r="I32" s="125"/>
      <c r="J32" s="107" t="s">
        <v>14</v>
      </c>
      <c r="K32" s="108">
        <f>WORKDAY(NOTAS_80[[#This Row],[DATA]],1,0)</f>
        <v>41171</v>
      </c>
      <c r="L32" s="109">
        <f>EOMONTH(NOTAS_80[[#This Row],[DATA DE LIQUIDAÇÃO]],0)</f>
        <v>41182</v>
      </c>
      <c r="M3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06">
        <f>[QTDE]*[PREÇO]</f>
        <v>1002</v>
      </c>
      <c r="O3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06">
        <f>TRUNC([CORR BOV] * 20% * IF([PARCIAL] &gt; 0, [QTDE] / [PARCIAL], 1),2)</f>
        <v>3.5</v>
      </c>
      <c r="U32" s="106">
        <f>SUMPRODUCT(N([DATA]=NOTAS_80[[#This Row],[DATA]]),N([ID]&lt;=NOTAS_80[[#This Row],[ID]]), [CORR])</f>
        <v>3.5</v>
      </c>
      <c r="V32" s="106">
        <f>TRUNC([CORRETAGEM]*SETUP!$F$3,2)</f>
        <v>7.0000000000000007E-2</v>
      </c>
      <c r="W32" s="106">
        <f>ROUND([CORRETAGEM]*SETUP!$G$3,2)</f>
        <v>0.14000000000000001</v>
      </c>
      <c r="X32" s="106">
        <f>[VALOR LÍQUIDO DAS OPERAÇÕES]-[TAXA DE LIQUIDAÇÃO]-[EMOLUMENTOS]-[TAXA DE REGISTRO]-[CORRETAGEM]-[ISS]-IF(['[D/N']]="D",    0,    [OUTRAS BOVESPA]) - [AJUSTE]</f>
        <v>-1006.02</v>
      </c>
      <c r="Y32" s="106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0">
        <f>[LÍQUIDO]-SUMPRODUCT(N([DATA]=NOTAS_80[[#This Row],[DATA]]),N([ID]=(NOTAS_80[[#This Row],[ID]]-1)),[LÍQUIDO])</f>
        <v>-1006.02</v>
      </c>
      <c r="AB32" s="106">
        <f>IF([T] = "VC", ABS([VALOR OP]) / [QTDE], [VALOR OP]/[QTDE])</f>
        <v>-1.6767000000000001</v>
      </c>
      <c r="AC32" s="106">
        <f>TRUNC(IF(OR([T]="CV",[T]="VV"),     N32*SETUP!$H$3,     0),2)</f>
        <v>0</v>
      </c>
      <c r="AD3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06">
        <f>IF([LUCRO TMP] &lt;&gt; 0, [LUCRO TMP] - SUMPRODUCT(N([ATIVO]=NOTAS_80[[#This Row],[ATIVO]]),N(['[D/N']]="N"),N([ID]&lt;NOTAS_80[[#This Row],[ID]]),N([PAR]=NOTAS_80[[#This Row],[PAR]]), [LUCRO TMP]), 0)</f>
        <v>0</v>
      </c>
      <c r="AI32" s="106">
        <f>IF([U] = "U", SUMPRODUCT(N([ID]&lt;=NOTAS_80[[#This Row],[ID]]),N([DATA BASE]=NOTAS_80[[#This Row],[DATA BASE]]), N(['[D/N']] = "N"),    [LUCRO P/ OP]), 0)</f>
        <v>0</v>
      </c>
      <c r="AJ32" s="106">
        <f>IF([U] = "U", SUMPRODUCT(N([DATA BASE]=NOTAS_80[[#This Row],[DATA BASE]]), N(['[D/N']] = "D"),    [LUCRO P/ OP]), 0)</f>
        <v>0</v>
      </c>
      <c r="AK32" s="106">
        <f>IF([U] = "U", SUMPRODUCT(N([DATA BASE]=NOTAS_80[[#This Row],[DATA BASE]]), N(['[D/N']] = "D"),    [IRRF FONTE]), 0)</f>
        <v>0</v>
      </c>
    </row>
    <row r="33" spans="1:37">
      <c r="A33" s="13">
        <v>32</v>
      </c>
      <c r="B33" s="107"/>
      <c r="C33" s="107" t="s">
        <v>162</v>
      </c>
      <c r="D33" s="114" t="s">
        <v>25</v>
      </c>
      <c r="E33" s="115">
        <v>41170</v>
      </c>
      <c r="F33" s="114">
        <v>600</v>
      </c>
      <c r="G33" s="116">
        <v>1.64</v>
      </c>
      <c r="H33" s="126"/>
      <c r="I33" s="127">
        <v>5.24</v>
      </c>
      <c r="J33" s="114" t="s">
        <v>14</v>
      </c>
      <c r="K33" s="108">
        <f>WORKDAY(NOTAS_80[[#This Row],[DATA]],1,0)</f>
        <v>41171</v>
      </c>
      <c r="L33" s="109">
        <f>EOMONTH(NOTAS_80[[#This Row],[DATA DE LIQUIDAÇÃO]],0)</f>
        <v>41182</v>
      </c>
      <c r="M3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06">
        <f>[QTDE]*[PREÇO]</f>
        <v>983.99999999999989</v>
      </c>
      <c r="O3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06">
        <f>TRUNC([CORR BOV] * 20% * IF([PARCIAL] &gt; 0, [QTDE] / [PARCIAL], 1),2)</f>
        <v>3.45</v>
      </c>
      <c r="U33" s="106">
        <f>SUMPRODUCT(N([DATA]=NOTAS_80[[#This Row],[DATA]]),N([ID]&lt;=NOTAS_80[[#This Row],[ID]]), [CORR])</f>
        <v>6.95</v>
      </c>
      <c r="V33" s="106">
        <f>TRUNC([CORRETAGEM]*SETUP!$F$3,2)</f>
        <v>0.13</v>
      </c>
      <c r="W33" s="106">
        <f>ROUND([CORRETAGEM]*SETUP!$G$3,2)</f>
        <v>0.27</v>
      </c>
      <c r="X33" s="106">
        <f>[VALOR LÍQUIDO DAS OPERAÇÕES]-[TAXA DE LIQUIDAÇÃO]-[EMOLUMENTOS]-[TAXA DE REGISTRO]-[CORRETAGEM]-[ISS]-IF(['[D/N']]="D",    0,    [OUTRAS BOVESPA]) - [AJUSTE]</f>
        <v>-31.190000000000111</v>
      </c>
      <c r="Y33" s="106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0">
        <f>[LÍQUIDO]-SUMPRODUCT(N([DATA]=NOTAS_80[[#This Row],[DATA]]),N([ID]=(NOTAS_80[[#This Row],[ID]]-1)),[LÍQUIDO])</f>
        <v>974.82999999999993</v>
      </c>
      <c r="AB33" s="106">
        <f>IF([T] = "VC", ABS([VALOR OP]) / [QTDE], [VALOR OP]/[QTDE])</f>
        <v>1.6247166666666666</v>
      </c>
      <c r="AC33" s="106">
        <f>TRUNC(IF(OR([T]="CV",[T]="VV"),     N33*SETUP!$H$3,     0),2)</f>
        <v>0.04</v>
      </c>
      <c r="AD3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06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06">
        <f>IF([U] = "U", SUMPRODUCT(N([ID]&lt;=NOTAS_80[[#This Row],[ID]]),N([DATA BASE]=NOTAS_80[[#This Row],[DATA BASE]]), N(['[D/N']] = "N"),    [LUCRO P/ OP]), 0)</f>
        <v>0</v>
      </c>
      <c r="AJ33" s="106">
        <f>IF([U] = "U", SUMPRODUCT(N([DATA BASE]=NOTAS_80[[#This Row],[DATA BASE]]), N(['[D/N']] = "D"),    [LUCRO P/ OP]), 0)</f>
        <v>0</v>
      </c>
      <c r="AK33" s="106">
        <f>IF([U] = "U", SUMPRODUCT(N([DATA BASE]=NOTAS_80[[#This Row],[DATA BASE]]), N(['[D/N']] = "D"),    [IRRF FONTE]), 0)</f>
        <v>0</v>
      </c>
    </row>
    <row r="34" spans="1:37">
      <c r="A34" s="13">
        <v>33</v>
      </c>
      <c r="B34" s="114"/>
      <c r="C34" s="107" t="s">
        <v>163</v>
      </c>
      <c r="D34" s="107" t="s">
        <v>24</v>
      </c>
      <c r="E34" s="108">
        <v>41171</v>
      </c>
      <c r="F34" s="107">
        <v>400</v>
      </c>
      <c r="G34" s="106">
        <v>1.75</v>
      </c>
      <c r="H34" s="105"/>
      <c r="I34" s="125"/>
      <c r="J34" s="107" t="s">
        <v>14</v>
      </c>
      <c r="K34" s="115">
        <f>WORKDAY(NOTAS_80[[#This Row],[DATA]],1,0)</f>
        <v>41172</v>
      </c>
      <c r="L34" s="117">
        <f>EOMONTH(NOTAS_80[[#This Row],[DATA DE LIQUIDAÇÃO]],0)</f>
        <v>41182</v>
      </c>
      <c r="M34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16">
        <f>[QTDE]*[PREÇO]</f>
        <v>700</v>
      </c>
      <c r="O34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16">
        <f>TRUNC([CORR BOV] * 20% * IF([PARCIAL] &gt; 0, [QTDE] / [PARCIAL], 1),2)</f>
        <v>2.59</v>
      </c>
      <c r="U34" s="116">
        <f>SUMPRODUCT(N([DATA]=NOTAS_80[[#This Row],[DATA]]),N([ID]&lt;=NOTAS_80[[#This Row],[ID]]), [CORR])</f>
        <v>2.59</v>
      </c>
      <c r="V34" s="116">
        <f>TRUNC([CORRETAGEM]*SETUP!$F$3,2)</f>
        <v>0.05</v>
      </c>
      <c r="W34" s="116">
        <f>ROUND([CORRETAGEM]*SETUP!$G$3,2)</f>
        <v>0.1</v>
      </c>
      <c r="X34" s="116">
        <f>[VALOR LÍQUIDO DAS OPERAÇÕES]-[TAXA DE LIQUIDAÇÃO]-[EMOLUMENTOS]-[TAXA DE REGISTRO]-[CORRETAGEM]-[ISS]-IF(['[D/N']]="D",    0,    [OUTRAS BOVESPA]) - [AJUSTE]</f>
        <v>-702.94</v>
      </c>
      <c r="Y34" s="116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18">
        <f>[LÍQUIDO]-SUMPRODUCT(N([DATA]=NOTAS_80[[#This Row],[DATA]]),N([ID]=(NOTAS_80[[#This Row],[ID]]-1)),[LÍQUIDO])</f>
        <v>-702.94</v>
      </c>
      <c r="AB34" s="116">
        <f>IF([T] = "VC", ABS([VALOR OP]) / [QTDE], [VALOR OP]/[QTDE])</f>
        <v>-1.7573500000000002</v>
      </c>
      <c r="AC34" s="116">
        <f>TRUNC(IF(OR([T]="CV",[T]="VV"),     N34*SETUP!$H$3,     0),2)</f>
        <v>0</v>
      </c>
      <c r="AD34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16">
        <f>IF([LUCRO TMP] &lt;&gt; 0, [LUCRO TMP] - SUMPRODUCT(N([ATIVO]=NOTAS_80[[#This Row],[ATIVO]]),N(['[D/N']]="N"),N([ID]&lt;NOTAS_80[[#This Row],[ID]]),N([PAR]=NOTAS_80[[#This Row],[PAR]]), [LUCRO TMP]), 0)</f>
        <v>0</v>
      </c>
      <c r="AI34" s="116">
        <f>IF([U] = "U", SUMPRODUCT(N([ID]&lt;=NOTAS_80[[#This Row],[ID]]),N([DATA BASE]=NOTAS_80[[#This Row],[DATA BASE]]), N(['[D/N']] = "N"),    [LUCRO P/ OP]), 0)</f>
        <v>0</v>
      </c>
      <c r="AJ34" s="116">
        <f>IF([U] = "U", SUMPRODUCT(N([DATA BASE]=NOTAS_80[[#This Row],[DATA BASE]]), N(['[D/N']] = "D"),    [LUCRO P/ OP]), 0)</f>
        <v>0</v>
      </c>
      <c r="AK34" s="116">
        <f>IF([U] = "U", SUMPRODUCT(N([DATA BASE]=NOTAS_80[[#This Row],[DATA BASE]]), N(['[D/N']] = "D"),    [IRRF FONTE]), 0)</f>
        <v>0</v>
      </c>
    </row>
    <row r="35" spans="1:37">
      <c r="A35" s="114">
        <v>34</v>
      </c>
      <c r="B35" s="114"/>
      <c r="C35" s="107" t="s">
        <v>163</v>
      </c>
      <c r="D35" s="114" t="s">
        <v>25</v>
      </c>
      <c r="E35" s="115">
        <v>41171</v>
      </c>
      <c r="F35" s="114">
        <v>400</v>
      </c>
      <c r="G35" s="116">
        <v>1.64</v>
      </c>
      <c r="H35" s="126"/>
      <c r="I35" s="127">
        <v>-0.32</v>
      </c>
      <c r="J35" s="114" t="s">
        <v>14</v>
      </c>
      <c r="K35" s="115">
        <f>WORKDAY(NOTAS_80[[#This Row],[DATA]],1,0)</f>
        <v>41172</v>
      </c>
      <c r="L35" s="117">
        <f>EOMONTH(NOTAS_80[[#This Row],[DATA DE LIQUIDAÇÃO]],0)</f>
        <v>41182</v>
      </c>
      <c r="M3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16">
        <f>[QTDE]*[PREÇO]</f>
        <v>656</v>
      </c>
      <c r="O3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16">
        <f>TRUNC([CORR BOV] * 20% * IF([PARCIAL] &gt; 0, [QTDE] / [PARCIAL], 1),2)</f>
        <v>2.46</v>
      </c>
      <c r="U35" s="116">
        <f>SUMPRODUCT(N([DATA]=NOTAS_80[[#This Row],[DATA]]),N([ID]&lt;=NOTAS_80[[#This Row],[ID]]), [CORR])</f>
        <v>5.05</v>
      </c>
      <c r="V35" s="116">
        <f>TRUNC([CORRETAGEM]*SETUP!$F$3,2)</f>
        <v>0.1</v>
      </c>
      <c r="W35" s="116">
        <f>ROUND([CORRETAGEM]*SETUP!$G$3,2)</f>
        <v>0.2</v>
      </c>
      <c r="X35" s="116">
        <f>[VALOR LÍQUIDO DAS OPERAÇÕES]-[TAXA DE LIQUIDAÇÃO]-[EMOLUMENTOS]-[TAXA DE REGISTRO]-[CORRETAGEM]-[ISS]-IF(['[D/N']]="D",    0,    [OUTRAS BOVESPA]) - [AJUSTE]</f>
        <v>-49.43</v>
      </c>
      <c r="Y35" s="116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18">
        <f>[LÍQUIDO]-SUMPRODUCT(N([DATA]=NOTAS_80[[#This Row],[DATA]]),N([ID]=(NOTAS_80[[#This Row],[ID]]-1)),[LÍQUIDO])</f>
        <v>653.5100000000001</v>
      </c>
      <c r="AB35" s="116">
        <f>IF([T] = "VC", ABS([VALOR OP]) / [QTDE], [VALOR OP]/[QTDE])</f>
        <v>1.6337750000000002</v>
      </c>
      <c r="AC35" s="116">
        <f>TRUNC(IF(OR([T]="CV",[T]="VV"),     N35*SETUP!$H$3,     0),2)</f>
        <v>0.03</v>
      </c>
      <c r="AD3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16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16">
        <f>IF([U] = "U", SUMPRODUCT(N([ID]&lt;=NOTAS_80[[#This Row],[ID]]),N([DATA BASE]=NOTAS_80[[#This Row],[DATA BASE]]), N(['[D/N']] = "N"),    [LUCRO P/ OP]), 0)</f>
        <v>0</v>
      </c>
      <c r="AJ35" s="116">
        <f>IF([U] = "U", SUMPRODUCT(N([DATA BASE]=NOTAS_80[[#This Row],[DATA BASE]]), N(['[D/N']] = "D"),    [LUCRO P/ OP]), 0)</f>
        <v>0</v>
      </c>
      <c r="AK35" s="116">
        <f>IF([U] = "U", SUMPRODUCT(N([DATA BASE]=NOTAS_80[[#This Row],[DATA BASE]]), N(['[D/N']] = "D"),    [IRRF FONTE]), 0)</f>
        <v>0</v>
      </c>
    </row>
    <row r="36" spans="1:37">
      <c r="A36" s="13">
        <v>35</v>
      </c>
      <c r="B36" s="107"/>
      <c r="C36" s="107" t="s">
        <v>164</v>
      </c>
      <c r="D36" s="107" t="s">
        <v>24</v>
      </c>
      <c r="E36" s="108">
        <v>41172</v>
      </c>
      <c r="F36" s="107">
        <v>600</v>
      </c>
      <c r="G36" s="106">
        <v>1.1299999999999999</v>
      </c>
      <c r="H36" s="105"/>
      <c r="I36" s="125"/>
      <c r="J36" s="107" t="s">
        <v>14</v>
      </c>
      <c r="K36" s="108">
        <f>WORKDAY(NOTAS_80[[#This Row],[DATA]],1,0)</f>
        <v>41173</v>
      </c>
      <c r="L36" s="109">
        <f>EOMONTH(NOTAS_80[[#This Row],[DATA DE LIQUIDAÇÃO]],0)</f>
        <v>41182</v>
      </c>
      <c r="M3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06">
        <f>[QTDE]*[PREÇO]</f>
        <v>677.99999999999989</v>
      </c>
      <c r="O3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06">
        <f>TRUNC([CORR BOV] * 20% * IF([PARCIAL] &gt; 0, [QTDE] / [PARCIAL], 1),2)</f>
        <v>2.5299999999999998</v>
      </c>
      <c r="U36" s="106">
        <f>SUMPRODUCT(N([DATA]=NOTAS_80[[#This Row],[DATA]]),N([ID]&lt;=NOTAS_80[[#This Row],[ID]]), [CORR])</f>
        <v>2.5299999999999998</v>
      </c>
      <c r="V36" s="106">
        <f>TRUNC([CORRETAGEM]*SETUP!$F$3,2)</f>
        <v>0.05</v>
      </c>
      <c r="W36" s="106">
        <f>ROUND([CORRETAGEM]*SETUP!$G$3,2)</f>
        <v>0.1</v>
      </c>
      <c r="X36" s="106">
        <f>[VALOR LÍQUIDO DAS OPERAÇÕES]-[TAXA DE LIQUIDAÇÃO]-[EMOLUMENTOS]-[TAXA DE REGISTRO]-[CORRETAGEM]-[ISS]-IF(['[D/N']]="D",    0,    [OUTRAS BOVESPA]) - [AJUSTE]</f>
        <v>-680.87999999999988</v>
      </c>
      <c r="Y36" s="106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0">
        <f>[LÍQUIDO]-SUMPRODUCT(N([DATA]=NOTAS_80[[#This Row],[DATA]]),N([ID]=(NOTAS_80[[#This Row],[ID]]-1)),[LÍQUIDO])</f>
        <v>-684.07999999999993</v>
      </c>
      <c r="AB36" s="106">
        <f>IF([T] = "VC", ABS([VALOR OP]) / [QTDE], [VALOR OP]/[QTDE])</f>
        <v>-1.1401333333333332</v>
      </c>
      <c r="AC36" s="106">
        <f>TRUNC(IF(OR([T]="CV",[T]="VV"),     N36*SETUP!$H$3,     0),2)</f>
        <v>0</v>
      </c>
      <c r="AD3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06">
        <f>IF([LUCRO TMP] &lt;&gt; 0, [LUCRO TMP] - SUMPRODUCT(N([ATIVO]=NOTAS_80[[#This Row],[ATIVO]]),N(['[D/N']]="N"),N([ID]&lt;NOTAS_80[[#This Row],[ID]]),N([PAR]=NOTAS_80[[#This Row],[PAR]]), [LUCRO TMP]), 0)</f>
        <v>0</v>
      </c>
      <c r="AI36" s="106">
        <f>IF([U] = "U", SUMPRODUCT(N([ID]&lt;=NOTAS_80[[#This Row],[ID]]),N([DATA BASE]=NOTAS_80[[#This Row],[DATA BASE]]), N(['[D/N']] = "N"),    [LUCRO P/ OP]), 0)</f>
        <v>0</v>
      </c>
      <c r="AJ36" s="106">
        <f>IF([U] = "U", SUMPRODUCT(N([DATA BASE]=NOTAS_80[[#This Row],[DATA BASE]]), N(['[D/N']] = "D"),    [LUCRO P/ OP]), 0)</f>
        <v>0</v>
      </c>
      <c r="AK36" s="106">
        <f>IF([U] = "U", SUMPRODUCT(N([DATA BASE]=NOTAS_80[[#This Row],[DATA BASE]]), N(['[D/N']] = "D"),    [IRRF FONTE]), 0)</f>
        <v>0</v>
      </c>
    </row>
    <row r="37" spans="1:37">
      <c r="A37" s="114">
        <v>36</v>
      </c>
      <c r="B37" s="114"/>
      <c r="C37" s="107" t="s">
        <v>164</v>
      </c>
      <c r="D37" s="114" t="s">
        <v>25</v>
      </c>
      <c r="E37" s="115">
        <v>41172</v>
      </c>
      <c r="F37" s="114">
        <v>600</v>
      </c>
      <c r="G37" s="116">
        <v>1.45</v>
      </c>
      <c r="H37" s="126"/>
      <c r="I37" s="127">
        <v>-0.36</v>
      </c>
      <c r="J37" s="114" t="s">
        <v>14</v>
      </c>
      <c r="K37" s="115">
        <f>WORKDAY(NOTAS_80[[#This Row],[DATA]],1,0)</f>
        <v>41173</v>
      </c>
      <c r="L37" s="117">
        <f>EOMONTH(NOTAS_80[[#This Row],[DATA DE LIQUIDAÇÃO]],0)</f>
        <v>41182</v>
      </c>
      <c r="M3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16">
        <f>[QTDE]*[PREÇO]</f>
        <v>870</v>
      </c>
      <c r="O3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16">
        <f>TRUNC([CORR BOV] * 20% * IF([PARCIAL] &gt; 0, [QTDE] / [PARCIAL], 1),2)</f>
        <v>3.1</v>
      </c>
      <c r="U37" s="116">
        <f>SUMPRODUCT(N([DATA]=NOTAS_80[[#This Row],[DATA]]),N([ID]&lt;=NOTAS_80[[#This Row],[ID]]), [CORR])</f>
        <v>5.63</v>
      </c>
      <c r="V37" s="116">
        <f>TRUNC([CORRETAGEM]*SETUP!$F$3,2)</f>
        <v>0.11</v>
      </c>
      <c r="W37" s="116">
        <f>ROUND([CORRETAGEM]*SETUP!$G$3,2)</f>
        <v>0.22</v>
      </c>
      <c r="X37" s="116">
        <f>[VALOR LÍQUIDO DAS OPERAÇÕES]-[TAXA DE LIQUIDAÇÃO]-[EMOLUMENTOS]-[TAXA DE REGISTRO]-[CORRETAGEM]-[ISS]-IF(['[D/N']]="D",    0,    [OUTRAS BOVESPA]) - [AJUSTE]</f>
        <v>185.94000000000011</v>
      </c>
      <c r="Y37" s="116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18">
        <f>[LÍQUIDO]-SUMPRODUCT(N([DATA]=NOTAS_80[[#This Row],[DATA]]),N([ID]=(NOTAS_80[[#This Row],[ID]]-1)),[LÍQUIDO])</f>
        <v>866.82</v>
      </c>
      <c r="AB37" s="116">
        <f>IF([T] = "VC", ABS([VALOR OP]) / [QTDE], [VALOR OP]/[QTDE])</f>
        <v>1.4447000000000001</v>
      </c>
      <c r="AC37" s="116">
        <f>TRUNC(IF(OR([T]="CV",[T]="VV"),     N37*SETUP!$H$3,     0),2)</f>
        <v>0.04</v>
      </c>
      <c r="AD3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16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16">
        <f>IF([U] = "U", SUMPRODUCT(N([ID]&lt;=NOTAS_80[[#This Row],[ID]]),N([DATA BASE]=NOTAS_80[[#This Row],[DATA BASE]]), N(['[D/N']] = "N"),    [LUCRO P/ OP]), 0)</f>
        <v>0</v>
      </c>
      <c r="AJ37" s="116">
        <f>IF([U] = "U", SUMPRODUCT(N([DATA BASE]=NOTAS_80[[#This Row],[DATA BASE]]), N(['[D/N']] = "D"),    [LUCRO P/ OP]), 0)</f>
        <v>0</v>
      </c>
      <c r="AK37" s="116">
        <f>IF([U] = "U", SUMPRODUCT(N([DATA BASE]=NOTAS_80[[#This Row],[DATA BASE]]), N(['[D/N']] = "D"),    [IRRF FONTE]), 0)</f>
        <v>0</v>
      </c>
    </row>
    <row r="38" spans="1:37">
      <c r="A38" s="13">
        <v>37</v>
      </c>
      <c r="B38" s="107"/>
      <c r="C38" s="107" t="s">
        <v>165</v>
      </c>
      <c r="D38" s="107" t="s">
        <v>24</v>
      </c>
      <c r="E38" s="108">
        <v>41172</v>
      </c>
      <c r="F38" s="107">
        <v>700</v>
      </c>
      <c r="G38" s="106">
        <v>1.5</v>
      </c>
      <c r="H38" s="105"/>
      <c r="I38" s="125"/>
      <c r="J38" s="107" t="s">
        <v>14</v>
      </c>
      <c r="K38" s="108">
        <f>WORKDAY(NOTAS_80[[#This Row],[DATA]],1,0)</f>
        <v>41173</v>
      </c>
      <c r="L38" s="109">
        <f>EOMONTH(NOTAS_80[[#This Row],[DATA DE LIQUIDAÇÃO]],0)</f>
        <v>41182</v>
      </c>
      <c r="M3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06">
        <f>[QTDE]*[PREÇO]</f>
        <v>1050</v>
      </c>
      <c r="O3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06">
        <f>TRUNC([CORR BOV] * 20% * IF([PARCIAL] &gt; 0, [QTDE] / [PARCIAL], 1),2)</f>
        <v>3.64</v>
      </c>
      <c r="U38" s="106">
        <f>SUMPRODUCT(N([DATA]=NOTAS_80[[#This Row],[DATA]]),N([ID]&lt;=NOTAS_80[[#This Row],[ID]]), [CORR])</f>
        <v>9.27</v>
      </c>
      <c r="V38" s="106">
        <f>TRUNC([CORRETAGEM]*SETUP!$F$3,2)</f>
        <v>0.18</v>
      </c>
      <c r="W38" s="106">
        <f>ROUND([CORRETAGEM]*SETUP!$G$3,2)</f>
        <v>0.36</v>
      </c>
      <c r="X38" s="106">
        <f>[VALOR LÍQUIDO DAS OPERAÇÕES]-[TAXA DE LIQUIDAÇÃO]-[EMOLUMENTOS]-[TAXA DE REGISTRO]-[CORRETAGEM]-[ISS]-IF(['[D/N']]="D",    0,    [OUTRAS BOVESPA]) - [AJUSTE]</f>
        <v>-868.59999999999991</v>
      </c>
      <c r="Y38" s="106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0">
        <f>[LÍQUIDO]-SUMPRODUCT(N([DATA]=NOTAS_80[[#This Row],[DATA]]),N([ID]=(NOTAS_80[[#This Row],[ID]]-1)),[LÍQUIDO])</f>
        <v>-1054.54</v>
      </c>
      <c r="AB38" s="106">
        <f>IF([T] = "VC", ABS([VALOR OP]) / [QTDE], [VALOR OP]/[QTDE])</f>
        <v>-1.5064857142857142</v>
      </c>
      <c r="AC38" s="106">
        <f>TRUNC(IF(OR([T]="CV",[T]="VV"),     N38*SETUP!$H$3,     0),2)</f>
        <v>0</v>
      </c>
      <c r="AD3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06">
        <f>IF([LUCRO TMP] &lt;&gt; 0, [LUCRO TMP] - SUMPRODUCT(N([ATIVO]=NOTAS_80[[#This Row],[ATIVO]]),N(['[D/N']]="N"),N([ID]&lt;NOTAS_80[[#This Row],[ID]]),N([PAR]=NOTAS_80[[#This Row],[PAR]]), [LUCRO TMP]), 0)</f>
        <v>0</v>
      </c>
      <c r="AI38" s="106">
        <f>IF([U] = "U", SUMPRODUCT(N([ID]&lt;=NOTAS_80[[#This Row],[ID]]),N([DATA BASE]=NOTAS_80[[#This Row],[DATA BASE]]), N(['[D/N']] = "N"),    [LUCRO P/ OP]), 0)</f>
        <v>0</v>
      </c>
      <c r="AJ38" s="106">
        <f>IF([U] = "U", SUMPRODUCT(N([DATA BASE]=NOTAS_80[[#This Row],[DATA BASE]]), N(['[D/N']] = "D"),    [LUCRO P/ OP]), 0)</f>
        <v>0</v>
      </c>
      <c r="AK38" s="106">
        <f>IF([U] = "U", SUMPRODUCT(N([DATA BASE]=NOTAS_80[[#This Row],[DATA BASE]]), N(['[D/N']] = "D"),    [IRRF FONTE]), 0)</f>
        <v>0</v>
      </c>
    </row>
    <row r="39" spans="1:37">
      <c r="A39" s="114">
        <v>38</v>
      </c>
      <c r="B39" s="114"/>
      <c r="C39" s="107" t="s">
        <v>165</v>
      </c>
      <c r="D39" s="114" t="s">
        <v>25</v>
      </c>
      <c r="E39" s="115">
        <v>41172</v>
      </c>
      <c r="F39" s="114">
        <v>700</v>
      </c>
      <c r="G39" s="116">
        <v>1.44</v>
      </c>
      <c r="H39" s="126"/>
      <c r="I39" s="127"/>
      <c r="J39" s="114" t="s">
        <v>14</v>
      </c>
      <c r="K39" s="115">
        <f>WORKDAY(NOTAS_80[[#This Row],[DATA]],1,0)</f>
        <v>41173</v>
      </c>
      <c r="L39" s="117">
        <f>EOMONTH(NOTAS_80[[#This Row],[DATA DE LIQUIDAÇÃO]],0)</f>
        <v>41182</v>
      </c>
      <c r="M3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16">
        <f>[QTDE]*[PREÇO]</f>
        <v>1008</v>
      </c>
      <c r="O3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16">
        <f>TRUNC([CORR BOV] * 20% * IF([PARCIAL] &gt; 0, [QTDE] / [PARCIAL], 1),2)</f>
        <v>3.52</v>
      </c>
      <c r="U39" s="116">
        <f>SUMPRODUCT(N([DATA]=NOTAS_80[[#This Row],[DATA]]),N([ID]&lt;=NOTAS_80[[#This Row],[ID]]), [CORR])</f>
        <v>12.79</v>
      </c>
      <c r="V39" s="116">
        <f>TRUNC([CORRETAGEM]*SETUP!$F$3,2)</f>
        <v>0.25</v>
      </c>
      <c r="W39" s="116">
        <f>ROUND([CORRETAGEM]*SETUP!$G$3,2)</f>
        <v>0.5</v>
      </c>
      <c r="X39" s="116">
        <f>[VALOR LÍQUIDO DAS OPERAÇÕES]-[TAXA DE LIQUIDAÇÃO]-[EMOLUMENTOS]-[TAXA DE REGISTRO]-[CORRETAGEM]-[ISS]-IF(['[D/N']]="D",    0,    [OUTRAS BOVESPA]) - [AJUSTE]</f>
        <v>135.35000000000002</v>
      </c>
      <c r="Y39" s="116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18">
        <f>[LÍQUIDO]-SUMPRODUCT(N([DATA]=NOTAS_80[[#This Row],[DATA]]),N([ID]=(NOTAS_80[[#This Row],[ID]]-1)),[LÍQUIDO])</f>
        <v>1003.95</v>
      </c>
      <c r="AB39" s="116">
        <f>IF([T] = "VC", ABS([VALOR OP]) / [QTDE], [VALOR OP]/[QTDE])</f>
        <v>1.4342142857142859</v>
      </c>
      <c r="AC39" s="116">
        <f>TRUNC(IF(OR([T]="CV",[T]="VV"),     N39*SETUP!$H$3,     0),2)</f>
        <v>0.05</v>
      </c>
      <c r="AD3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16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16">
        <f>IF([U] = "U", SUMPRODUCT(N([ID]&lt;=NOTAS_80[[#This Row],[ID]]),N([DATA BASE]=NOTAS_80[[#This Row],[DATA BASE]]), N(['[D/N']] = "N"),    [LUCRO P/ OP]), 0)</f>
        <v>0</v>
      </c>
      <c r="AJ39" s="116">
        <f>IF([U] = "U", SUMPRODUCT(N([DATA BASE]=NOTAS_80[[#This Row],[DATA BASE]]), N(['[D/N']] = "D"),    [LUCRO P/ OP]), 0)</f>
        <v>0</v>
      </c>
      <c r="AK39" s="116">
        <f>IF([U] = "U", SUMPRODUCT(N([DATA BASE]=NOTAS_80[[#This Row],[DATA BASE]]), N(['[D/N']] = "D"),    [IRRF FONTE]), 0)</f>
        <v>0</v>
      </c>
    </row>
    <row r="40" spans="1:37">
      <c r="A40" s="13">
        <v>39</v>
      </c>
      <c r="B40" s="107"/>
      <c r="C40" s="107" t="s">
        <v>166</v>
      </c>
      <c r="D40" s="107" t="s">
        <v>24</v>
      </c>
      <c r="E40" s="108">
        <v>41176</v>
      </c>
      <c r="F40" s="107">
        <v>700</v>
      </c>
      <c r="G40" s="106">
        <v>1.23</v>
      </c>
      <c r="H40" s="105"/>
      <c r="I40" s="125"/>
      <c r="J40" s="107" t="s">
        <v>14</v>
      </c>
      <c r="K40" s="108">
        <f>WORKDAY(NOTAS_80[[#This Row],[DATA]],1,0)</f>
        <v>41177</v>
      </c>
      <c r="L40" s="109">
        <f>EOMONTH(NOTAS_80[[#This Row],[DATA DE LIQUIDAÇÃO]],0)</f>
        <v>41182</v>
      </c>
      <c r="M4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06">
        <f>[QTDE]*[PREÇO]</f>
        <v>861</v>
      </c>
      <c r="O4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06">
        <f>TRUNC([CORR BOV] * 20% * IF([PARCIAL] &gt; 0, [QTDE] / [PARCIAL], 1),2)</f>
        <v>3.08</v>
      </c>
      <c r="U40" s="106">
        <f>SUMPRODUCT(N([DATA]=NOTAS_80[[#This Row],[DATA]]),N([ID]&lt;=NOTAS_80[[#This Row],[ID]]), [CORR])</f>
        <v>3.08</v>
      </c>
      <c r="V40" s="106">
        <f>TRUNC([CORRETAGEM]*SETUP!$F$3,2)</f>
        <v>0.06</v>
      </c>
      <c r="W40" s="106">
        <f>ROUND([CORRETAGEM]*SETUP!$G$3,2)</f>
        <v>0.12</v>
      </c>
      <c r="X40" s="106">
        <f>[VALOR LÍQUIDO DAS OPERAÇÕES]-[TAXA DE LIQUIDAÇÃO]-[EMOLUMENTOS]-[TAXA DE REGISTRO]-[CORRETAGEM]-[ISS]-IF(['[D/N']]="D",    0,    [OUTRAS BOVESPA]) - [AJUSTE]</f>
        <v>-864.51</v>
      </c>
      <c r="Y40" s="106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0">
        <f>[LÍQUIDO]-SUMPRODUCT(N([DATA]=NOTAS_80[[#This Row],[DATA]]),N([ID]=(NOTAS_80[[#This Row],[ID]]-1)),[LÍQUIDO])</f>
        <v>-864.51</v>
      </c>
      <c r="AB40" s="106">
        <f>IF([T] = "VC", ABS([VALOR OP]) / [QTDE], [VALOR OP]/[QTDE])</f>
        <v>-1.2350142857142856</v>
      </c>
      <c r="AC40" s="106">
        <f>TRUNC(IF(OR([T]="CV",[T]="VV"),     N40*SETUP!$H$3,     0),2)</f>
        <v>0</v>
      </c>
      <c r="AD4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06">
        <f>IF([LUCRO TMP] &lt;&gt; 0, [LUCRO TMP] - SUMPRODUCT(N([ATIVO]=NOTAS_80[[#This Row],[ATIVO]]),N(['[D/N']]="N"),N([ID]&lt;NOTAS_80[[#This Row],[ID]]),N([PAR]=NOTAS_80[[#This Row],[PAR]]), [LUCRO TMP]), 0)</f>
        <v>0</v>
      </c>
      <c r="AI40" s="106">
        <f>IF([U] = "U", SUMPRODUCT(N([ID]&lt;=NOTAS_80[[#This Row],[ID]]),N([DATA BASE]=NOTAS_80[[#This Row],[DATA BASE]]), N(['[D/N']] = "N"),    [LUCRO P/ OP]), 0)</f>
        <v>0</v>
      </c>
      <c r="AJ40" s="106">
        <f>IF([U] = "U", SUMPRODUCT(N([DATA BASE]=NOTAS_80[[#This Row],[DATA BASE]]), N(['[D/N']] = "D"),    [LUCRO P/ OP]), 0)</f>
        <v>0</v>
      </c>
      <c r="AK40" s="106">
        <f>IF([U] = "U", SUMPRODUCT(N([DATA BASE]=NOTAS_80[[#This Row],[DATA BASE]]), N(['[D/N']] = "D"),    [IRRF FONTE]), 0)</f>
        <v>0</v>
      </c>
    </row>
    <row r="41" spans="1:37">
      <c r="A41" s="114">
        <v>40</v>
      </c>
      <c r="B41" s="114"/>
      <c r="C41" s="107" t="s">
        <v>166</v>
      </c>
      <c r="D41" s="114" t="s">
        <v>25</v>
      </c>
      <c r="E41" s="115">
        <v>41176</v>
      </c>
      <c r="F41" s="114">
        <v>700</v>
      </c>
      <c r="G41" s="116">
        <v>1.17</v>
      </c>
      <c r="H41" s="126"/>
      <c r="I41" s="127"/>
      <c r="J41" s="114" t="s">
        <v>14</v>
      </c>
      <c r="K41" s="115">
        <f>WORKDAY(NOTAS_80[[#This Row],[DATA]],1,0)</f>
        <v>41177</v>
      </c>
      <c r="L41" s="117">
        <f>EOMONTH(NOTAS_80[[#This Row],[DATA DE LIQUIDAÇÃO]],0)</f>
        <v>41182</v>
      </c>
      <c r="M4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16">
        <f>[QTDE]*[PREÇO]</f>
        <v>819</v>
      </c>
      <c r="O4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16">
        <f>TRUNC([CORR BOV] * 20% * IF([PARCIAL] &gt; 0, [QTDE] / [PARCIAL], 1),2)</f>
        <v>2.95</v>
      </c>
      <c r="U41" s="116">
        <f>SUMPRODUCT(N([DATA]=NOTAS_80[[#This Row],[DATA]]),N([ID]&lt;=NOTAS_80[[#This Row],[ID]]), [CORR])</f>
        <v>6.03</v>
      </c>
      <c r="V41" s="116">
        <f>TRUNC([CORRETAGEM]*SETUP!$F$3,2)</f>
        <v>0.12</v>
      </c>
      <c r="W41" s="116">
        <f>ROUND([CORRETAGEM]*SETUP!$G$3,2)</f>
        <v>0.24</v>
      </c>
      <c r="X41" s="116">
        <f>[VALOR LÍQUIDO DAS OPERAÇÕES]-[TAXA DE LIQUIDAÇÃO]-[EMOLUMENTOS]-[TAXA DE REGISTRO]-[CORRETAGEM]-[ISS]-IF(['[D/N']]="D",    0,    [OUTRAS BOVESPA]) - [AJUSTE]</f>
        <v>-48.9</v>
      </c>
      <c r="Y41" s="116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18">
        <f>[LÍQUIDO]-SUMPRODUCT(N([DATA]=NOTAS_80[[#This Row],[DATA]]),N([ID]=(NOTAS_80[[#This Row],[ID]]-1)),[LÍQUIDO])</f>
        <v>815.61</v>
      </c>
      <c r="AB41" s="116">
        <f>IF([T] = "VC", ABS([VALOR OP]) / [QTDE], [VALOR OP]/[QTDE])</f>
        <v>1.1651571428571428</v>
      </c>
      <c r="AC41" s="116">
        <f>TRUNC(IF(OR([T]="CV",[T]="VV"),     N41*SETUP!$H$3,     0),2)</f>
        <v>0.04</v>
      </c>
      <c r="AD4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16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16">
        <f>IF([U] = "U", SUMPRODUCT(N([ID]&lt;=NOTAS_80[[#This Row],[ID]]),N([DATA BASE]=NOTAS_80[[#This Row],[DATA BASE]]), N(['[D/N']] = "N"),    [LUCRO P/ OP]), 0)</f>
        <v>0</v>
      </c>
      <c r="AJ41" s="116">
        <f>IF([U] = "U", SUMPRODUCT(N([DATA BASE]=NOTAS_80[[#This Row],[DATA BASE]]), N(['[D/N']] = "D"),    [LUCRO P/ OP]), 0)</f>
        <v>0</v>
      </c>
      <c r="AK41" s="116">
        <f>IF([U] = "U", SUMPRODUCT(N([DATA BASE]=NOTAS_80[[#This Row],[DATA BASE]]), N(['[D/N']] = "D"),    [IRRF FONTE]), 0)</f>
        <v>0</v>
      </c>
    </row>
    <row r="42" spans="1:37">
      <c r="A42" s="13">
        <v>41</v>
      </c>
      <c r="B42" s="107"/>
      <c r="C42" s="107" t="s">
        <v>167</v>
      </c>
      <c r="D42" s="107" t="s">
        <v>24</v>
      </c>
      <c r="E42" s="108">
        <v>41176</v>
      </c>
      <c r="F42" s="107">
        <v>700</v>
      </c>
      <c r="G42" s="106">
        <v>1.35</v>
      </c>
      <c r="H42" s="105"/>
      <c r="I42" s="125"/>
      <c r="J42" s="107" t="s">
        <v>14</v>
      </c>
      <c r="K42" s="108">
        <f>WORKDAY(NOTAS_80[[#This Row],[DATA]],1,0)</f>
        <v>41177</v>
      </c>
      <c r="L42" s="109">
        <f>EOMONTH(NOTAS_80[[#This Row],[DATA DE LIQUIDAÇÃO]],0)</f>
        <v>41182</v>
      </c>
      <c r="M4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06">
        <f>[QTDE]*[PREÇO]</f>
        <v>945.00000000000011</v>
      </c>
      <c r="O4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06">
        <f>TRUNC([CORR BOV] * 20% * IF([PARCIAL] &gt; 0, [QTDE] / [PARCIAL], 1),2)</f>
        <v>3.33</v>
      </c>
      <c r="U42" s="106">
        <f>SUMPRODUCT(N([DATA]=NOTAS_80[[#This Row],[DATA]]),N([ID]&lt;=NOTAS_80[[#This Row],[ID]]), [CORR])</f>
        <v>9.36</v>
      </c>
      <c r="V42" s="106">
        <f>TRUNC([CORRETAGEM]*SETUP!$F$3,2)</f>
        <v>0.18</v>
      </c>
      <c r="W42" s="106">
        <f>ROUND([CORRETAGEM]*SETUP!$G$3,2)</f>
        <v>0.37</v>
      </c>
      <c r="X42" s="106">
        <f>[VALOR LÍQUIDO DAS OPERAÇÕES]-[TAXA DE LIQUIDAÇÃO]-[EMOLUMENTOS]-[TAXA DE REGISTRO]-[CORRETAGEM]-[ISS]-IF(['[D/N']]="D",    0,    [OUTRAS BOVESPA]) - [AJUSTE]</f>
        <v>-997.70999999999992</v>
      </c>
      <c r="Y42" s="106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0">
        <f>[LÍQUIDO]-SUMPRODUCT(N([DATA]=NOTAS_80[[#This Row],[DATA]]),N([ID]=(NOTAS_80[[#This Row],[ID]]-1)),[LÍQUIDO])</f>
        <v>-948.81</v>
      </c>
      <c r="AB42" s="106">
        <f>IF([T] = "VC", ABS([VALOR OP]) / [QTDE], [VALOR OP]/[QTDE])</f>
        <v>-1.3554428571428572</v>
      </c>
      <c r="AC42" s="106">
        <f>TRUNC(IF(OR([T]="CV",[T]="VV"),     N42*SETUP!$H$3,     0),2)</f>
        <v>0</v>
      </c>
      <c r="AD4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06">
        <f>IF([LUCRO TMP] &lt;&gt; 0, [LUCRO TMP] - SUMPRODUCT(N([ATIVO]=NOTAS_80[[#This Row],[ATIVO]]),N(['[D/N']]="N"),N([ID]&lt;NOTAS_80[[#This Row],[ID]]),N([PAR]=NOTAS_80[[#This Row],[PAR]]), [LUCRO TMP]), 0)</f>
        <v>0</v>
      </c>
      <c r="AI42" s="106">
        <f>IF([U] = "U", SUMPRODUCT(N([ID]&lt;=NOTAS_80[[#This Row],[ID]]),N([DATA BASE]=NOTAS_80[[#This Row],[DATA BASE]]), N(['[D/N']] = "N"),    [LUCRO P/ OP]), 0)</f>
        <v>0</v>
      </c>
      <c r="AJ42" s="106">
        <f>IF([U] = "U", SUMPRODUCT(N([DATA BASE]=NOTAS_80[[#This Row],[DATA BASE]]), N(['[D/N']] = "D"),    [LUCRO P/ OP]), 0)</f>
        <v>0</v>
      </c>
      <c r="AK42" s="106">
        <f>IF([U] = "U", SUMPRODUCT(N([DATA BASE]=NOTAS_80[[#This Row],[DATA BASE]]), N(['[D/N']] = "D"),    [IRRF FONTE]), 0)</f>
        <v>0</v>
      </c>
    </row>
    <row r="43" spans="1:37">
      <c r="A43" s="114">
        <v>42</v>
      </c>
      <c r="B43" s="114"/>
      <c r="C43" s="107" t="s">
        <v>167</v>
      </c>
      <c r="D43" s="114" t="s">
        <v>25</v>
      </c>
      <c r="E43" s="115">
        <v>41176</v>
      </c>
      <c r="F43" s="114">
        <v>700</v>
      </c>
      <c r="G43" s="116">
        <v>1.24</v>
      </c>
      <c r="H43" s="126"/>
      <c r="I43" s="127"/>
      <c r="J43" s="114" t="s">
        <v>14</v>
      </c>
      <c r="K43" s="115">
        <f>WORKDAY(NOTAS_80[[#This Row],[DATA]],1,0)</f>
        <v>41177</v>
      </c>
      <c r="L43" s="117">
        <f>EOMONTH(NOTAS_80[[#This Row],[DATA DE LIQUIDAÇÃO]],0)</f>
        <v>41182</v>
      </c>
      <c r="M4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16">
        <f>[QTDE]*[PREÇO]</f>
        <v>868</v>
      </c>
      <c r="O4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16">
        <f>TRUNC([CORR BOV] * 20% * IF([PARCIAL] &gt; 0, [QTDE] / [PARCIAL], 1),2)</f>
        <v>3.1</v>
      </c>
      <c r="U43" s="116">
        <f>SUMPRODUCT(N([DATA]=NOTAS_80[[#This Row],[DATA]]),N([ID]&lt;=NOTAS_80[[#This Row],[ID]]), [CORR])</f>
        <v>12.459999999999999</v>
      </c>
      <c r="V43" s="116">
        <f>TRUNC([CORRETAGEM]*SETUP!$F$3,2)</f>
        <v>0.24</v>
      </c>
      <c r="W43" s="116">
        <f>ROUND([CORRETAGEM]*SETUP!$G$3,2)</f>
        <v>0.49</v>
      </c>
      <c r="X43" s="116">
        <f>[VALOR LÍQUIDO DAS OPERAÇÕES]-[TAXA DE LIQUIDAÇÃO]-[EMOLUMENTOS]-[TAXA DE REGISTRO]-[CORRETAGEM]-[ISS]-IF(['[D/N']]="D",    0,    [OUTRAS BOVESPA]) - [AJUSTE]</f>
        <v>-133.25</v>
      </c>
      <c r="Y43" s="116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18">
        <f>[LÍQUIDO]-SUMPRODUCT(N([DATA]=NOTAS_80[[#This Row],[DATA]]),N([ID]=(NOTAS_80[[#This Row],[ID]]-1)),[LÍQUIDO])</f>
        <v>864.45999999999992</v>
      </c>
      <c r="AB43" s="116">
        <f>IF([T] = "VC", ABS([VALOR OP]) / [QTDE], [VALOR OP]/[QTDE])</f>
        <v>1.2349428571428571</v>
      </c>
      <c r="AC43" s="116">
        <f>TRUNC(IF(OR([T]="CV",[T]="VV"),     N43*SETUP!$H$3,     0),2)</f>
        <v>0.04</v>
      </c>
      <c r="AD4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16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16">
        <f>IF([U] = "U", SUMPRODUCT(N([ID]&lt;=NOTAS_80[[#This Row],[ID]]),N([DATA BASE]=NOTAS_80[[#This Row],[DATA BASE]]), N(['[D/N']] = "N"),    [LUCRO P/ OP]), 0)</f>
        <v>0</v>
      </c>
      <c r="AJ43" s="116">
        <f>IF([U] = "U", SUMPRODUCT(N([DATA BASE]=NOTAS_80[[#This Row],[DATA BASE]]), N(['[D/N']] = "D"),    [LUCRO P/ OP]), 0)</f>
        <v>0</v>
      </c>
      <c r="AK43" s="116">
        <f>IF([U] = "U", SUMPRODUCT(N([DATA BASE]=NOTAS_80[[#This Row],[DATA BASE]]), N(['[D/N']] = "D"),    [IRRF FONTE]), 0)</f>
        <v>0</v>
      </c>
    </row>
    <row r="44" spans="1:37">
      <c r="A44" s="13">
        <v>43</v>
      </c>
      <c r="B44" s="107"/>
      <c r="C44" s="107" t="s">
        <v>168</v>
      </c>
      <c r="D44" s="107" t="s">
        <v>24</v>
      </c>
      <c r="E44" s="108">
        <v>41176</v>
      </c>
      <c r="F44" s="107">
        <v>600</v>
      </c>
      <c r="G44" s="106">
        <v>1.21</v>
      </c>
      <c r="H44" s="105"/>
      <c r="I44" s="125"/>
      <c r="J44" s="107" t="s">
        <v>14</v>
      </c>
      <c r="K44" s="108">
        <f>WORKDAY(NOTAS_80[[#This Row],[DATA]],1,0)</f>
        <v>41177</v>
      </c>
      <c r="L44" s="109">
        <f>EOMONTH(NOTAS_80[[#This Row],[DATA DE LIQUIDAÇÃO]],0)</f>
        <v>41182</v>
      </c>
      <c r="M4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06">
        <f>[QTDE]*[PREÇO]</f>
        <v>726</v>
      </c>
      <c r="O4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06">
        <f>TRUNC([CORR BOV] * 20% * IF([PARCIAL] &gt; 0, [QTDE] / [PARCIAL], 1),2)</f>
        <v>2.67</v>
      </c>
      <c r="U44" s="106">
        <f>SUMPRODUCT(N([DATA]=NOTAS_80[[#This Row],[DATA]]),N([ID]&lt;=NOTAS_80[[#This Row],[ID]]), [CORR])</f>
        <v>15.129999999999999</v>
      </c>
      <c r="V44" s="106">
        <f>TRUNC([CORRETAGEM]*SETUP!$F$3,2)</f>
        <v>0.3</v>
      </c>
      <c r="W44" s="106">
        <f>ROUND([CORRETAGEM]*SETUP!$G$3,2)</f>
        <v>0.59</v>
      </c>
      <c r="X44" s="106">
        <f>[VALOR LÍQUIDO DAS OPERAÇÕES]-[TAXA DE LIQUIDAÇÃO]-[EMOLUMENTOS]-[TAXA DE REGISTRO]-[CORRETAGEM]-[ISS]-IF(['[D/N']]="D",    0,    [OUTRAS BOVESPA]) - [AJUSTE]</f>
        <v>-862.31</v>
      </c>
      <c r="Y44" s="106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0">
        <f>[LÍQUIDO]-SUMPRODUCT(N([DATA]=NOTAS_80[[#This Row],[DATA]]),N([ID]=(NOTAS_80[[#This Row],[ID]]-1)),[LÍQUIDO])</f>
        <v>-729.06</v>
      </c>
      <c r="AB44" s="106">
        <f>IF([T] = "VC", ABS([VALOR OP]) / [QTDE], [VALOR OP]/[QTDE])</f>
        <v>-1.2150999999999998</v>
      </c>
      <c r="AC44" s="106">
        <f>TRUNC(IF(OR([T]="CV",[T]="VV"),     N44*SETUP!$H$3,     0),2)</f>
        <v>0</v>
      </c>
      <c r="AD4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06">
        <f>IF([LUCRO TMP] &lt;&gt; 0, [LUCRO TMP] - SUMPRODUCT(N([ATIVO]=NOTAS_80[[#This Row],[ATIVO]]),N(['[D/N']]="N"),N([ID]&lt;NOTAS_80[[#This Row],[ID]]),N([PAR]=NOTAS_80[[#This Row],[PAR]]), [LUCRO TMP]), 0)</f>
        <v>0</v>
      </c>
      <c r="AI44" s="106">
        <f>IF([U] = "U", SUMPRODUCT(N([ID]&lt;=NOTAS_80[[#This Row],[ID]]),N([DATA BASE]=NOTAS_80[[#This Row],[DATA BASE]]), N(['[D/N']] = "N"),    [LUCRO P/ OP]), 0)</f>
        <v>0</v>
      </c>
      <c r="AJ44" s="106">
        <f>IF([U] = "U", SUMPRODUCT(N([DATA BASE]=NOTAS_80[[#This Row],[DATA BASE]]), N(['[D/N']] = "D"),    [LUCRO P/ OP]), 0)</f>
        <v>0</v>
      </c>
      <c r="AK44" s="106">
        <f>IF([U] = "U", SUMPRODUCT(N([DATA BASE]=NOTAS_80[[#This Row],[DATA BASE]]), N(['[D/N']] = "D"),    [IRRF FONTE]), 0)</f>
        <v>0</v>
      </c>
    </row>
    <row r="45" spans="1:37">
      <c r="A45" s="114">
        <v>44</v>
      </c>
      <c r="B45" s="114"/>
      <c r="C45" s="107" t="s">
        <v>168</v>
      </c>
      <c r="D45" s="114" t="s">
        <v>25</v>
      </c>
      <c r="E45" s="115">
        <v>41176</v>
      </c>
      <c r="F45" s="114">
        <v>600</v>
      </c>
      <c r="G45" s="116">
        <v>1.1299999999999999</v>
      </c>
      <c r="H45" s="126"/>
      <c r="I45" s="127"/>
      <c r="J45" s="114" t="s">
        <v>14</v>
      </c>
      <c r="K45" s="115">
        <f>WORKDAY(NOTAS_80[[#This Row],[DATA]],1,0)</f>
        <v>41177</v>
      </c>
      <c r="L45" s="117">
        <f>EOMONTH(NOTAS_80[[#This Row],[DATA DE LIQUIDAÇÃO]],0)</f>
        <v>41182</v>
      </c>
      <c r="M4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16">
        <f>[QTDE]*[PREÇO]</f>
        <v>677.99999999999989</v>
      </c>
      <c r="O4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16">
        <f>TRUNC([CORR BOV] * 20% * IF([PARCIAL] &gt; 0, [QTDE] / [PARCIAL], 1),2)</f>
        <v>2.5299999999999998</v>
      </c>
      <c r="U45" s="116">
        <f>SUMPRODUCT(N([DATA]=NOTAS_80[[#This Row],[DATA]]),N([ID]&lt;=NOTAS_80[[#This Row],[ID]]), [CORR])</f>
        <v>17.66</v>
      </c>
      <c r="V45" s="116">
        <f>TRUNC([CORRETAGEM]*SETUP!$F$3,2)</f>
        <v>0.35</v>
      </c>
      <c r="W45" s="116">
        <f>ROUND([CORRETAGEM]*SETUP!$G$3,2)</f>
        <v>0.69</v>
      </c>
      <c r="X45" s="116">
        <f>[VALOR LÍQUIDO DAS OPERAÇÕES]-[TAXA DE LIQUIDAÇÃO]-[EMOLUMENTOS]-[TAXA DE REGISTRO]-[CORRETAGEM]-[ISS]-IF(['[D/N']]="D",    0,    [OUTRAS BOVESPA]) - [AJUSTE]</f>
        <v>-187.2</v>
      </c>
      <c r="Y45" s="116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18">
        <f>[LÍQUIDO]-SUMPRODUCT(N([DATA]=NOTAS_80[[#This Row],[DATA]]),N([ID]=(NOTAS_80[[#This Row],[ID]]-1)),[LÍQUIDO])</f>
        <v>675.1099999999999</v>
      </c>
      <c r="AB45" s="116">
        <f>IF([T] = "VC", ABS([VALOR OP]) / [QTDE], [VALOR OP]/[QTDE])</f>
        <v>1.1251833333333332</v>
      </c>
      <c r="AC45" s="116">
        <f>TRUNC(IF(OR([T]="CV",[T]="VV"),     N45*SETUP!$H$3,     0),2)</f>
        <v>0.03</v>
      </c>
      <c r="AD4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16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16">
        <f>IF([U] = "U", SUMPRODUCT(N([ID]&lt;=NOTAS_80[[#This Row],[ID]]),N([DATA BASE]=NOTAS_80[[#This Row],[DATA BASE]]), N(['[D/N']] = "N"),    [LUCRO P/ OP]), 0)</f>
        <v>0</v>
      </c>
      <c r="AJ45" s="116">
        <f>IF([U] = "U", SUMPRODUCT(N([DATA BASE]=NOTAS_80[[#This Row],[DATA BASE]]), N(['[D/N']] = "D"),    [LUCRO P/ OP]), 0)</f>
        <v>0</v>
      </c>
      <c r="AK45" s="116">
        <f>IF([U] = "U", SUMPRODUCT(N([DATA BASE]=NOTAS_80[[#This Row],[DATA BASE]]), N(['[D/N']] = "D"),    [IRRF FONTE]), 0)</f>
        <v>0</v>
      </c>
    </row>
    <row r="46" spans="1:37">
      <c r="A46" s="13">
        <v>45</v>
      </c>
      <c r="B46" s="107"/>
      <c r="C46" s="107" t="s">
        <v>169</v>
      </c>
      <c r="D46" s="107" t="s">
        <v>24</v>
      </c>
      <c r="E46" s="108">
        <v>41176</v>
      </c>
      <c r="F46" s="107">
        <v>600</v>
      </c>
      <c r="G46" s="106">
        <v>1.33</v>
      </c>
      <c r="H46" s="105"/>
      <c r="I46" s="125"/>
      <c r="J46" s="107" t="s">
        <v>14</v>
      </c>
      <c r="K46" s="108">
        <f>WORKDAY(NOTAS_80[[#This Row],[DATA]],1,0)</f>
        <v>41177</v>
      </c>
      <c r="L46" s="109">
        <f>EOMONTH(NOTAS_80[[#This Row],[DATA DE LIQUIDAÇÃO]],0)</f>
        <v>41182</v>
      </c>
      <c r="M4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06">
        <f>[QTDE]*[PREÇO]</f>
        <v>798</v>
      </c>
      <c r="O4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06">
        <f>TRUNC([CORR BOV] * 20% * IF([PARCIAL] &gt; 0, [QTDE] / [PARCIAL], 1),2)</f>
        <v>2.89</v>
      </c>
      <c r="U46" s="106">
        <f>SUMPRODUCT(N([DATA]=NOTAS_80[[#This Row],[DATA]]),N([ID]&lt;=NOTAS_80[[#This Row],[ID]]), [CORR])</f>
        <v>20.55</v>
      </c>
      <c r="V46" s="106">
        <f>TRUNC([CORRETAGEM]*SETUP!$F$3,2)</f>
        <v>0.41</v>
      </c>
      <c r="W46" s="106">
        <f>ROUND([CORRETAGEM]*SETUP!$G$3,2)</f>
        <v>0.8</v>
      </c>
      <c r="X46" s="106">
        <f>[VALOR LÍQUIDO DAS OPERAÇÕES]-[TAXA DE LIQUIDAÇÃO]-[EMOLUMENTOS]-[TAXA DE REGISTRO]-[CORRETAGEM]-[ISS]-IF(['[D/N']]="D",    0,    [OUTRAS BOVESPA]) - [AJUSTE]</f>
        <v>-988.50999999999988</v>
      </c>
      <c r="Y46" s="106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0">
        <f>[LÍQUIDO]-SUMPRODUCT(N([DATA]=NOTAS_80[[#This Row],[DATA]]),N([ID]=(NOTAS_80[[#This Row],[ID]]-1)),[LÍQUIDO])</f>
        <v>-801.31</v>
      </c>
      <c r="AB46" s="106">
        <f>IF([T] = "VC", ABS([VALOR OP]) / [QTDE], [VALOR OP]/[QTDE])</f>
        <v>-1.3355166666666667</v>
      </c>
      <c r="AC46" s="106">
        <f>TRUNC(IF(OR([T]="CV",[T]="VV"),     N46*SETUP!$H$3,     0),2)</f>
        <v>0</v>
      </c>
      <c r="AD4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06">
        <f>IF([LUCRO TMP] &lt;&gt; 0, [LUCRO TMP] - SUMPRODUCT(N([ATIVO]=NOTAS_80[[#This Row],[ATIVO]]),N(['[D/N']]="N"),N([ID]&lt;NOTAS_80[[#This Row],[ID]]),N([PAR]=NOTAS_80[[#This Row],[PAR]]), [LUCRO TMP]), 0)</f>
        <v>0</v>
      </c>
      <c r="AI46" s="106">
        <f>IF([U] = "U", SUMPRODUCT(N([ID]&lt;=NOTAS_80[[#This Row],[ID]]),N([DATA BASE]=NOTAS_80[[#This Row],[DATA BASE]]), N(['[D/N']] = "N"),    [LUCRO P/ OP]), 0)</f>
        <v>0</v>
      </c>
      <c r="AJ46" s="106">
        <f>IF([U] = "U", SUMPRODUCT(N([DATA BASE]=NOTAS_80[[#This Row],[DATA BASE]]), N(['[D/N']] = "D"),    [LUCRO P/ OP]), 0)</f>
        <v>0</v>
      </c>
      <c r="AK46" s="106">
        <f>IF([U] = "U", SUMPRODUCT(N([DATA BASE]=NOTAS_80[[#This Row],[DATA BASE]]), N(['[D/N']] = "D"),    [IRRF FONTE]), 0)</f>
        <v>0</v>
      </c>
    </row>
    <row r="47" spans="1:37">
      <c r="A47" s="114">
        <v>46</v>
      </c>
      <c r="B47" s="114" t="s">
        <v>49</v>
      </c>
      <c r="C47" s="107" t="s">
        <v>169</v>
      </c>
      <c r="D47" s="114" t="s">
        <v>25</v>
      </c>
      <c r="E47" s="115">
        <v>41176</v>
      </c>
      <c r="F47" s="114">
        <v>600</v>
      </c>
      <c r="G47" s="116">
        <v>1.26</v>
      </c>
      <c r="H47" s="126"/>
      <c r="I47" s="127"/>
      <c r="J47" s="114" t="s">
        <v>14</v>
      </c>
      <c r="K47" s="115">
        <f>WORKDAY(NOTAS_80[[#This Row],[DATA]],1,0)</f>
        <v>41177</v>
      </c>
      <c r="L47" s="117">
        <f>EOMONTH(NOTAS_80[[#This Row],[DATA DE LIQUIDAÇÃO]],0)</f>
        <v>41182</v>
      </c>
      <c r="M4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16">
        <f>[QTDE]*[PREÇO]</f>
        <v>756</v>
      </c>
      <c r="O4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16">
        <f>TRUNC([CORR BOV] * 20% * IF([PARCIAL] &gt; 0, [QTDE] / [PARCIAL], 1),2)</f>
        <v>2.76</v>
      </c>
      <c r="U47" s="116">
        <f>SUMPRODUCT(N([DATA]=NOTAS_80[[#This Row],[DATA]]),N([ID]&lt;=NOTAS_80[[#This Row],[ID]]), [CORR])</f>
        <v>23.310000000000002</v>
      </c>
      <c r="V47" s="116">
        <f>TRUNC([CORRETAGEM]*SETUP!$F$3,2)</f>
        <v>0.46</v>
      </c>
      <c r="W47" s="116">
        <f>ROUND([CORRETAGEM]*SETUP!$G$3,2)</f>
        <v>0.91</v>
      </c>
      <c r="X47" s="116">
        <f>[VALOR LÍQUIDO DAS OPERAÇÕES]-[TAXA DE LIQUIDAÇÃO]-[EMOLUMENTOS]-[TAXA DE REGISTRO]-[CORRETAGEM]-[ISS]-IF(['[D/N']]="D",    0,    [OUTRAS BOVESPA]) - [AJUSTE]</f>
        <v>-235.66000000000003</v>
      </c>
      <c r="Y47" s="116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18">
        <f>[LÍQUIDO]-SUMPRODUCT(N([DATA]=NOTAS_80[[#This Row],[DATA]]),N([ID]=(NOTAS_80[[#This Row],[ID]]-1)),[LÍQUIDO])</f>
        <v>752.84999999999991</v>
      </c>
      <c r="AB47" s="116">
        <f>IF([T] = "VC", ABS([VALOR OP]) / [QTDE], [VALOR OP]/[QTDE])</f>
        <v>1.2547499999999998</v>
      </c>
      <c r="AC47" s="116">
        <f>TRUNC(IF(OR([T]="CV",[T]="VV"),     N47*SETUP!$H$3,     0),2)</f>
        <v>0.03</v>
      </c>
      <c r="AD4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16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16">
        <f>IF([U] = "U", SUMPRODUCT(N([ID]&lt;=NOTAS_80[[#This Row],[ID]]),N([DATA BASE]=NOTAS_80[[#This Row],[DATA BASE]]), N(['[D/N']] = "N"),    [LUCRO P/ OP]), 0)</f>
        <v>656.4100000000002</v>
      </c>
      <c r="AJ47" s="116">
        <f>IF([U] = "U", SUMPRODUCT(N([DATA BASE]=NOTAS_80[[#This Row],[DATA BASE]]), N(['[D/N']] = "D"),    [LUCRO P/ OP]), 0)</f>
        <v>536.39000000000021</v>
      </c>
      <c r="AK47" s="116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07"/>
      <c r="C48" s="107" t="s">
        <v>170</v>
      </c>
      <c r="D48" s="107" t="s">
        <v>24</v>
      </c>
      <c r="E48" s="108">
        <v>41176</v>
      </c>
      <c r="F48" s="107">
        <v>600</v>
      </c>
      <c r="G48" s="106">
        <v>1.35</v>
      </c>
      <c r="H48" s="105"/>
      <c r="I48" s="125"/>
      <c r="J48" s="107" t="s">
        <v>6</v>
      </c>
      <c r="K48" s="108">
        <f>WORKDAY(NOTAS_80[[#This Row],[DATA]],1,0)</f>
        <v>41177</v>
      </c>
      <c r="L48" s="109">
        <f>EOMONTH(NOTAS_80[[#This Row],[DATA DE LIQUIDAÇÃO]],0)</f>
        <v>41182</v>
      </c>
      <c r="M4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06">
        <f>[QTDE]*[PREÇO]</f>
        <v>810</v>
      </c>
      <c r="O4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06">
        <f>TRUNC([CORR BOV] * 20% * IF([PARCIAL] &gt; 0, [QTDE] / [PARCIAL], 1),2)</f>
        <v>2.92</v>
      </c>
      <c r="U48" s="106">
        <f>SUMPRODUCT(N([DATA]=NOTAS_80[[#This Row],[DATA]]),N([ID]&lt;=NOTAS_80[[#This Row],[ID]]), [CORR])</f>
        <v>26.230000000000004</v>
      </c>
      <c r="V48" s="106">
        <f>TRUNC([CORRETAGEM]*SETUP!$F$3,2)</f>
        <v>0.52</v>
      </c>
      <c r="W48" s="106">
        <f>ROUND([CORRETAGEM]*SETUP!$G$3,2)</f>
        <v>1.02</v>
      </c>
      <c r="X48" s="106">
        <f>[VALOR LÍQUIDO DAS OPERAÇÕES]-[TAXA DE LIQUIDAÇÃO]-[EMOLUMENTOS]-[TAXA DE REGISTRO]-[CORRETAGEM]-[ISS]-IF(['[D/N']]="D",    0,    [OUTRAS BOVESPA]) - [AJUSTE]</f>
        <v>-1050.75</v>
      </c>
      <c r="Y48" s="106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0">
        <f>[LÍQUIDO]-SUMPRODUCT(N([DATA]=NOTAS_80[[#This Row],[DATA]]),N([ID]=(NOTAS_80[[#This Row],[ID]]-1)),[LÍQUIDO])</f>
        <v>-815.08999999999992</v>
      </c>
      <c r="AB48" s="106">
        <f>IF([T] = "VC", ABS([VALOR OP]) / [QTDE], [VALOR OP]/[QTDE])</f>
        <v>-1.3584833333333333</v>
      </c>
      <c r="AC48" s="106">
        <f>TRUNC(IF(OR([T]="CV",[T]="VV"),     N48*SETUP!$H$3,     0),2)</f>
        <v>0</v>
      </c>
      <c r="AD4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06">
        <f>IF([LUCRO TMP] &lt;&gt; 0, [LUCRO TMP] - SUMPRODUCT(N([ATIVO]=NOTAS_80[[#This Row],[ATIVO]]),N(['[D/N']]="N"),N([ID]&lt;NOTAS_80[[#This Row],[ID]]),N([PAR]=NOTAS_80[[#This Row],[PAR]]), [LUCRO TMP]), 0)</f>
        <v>0</v>
      </c>
      <c r="AI48" s="106">
        <f>IF([U] = "U", SUMPRODUCT(N([ID]&lt;=NOTAS_80[[#This Row],[ID]]),N([DATA BASE]=NOTAS_80[[#This Row],[DATA BASE]]), N(['[D/N']] = "N"),    [LUCRO P/ OP]), 0)</f>
        <v>0</v>
      </c>
      <c r="AJ48" s="106">
        <f>IF([U] = "U", SUMPRODUCT(N([DATA BASE]=NOTAS_80[[#This Row],[DATA BASE]]), N(['[D/N']] = "D"),    [LUCRO P/ OP]), 0)</f>
        <v>0</v>
      </c>
      <c r="AK48" s="106">
        <f>IF([U] = "U", SUMPRODUCT(N([DATA BASE]=NOTAS_80[[#This Row],[DATA BASE]]), N(['[D/N']] = "D"),    [IRRF FONTE]), 0)</f>
        <v>0</v>
      </c>
    </row>
    <row r="49" spans="1:37">
      <c r="A49" s="114">
        <v>48</v>
      </c>
      <c r="B49" s="114" t="s">
        <v>49</v>
      </c>
      <c r="C49" s="107" t="s">
        <v>170</v>
      </c>
      <c r="D49" s="114" t="s">
        <v>25</v>
      </c>
      <c r="E49" s="115">
        <v>41177</v>
      </c>
      <c r="F49" s="114">
        <v>600</v>
      </c>
      <c r="G49" s="116">
        <v>1.2</v>
      </c>
      <c r="H49" s="126"/>
      <c r="I49" s="127"/>
      <c r="J49" s="114" t="s">
        <v>6</v>
      </c>
      <c r="K49" s="115">
        <f>WORKDAY(NOTAS_80[[#This Row],[DATA]],1,0)</f>
        <v>41178</v>
      </c>
      <c r="L49" s="117">
        <f>EOMONTH(NOTAS_80[[#This Row],[DATA DE LIQUIDAÇÃO]],0)</f>
        <v>41182</v>
      </c>
      <c r="M4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16">
        <f>[QTDE]*[PREÇO]</f>
        <v>720</v>
      </c>
      <c r="O4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16">
        <f>TRUNC([CORR BOV] * 20% * IF([PARCIAL] &gt; 0, [QTDE] / [PARCIAL], 1),2)</f>
        <v>2.65</v>
      </c>
      <c r="U49" s="116">
        <f>SUMPRODUCT(N([DATA]=NOTAS_80[[#This Row],[DATA]]),N([ID]&lt;=NOTAS_80[[#This Row],[ID]]), [CORR])</f>
        <v>2.65</v>
      </c>
      <c r="V49" s="116">
        <f>TRUNC([CORRETAGEM]*SETUP!$F$3,2)</f>
        <v>0.05</v>
      </c>
      <c r="W49" s="116">
        <f>ROUND([CORRETAGEM]*SETUP!$G$3,2)</f>
        <v>0.1</v>
      </c>
      <c r="X49" s="116">
        <f>[VALOR LÍQUIDO DAS OPERAÇÕES]-[TAXA DE LIQUIDAÇÃO]-[EMOLUMENTOS]-[TAXA DE REGISTRO]-[CORRETAGEM]-[ISS]-IF(['[D/N']]="D",    0,    [OUTRAS BOVESPA]) - [AJUSTE]</f>
        <v>716.25</v>
      </c>
      <c r="Y49" s="116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18">
        <f>[LÍQUIDO]-SUMPRODUCT(N([DATA]=NOTAS_80[[#This Row],[DATA]]),N([ID]=(NOTAS_80[[#This Row],[ID]]-1)),[LÍQUIDO])</f>
        <v>716.25</v>
      </c>
      <c r="AB49" s="116">
        <f>IF([T] = "VC", ABS([VALOR OP]) / [QTDE], [VALOR OP]/[QTDE])</f>
        <v>1.1937500000000001</v>
      </c>
      <c r="AC49" s="116">
        <f>TRUNC(IF(OR([T]="CV",[T]="VV"),     N49*SETUP!$H$3,     0),2)</f>
        <v>0.03</v>
      </c>
      <c r="AD4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16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16">
        <f>IF([U] = "U", SUMPRODUCT(N([ID]&lt;=NOTAS_80[[#This Row],[ID]]),N([DATA BASE]=NOTAS_80[[#This Row],[DATA BASE]]), N(['[D/N']] = "N"),    [LUCRO P/ OP]), 0)</f>
        <v>557.57000000000028</v>
      </c>
      <c r="AJ49" s="116">
        <f>IF([U] = "U", SUMPRODUCT(N([DATA BASE]=NOTAS_80[[#This Row],[DATA BASE]]), N(['[D/N']] = "D"),    [LUCRO P/ OP]), 0)</f>
        <v>536.39000000000021</v>
      </c>
      <c r="AK49" s="116">
        <f>IF([U] = "U", SUMPRODUCT(N([DATA BASE]=NOTAS_80[[#This Row],[DATA BASE]]), N(['[D/N']] = "D"),    [IRRF FONTE]), 0)</f>
        <v>16.559999999999999</v>
      </c>
    </row>
    <row r="50" spans="1:37">
      <c r="A50" s="114">
        <v>49</v>
      </c>
      <c r="B50" s="107"/>
      <c r="C50" s="107" t="s">
        <v>171</v>
      </c>
      <c r="D50" s="107" t="s">
        <v>24</v>
      </c>
      <c r="E50" s="108">
        <v>41183</v>
      </c>
      <c r="F50" s="107">
        <v>200</v>
      </c>
      <c r="G50" s="106">
        <v>0.77</v>
      </c>
      <c r="H50" s="105"/>
      <c r="I50" s="125"/>
      <c r="J50" s="107" t="s">
        <v>6</v>
      </c>
      <c r="K50" s="108">
        <f>WORKDAY(NOTAS_80[[#This Row],[DATA]],1,0)</f>
        <v>41184</v>
      </c>
      <c r="L50" s="109">
        <f>EOMONTH(NOTAS_80[[#This Row],[DATA DE LIQUIDAÇÃO]],0)</f>
        <v>41213</v>
      </c>
      <c r="M5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0" s="106">
        <f>[QTDE]*[PREÇO]</f>
        <v>154</v>
      </c>
      <c r="O5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-154</v>
      </c>
      <c r="P5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3.08</v>
      </c>
      <c r="T50" s="106">
        <f>TRUNC([CORR BOV] * 20% * IF([PARCIAL] &gt; 0, [QTDE] / [PARCIAL], 1),2)</f>
        <v>0.61</v>
      </c>
      <c r="U50" s="106">
        <f>SUMPRODUCT(N([DATA]=NOTAS_80[[#This Row],[DATA]]),N([ID]&lt;=NOTAS_80[[#This Row],[ID]]), [CORR])</f>
        <v>0.61</v>
      </c>
      <c r="V50" s="106">
        <f>TRUNC([CORRETAGEM]*SETUP!$F$3,2)</f>
        <v>0.01</v>
      </c>
      <c r="W50" s="106">
        <f>ROUND([CORRETAGEM]*SETUP!$G$3,2)</f>
        <v>0.02</v>
      </c>
      <c r="X50" s="106">
        <f>[VALOR LÍQUIDO DAS OPERAÇÕES]-[TAXA DE LIQUIDAÇÃO]-[EMOLUMENTOS]-[TAXA DE REGISTRO]-[CORRETAGEM]-[ISS]-IF(['[D/N']]="D",    0,    [OUTRAS BOVESPA]) - [AJUSTE]</f>
        <v>-154.83000000000001</v>
      </c>
      <c r="Y50" s="106">
        <f>IF(AND(['[D/N']]="D",    [T]="CV",    [LÍQUIDO BASE] &gt; 0),    TRUNC([LÍQUIDO BASE]*0.01, 2),    0)</f>
        <v>0</v>
      </c>
      <c r="Z50" s="23">
        <f>IF([PREÇO] &gt; 0,    [LÍQUIDO BASE]-SUMPRODUCT(N([DATA]=NOTAS_80[[#This Row],[DATA]]),    [IRRF FONTE]),    0)</f>
        <v>-154.83000000000001</v>
      </c>
      <c r="AA50" s="106">
        <f>[LÍQUIDO]-SUMPRODUCT(N([DATA]=NOTAS_80[[#This Row],[DATA]]),N([ID]=(NOTAS_80[[#This Row],[ID]]-1)),[LÍQUIDO])</f>
        <v>-154.83000000000001</v>
      </c>
      <c r="AB50" s="106">
        <f>IF([T] = "VC", ABS([VALOR OP]) / [QTDE], [VALOR OP]/[QTDE])</f>
        <v>-0.77415000000000012</v>
      </c>
      <c r="AC50" s="106">
        <f>TRUNC(IF(OR([T]="CV",[T]="VV"),     N50*SETUP!$H$3,     0),2)</f>
        <v>0</v>
      </c>
      <c r="AD5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200</v>
      </c>
      <c r="AE5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5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0" s="106">
        <f>IF([LUCRO TMP] &lt;&gt; 0, [LUCRO TMP] - SUMPRODUCT(N([ATIVO]=NOTAS_80[[#This Row],[ATIVO]]),N(['[D/N']]="N"),N([ID]&lt;NOTAS_80[[#This Row],[ID]]),N([PAR]=NOTAS_80[[#This Row],[PAR]]), [LUCRO TMP]), 0)</f>
        <v>0</v>
      </c>
      <c r="AI50" s="106">
        <f>IF([U] = "U", SUMPRODUCT(N([ID]&lt;=NOTAS_80[[#This Row],[ID]]),N([DATA BASE]=NOTAS_80[[#This Row],[DATA BASE]]), N(['[D/N']] = "N"),    [LUCRO P/ OP]), 0)</f>
        <v>0</v>
      </c>
      <c r="AJ50" s="106">
        <f>IF([U] = "U", SUMPRODUCT(N([DATA BASE]=NOTAS_80[[#This Row],[DATA BASE]]), N(['[D/N']] = "D"),    [LUCRO P/ OP]), 0)</f>
        <v>0</v>
      </c>
      <c r="AK50" s="106">
        <f>IF([U] = "U", SUMPRODUCT(N([DATA BASE]=NOTAS_80[[#This Row],[DATA BASE]]), N(['[D/N']] = "D"),    [IRRF FONTE]), 0)</f>
        <v>0</v>
      </c>
    </row>
    <row r="51" spans="1:37">
      <c r="A51" s="13">
        <v>50</v>
      </c>
      <c r="B51" s="107"/>
      <c r="C51" s="107" t="s">
        <v>172</v>
      </c>
      <c r="D51" s="114" t="s">
        <v>66</v>
      </c>
      <c r="E51" s="115">
        <v>41183</v>
      </c>
      <c r="F51" s="114">
        <v>200</v>
      </c>
      <c r="G51" s="116">
        <v>1.41</v>
      </c>
      <c r="H51" s="126"/>
      <c r="I51" s="127"/>
      <c r="J51" s="114" t="s">
        <v>6</v>
      </c>
      <c r="K51" s="108">
        <f>WORKDAY(NOTAS_80[[#This Row],[DATA]],1,0)</f>
        <v>41184</v>
      </c>
      <c r="L51" s="109">
        <f>EOMONTH(NOTAS_80[[#This Row],[DATA DE LIQUIDAÇÃO]],0)</f>
        <v>41213</v>
      </c>
      <c r="M5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1" s="106">
        <f>[QTDE]*[PREÇO]</f>
        <v>282</v>
      </c>
      <c r="O5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128</v>
      </c>
      <c r="P5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5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5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</v>
      </c>
      <c r="S5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5.64</v>
      </c>
      <c r="T51" s="106">
        <f>TRUNC([CORR BOV] * 20% * IF([PARCIAL] &gt; 0, [QTDE] / [PARCIAL], 1),2)</f>
        <v>1.1200000000000001</v>
      </c>
      <c r="U51" s="106">
        <f>SUMPRODUCT(N([DATA]=NOTAS_80[[#This Row],[DATA]]),N([ID]&lt;=NOTAS_80[[#This Row],[ID]]), [CORR])</f>
        <v>1.73</v>
      </c>
      <c r="V51" s="106">
        <f>TRUNC([CORRETAGEM]*SETUP!$F$3,2)</f>
        <v>0.03</v>
      </c>
      <c r="W51" s="106">
        <f>ROUND([CORRETAGEM]*SETUP!$G$3,2)</f>
        <v>7.0000000000000007E-2</v>
      </c>
      <c r="X51" s="106">
        <f>[VALOR LÍQUIDO DAS OPERAÇÕES]-[TAXA DE LIQUIDAÇÃO]-[EMOLUMENTOS]-[TAXA DE REGISTRO]-[CORRETAGEM]-[ISS]-IF(['[D/N']]="D",    0,    [OUTRAS BOVESPA]) - [AJUSTE]</f>
        <v>125.60000000000001</v>
      </c>
      <c r="Y51" s="106">
        <f>IF(AND(['[D/N']]="D",    [T]="CV",    [LÍQUIDO BASE] &gt; 0),    TRUNC([LÍQUIDO BASE]*0.01, 2),    0)</f>
        <v>0</v>
      </c>
      <c r="Z51" s="23">
        <f>IF([PREÇO] &gt; 0,    [LÍQUIDO BASE]-SUMPRODUCT(N([DATA]=NOTAS_80[[#This Row],[DATA]]),    [IRRF FONTE]),    0)</f>
        <v>125.60000000000001</v>
      </c>
      <c r="AA51" s="106">
        <f>[LÍQUIDO]-SUMPRODUCT(N([DATA]=NOTAS_80[[#This Row],[DATA]]),N([ID]=(NOTAS_80[[#This Row],[ID]]-1)),[LÍQUIDO])</f>
        <v>280.43</v>
      </c>
      <c r="AB51" s="106">
        <f>IF([T] = "VC", ABS([VALOR OP]) / [QTDE], [VALOR OP]/[QTDE])</f>
        <v>1.40215</v>
      </c>
      <c r="AC51" s="106">
        <f>TRUNC(IF(OR([T]="CV",[T]="VV"),     N51*SETUP!$H$3,     0),2)</f>
        <v>0.01</v>
      </c>
      <c r="AD5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-200</v>
      </c>
      <c r="AE5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1" s="106">
        <f>IF([LUCRO TMP] &lt;&gt; 0, [LUCRO TMP] - SUMPRODUCT(N([ATIVO]=NOTAS_80[[#This Row],[ATIVO]]),N(['[D/N']]="N"),N([ID]&lt;NOTAS_80[[#This Row],[ID]]),N([PAR]=NOTAS_80[[#This Row],[PAR]]), [LUCRO TMP]), 0)</f>
        <v>0</v>
      </c>
      <c r="AI51" s="106">
        <f>IF([U] = "U", SUMPRODUCT(N([ID]&lt;=NOTAS_80[[#This Row],[ID]]),N([DATA BASE]=NOTAS_80[[#This Row],[DATA BASE]]), N(['[D/N']] = "N"),    [LUCRO P/ OP]), 0)</f>
        <v>0</v>
      </c>
      <c r="AJ51" s="106">
        <f>IF([U] = "U", SUMPRODUCT(N([DATA BASE]=NOTAS_80[[#This Row],[DATA BASE]]), N(['[D/N']] = "D"),    [LUCRO P/ OP]), 0)</f>
        <v>0</v>
      </c>
      <c r="AK51" s="106">
        <f>IF([U] = "U", SUMPRODUCT(N([DATA BASE]=NOTAS_80[[#This Row],[DATA BASE]]), N(['[D/N']] = "D"),    [IRRF FONTE]), 0)</f>
        <v>0</v>
      </c>
    </row>
    <row r="52" spans="1:37">
      <c r="A52" s="114">
        <v>51</v>
      </c>
      <c r="B52" s="107"/>
      <c r="C52" s="107" t="s">
        <v>172</v>
      </c>
      <c r="D52" s="114" t="s">
        <v>67</v>
      </c>
      <c r="E52" s="115">
        <v>41187</v>
      </c>
      <c r="F52" s="114">
        <v>200</v>
      </c>
      <c r="G52" s="116">
        <v>1.4</v>
      </c>
      <c r="H52" s="126"/>
      <c r="I52" s="127"/>
      <c r="J52" s="114" t="s">
        <v>6</v>
      </c>
      <c r="K52" s="108">
        <f>WORKDAY(NOTAS_80[[#This Row],[DATA]],1,0)</f>
        <v>41190</v>
      </c>
      <c r="L52" s="109">
        <f>EOMONTH(NOTAS_80[[#This Row],[DATA DE LIQUIDAÇÃO]],0)</f>
        <v>41213</v>
      </c>
      <c r="M5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2" s="106">
        <f>[QTDE]*[PREÇO]</f>
        <v>280</v>
      </c>
      <c r="O5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-280</v>
      </c>
      <c r="P5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5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5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5.6000000000000005</v>
      </c>
      <c r="T52" s="106">
        <f>TRUNC([CORR BOV] * 20% * IF([PARCIAL] &gt; 0, [QTDE] / [PARCIAL], 1),2)</f>
        <v>1.1200000000000001</v>
      </c>
      <c r="U52" s="106">
        <f>SUMPRODUCT(N([DATA]=NOTAS_80[[#This Row],[DATA]]),N([ID]&lt;=NOTAS_80[[#This Row],[ID]]), [CORR])</f>
        <v>1.1200000000000001</v>
      </c>
      <c r="V52" s="106">
        <f>TRUNC([CORRETAGEM]*SETUP!$F$3,2)</f>
        <v>0.02</v>
      </c>
      <c r="W52" s="106">
        <f>ROUND([CORRETAGEM]*SETUP!$G$3,2)</f>
        <v>0.04</v>
      </c>
      <c r="X52" s="106">
        <f>[VALOR LÍQUIDO DAS OPERAÇÕES]-[TAXA DE LIQUIDAÇÃO]-[EMOLUMENTOS]-[TAXA DE REGISTRO]-[CORRETAGEM]-[ISS]-IF(['[D/N']]="D",    0,    [OUTRAS BOVESPA]) - [AJUSTE]</f>
        <v>-281.54000000000002</v>
      </c>
      <c r="Y52" s="106">
        <f>IF(AND(['[D/N']]="D",    [T]="CV",    [LÍQUIDO BASE] &gt; 0),    TRUNC([LÍQUIDO BASE]*0.01, 2),    0)</f>
        <v>0</v>
      </c>
      <c r="Z52" s="23">
        <f>IF([PREÇO] &gt; 0,    [LÍQUIDO BASE]-SUMPRODUCT(N([DATA]=NOTAS_80[[#This Row],[DATA]]),    [IRRF FONTE]),    0)</f>
        <v>-281.54000000000002</v>
      </c>
      <c r="AA52" s="106">
        <f>[LÍQUIDO]-SUMPRODUCT(N([DATA]=NOTAS_80[[#This Row],[DATA]]),N([ID]=(NOTAS_80[[#This Row],[ID]]-1)),[LÍQUIDO])</f>
        <v>-281.54000000000002</v>
      </c>
      <c r="AB52" s="106">
        <f>IF([T] = "VC", ABS([VALOR OP]) / [QTDE], [VALOR OP]/[QTDE])</f>
        <v>1.4077000000000002</v>
      </c>
      <c r="AC52" s="106">
        <f>TRUNC(IF(OR([T]="CV",[T]="VV"),     N52*SETUP!$H$3,     0),2)</f>
        <v>0</v>
      </c>
      <c r="AD5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1.4077000000000002</v>
      </c>
      <c r="AF5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2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-1.1100000000000332</v>
      </c>
      <c r="AH52" s="106">
        <f>IF([LUCRO TMP] &lt;&gt; 0, [LUCRO TMP] - SUMPRODUCT(N([ATIVO]=NOTAS_80[[#This Row],[ATIVO]]),N(['[D/N']]="N"),N([ID]&lt;NOTAS_80[[#This Row],[ID]]),N([PAR]=NOTAS_80[[#This Row],[PAR]]), [LUCRO TMP]), 0)</f>
        <v>-1.1100000000000332</v>
      </c>
      <c r="AI52" s="106">
        <f>IF([U] = "U", SUMPRODUCT(N([ID]&lt;=NOTAS_80[[#This Row],[ID]]),N([DATA BASE]=NOTAS_80[[#This Row],[DATA BASE]]), N(['[D/N']] = "N"),    [LUCRO P/ OP]), 0)</f>
        <v>0</v>
      </c>
      <c r="AJ52" s="106">
        <f>IF([U] = "U", SUMPRODUCT(N([DATA BASE]=NOTAS_80[[#This Row],[DATA BASE]]), N(['[D/N']] = "D"),    [LUCRO P/ OP]), 0)</f>
        <v>0</v>
      </c>
      <c r="AK52" s="106">
        <f>IF([U] = "U", SUMPRODUCT(N([DATA BASE]=NOTAS_80[[#This Row],[DATA BASE]]), N(['[D/N']] = "D"),    [IRRF FONTE]), 0)</f>
        <v>0</v>
      </c>
    </row>
    <row r="53" spans="1:37">
      <c r="A53" s="114">
        <v>52</v>
      </c>
      <c r="B53" s="107"/>
      <c r="C53" s="107" t="s">
        <v>174</v>
      </c>
      <c r="D53" s="107" t="s">
        <v>24</v>
      </c>
      <c r="E53" s="108">
        <v>41206</v>
      </c>
      <c r="F53" s="107">
        <v>100</v>
      </c>
      <c r="G53" s="15">
        <v>1.5</v>
      </c>
      <c r="H53" s="105"/>
      <c r="I53" s="125"/>
      <c r="J53" s="107" t="s">
        <v>6</v>
      </c>
      <c r="K53" s="108">
        <f>WORKDAY(NOTAS_80[[#This Row],[DATA]],1,0)</f>
        <v>41207</v>
      </c>
      <c r="L53" s="109">
        <f>EOMONTH(NOTAS_80[[#This Row],[DATA DE LIQUIDAÇÃO]],0)</f>
        <v>41213</v>
      </c>
      <c r="M5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3" s="106">
        <f>[QTDE]*[PREÇO]</f>
        <v>150</v>
      </c>
      <c r="O5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-150</v>
      </c>
      <c r="P5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53" s="106">
        <f>TRUNC([CORR BOV] * 20% * IF([PARCIAL] &gt; 0, [QTDE] / [PARCIAL], 1),2)</f>
        <v>0.6</v>
      </c>
      <c r="U53" s="106">
        <f>SUMPRODUCT(N([DATA]=NOTAS_80[[#This Row],[DATA]]),N([ID]&lt;=NOTAS_80[[#This Row],[ID]]), [CORR])</f>
        <v>0.6</v>
      </c>
      <c r="V53" s="106">
        <f>TRUNC([CORRETAGEM]*SETUP!$F$3,2)</f>
        <v>0.01</v>
      </c>
      <c r="W53" s="106">
        <f>ROUND([CORRETAGEM]*SETUP!$G$3,2)</f>
        <v>0.02</v>
      </c>
      <c r="X53" s="106">
        <f>[VALOR LÍQUIDO DAS OPERAÇÕES]-[TAXA DE LIQUIDAÇÃO]-[EMOLUMENTOS]-[TAXA DE REGISTRO]-[CORRETAGEM]-[ISS]-IF(['[D/N']]="D",    0,    [OUTRAS BOVESPA]) - [AJUSTE]</f>
        <v>-150.82</v>
      </c>
      <c r="Y53" s="106">
        <f>IF(AND(['[D/N']]="D",    [T]="CV",    [LÍQUIDO BASE] &gt; 0),    TRUNC([LÍQUIDO BASE]*0.01, 2),    0)</f>
        <v>0</v>
      </c>
      <c r="Z53" s="23">
        <f>IF([PREÇO] &gt; 0,    [LÍQUIDO BASE]-SUMPRODUCT(N([DATA]=NOTAS_80[[#This Row],[DATA]]),    [IRRF FONTE]),    0)</f>
        <v>-150.82</v>
      </c>
      <c r="AA53" s="106">
        <f>[LÍQUIDO]-SUMPRODUCT(N([DATA]=NOTAS_80[[#This Row],[DATA]]),N([ID]=(NOTAS_80[[#This Row],[ID]]-1)),[LÍQUIDO])</f>
        <v>-150.82</v>
      </c>
      <c r="AB53" s="106">
        <f>IF([T] = "VC", ABS([VALOR OP]) / [QTDE], [VALOR OP]/[QTDE])</f>
        <v>-1.5082</v>
      </c>
      <c r="AC53" s="106">
        <f>TRUNC(IF(OR([T]="CV",[T]="VV"),     N53*SETUP!$H$3,     0),2)</f>
        <v>0</v>
      </c>
      <c r="AD5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100</v>
      </c>
      <c r="AE5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5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3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3" s="106">
        <f>IF([LUCRO TMP] &lt;&gt; 0, [LUCRO TMP] - SUMPRODUCT(N([ATIVO]=NOTAS_80[[#This Row],[ATIVO]]),N(['[D/N']]="N"),N([ID]&lt;NOTAS_80[[#This Row],[ID]]),N([PAR]=NOTAS_80[[#This Row],[PAR]]), [LUCRO TMP]), 0)</f>
        <v>0</v>
      </c>
      <c r="AI53" s="106">
        <f>IF([U] = "U", SUMPRODUCT(N([ID]&lt;=NOTAS_80[[#This Row],[ID]]),N([DATA BASE]=NOTAS_80[[#This Row],[DATA BASE]]), N(['[D/N']] = "N"),    [LUCRO P/ OP]), 0)</f>
        <v>0</v>
      </c>
      <c r="AJ53" s="106">
        <f>IF([U] = "U", SUMPRODUCT(N([DATA BASE]=NOTAS_80[[#This Row],[DATA BASE]]), N(['[D/N']] = "D"),    [LUCRO P/ OP]), 0)</f>
        <v>0</v>
      </c>
      <c r="AK53" s="106">
        <f>IF([U] = "U", SUMPRODUCT(N([DATA BASE]=NOTAS_80[[#This Row],[DATA BASE]]), N(['[D/N']] = "D"),    [IRRF FONTE]), 0)</f>
        <v>0</v>
      </c>
    </row>
    <row r="54" spans="1:37">
      <c r="A54" s="13">
        <v>53</v>
      </c>
      <c r="B54" s="107"/>
      <c r="C54" s="107" t="s">
        <v>173</v>
      </c>
      <c r="D54" s="114" t="s">
        <v>66</v>
      </c>
      <c r="E54" s="115">
        <v>41206</v>
      </c>
      <c r="F54" s="114">
        <v>100</v>
      </c>
      <c r="G54" s="116">
        <v>2.14</v>
      </c>
      <c r="H54" s="126"/>
      <c r="I54" s="127"/>
      <c r="J54" s="114" t="s">
        <v>6</v>
      </c>
      <c r="K54" s="108">
        <f>WORKDAY(NOTAS_80[[#This Row],[DATA]],1,0)</f>
        <v>41207</v>
      </c>
      <c r="L54" s="109">
        <f>EOMONTH(NOTAS_80[[#This Row],[DATA DE LIQUIDAÇÃO]],0)</f>
        <v>41213</v>
      </c>
      <c r="M5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4" s="106">
        <f>[QTDE]*[PREÇO]</f>
        <v>214</v>
      </c>
      <c r="O5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64</v>
      </c>
      <c r="P5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</v>
      </c>
      <c r="Q5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5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5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4.28</v>
      </c>
      <c r="T54" s="106">
        <f>TRUNC([CORR BOV] * 20% * IF([PARCIAL] &gt; 0, [QTDE] / [PARCIAL], 1),2)</f>
        <v>0.85</v>
      </c>
      <c r="U54" s="106">
        <f>SUMPRODUCT(N([DATA]=NOTAS_80[[#This Row],[DATA]]),N([ID]&lt;=NOTAS_80[[#This Row],[ID]]), [CORR])</f>
        <v>1.45</v>
      </c>
      <c r="V54" s="106">
        <f>TRUNC([CORRETAGEM]*SETUP!$F$3,2)</f>
        <v>0.02</v>
      </c>
      <c r="W54" s="106">
        <f>ROUND([CORRETAGEM]*SETUP!$G$3,2)</f>
        <v>0.06</v>
      </c>
      <c r="X54" s="106">
        <f>[VALOR LÍQUIDO DAS OPERAÇÕES]-[TAXA DE LIQUIDAÇÃO]-[EMOLUMENTOS]-[TAXA DE REGISTRO]-[CORRETAGEM]-[ISS]-IF(['[D/N']]="D",    0,    [OUTRAS BOVESPA]) - [AJUSTE]</f>
        <v>61.989999999999988</v>
      </c>
      <c r="Y54" s="106">
        <f>IF(AND(['[D/N']]="D",    [T]="CV",    [LÍQUIDO BASE] &gt; 0),    TRUNC([LÍQUIDO BASE]*0.01, 2),    0)</f>
        <v>0</v>
      </c>
      <c r="Z54" s="23">
        <f>IF([PREÇO] &gt; 0,    [LÍQUIDO BASE]-SUMPRODUCT(N([DATA]=NOTAS_80[[#This Row],[DATA]]),    [IRRF FONTE]),    0)</f>
        <v>61.989999999999988</v>
      </c>
      <c r="AA54" s="106">
        <f>[LÍQUIDO]-SUMPRODUCT(N([DATA]=NOTAS_80[[#This Row],[DATA]]),N([ID]=(NOTAS_80[[#This Row],[ID]]-1)),[LÍQUIDO])</f>
        <v>212.80999999999997</v>
      </c>
      <c r="AB54" s="106">
        <f>IF([T] = "VC", ABS([VALOR OP]) / [QTDE], [VALOR OP]/[QTDE])</f>
        <v>2.1280999999999999</v>
      </c>
      <c r="AC54" s="106">
        <f>TRUNC(IF(OR([T]="CV",[T]="VV"),     N54*SETUP!$H$3,     0),2)</f>
        <v>0.01</v>
      </c>
      <c r="AD5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-100</v>
      </c>
      <c r="AE5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4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4" s="106">
        <f>IF([LUCRO TMP] &lt;&gt; 0, [LUCRO TMP] - SUMPRODUCT(N([ATIVO]=NOTAS_80[[#This Row],[ATIVO]]),N(['[D/N']]="N"),N([ID]&lt;NOTAS_80[[#This Row],[ID]]),N([PAR]=NOTAS_80[[#This Row],[PAR]]), [LUCRO TMP]), 0)</f>
        <v>0</v>
      </c>
      <c r="AI54" s="106">
        <f>IF([U] = "U", SUMPRODUCT(N([ID]&lt;=NOTAS_80[[#This Row],[ID]]),N([DATA BASE]=NOTAS_80[[#This Row],[DATA BASE]]), N(['[D/N']] = "N"),    [LUCRO P/ OP]), 0)</f>
        <v>0</v>
      </c>
      <c r="AJ54" s="106">
        <f>IF([U] = "U", SUMPRODUCT(N([DATA BASE]=NOTAS_80[[#This Row],[DATA BASE]]), N(['[D/N']] = "D"),    [LUCRO P/ OP]), 0)</f>
        <v>0</v>
      </c>
      <c r="AK54" s="106">
        <f>IF([U] = "U", SUMPRODUCT(N([DATA BASE]=NOTAS_80[[#This Row],[DATA BASE]]), N(['[D/N']] = "D"),    [IRRF FONTE]), 0)</f>
        <v>0</v>
      </c>
    </row>
    <row r="55" spans="1:37">
      <c r="A55" s="114">
        <v>54</v>
      </c>
      <c r="B55" s="107"/>
      <c r="C55" s="107" t="s">
        <v>173</v>
      </c>
      <c r="D55" s="114" t="s">
        <v>67</v>
      </c>
      <c r="E55" s="115">
        <v>41207</v>
      </c>
      <c r="F55" s="114">
        <v>100</v>
      </c>
      <c r="G55" s="116">
        <v>2.97</v>
      </c>
      <c r="H55" s="126"/>
      <c r="I55" s="127"/>
      <c r="J55" s="114" t="s">
        <v>6</v>
      </c>
      <c r="K55" s="108">
        <f>WORKDAY(NOTAS_80[[#This Row],[DATA]],1,0)</f>
        <v>41208</v>
      </c>
      <c r="L55" s="109">
        <f>EOMONTH(NOTAS_80[[#This Row],[DATA DE LIQUIDAÇÃO]],0)</f>
        <v>41213</v>
      </c>
      <c r="M55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5" s="106">
        <f>[QTDE]*[PREÇO]</f>
        <v>297</v>
      </c>
      <c r="O55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-297</v>
      </c>
      <c r="P55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0.08</v>
      </c>
      <c r="Q55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5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55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5.94</v>
      </c>
      <c r="T55" s="106">
        <f>TRUNC([CORR BOV] * 20% * IF([PARCIAL] &gt; 0, [QTDE] / [PARCIAL], 1),2)</f>
        <v>1.18</v>
      </c>
      <c r="U55" s="106">
        <f>SUMPRODUCT(N([DATA]=NOTAS_80[[#This Row],[DATA]]),N([ID]&lt;=NOTAS_80[[#This Row],[ID]]), [CORR])</f>
        <v>1.18</v>
      </c>
      <c r="V55" s="106">
        <f>TRUNC([CORRETAGEM]*SETUP!$F$3,2)</f>
        <v>0.02</v>
      </c>
      <c r="W55" s="106">
        <f>ROUND([CORRETAGEM]*SETUP!$G$3,2)</f>
        <v>0.05</v>
      </c>
      <c r="X55" s="106">
        <f>[VALOR LÍQUIDO DAS OPERAÇÕES]-[TAXA DE LIQUIDAÇÃO]-[EMOLUMENTOS]-[TAXA DE REGISTRO]-[CORRETAGEM]-[ISS]-IF(['[D/N']]="D",    0,    [OUTRAS BOVESPA]) - [AJUSTE]</f>
        <v>-298.63</v>
      </c>
      <c r="Y55" s="106">
        <f>IF(AND(['[D/N']]="D",    [T]="CV",    [LÍQUIDO BASE] &gt; 0),    TRUNC([LÍQUIDO BASE]*0.01, 2),    0)</f>
        <v>0</v>
      </c>
      <c r="Z55" s="23">
        <f>IF([PREÇO] &gt; 0,    [LÍQUIDO BASE]-SUMPRODUCT(N([DATA]=NOTAS_80[[#This Row],[DATA]]),    [IRRF FONTE]),    0)</f>
        <v>-298.63</v>
      </c>
      <c r="AA55" s="106">
        <f>[LÍQUIDO]-SUMPRODUCT(N([DATA]=NOTAS_80[[#This Row],[DATA]]),N([ID]=(NOTAS_80[[#This Row],[ID]]-1)),[LÍQUIDO])</f>
        <v>-298.63</v>
      </c>
      <c r="AB55" s="106">
        <f>IF([T] = "VC", ABS([VALOR OP]) / [QTDE], [VALOR OP]/[QTDE])</f>
        <v>2.9863</v>
      </c>
      <c r="AC55" s="106">
        <f>TRUNC(IF(OR([T]="CV",[T]="VV"),     N55*SETUP!$H$3,     0),2)</f>
        <v>0</v>
      </c>
      <c r="AD55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5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2.9863</v>
      </c>
      <c r="AF55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5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-85.820000000000007</v>
      </c>
      <c r="AH55" s="106">
        <f>IF([LUCRO TMP] &lt;&gt; 0, [LUCRO TMP] - SUMPRODUCT(N([ATIVO]=NOTAS_80[[#This Row],[ATIVO]]),N(['[D/N']]="N"),N([ID]&lt;NOTAS_80[[#This Row],[ID]]),N([PAR]=NOTAS_80[[#This Row],[PAR]]), [LUCRO TMP]), 0)</f>
        <v>-85.820000000000007</v>
      </c>
      <c r="AI55" s="106">
        <f>IF([U] = "U", SUMPRODUCT(N([ID]&lt;=NOTAS_80[[#This Row],[ID]]),N([DATA BASE]=NOTAS_80[[#This Row],[DATA BASE]]), N(['[D/N']] = "N"),    [LUCRO P/ OP]), 0)</f>
        <v>0</v>
      </c>
      <c r="AJ55" s="106">
        <f>IF([U] = "U", SUMPRODUCT(N([DATA BASE]=NOTAS_80[[#This Row],[DATA BASE]]), N(['[D/N']] = "D"),    [LUCRO P/ OP]), 0)</f>
        <v>0</v>
      </c>
      <c r="AK55" s="106">
        <f>IF([U] = "U", SUMPRODUCT(N([DATA BASE]=NOTAS_80[[#This Row],[DATA BASE]]), N(['[D/N']] = "D"),    [IRRF FONTE]), 0)</f>
        <v>0</v>
      </c>
    </row>
    <row r="56" spans="1:37">
      <c r="A56" s="114">
        <v>55</v>
      </c>
      <c r="B56" s="107"/>
      <c r="C56" s="13" t="s">
        <v>175</v>
      </c>
      <c r="D56" s="13" t="s">
        <v>24</v>
      </c>
      <c r="E56" s="108">
        <v>41208</v>
      </c>
      <c r="F56" s="107">
        <v>300</v>
      </c>
      <c r="G56" s="15">
        <v>0.15</v>
      </c>
      <c r="H56" s="105"/>
      <c r="I56" s="125"/>
      <c r="J56" s="107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6" s="15">
        <f>[QTDE]*[PREÇO]</f>
        <v>45</v>
      </c>
      <c r="O56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-45</v>
      </c>
      <c r="P56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6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6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6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6" s="15">
        <f>TRUNC([CORR BOV] * 20% * IF([PARCIAL] &gt; 0, [QTDE] / [PARCIAL], 1),2)</f>
        <v>0.54</v>
      </c>
      <c r="U56" s="15">
        <f>SUMPRODUCT(N([DATA]=NOTAS_80[[#This Row],[DATA]]),N([ID]&lt;=NOTAS_80[[#This Row],[ID]]), [CORR])</f>
        <v>0.54</v>
      </c>
      <c r="V56" s="15">
        <f>TRUNC([CORRETAGEM]*SETUP!$F$3,2)</f>
        <v>0.01</v>
      </c>
      <c r="W56" s="15">
        <f>ROUND([CORRETAGEM]*SETUP!$G$3,2)</f>
        <v>0.02</v>
      </c>
      <c r="X56" s="15">
        <f>[VALOR LÍQUIDO DAS OPERAÇÕES]-[TAXA DE LIQUIDAÇÃO]-[EMOLUMENTOS]-[TAXA DE REGISTRO]-[CORRETAGEM]-[ISS]-IF(['[D/N']]="D",    0,    [OUTRAS BOVESPA]) - [AJUSTE]</f>
        <v>-45.62</v>
      </c>
      <c r="Y56" s="15">
        <f>IF(AND(['[D/N']]="D",    [T]="CV",    [LÍQUIDO BASE] &gt; 0),    TRUNC([LÍQUIDO BASE]*0.01, 2),    0)</f>
        <v>0</v>
      </c>
      <c r="Z56" s="23">
        <f>IF([PREÇO] &gt; 0,    [LÍQUIDO BASE]-SUMPRODUCT(N([DATA]=NOTAS_80[[#This Row],[DATA]]),    [IRRF FONTE]),    0)</f>
        <v>-45.62</v>
      </c>
      <c r="AA56" s="15">
        <f>[LÍQUIDO]-SUMPRODUCT(N([DATA]=NOTAS_80[[#This Row],[DATA]]),N([ID]=(NOTAS_80[[#This Row],[ID]]-1)),[LÍQUIDO])</f>
        <v>-45.62</v>
      </c>
      <c r="AB56" s="15">
        <f>IF([T] = "VC", ABS([VALOR OP]) / [QTDE], [VALOR OP]/[QTDE])</f>
        <v>-0.15206666666666666</v>
      </c>
      <c r="AC56" s="15">
        <f>TRUNC(IF(OR([T]="CV",[T]="VV"),     N56*SETUP!$H$3,     0),2)</f>
        <v>0</v>
      </c>
      <c r="AD56" s="13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56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6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6" s="15">
        <f>IF([LUCRO TMP] &lt;&gt; 0, [LUCRO TMP] - SUMPRODUCT(N([ATIVO]=NOTAS_80[[#This Row],[ATIVO]]),N(['[D/N']]="N"),N([ID]&lt;NOTAS_80[[#This Row],[ID]]),N([PAR]=NOTAS_80[[#This Row],[PAR]]), [LUCRO TMP]), 0)</f>
        <v>0</v>
      </c>
      <c r="AI56" s="15">
        <f>IF([U] = "U", SUMPRODUCT(N([ID]&lt;=NOTAS_80[[#This Row],[ID]]),N([DATA BASE]=NOTAS_80[[#This Row],[DATA BASE]]), N(['[D/N']] = "N"),    [LUCRO P/ OP]), 0)</f>
        <v>0</v>
      </c>
      <c r="AJ56" s="15">
        <f>IF([U] = "U", SUMPRODUCT(N([DATA BASE]=NOTAS_80[[#This Row],[DATA BASE]]), N(['[D/N']] = "D"),    [LUCRO P/ OP]), 0)</f>
        <v>0</v>
      </c>
      <c r="AK56" s="15">
        <f>IF([U] = "U", SUMPRODUCT(N([DATA BASE]=NOTAS_80[[#This Row],[DATA BASE]]), N(['[D/N']] = "D"),    [IRRF FONTE]), 0)</f>
        <v>0</v>
      </c>
    </row>
    <row r="57" spans="1:37">
      <c r="A57" s="13">
        <v>56</v>
      </c>
      <c r="B57" s="13" t="s">
        <v>49</v>
      </c>
      <c r="C57" s="13" t="s">
        <v>176</v>
      </c>
      <c r="D57" s="13" t="s">
        <v>24</v>
      </c>
      <c r="E57" s="108">
        <v>41208</v>
      </c>
      <c r="F57" s="107">
        <v>2500</v>
      </c>
      <c r="G57" s="15">
        <v>0.02</v>
      </c>
      <c r="H57" s="105"/>
      <c r="I57" s="125"/>
      <c r="J57" s="107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7" s="15">
        <f>[QTDE]*[PREÇO]</f>
        <v>50</v>
      </c>
      <c r="O57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-95</v>
      </c>
      <c r="P57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0.02</v>
      </c>
      <c r="Q57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0.03</v>
      </c>
      <c r="R57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57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7" s="15">
        <f>TRUNC([CORR BOV] * 20% * IF([PARCIAL] &gt; 0, [QTDE] / [PARCIAL], 1),2)</f>
        <v>0.54</v>
      </c>
      <c r="U57" s="15">
        <f>SUMPRODUCT(N([DATA]=NOTAS_80[[#This Row],[DATA]]),N([ID]&lt;=NOTAS_80[[#This Row],[ID]]), [CORR])</f>
        <v>1.08</v>
      </c>
      <c r="V57" s="15">
        <f>TRUNC([CORRETAGEM]*SETUP!$F$3,2)</f>
        <v>0.02</v>
      </c>
      <c r="W57" s="15">
        <f>ROUND([CORRETAGEM]*SETUP!$G$3,2)</f>
        <v>0.04</v>
      </c>
      <c r="X57" s="15">
        <f>[VALOR LÍQUIDO DAS OPERAÇÕES]-[TAXA DE LIQUIDAÇÃO]-[EMOLUMENTOS]-[TAXA DE REGISTRO]-[CORRETAGEM]-[ISS]-IF(['[D/N']]="D",    0,    [OUTRAS BOVESPA]) - [AJUSTE]</f>
        <v>-96.25</v>
      </c>
      <c r="Y57" s="15">
        <f>IF(AND(['[D/N']]="D",    [T]="CV",    [LÍQUIDO BASE] &gt; 0),    TRUNC([LÍQUIDO BASE]*0.01, 2),    0)</f>
        <v>0</v>
      </c>
      <c r="Z57" s="23">
        <f>IF([PREÇO] &gt; 0,    [LÍQUIDO BASE]-SUMPRODUCT(N([DATA]=NOTAS_80[[#This Row],[DATA]]),    [IRRF FONTE]),    0)</f>
        <v>-96.25</v>
      </c>
      <c r="AA57" s="15">
        <f>[LÍQUIDO]-SUMPRODUCT(N([DATA]=NOTAS_80[[#This Row],[DATA]]),N([ID]=(NOTAS_80[[#This Row],[ID]]-1)),[LÍQUIDO])</f>
        <v>-50.63</v>
      </c>
      <c r="AB57" s="15">
        <f>IF([T] = "VC", ABS([VALOR OP]) / [QTDE], [VALOR OP]/[QTDE])</f>
        <v>-2.0252000000000003E-2</v>
      </c>
      <c r="AC57" s="15">
        <f>TRUNC(IF(OR([T]="CV",[T]="VV"),     N57*SETUP!$H$3,     0),2)</f>
        <v>0</v>
      </c>
      <c r="AD57" s="13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2500</v>
      </c>
      <c r="AE57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7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7" s="15">
        <f>IF([LUCRO TMP] &lt;&gt; 0, [LUCRO TMP] - SUMPRODUCT(N([ATIVO]=NOTAS_80[[#This Row],[ATIVO]]),N(['[D/N']]="N"),N([ID]&lt;NOTAS_80[[#This Row],[ID]]),N([PAR]=NOTAS_80[[#This Row],[PAR]]), [LUCRO TMP]), 0)</f>
        <v>0</v>
      </c>
      <c r="AI57" s="15">
        <f>IF([U] = "U", SUMPRODUCT(N([ID]&lt;=NOTAS_80[[#This Row],[ID]]),N([DATA BASE]=NOTAS_80[[#This Row],[DATA BASE]]), N(['[D/N']] = "N"),    [LUCRO P/ OP]), 0)</f>
        <v>-86.930000000000035</v>
      </c>
      <c r="AJ57" s="15">
        <f>IF([U] = "U", SUMPRODUCT(N([DATA BASE]=NOTAS_80[[#This Row],[DATA BASE]]), N(['[D/N']] = "D"),    [LUCRO P/ OP]), 0)</f>
        <v>0</v>
      </c>
      <c r="AK57" s="15">
        <f>IF([U] = "U", SUMPRODUCT(N([DATA BASE]=NOTAS_80[[#This Row],[DATA BASE]]), N(['[D/N']] = "D"),    [IRRF FONTE]), 0)</f>
        <v>0</v>
      </c>
    </row>
    <row r="58" spans="1:37">
      <c r="A58" s="114">
        <v>57</v>
      </c>
      <c r="B58" s="107"/>
      <c r="C58" s="13" t="s">
        <v>176</v>
      </c>
      <c r="D58" s="132" t="s">
        <v>25</v>
      </c>
      <c r="E58" s="115">
        <v>41211</v>
      </c>
      <c r="F58" s="114">
        <v>2500</v>
      </c>
      <c r="G58" s="116">
        <v>0.02</v>
      </c>
      <c r="H58" s="126"/>
      <c r="I58" s="127"/>
      <c r="J58" s="114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8" s="15">
        <f>[QTDE]*[PREÇO]</f>
        <v>50</v>
      </c>
      <c r="O58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50</v>
      </c>
      <c r="P58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8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8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8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8" s="15">
        <f>TRUNC([CORR BOV] * 20% * IF([PARCIAL] &gt; 0, [QTDE] / [PARCIAL], 1),2)</f>
        <v>0.54</v>
      </c>
      <c r="U58" s="15">
        <f>SUMPRODUCT(N([DATA]=NOTAS_80[[#This Row],[DATA]]),N([ID]&lt;=NOTAS_80[[#This Row],[ID]]), [CORR])</f>
        <v>0.54</v>
      </c>
      <c r="V58" s="15">
        <f>TRUNC([CORRETAGEM]*SETUP!$F$3,2)</f>
        <v>0.01</v>
      </c>
      <c r="W58" s="15">
        <f>ROUND([CORRETAGEM]*SETUP!$G$3,2)</f>
        <v>0.02</v>
      </c>
      <c r="X58" s="15">
        <f>[VALOR LÍQUIDO DAS OPERAÇÕES]-[TAXA DE LIQUIDAÇÃO]-[EMOLUMENTOS]-[TAXA DE REGISTRO]-[CORRETAGEM]-[ISS]-IF(['[D/N']]="D",    0,    [OUTRAS BOVESPA]) - [AJUSTE]</f>
        <v>49.38</v>
      </c>
      <c r="Y58" s="15">
        <f>IF(AND(['[D/N']]="D",    [T]="CV",    [LÍQUIDO BASE] &gt; 0),    TRUNC([LÍQUIDO BASE]*0.01, 2),    0)</f>
        <v>0</v>
      </c>
      <c r="Z58" s="23">
        <f>IF([PREÇO] &gt; 0,    [LÍQUIDO BASE]-SUMPRODUCT(N([DATA]=NOTAS_80[[#This Row],[DATA]]),    [IRRF FONTE]),    0)</f>
        <v>49.38</v>
      </c>
      <c r="AA58" s="15">
        <f>[LÍQUIDO]-SUMPRODUCT(N([DATA]=NOTAS_80[[#This Row],[DATA]]),N([ID]=(NOTAS_80[[#This Row],[ID]]-1)),[LÍQUIDO])</f>
        <v>49.38</v>
      </c>
      <c r="AB58" s="15">
        <f>IF([T] = "VC", ABS([VALOR OP]) / [QTDE], [VALOR OP]/[QTDE])</f>
        <v>1.9752000000000002E-2</v>
      </c>
      <c r="AC58" s="15">
        <f>TRUNC(IF(OR([T]="CV",[T]="VV"),     N58*SETUP!$H$3,     0),2)</f>
        <v>0</v>
      </c>
      <c r="AD58" s="13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8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8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1.9752000000000002E-2</v>
      </c>
      <c r="AG5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-1.2500000000000011</v>
      </c>
      <c r="AH58" s="15">
        <f>IF([LUCRO TMP] &lt;&gt; 0, [LUCRO TMP] - SUMPRODUCT(N([ATIVO]=NOTAS_80[[#This Row],[ATIVO]]),N(['[D/N']]="N"),N([ID]&lt;NOTAS_80[[#This Row],[ID]]),N([PAR]=NOTAS_80[[#This Row],[PAR]]), [LUCRO TMP]), 0)</f>
        <v>-1.2500000000000011</v>
      </c>
      <c r="AI58" s="15">
        <f>IF([U] = "U", SUMPRODUCT(N([ID]&lt;=NOTAS_80[[#This Row],[ID]]),N([DATA BASE]=NOTAS_80[[#This Row],[DATA BASE]]), N(['[D/N']] = "N"),    [LUCRO P/ OP]), 0)</f>
        <v>0</v>
      </c>
      <c r="AJ58" s="15">
        <f>IF([U] = "U", SUMPRODUCT(N([DATA BASE]=NOTAS_80[[#This Row],[DATA BASE]]), N(['[D/N']] = "D"),    [LUCRO P/ OP]), 0)</f>
        <v>0</v>
      </c>
      <c r="AK58" s="15">
        <f>IF([U] = "U", SUMPRODUCT(N([DATA BASE]=NOTAS_80[[#This Row],[DATA BASE]]), N(['[D/N']] = "D"),    [IRRF FONTE]), 0)</f>
        <v>0</v>
      </c>
    </row>
    <row r="59" spans="1:37">
      <c r="A59" s="114">
        <v>58</v>
      </c>
      <c r="B59" s="107"/>
      <c r="C59" s="13" t="s">
        <v>175</v>
      </c>
      <c r="D59" s="132" t="s">
        <v>25</v>
      </c>
      <c r="E59" s="115">
        <v>41212</v>
      </c>
      <c r="F59" s="114">
        <v>300</v>
      </c>
      <c r="G59" s="116">
        <v>0.12</v>
      </c>
      <c r="H59" s="126"/>
      <c r="I59" s="127"/>
      <c r="J59" s="114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9" s="15">
        <f>[QTDE]*[PREÇO]</f>
        <v>36</v>
      </c>
      <c r="O59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36</v>
      </c>
      <c r="P59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</v>
      </c>
      <c r="Q59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9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0.02</v>
      </c>
      <c r="S59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9" s="15">
        <f>TRUNC([CORR BOV] * 20% * IF([PARCIAL] &gt; 0, [QTDE] / [PARCIAL], 1),2)</f>
        <v>0.54</v>
      </c>
      <c r="U59" s="15">
        <f>SUMPRODUCT(N([DATA]=NOTAS_80[[#This Row],[DATA]]),N([ID]&lt;=NOTAS_80[[#This Row],[ID]]), [CORR])</f>
        <v>0.54</v>
      </c>
      <c r="V59" s="15">
        <f>TRUNC([CORRETAGEM]*SETUP!$F$3,2)</f>
        <v>0.01</v>
      </c>
      <c r="W59" s="15">
        <f>ROUND([CORRETAGEM]*SETUP!$G$3,2)</f>
        <v>0.02</v>
      </c>
      <c r="X59" s="15">
        <f>[VALOR LÍQUIDO DAS OPERAÇÕES]-[TAXA DE LIQUIDAÇÃO]-[EMOLUMENTOS]-[TAXA DE REGISTRO]-[CORRETAGEM]-[ISS]-IF(['[D/N']]="D",    0,    [OUTRAS BOVESPA]) - [AJUSTE]</f>
        <v>35.4</v>
      </c>
      <c r="Y59" s="15">
        <f>IF(AND(['[D/N']]="D",    [T]="CV",    [LÍQUIDO BASE] &gt; 0),    TRUNC([LÍQUIDO BASE]*0.01, 2),    0)</f>
        <v>0</v>
      </c>
      <c r="Z59" s="23">
        <f>IF([PREÇO] &gt; 0,    [LÍQUIDO BASE]-SUMPRODUCT(N([DATA]=NOTAS_80[[#This Row],[DATA]]),    [IRRF FONTE]),    0)</f>
        <v>35.4</v>
      </c>
      <c r="AA59" s="15">
        <f>[LÍQUIDO]-SUMPRODUCT(N([DATA]=NOTAS_80[[#This Row],[DATA]]),N([ID]=(NOTAS_80[[#This Row],[ID]]-1)),[LÍQUIDO])</f>
        <v>35.4</v>
      </c>
      <c r="AB59" s="15">
        <f>IF([T] = "VC", ABS([VALOR OP]) / [QTDE], [VALOR OP]/[QTDE])</f>
        <v>0.11799999999999999</v>
      </c>
      <c r="AC59" s="15">
        <f>TRUNC(IF(OR([T]="CV",[T]="VV"),     N59*SETUP!$H$3,     0),2)</f>
        <v>0</v>
      </c>
      <c r="AD59" s="13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9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9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0.11799999999999999</v>
      </c>
      <c r="AG5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-10.219999999999999</v>
      </c>
      <c r="AH59" s="15">
        <f>IF([LUCRO TMP] &lt;&gt; 0, [LUCRO TMP] - SUMPRODUCT(N([ATIVO]=NOTAS_80[[#This Row],[ATIVO]]),N(['[D/N']]="N"),N([ID]&lt;NOTAS_80[[#This Row],[ID]]),N([PAR]=NOTAS_80[[#This Row],[PAR]]), [LUCRO TMP]), 0)</f>
        <v>-10.219999999999999</v>
      </c>
      <c r="AI59" s="15">
        <f>IF([U] = "U", SUMPRODUCT(N([ID]&lt;=NOTAS_80[[#This Row],[ID]]),N([DATA BASE]=NOTAS_80[[#This Row],[DATA BASE]]), N(['[D/N']] = "N"),    [LUCRO P/ OP]), 0)</f>
        <v>0</v>
      </c>
      <c r="AJ59" s="15">
        <f>IF([U] = "U", SUMPRODUCT(N([DATA BASE]=NOTAS_80[[#This Row],[DATA BASE]]), N(['[D/N']] = "D"),    [LUCRO P/ OP]), 0)</f>
        <v>0</v>
      </c>
      <c r="AK59" s="15">
        <f>IF([U] = "U", SUMPRODUCT(N([DATA BASE]=NOTAS_80[[#This Row],[DATA BASE]]), N(['[D/N']] = "D"),    [IRRF FONTE]), 0)</f>
        <v>0</v>
      </c>
    </row>
    <row r="60" spans="1:37">
      <c r="A60" s="13">
        <v>59</v>
      </c>
      <c r="B60" s="107"/>
      <c r="C60" s="107" t="s">
        <v>174</v>
      </c>
      <c r="D60" s="107" t="s">
        <v>25</v>
      </c>
      <c r="E60" s="108">
        <v>41213</v>
      </c>
      <c r="F60" s="107">
        <v>100</v>
      </c>
      <c r="G60" s="15">
        <v>2.4</v>
      </c>
      <c r="H60" s="105"/>
      <c r="I60" s="125"/>
      <c r="J60" s="107" t="s">
        <v>6</v>
      </c>
      <c r="K60" s="108">
        <f>WORKDAY(NOTAS_80[[#This Row],[DATA]],1,0)</f>
        <v>41214</v>
      </c>
      <c r="L60" s="109">
        <f>EOMONTH(NOTAS_80[[#This Row],[DATA DE LIQUIDAÇÃO]],0)</f>
        <v>41243</v>
      </c>
      <c r="M6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0" s="106">
        <f>[QTDE]*[PREÇO]</f>
        <v>240</v>
      </c>
      <c r="O6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240</v>
      </c>
      <c r="P6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0.06</v>
      </c>
      <c r="Q6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6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6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4.8</v>
      </c>
      <c r="T60" s="106">
        <f>TRUNC([CORR BOV] * 20% * IF([PARCIAL] &gt; 0, [QTDE] / [PARCIAL], 1),2)</f>
        <v>0.96</v>
      </c>
      <c r="U60" s="106">
        <f>SUMPRODUCT(N([DATA]=NOTAS_80[[#This Row],[DATA]]),N([ID]&lt;=NOTAS_80[[#This Row],[ID]]), [CORR])</f>
        <v>0.96</v>
      </c>
      <c r="V60" s="106">
        <f>TRUNC([CORRETAGEM]*SETUP!$F$3,2)</f>
        <v>0.01</v>
      </c>
      <c r="W60" s="106">
        <f>ROUND([CORRETAGEM]*SETUP!$G$3,2)</f>
        <v>0.04</v>
      </c>
      <c r="X60" s="106">
        <f>[VALOR LÍQUIDO DAS OPERAÇÕES]-[TAXA DE LIQUIDAÇÃO]-[EMOLUMENTOS]-[TAXA DE REGISTRO]-[CORRETAGEM]-[ISS]-IF(['[D/N']]="D",    0,    [OUTRAS BOVESPA]) - [AJUSTE]</f>
        <v>238.69</v>
      </c>
      <c r="Y60" s="106">
        <f>IF(AND(['[D/N']]="D",    [T]="CV",    [LÍQUIDO BASE] &gt; 0),    TRUNC([LÍQUIDO BASE]*0.01, 2),    0)</f>
        <v>0</v>
      </c>
      <c r="Z60" s="23">
        <f>IF([PREÇO] &gt; 0,    [LÍQUIDO BASE]-SUMPRODUCT(N([DATA]=NOTAS_80[[#This Row],[DATA]]),    [IRRF FONTE]),    0)</f>
        <v>238.69</v>
      </c>
      <c r="AA60" s="106">
        <f>[LÍQUIDO]-SUMPRODUCT(N([DATA]=NOTAS_80[[#This Row],[DATA]]),N([ID]=(NOTAS_80[[#This Row],[ID]]-1)),[LÍQUIDO])</f>
        <v>238.69</v>
      </c>
      <c r="AB60" s="106">
        <f>IF([T] = "VC", ABS([VALOR OP]) / [QTDE], [VALOR OP]/[QTDE])</f>
        <v>2.3868999999999998</v>
      </c>
      <c r="AC60" s="106">
        <f>TRUNC(IF(OR([T]="CV",[T]="VV"),     N60*SETUP!$H$3,     0),2)</f>
        <v>0.01</v>
      </c>
      <c r="AD6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6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2.3868999999999998</v>
      </c>
      <c r="AG6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87.869999999999976</v>
      </c>
      <c r="AH60" s="106">
        <f>IF([LUCRO TMP] &lt;&gt; 0, [LUCRO TMP] - SUMPRODUCT(N([ATIVO]=NOTAS_80[[#This Row],[ATIVO]]),N(['[D/N']]="N"),N([ID]&lt;NOTAS_80[[#This Row],[ID]]),N([PAR]=NOTAS_80[[#This Row],[PAR]]), [LUCRO TMP]), 0)</f>
        <v>87.869999999999976</v>
      </c>
      <c r="AI60" s="106">
        <f>IF([U] = "U", SUMPRODUCT(N([ID]&lt;=NOTAS_80[[#This Row],[ID]]),N([DATA BASE]=NOTAS_80[[#This Row],[DATA BASE]]), N(['[D/N']] = "N"),    [LUCRO P/ OP]), 0)</f>
        <v>0</v>
      </c>
      <c r="AJ60" s="106">
        <f>IF([U] = "U", SUMPRODUCT(N([DATA BASE]=NOTAS_80[[#This Row],[DATA BASE]]), N(['[D/N']] = "D"),    [LUCRO P/ OP]), 0)</f>
        <v>0</v>
      </c>
      <c r="AK60" s="106">
        <f>IF([U] = "U", SUMPRODUCT(N([DATA BASE]=NOTAS_80[[#This Row],[DATA BASE]]), N(['[D/N']] = "D"),    [IRRF FONTE]), 0)</f>
        <v>0</v>
      </c>
    </row>
    <row r="61" spans="1:37">
      <c r="A61" s="114">
        <v>60</v>
      </c>
      <c r="B61" s="107"/>
      <c r="C61" s="107" t="s">
        <v>171</v>
      </c>
      <c r="D61" s="107" t="s">
        <v>25</v>
      </c>
      <c r="E61" s="108">
        <v>41214</v>
      </c>
      <c r="F61" s="107">
        <v>200</v>
      </c>
      <c r="G61" s="15">
        <v>0.75</v>
      </c>
      <c r="H61" s="105"/>
      <c r="I61" s="125"/>
      <c r="J61" s="107" t="s">
        <v>6</v>
      </c>
      <c r="K61" s="108">
        <f>WORKDAY(NOTAS_80[[#This Row],[DATA]],1,0)</f>
        <v>41215</v>
      </c>
      <c r="L61" s="109">
        <f>EOMONTH(NOTAS_80[[#This Row],[DATA DE LIQUIDAÇÃO]],0)</f>
        <v>41243</v>
      </c>
      <c r="M6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1" s="106">
        <f>[QTDE]*[PREÇO]</f>
        <v>150</v>
      </c>
      <c r="O6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6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6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6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6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61" s="106">
        <f>TRUNC([CORR BOV] * 20% * IF([PARCIAL] &gt; 0, [QTDE] / [PARCIAL], 1),2)</f>
        <v>0.6</v>
      </c>
      <c r="U61" s="106">
        <f>SUMPRODUCT(N([DATA]=NOTAS_80[[#This Row],[DATA]]),N([ID]&lt;=NOTAS_80[[#This Row],[ID]]), [CORR])</f>
        <v>0.6</v>
      </c>
      <c r="V61" s="106">
        <f>TRUNC([CORRETAGEM]*SETUP!$F$3,2)</f>
        <v>0.01</v>
      </c>
      <c r="W61" s="106">
        <f>ROUND([CORRETAGEM]*SETUP!$G$3,2)</f>
        <v>0.02</v>
      </c>
      <c r="X61" s="106">
        <f>[VALOR LÍQUIDO DAS OPERAÇÕES]-[TAXA DE LIQUIDAÇÃO]-[EMOLUMENTOS]-[TAXA DE REGISTRO]-[CORRETAGEM]-[ISS]-IF(['[D/N']]="D",    0,    [OUTRAS BOVESPA]) - [AJUSTE]</f>
        <v>149.18</v>
      </c>
      <c r="Y61" s="106">
        <f>IF(AND(['[D/N']]="D",    [T]="CV",    [LÍQUIDO BASE] &gt; 0),    TRUNC([LÍQUIDO BASE]*0.01, 2),    0)</f>
        <v>0</v>
      </c>
      <c r="Z61" s="23">
        <f>IF([PREÇO] &gt; 0,    [LÍQUIDO BASE]-SUMPRODUCT(N([DATA]=NOTAS_80[[#This Row],[DATA]]),    [IRRF FONTE]),    0)</f>
        <v>149.18</v>
      </c>
      <c r="AA61" s="106">
        <f>[LÍQUIDO]-SUMPRODUCT(N([DATA]=NOTAS_80[[#This Row],[DATA]]),N([ID]=(NOTAS_80[[#This Row],[ID]]-1)),[LÍQUIDO])</f>
        <v>149.18</v>
      </c>
      <c r="AB61" s="106">
        <f>IF([T] = "VC", ABS([VALOR OP]) / [QTDE], [VALOR OP]/[QTDE])</f>
        <v>0.74590000000000001</v>
      </c>
      <c r="AC61" s="106">
        <f>TRUNC(IF(OR([T]="CV",[T]="VV"),     N61*SETUP!$H$3,     0),2)</f>
        <v>0</v>
      </c>
      <c r="AD6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6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0.74590000000000001</v>
      </c>
      <c r="AG6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-5.6500000000000217</v>
      </c>
      <c r="AH61" s="106">
        <f>IF([LUCRO TMP] &lt;&gt; 0, [LUCRO TMP] - SUMPRODUCT(N([ATIVO]=NOTAS_80[[#This Row],[ATIVO]]),N(['[D/N']]="N"),N([ID]&lt;NOTAS_80[[#This Row],[ID]]),N([PAR]=NOTAS_80[[#This Row],[PAR]]), [LUCRO TMP]), 0)</f>
        <v>-5.6500000000000217</v>
      </c>
      <c r="AI61" s="106">
        <f>IF([U] = "U", SUMPRODUCT(N([ID]&lt;=NOTAS_80[[#This Row],[ID]]),N([DATA BASE]=NOTAS_80[[#This Row],[DATA BASE]]), N(['[D/N']] = "N"),    [LUCRO P/ OP]), 0)</f>
        <v>0</v>
      </c>
      <c r="AJ61" s="106">
        <f>IF([U] = "U", SUMPRODUCT(N([DATA BASE]=NOTAS_80[[#This Row],[DATA BASE]]), N(['[D/N']] = "D"),    [LUCRO P/ OP]), 0)</f>
        <v>0</v>
      </c>
      <c r="AK61" s="106">
        <f>IF([U] = "U", SUMPRODUCT(N([DATA BASE]=NOTAS_80[[#This Row],[DATA BASE]]), N(['[D/N']] = "D"),    [IRRF FONTE]), 0)</f>
        <v>0</v>
      </c>
    </row>
    <row r="62" spans="1:37">
      <c r="A62" s="128">
        <f>SUBTOTAL(104,[ID])</f>
        <v>60</v>
      </c>
      <c r="B62" s="128"/>
      <c r="C62" s="128"/>
      <c r="D62" s="128"/>
      <c r="E62" s="128"/>
      <c r="F62" s="128"/>
      <c r="G62" s="128"/>
      <c r="H62" s="78"/>
      <c r="I62" s="15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5"/>
      <c r="Y62" s="128"/>
      <c r="Z62" s="15"/>
      <c r="AA62" s="15"/>
      <c r="AB62" s="128"/>
      <c r="AC62" s="15">
        <f>SUBTOTAL(109,[IRRF])</f>
        <v>0.72000000000000008</v>
      </c>
      <c r="AD62" s="15"/>
      <c r="AE62" s="128"/>
      <c r="AF62" s="128"/>
      <c r="AG62" s="15"/>
      <c r="AH62" s="15">
        <f>SUBTOTAL(109,[LUCRO P/ OP])</f>
        <v>1017.4900000000001</v>
      </c>
      <c r="AI62" s="15"/>
      <c r="AJ62" s="129"/>
      <c r="AK62" s="130"/>
    </row>
    <row r="64" spans="1:37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5"/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116</v>
      </c>
      <c r="D1" s="7" t="s">
        <v>120</v>
      </c>
      <c r="E1" s="7" t="s">
        <v>117</v>
      </c>
      <c r="F1" s="7" t="s">
        <v>118</v>
      </c>
      <c r="G1" s="7" t="s">
        <v>121</v>
      </c>
      <c r="H1" s="7" t="s">
        <v>119</v>
      </c>
      <c r="I1" s="7" t="s">
        <v>124</v>
      </c>
      <c r="J1" s="7" t="s">
        <v>122</v>
      </c>
      <c r="K1" s="7" t="s">
        <v>123</v>
      </c>
      <c r="L1" s="7" t="s">
        <v>18</v>
      </c>
      <c r="M1" s="7" t="s">
        <v>48</v>
      </c>
      <c r="N1" s="7" t="s">
        <v>125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O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3" sqref="C3"/>
    </sheetView>
  </sheetViews>
  <sheetFormatPr defaultColWidth="11.5703125" defaultRowHeight="11.25"/>
  <cols>
    <col min="1" max="1" width="7.42578125" style="7" bestFit="1" customWidth="1"/>
    <col min="2" max="2" width="11.5703125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25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5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132</v>
      </c>
      <c r="M1" s="7">
        <v>3</v>
      </c>
      <c r="N1" s="27">
        <f>0.7%*M1</f>
        <v>2.0999999999999998E-2</v>
      </c>
    </row>
    <row r="2" spans="1:15">
      <c r="A2" s="7" t="s">
        <v>140</v>
      </c>
      <c r="B2" s="25">
        <f>1600</f>
        <v>1600</v>
      </c>
      <c r="C2" s="25">
        <v>17.16</v>
      </c>
      <c r="D2" s="25">
        <v>0.9</v>
      </c>
      <c r="E2" s="39">
        <v>17.57</v>
      </c>
      <c r="F2" s="28">
        <f>ROUNDDOWN([APLICAÇÃO]/[PREÇO OPÇÃO], 0)</f>
        <v>1777</v>
      </c>
      <c r="G2" s="28">
        <f>[QTDE TMP] - MOD([QTDE TMP], 100)</f>
        <v>1700</v>
      </c>
      <c r="H2" s="25">
        <f>[EXERCÍCIO] + ([PREÇO OPÇÃO] * 2)</f>
        <v>18.96</v>
      </c>
      <c r="I2" s="27">
        <f>[TARGET 100%] / [PREÇO AÇÃO] - 1</f>
        <v>7.9112122936824125E-2</v>
      </c>
      <c r="J2" s="25">
        <f>[PREÇO OPÇÃO] * [QTDE]</f>
        <v>1530</v>
      </c>
      <c r="K2" s="25">
        <f>IF([PREÇO AÇÃO] &gt; [EXERCÍCIO], [PREÇO OPÇÃO] -([PREÇO AÇÃO] - [EXERCÍCIO]), [PREÇO OPÇÃO])</f>
        <v>0.48999999999999988</v>
      </c>
    </row>
    <row r="3" spans="1:15">
      <c r="A3" s="7" t="s">
        <v>179</v>
      </c>
      <c r="B3" s="25">
        <f>1600</f>
        <v>1600</v>
      </c>
      <c r="C3" s="25">
        <v>18.16</v>
      </c>
      <c r="D3" s="25">
        <v>0.32</v>
      </c>
      <c r="E3" s="39">
        <v>17.8</v>
      </c>
      <c r="F3" s="28">
        <f>ROUNDDOWN([APLICAÇÃO]/[PREÇO OPÇÃO], 0)</f>
        <v>5000</v>
      </c>
      <c r="G3" s="28">
        <f>[QTDE TMP] - MOD([QTDE TMP], 100)</f>
        <v>5000</v>
      </c>
      <c r="H3" s="25">
        <f>[EXERCÍCIO] + ([PREÇO OPÇÃO] * 2)</f>
        <v>18.8</v>
      </c>
      <c r="I3" s="27">
        <f>[TARGET 100%] / [PREÇO AÇÃO] - 1</f>
        <v>5.6179775280898792E-2</v>
      </c>
      <c r="J3" s="25">
        <f>[PREÇO OPÇÃO] * [QTDE]</f>
        <v>1600</v>
      </c>
      <c r="K3" s="25">
        <f>IF([PREÇO AÇÃO] &gt; [EXERCÍCIO], [PREÇO OPÇÃO] -([PREÇO AÇÃO] - [EXERCÍCIO]), [PREÇO OPÇÃO])</f>
        <v>0.32</v>
      </c>
    </row>
    <row r="4" spans="1:15">
      <c r="A4" s="7" t="s">
        <v>179</v>
      </c>
      <c r="B4" s="144">
        <f>1600</f>
        <v>1600</v>
      </c>
      <c r="C4" s="25">
        <v>27.24</v>
      </c>
      <c r="D4" s="25">
        <v>0.81</v>
      </c>
      <c r="E4" s="39">
        <v>27.5</v>
      </c>
      <c r="F4" s="145">
        <f>ROUNDDOWN([APLICAÇÃO]/[PREÇO OPÇÃO], 0)</f>
        <v>1975</v>
      </c>
      <c r="G4" s="145">
        <f>[QTDE TMP] - MOD([QTDE TMP], 100)</f>
        <v>1900</v>
      </c>
      <c r="H4" s="144">
        <f>[EXERCÍCIO] + ([PREÇO OPÇÃO] * 2)</f>
        <v>28.86</v>
      </c>
      <c r="I4" s="146">
        <f>[TARGET 100%] / [PREÇO AÇÃO] - 1</f>
        <v>4.9454545454545418E-2</v>
      </c>
      <c r="J4" s="147">
        <f>[PREÇO OPÇÃO] * [QTDE]</f>
        <v>1539</v>
      </c>
      <c r="K4" s="147">
        <f>IF([PREÇO AÇÃO] &gt; [EXERCÍCIO], [PREÇO OPÇÃO] -([PREÇO AÇÃO] - [EXERCÍCIO]), [PREÇO OPÇÃO])</f>
        <v>0.54999999999999849</v>
      </c>
      <c r="M4" s="7">
        <v>33.15</v>
      </c>
      <c r="N4" s="150">
        <f>M4*N7/M7</f>
        <v>4.9732104586369479</v>
      </c>
      <c r="O4" s="151">
        <f>N4/5*M1</f>
        <v>2.9839262751821689</v>
      </c>
    </row>
    <row r="5" spans="1:15">
      <c r="A5" s="143" t="s">
        <v>179</v>
      </c>
      <c r="B5" s="144">
        <f>1600</f>
        <v>1600</v>
      </c>
      <c r="C5" s="144">
        <v>26.24</v>
      </c>
      <c r="D5" s="144">
        <v>1.06</v>
      </c>
      <c r="E5" s="39">
        <v>26.95</v>
      </c>
      <c r="F5" s="145">
        <f>ROUNDDOWN([APLICAÇÃO]/[PREÇO OPÇÃO], 0)</f>
        <v>1509</v>
      </c>
      <c r="G5" s="145">
        <f>[QTDE TMP] - MOD([QTDE TMP], 100)</f>
        <v>1500</v>
      </c>
      <c r="H5" s="144">
        <f>[EXERCÍCIO] + ([PREÇO OPÇÃO] * 2)</f>
        <v>28.36</v>
      </c>
      <c r="I5" s="146">
        <f>[TARGET 100%] / [PREÇO AÇÃO] - 1</f>
        <v>5.2319109461966606E-2</v>
      </c>
      <c r="J5" s="147">
        <f>[PREÇO OPÇÃO] * [QTDE]</f>
        <v>1590</v>
      </c>
      <c r="K5" s="147">
        <f>IF([PREÇO AÇÃO] &gt; [EXERCÍCIO], [PREÇO OPÇÃO] -([PREÇO AÇÃO] - [EXERCÍCIO]), [PREÇO OPÇÃO])</f>
        <v>0.3499999999999992</v>
      </c>
      <c r="M5" s="7">
        <v>23.84</v>
      </c>
      <c r="N5" s="150">
        <f>M5*N7/M7</f>
        <v>3.5765109301328764</v>
      </c>
      <c r="O5" s="151">
        <f>N5/5*M1</f>
        <v>2.1459065580797256</v>
      </c>
    </row>
    <row r="7" spans="1:15">
      <c r="D7" s="25">
        <f>D5-K5</f>
        <v>0.71000000000000085</v>
      </c>
      <c r="M7" s="7">
        <v>23.33</v>
      </c>
      <c r="N7" s="7">
        <v>3.5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7"/>
  <dimension ref="A1:R9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hidden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8">
      <c r="A1" s="24" t="s">
        <v>55</v>
      </c>
      <c r="B1" s="24" t="s">
        <v>112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230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8">
      <c r="A2" s="7" t="s">
        <v>83</v>
      </c>
      <c r="B2" s="25">
        <f>1800</f>
        <v>1800</v>
      </c>
      <c r="C2" s="25">
        <v>17.29</v>
      </c>
      <c r="D2" s="25">
        <v>16.16</v>
      </c>
      <c r="E2" s="25">
        <v>1.44</v>
      </c>
      <c r="F2" s="25">
        <v>17.16</v>
      </c>
      <c r="G2" s="25">
        <v>0.8</v>
      </c>
      <c r="H2" s="25">
        <f>[VOLUME]/([PREÇO VENDA]+[PREÇO COMPRA])</f>
        <v>803.57142857142844</v>
      </c>
      <c r="I2" s="25">
        <f>[PREÇO VENDA]-[PREÇO COMPRA]</f>
        <v>0.6399999999999999</v>
      </c>
      <c r="J2" s="25">
        <f>(0.01 - [PREÇO COMPRA]) + ([PREÇO VENDA] - ([EXERC. COMPRA]-[EXERC. VENDA]+0.01))</f>
        <v>-0.3600000000000001</v>
      </c>
      <c r="K2" s="28">
        <f>ROUNDDOWN([VOLUME]/ABS([PERDA P/ OPÇÃO]), 0)</f>
        <v>5000</v>
      </c>
      <c r="L2" s="28">
        <f>[QTD] - MOD([QTD], 100)</f>
        <v>800</v>
      </c>
      <c r="M2" s="25">
        <f>([QTDE]*[LUCRO P/ OPÇÃO])-48</f>
        <v>463.99999999999994</v>
      </c>
      <c r="N2" s="25">
        <f>[QTDE]*[PERDA P/ OPÇÃO]-48</f>
        <v>-336.00000000000006</v>
      </c>
      <c r="O2" s="27">
        <f>[EXERC. VENDA]/[PREÇO AÇÃO]-1</f>
        <v>-6.535569693464427E-2</v>
      </c>
      <c r="P2" s="38">
        <f>[LUCRO*]/ABS([PERDA*])</f>
        <v>1.3809523809523805</v>
      </c>
    </row>
    <row r="3" spans="1:18">
      <c r="A3" s="7" t="s">
        <v>83</v>
      </c>
      <c r="B3" s="25">
        <f>1800</f>
        <v>1800</v>
      </c>
      <c r="C3" s="25">
        <v>17.64</v>
      </c>
      <c r="D3" s="25">
        <v>16.16</v>
      </c>
      <c r="E3" s="25">
        <v>1.65</v>
      </c>
      <c r="F3" s="25">
        <v>18.16</v>
      </c>
      <c r="G3" s="25">
        <v>0.5</v>
      </c>
      <c r="H3" s="25">
        <f>[VOLUME]/([PREÇO VENDA]+[PREÇO COMPRA])</f>
        <v>837.20930232558146</v>
      </c>
      <c r="I3" s="25">
        <f>[PREÇO VENDA]-[PREÇO COMPRA]</f>
        <v>1.1499999999999999</v>
      </c>
      <c r="J3" s="25">
        <f>(0.01 - [PREÇO COMPRA]) + ([PREÇO VENDA] - ([EXERC. COMPRA]-[EXERC. VENDA]+0.01))</f>
        <v>-0.84999999999999987</v>
      </c>
      <c r="K3" s="28">
        <f>ROUNDDOWN([VOLUME]/ABS([PERDA P/ OPÇÃO]), 0)</f>
        <v>2117</v>
      </c>
      <c r="L3" s="28">
        <f>[QTD] - MOD([QTD], 100)</f>
        <v>800</v>
      </c>
      <c r="M3" s="25">
        <f>([QTDE]*[LUCRO P/ OPÇÃO])-48</f>
        <v>871.99999999999989</v>
      </c>
      <c r="N3" s="25">
        <f>[QTDE]*[PERDA P/ OPÇÃO]-48</f>
        <v>-727.99999999999989</v>
      </c>
      <c r="O3" s="27">
        <f>[EXERC. VENDA]/[PREÇO AÇÃO]-1</f>
        <v>-8.3900226757369634E-2</v>
      </c>
      <c r="P3" s="38">
        <f>[LUCRO*]/ABS([PERDA*])</f>
        <v>1.1978021978021978</v>
      </c>
    </row>
    <row r="4" spans="1:18">
      <c r="A4" s="102" t="s">
        <v>69</v>
      </c>
      <c r="B4" s="25">
        <f>1800</f>
        <v>1800</v>
      </c>
      <c r="C4" s="25">
        <v>13.68</v>
      </c>
      <c r="D4" s="25">
        <v>12</v>
      </c>
      <c r="E4" s="25">
        <v>1.5</v>
      </c>
      <c r="F4" s="25">
        <v>13</v>
      </c>
      <c r="G4" s="25">
        <v>0.6</v>
      </c>
      <c r="H4" s="81">
        <f>[VOLUME]/([PREÇO VENDA]+[PREÇO COMPRA])</f>
        <v>857.14285714285711</v>
      </c>
      <c r="I4" s="81">
        <f>[PREÇO VENDA]-[PREÇO COMPRA]</f>
        <v>0.9</v>
      </c>
      <c r="J4" s="81">
        <f>(0.01 - [PREÇO COMPRA]) + ([PREÇO VENDA] - ([EXERC. COMPRA]-[EXERC. VENDA]+0.01))</f>
        <v>-9.9999999999999978E-2</v>
      </c>
      <c r="K4" s="103">
        <f>ROUNDDOWN([VOLUME]/ABS([PERDA P/ OPÇÃO]), 0)</f>
        <v>18000</v>
      </c>
      <c r="L4" s="103">
        <f>[QTD] - MOD([QTD], 100)</f>
        <v>800</v>
      </c>
      <c r="M4" s="81">
        <f>([QTDE]*[LUCRO P/ OPÇÃO])-48</f>
        <v>672</v>
      </c>
      <c r="N4" s="81">
        <f>[QTDE]*[PERDA P/ OPÇÃO]-48</f>
        <v>-127.99999999999999</v>
      </c>
      <c r="O4" s="82">
        <f>[EXERC. VENDA]/[PREÇO AÇÃO]-1</f>
        <v>-0.12280701754385959</v>
      </c>
      <c r="P4" s="83">
        <f>[LUCRO*]/ABS([PERDA*])</f>
        <v>5.2500000000000009</v>
      </c>
      <c r="R4" s="7">
        <v>36.979999999999997</v>
      </c>
    </row>
    <row r="5" spans="1:18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R5" s="7">
        <f>R4/10*1.5</f>
        <v>5.5469999999999988</v>
      </c>
    </row>
    <row r="6" spans="1:18">
      <c r="R6" s="7">
        <f>R5/10*1.5</f>
        <v>0.83204999999999973</v>
      </c>
    </row>
    <row r="7" spans="1:18">
      <c r="R7" s="27">
        <f>R6/100</f>
        <v>8.320499999999998E-3</v>
      </c>
    </row>
    <row r="9" spans="1:18">
      <c r="R9" s="7">
        <f>17.14*(1-R7)</f>
        <v>16.997386630000001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B3" sqref="B3"/>
    </sheetView>
  </sheetViews>
  <sheetFormatPr defaultRowHeight="11.25"/>
  <cols>
    <col min="1" max="1" width="9.5703125" style="1" bestFit="1" customWidth="1"/>
    <col min="2" max="2" width="6.85546875" style="1" bestFit="1" customWidth="1"/>
    <col min="3" max="3" width="6.7109375" style="1" bestFit="1" customWidth="1"/>
    <col min="4" max="4" width="8.7109375" style="1" bestFit="1" customWidth="1"/>
    <col min="5" max="5" width="7.42578125" style="1" bestFit="1" customWidth="1"/>
    <col min="6" max="6" width="11.42578125" style="1" bestFit="1" customWidth="1"/>
    <col min="7" max="7" width="12.28515625" style="1" bestFit="1" customWidth="1"/>
    <col min="8" max="16384" width="9.140625" style="1"/>
  </cols>
  <sheetData>
    <row r="1" spans="1:7">
      <c r="A1" s="1" t="s">
        <v>236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</row>
    <row r="2" spans="1:7">
      <c r="A2" s="1">
        <v>1600</v>
      </c>
      <c r="B2" s="1">
        <v>54110</v>
      </c>
      <c r="C2" s="1">
        <v>54300</v>
      </c>
      <c r="D2" s="1">
        <f>ABS(B2-C2)</f>
        <v>190</v>
      </c>
      <c r="E2" s="1">
        <f>A2*10%</f>
        <v>160</v>
      </c>
      <c r="F2" s="1">
        <f>E2/(0.2*D2)-MOD(E2/(0.2*D2),1)</f>
        <v>4</v>
      </c>
      <c r="G2" s="1">
        <f>IF([Start]&lt;[Stop],[Start]-([Pontos]*3.5),[Start]+([Pontos]*3.5))</f>
        <v>53445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6"/>
  <dimension ref="A1:O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2" sqref="B2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25" bestFit="1" customWidth="1"/>
    <col min="6" max="6" width="10.28515625" style="25" bestFit="1" customWidth="1"/>
    <col min="7" max="7" width="6.7109375" style="60" bestFit="1" customWidth="1"/>
    <col min="8" max="8" width="15.42578125" style="7" bestFit="1" customWidth="1"/>
    <col min="9" max="9" width="10.7109375" style="7" bestFit="1" customWidth="1"/>
    <col min="10" max="10" width="11.140625" style="7" bestFit="1" customWidth="1"/>
    <col min="11" max="11" width="11.140625" style="24" bestFit="1" customWidth="1"/>
    <col min="12" max="12" width="10.7109375" style="7" bestFit="1" customWidth="1"/>
    <col min="13" max="13" width="9.85546875" style="7" bestFit="1" customWidth="1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181</v>
      </c>
      <c r="G1" s="57" t="s">
        <v>1</v>
      </c>
      <c r="H1" s="26" t="s">
        <v>75</v>
      </c>
      <c r="I1" s="26" t="s">
        <v>180</v>
      </c>
      <c r="J1" s="26" t="s">
        <v>109</v>
      </c>
      <c r="K1" s="26" t="s">
        <v>182</v>
      </c>
      <c r="L1" s="26" t="s">
        <v>149</v>
      </c>
      <c r="M1" s="26" t="s">
        <v>100</v>
      </c>
      <c r="N1" s="26" t="s">
        <v>77</v>
      </c>
      <c r="O1" s="26" t="s">
        <v>78</v>
      </c>
    </row>
    <row r="2" spans="1:15">
      <c r="A2" s="50" t="s">
        <v>69</v>
      </c>
      <c r="B2" s="51">
        <v>160</v>
      </c>
      <c r="C2" s="51">
        <v>17.29</v>
      </c>
      <c r="D2" s="51">
        <v>15.16</v>
      </c>
      <c r="E2" s="51">
        <v>17.16</v>
      </c>
      <c r="F2" s="51">
        <v>2.2599999999999998</v>
      </c>
      <c r="G2" s="62">
        <v>500</v>
      </c>
      <c r="H2" s="52">
        <f>([RISCO])/[QTDE]</f>
        <v>0.32</v>
      </c>
      <c r="I2" s="52">
        <f>[PR Venda] * [QTDE]+[QTDE]*[PR Compra]</f>
        <v>1420</v>
      </c>
      <c r="J2" s="63">
        <f>[PR Venda]-[PR Compra]</f>
        <v>1.6799999999999997</v>
      </c>
      <c r="K2" s="200">
        <f>(-[PERDA P/ OPÇÃO] + ([EX. COMPRA] - [EX. VENDA] + 0.01) - 0.01 -[PR Venda])*-1</f>
        <v>0.58000000000000007</v>
      </c>
      <c r="L2" s="52">
        <f>([QTDE]*[LUCRO UNI])-64</f>
        <v>775.99999999999989</v>
      </c>
      <c r="M2" s="52">
        <f>-[PERDA P/ OPÇÃO]*[QTDE]-64</f>
        <v>-224</v>
      </c>
      <c r="N2" s="53">
        <f>[EX. VENDA]/[PREÇO AÇÃO]-1</f>
        <v>-0.12319259687680739</v>
      </c>
      <c r="O2" s="54">
        <f>[LUCRO]/ABS([PERDA])</f>
        <v>3.464285714285714</v>
      </c>
    </row>
    <row r="3" spans="1:15">
      <c r="A3" s="143" t="s">
        <v>83</v>
      </c>
      <c r="B3" s="144">
        <v>185</v>
      </c>
      <c r="C3" s="51">
        <v>27.25</v>
      </c>
      <c r="D3" s="144">
        <v>27.18</v>
      </c>
      <c r="E3" s="144">
        <v>28.18</v>
      </c>
      <c r="F3" s="144">
        <v>1.21</v>
      </c>
      <c r="G3" s="148">
        <v>600</v>
      </c>
      <c r="H3" s="147">
        <f>([RISCO])/[QTDE]</f>
        <v>0.30833333333333335</v>
      </c>
      <c r="I3" s="147">
        <f>[PR Venda] * [QTDE]+[QTDE]*[PR Compra]</f>
        <v>1037</v>
      </c>
      <c r="J3" s="63">
        <f>[PR Venda]-[PR Compra]</f>
        <v>0.69166666666666665</v>
      </c>
      <c r="K3" s="201">
        <f>(-[PERDA P/ OPÇÃO] + ([EX. COMPRA] - [EX. VENDA] + 0.01) - 0.01 -[PR Venda])*-1</f>
        <v>0.51833333333333331</v>
      </c>
      <c r="L3" s="147">
        <f>([QTDE]*[LUCRO UNI])-64</f>
        <v>351</v>
      </c>
      <c r="M3" s="147">
        <f>-[PERDA P/ OPÇÃO]*[QTDE]-64</f>
        <v>-249</v>
      </c>
      <c r="N3" s="146">
        <f>[EX. VENDA]/[PREÇO AÇÃO]-1</f>
        <v>-2.5688073394495303E-3</v>
      </c>
      <c r="O3" s="149">
        <f>[LUCRO]/ABS([PERDA])</f>
        <v>1.4096385542168675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8"/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6" width="9" style="7" bestFit="1" customWidth="1"/>
    <col min="17" max="18" width="10.7109375" style="7" bestFit="1" customWidth="1"/>
    <col min="19" max="19" width="9.8554687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4" customFormat="1">
      <c r="A1" s="122" t="s">
        <v>55</v>
      </c>
      <c r="B1" s="122" t="s">
        <v>91</v>
      </c>
      <c r="C1" s="122" t="s">
        <v>92</v>
      </c>
      <c r="D1" s="123" t="s">
        <v>93</v>
      </c>
      <c r="E1" s="123" t="s">
        <v>94</v>
      </c>
      <c r="F1" s="123" t="s">
        <v>95</v>
      </c>
      <c r="G1" s="123" t="s">
        <v>96</v>
      </c>
      <c r="H1" s="123" t="s">
        <v>97</v>
      </c>
      <c r="I1" s="123" t="s">
        <v>98</v>
      </c>
      <c r="J1" s="123" t="s">
        <v>87</v>
      </c>
      <c r="K1" s="123" t="s">
        <v>88</v>
      </c>
      <c r="L1" s="123" t="s">
        <v>89</v>
      </c>
      <c r="M1" s="123" t="s">
        <v>100</v>
      </c>
      <c r="N1" s="123" t="s">
        <v>63</v>
      </c>
      <c r="O1" s="123" t="s">
        <v>1</v>
      </c>
      <c r="P1" s="123" t="s">
        <v>99</v>
      </c>
      <c r="Q1" s="123" t="s">
        <v>112</v>
      </c>
      <c r="R1" s="123" t="s">
        <v>149</v>
      </c>
      <c r="S1" s="123" t="s">
        <v>150</v>
      </c>
      <c r="T1" s="123" t="s">
        <v>86</v>
      </c>
      <c r="U1" s="123" t="s">
        <v>78</v>
      </c>
    </row>
    <row r="2" spans="1:21">
      <c r="A2" s="7" t="s">
        <v>83</v>
      </c>
      <c r="B2" s="25">
        <v>5000</v>
      </c>
      <c r="C2" s="25">
        <v>13.59</v>
      </c>
      <c r="D2" s="25">
        <v>12</v>
      </c>
      <c r="E2" s="25">
        <v>1.66</v>
      </c>
      <c r="F2" s="25">
        <v>13</v>
      </c>
      <c r="G2" s="25">
        <v>0.79</v>
      </c>
      <c r="H2" s="25">
        <v>14</v>
      </c>
      <c r="I2" s="25">
        <v>0.22</v>
      </c>
      <c r="J2" s="25">
        <f>(([PR VD] - 0.01) * 2) + (([EX. VD] - [EX. CP 1] + 0.01) - [PR CP 1]) + (0.01 - [PR CP 2])</f>
        <v>0.70000000000000018</v>
      </c>
      <c r="K2" s="25">
        <f>(0.01 - [PR CP 1]) + (([PR VD] - 0.01) * 2) + (0.01 - [PR CP 2])</f>
        <v>-0.29999999999999982</v>
      </c>
      <c r="L2" s="25">
        <f>(([EX. CP 2] - [EX. CP 1] + 0.01) - [PR CP 1]) + (([PR VD] - ([EX. CP 2] - [EX. VD] + 0.01)) * 2) + (0.01 - [PR CP 2])</f>
        <v>-0.30000000000000004</v>
      </c>
      <c r="M2" s="25">
        <f>IF([PERDA 1] &gt; [PERDA 2], [PERDA 2], [PERDA 1])</f>
        <v>-0.29999999999999982</v>
      </c>
      <c r="N2" s="28">
        <f>ROUNDDOWN([BASE]/ABS([PERDA]), 0)</f>
        <v>16666</v>
      </c>
      <c r="O2" s="28">
        <f>[QTDE TMP] - MOD([QTDE TMP], 100)</f>
        <v>16600</v>
      </c>
      <c r="P2" s="28">
        <f>Tabela245[[#This Row],[QTDE]]*2</f>
        <v>33200</v>
      </c>
      <c r="Q2" s="25">
        <f>([QTDE]*[PR CP 1] + [QTDE]*[PR CP 2])+[QTDE]*[PR VD] * 2</f>
        <v>57436</v>
      </c>
      <c r="R2" s="39">
        <f>([QTDE]*[LUCRO UNI.])-48</f>
        <v>11572.000000000004</v>
      </c>
      <c r="S2" s="25">
        <f>[QTDE]*[PERDA]-48</f>
        <v>-5027.9999999999973</v>
      </c>
      <c r="T2" s="27">
        <f>[EX. VD] / [PR. AÇÃO] - 1</f>
        <v>-4.3414275202354635E-2</v>
      </c>
      <c r="U2" s="38">
        <f>[LUCRO]/ABS([PERDA2])</f>
        <v>2.3015115354017524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9"/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112</v>
      </c>
      <c r="K1" s="26" t="s">
        <v>109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NOTAS</vt:lpstr>
      <vt:lpstr>NOTAS 80%</vt:lpstr>
      <vt:lpstr>IR</vt:lpstr>
      <vt:lpstr>VOLAT-TENDENCIA</vt:lpstr>
      <vt:lpstr>TRAVA BAIXA</vt:lpstr>
      <vt:lpstr>MINI</vt:lpstr>
      <vt:lpstr>TRAVA BAIXA NEW</vt:lpstr>
      <vt:lpstr>BORBOLETA</vt:lpstr>
      <vt:lpstr>Plan1</vt:lpstr>
      <vt:lpstr>SETUP</vt:lpstr>
      <vt:lpstr>Plan2</vt:lpstr>
      <vt:lpstr>Plan4</vt:lpstr>
      <vt:lpstr>Plan6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2014-07-10T16:34:50Z</dcterms:modified>
</cp:coreProperties>
</file>