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W5" i="1" l="1"/>
  <c r="T2" i="1" l="1"/>
  <c r="T3" i="1"/>
  <c r="T4" i="1"/>
  <c r="T5" i="1"/>
  <c r="U5" i="1" s="1"/>
  <c r="T6" i="1"/>
  <c r="U6" i="1" s="1"/>
  <c r="T7" i="1"/>
  <c r="T8" i="1"/>
  <c r="U8" i="1" s="1"/>
  <c r="T9" i="1"/>
  <c r="T10" i="1"/>
  <c r="T11" i="1"/>
  <c r="T12" i="1"/>
  <c r="T13" i="1"/>
  <c r="U13" i="1" s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M2" i="1" l="1"/>
  <c r="N2" i="1" s="1"/>
  <c r="M3" i="1"/>
  <c r="N3" i="1" s="1"/>
  <c r="M4" i="1"/>
  <c r="N4" i="1" s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N6" i="1"/>
  <c r="N18" i="1"/>
  <c r="S2" i="1"/>
  <c r="S3" i="1"/>
  <c r="S5" i="1"/>
  <c r="S7" i="1"/>
  <c r="S9" i="1"/>
  <c r="S12" i="1"/>
  <c r="S15" i="1"/>
  <c r="S17" i="1"/>
  <c r="S18" i="1"/>
  <c r="S19" i="1"/>
  <c r="S21" i="1"/>
  <c r="S22" i="1"/>
  <c r="S24" i="1"/>
  <c r="S29" i="1"/>
  <c r="S30" i="1"/>
  <c r="V2" i="1"/>
  <c r="V3" i="1"/>
  <c r="V5" i="1"/>
  <c r="V7" i="1"/>
  <c r="V9" i="1"/>
  <c r="V12" i="1"/>
  <c r="V15" i="1"/>
  <c r="V17" i="1"/>
  <c r="V18" i="1"/>
  <c r="V19" i="1"/>
  <c r="V21" i="1"/>
  <c r="V22" i="1"/>
  <c r="V24" i="1"/>
  <c r="V29" i="1"/>
  <c r="V30" i="1"/>
  <c r="I2" i="1"/>
  <c r="I3" i="1"/>
  <c r="I4" i="1"/>
  <c r="S4" i="1" s="1"/>
  <c r="I5" i="1"/>
  <c r="I6" i="1"/>
  <c r="S6" i="1" s="1"/>
  <c r="I7" i="1"/>
  <c r="I8" i="1"/>
  <c r="S8" i="1" s="1"/>
  <c r="I9" i="1"/>
  <c r="I10" i="1"/>
  <c r="S10" i="1" s="1"/>
  <c r="I11" i="1"/>
  <c r="S11" i="1" s="1"/>
  <c r="I12" i="1"/>
  <c r="I13" i="1"/>
  <c r="S13" i="1" s="1"/>
  <c r="I14" i="1"/>
  <c r="S14" i="1" s="1"/>
  <c r="I15" i="1"/>
  <c r="I16" i="1"/>
  <c r="S16" i="1" s="1"/>
  <c r="I17" i="1"/>
  <c r="I18" i="1"/>
  <c r="I19" i="1"/>
  <c r="I20" i="1"/>
  <c r="S20" i="1" s="1"/>
  <c r="I21" i="1"/>
  <c r="I22" i="1"/>
  <c r="I23" i="1"/>
  <c r="S23" i="1" s="1"/>
  <c r="I24" i="1"/>
  <c r="I25" i="1"/>
  <c r="S25" i="1" s="1"/>
  <c r="I26" i="1"/>
  <c r="S26" i="1" s="1"/>
  <c r="I27" i="1"/>
  <c r="S27" i="1" s="1"/>
  <c r="I28" i="1"/>
  <c r="S28" i="1" s="1"/>
  <c r="I29" i="1"/>
  <c r="I30" i="1"/>
  <c r="AC2" i="1" l="1"/>
  <c r="AC6" i="1"/>
  <c r="AC10" i="1"/>
  <c r="AC14" i="1"/>
  <c r="AC18" i="1"/>
  <c r="AC22" i="1"/>
  <c r="AC26" i="1"/>
  <c r="AC30" i="1"/>
  <c r="AC4" i="1"/>
  <c r="AC12" i="1"/>
  <c r="AC20" i="1"/>
  <c r="AC28" i="1"/>
  <c r="AC9" i="1"/>
  <c r="AC17" i="1"/>
  <c r="AC25" i="1"/>
  <c r="AC3" i="1"/>
  <c r="AC7" i="1"/>
  <c r="AC11" i="1"/>
  <c r="AC15" i="1"/>
  <c r="AC19" i="1"/>
  <c r="AC23" i="1"/>
  <c r="AC27" i="1"/>
  <c r="AC8" i="1"/>
  <c r="AC16" i="1"/>
  <c r="AC24" i="1"/>
  <c r="AC5" i="1"/>
  <c r="AC13" i="1"/>
  <c r="AC21" i="1"/>
  <c r="AC29" i="1"/>
  <c r="J29" i="1"/>
  <c r="J28" i="1"/>
  <c r="K4" i="1"/>
  <c r="K3" i="1"/>
  <c r="J25" i="1"/>
  <c r="J21" i="1"/>
  <c r="J17" i="1"/>
  <c r="J13" i="1"/>
  <c r="J9" i="1"/>
  <c r="J5" i="1"/>
  <c r="K29" i="1"/>
  <c r="K25" i="1"/>
  <c r="K21" i="1"/>
  <c r="K17" i="1"/>
  <c r="K13" i="1"/>
  <c r="K9" i="1"/>
  <c r="K5" i="1"/>
  <c r="J16" i="1"/>
  <c r="J8" i="1"/>
  <c r="K24" i="1"/>
  <c r="K12" i="1"/>
  <c r="J27" i="1"/>
  <c r="J19" i="1"/>
  <c r="J7" i="1"/>
  <c r="K27" i="1"/>
  <c r="K23" i="1"/>
  <c r="K19" i="1"/>
  <c r="K15" i="1"/>
  <c r="K11" i="1"/>
  <c r="K7" i="1"/>
  <c r="J24" i="1"/>
  <c r="J20" i="1"/>
  <c r="J12" i="1"/>
  <c r="J4" i="1"/>
  <c r="K28" i="1"/>
  <c r="K20" i="1"/>
  <c r="K16" i="1"/>
  <c r="K8" i="1"/>
  <c r="L2" i="1"/>
  <c r="L6" i="1"/>
  <c r="L10" i="1"/>
  <c r="L14" i="1"/>
  <c r="L18" i="1"/>
  <c r="L22" i="1"/>
  <c r="L26" i="1"/>
  <c r="L30" i="1"/>
  <c r="L23" i="1"/>
  <c r="L27" i="1"/>
  <c r="L8" i="1"/>
  <c r="L16" i="1"/>
  <c r="L20" i="1"/>
  <c r="L28" i="1"/>
  <c r="L5" i="1"/>
  <c r="L13" i="1"/>
  <c r="L21" i="1"/>
  <c r="L25" i="1"/>
  <c r="L3" i="1"/>
  <c r="L7" i="1"/>
  <c r="L11" i="1"/>
  <c r="L15" i="1"/>
  <c r="L19" i="1"/>
  <c r="L4" i="1"/>
  <c r="L12" i="1"/>
  <c r="L24" i="1"/>
  <c r="L9" i="1"/>
  <c r="L17" i="1"/>
  <c r="L29" i="1"/>
  <c r="J23" i="1"/>
  <c r="J15" i="1"/>
  <c r="P15" i="1" s="1"/>
  <c r="J11" i="1"/>
  <c r="J3" i="1"/>
  <c r="J30" i="1"/>
  <c r="J26" i="1"/>
  <c r="J22" i="1"/>
  <c r="J18" i="1"/>
  <c r="J14" i="1"/>
  <c r="J10" i="1"/>
  <c r="J6" i="1"/>
  <c r="J2" i="1"/>
  <c r="K30" i="1"/>
  <c r="K26" i="1"/>
  <c r="K22" i="1"/>
  <c r="K18" i="1"/>
  <c r="K14" i="1"/>
  <c r="K10" i="1"/>
  <c r="K6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P12" i="1" l="1"/>
  <c r="P27" i="1"/>
  <c r="P28" i="1"/>
  <c r="P29" i="1"/>
  <c r="P17" i="1"/>
  <c r="P26" i="1"/>
  <c r="P16" i="1"/>
  <c r="P18" i="1"/>
  <c r="P6" i="1"/>
  <c r="P22" i="1"/>
  <c r="P11" i="1"/>
  <c r="P4" i="1"/>
  <c r="P19" i="1"/>
  <c r="P8" i="1"/>
  <c r="P13" i="1"/>
  <c r="P10" i="1"/>
  <c r="P14" i="1"/>
  <c r="P30" i="1"/>
  <c r="P23" i="1"/>
  <c r="P20" i="1"/>
  <c r="P5" i="1"/>
  <c r="P21" i="1"/>
  <c r="P2" i="1"/>
  <c r="P3" i="1"/>
  <c r="P24" i="1"/>
  <c r="P7" i="1"/>
  <c r="P9" i="1"/>
  <c r="P25" i="1"/>
  <c r="X2" i="1" l="1"/>
  <c r="X6" i="1"/>
  <c r="X10" i="1"/>
  <c r="X14" i="1"/>
  <c r="X18" i="1"/>
  <c r="X22" i="1"/>
  <c r="X26" i="1"/>
  <c r="X30" i="1"/>
  <c r="X3" i="1"/>
  <c r="X7" i="1"/>
  <c r="X11" i="1"/>
  <c r="X15" i="1"/>
  <c r="X19" i="1"/>
  <c r="X23" i="1"/>
  <c r="X27" i="1"/>
  <c r="X4" i="1"/>
  <c r="X8" i="1"/>
  <c r="X12" i="1"/>
  <c r="X16" i="1"/>
  <c r="X20" i="1"/>
  <c r="X24" i="1"/>
  <c r="X28" i="1"/>
  <c r="X5" i="1"/>
  <c r="X9" i="1"/>
  <c r="X13" i="1"/>
  <c r="X17" i="1"/>
  <c r="X21" i="1"/>
  <c r="X25" i="1"/>
  <c r="X29" i="1"/>
  <c r="W6" i="1"/>
  <c r="Q15" i="1"/>
  <c r="Q7" i="1"/>
  <c r="R7" i="1" s="1"/>
  <c r="Q23" i="1"/>
  <c r="Q10" i="1"/>
  <c r="R10" i="1" s="1"/>
  <c r="V10" i="1" s="1"/>
  <c r="Q4" i="1"/>
  <c r="R4" i="1" s="1"/>
  <c r="V4" i="1" s="1"/>
  <c r="Q24" i="1"/>
  <c r="R24" i="1" s="1"/>
  <c r="Q25" i="1"/>
  <c r="R25" i="1" s="1"/>
  <c r="V25" i="1" s="1"/>
  <c r="Q5" i="1"/>
  <c r="R5" i="1" s="1"/>
  <c r="Q9" i="1"/>
  <c r="Q2" i="1"/>
  <c r="Q20" i="1"/>
  <c r="R20" i="1" s="1"/>
  <c r="V20" i="1" s="1"/>
  <c r="Q27" i="1"/>
  <c r="R27" i="1" s="1"/>
  <c r="V27" i="1" s="1"/>
  <c r="Q19" i="1"/>
  <c r="Q6" i="1"/>
  <c r="R6" i="1" s="1"/>
  <c r="V6" i="1" s="1"/>
  <c r="Q12" i="1"/>
  <c r="Q18" i="1"/>
  <c r="Q21" i="1"/>
  <c r="R21" i="1" s="1"/>
  <c r="Q30" i="1"/>
  <c r="R30" i="1" s="1"/>
  <c r="Q13" i="1"/>
  <c r="Q11" i="1"/>
  <c r="R11" i="1" s="1"/>
  <c r="V11" i="1" s="1"/>
  <c r="Q17" i="1"/>
  <c r="R17" i="1" s="1"/>
  <c r="Q29" i="1"/>
  <c r="R29" i="1" s="1"/>
  <c r="Q26" i="1"/>
  <c r="R26" i="1" s="1"/>
  <c r="V26" i="1" s="1"/>
  <c r="Q3" i="1"/>
  <c r="R3" i="1" s="1"/>
  <c r="Q14" i="1"/>
  <c r="R14" i="1" s="1"/>
  <c r="V14" i="1" s="1"/>
  <c r="Q8" i="1"/>
  <c r="R8" i="1" s="1"/>
  <c r="V8" i="1" s="1"/>
  <c r="W8" i="1" s="1"/>
  <c r="Q22" i="1"/>
  <c r="R22" i="1" s="1"/>
  <c r="Q16" i="1"/>
  <c r="R16" i="1" s="1"/>
  <c r="V16" i="1" s="1"/>
  <c r="Q28" i="1"/>
  <c r="R28" i="1" s="1"/>
  <c r="V28" i="1" s="1"/>
  <c r="R15" i="1"/>
  <c r="R23" i="1"/>
  <c r="V23" i="1" s="1"/>
  <c r="R19" i="1"/>
  <c r="R12" i="1"/>
  <c r="R13" i="1"/>
  <c r="S31" i="1"/>
  <c r="R9" i="1"/>
  <c r="R18" i="1" l="1"/>
  <c r="U29" i="1"/>
  <c r="W29" i="1" s="1"/>
  <c r="U28" i="1"/>
  <c r="W28" i="1" s="1"/>
  <c r="U4" i="1"/>
  <c r="W4" i="1" s="1"/>
  <c r="U26" i="1"/>
  <c r="W26" i="1" s="1"/>
  <c r="U11" i="1"/>
  <c r="W11" i="1" s="1"/>
  <c r="U2" i="1"/>
  <c r="W2" i="1" s="1"/>
  <c r="U18" i="1"/>
  <c r="W18" i="1" s="1"/>
  <c r="U16" i="1"/>
  <c r="W16" i="1" s="1"/>
  <c r="U30" i="1"/>
  <c r="W30" i="1" s="1"/>
  <c r="U15" i="1"/>
  <c r="W15" i="1" s="1"/>
  <c r="U10" i="1"/>
  <c r="W10" i="1" s="1"/>
  <c r="U17" i="1"/>
  <c r="W17" i="1" s="1"/>
  <c r="U19" i="1"/>
  <c r="W19" i="1" s="1"/>
  <c r="U14" i="1"/>
  <c r="W14" i="1" s="1"/>
  <c r="U25" i="1"/>
  <c r="W25" i="1" s="1"/>
  <c r="U9" i="1"/>
  <c r="W9" i="1" s="1"/>
  <c r="U12" i="1"/>
  <c r="W12" i="1" s="1"/>
  <c r="U23" i="1"/>
  <c r="W23" i="1" s="1"/>
  <c r="U3" i="1"/>
  <c r="W3" i="1" s="1"/>
  <c r="U21" i="1"/>
  <c r="W21" i="1" s="1"/>
  <c r="U20" i="1"/>
  <c r="W20" i="1" s="1"/>
  <c r="U27" i="1"/>
  <c r="W27" i="1" s="1"/>
  <c r="U22" i="1"/>
  <c r="W22" i="1" s="1"/>
  <c r="U7" i="1"/>
  <c r="W7" i="1" s="1"/>
  <c r="U24" i="1"/>
  <c r="W24" i="1" s="1"/>
  <c r="V13" i="1"/>
  <c r="W13" i="1" s="1"/>
  <c r="R2" i="1"/>
  <c r="Z2" i="1" l="1"/>
  <c r="Z6" i="1"/>
  <c r="Z10" i="1"/>
  <c r="Z14" i="1"/>
  <c r="Z18" i="1"/>
  <c r="Z22" i="1"/>
  <c r="Z26" i="1"/>
  <c r="Z30" i="1"/>
  <c r="Y5" i="1"/>
  <c r="Y9" i="1"/>
  <c r="Y13" i="1"/>
  <c r="Y17" i="1"/>
  <c r="AA17" i="1" s="1"/>
  <c r="AB17" i="1" s="1"/>
  <c r="Y21" i="1"/>
  <c r="Y25" i="1"/>
  <c r="Y29" i="1"/>
  <c r="Z3" i="1"/>
  <c r="Z7" i="1"/>
  <c r="Z11" i="1"/>
  <c r="Z15" i="1"/>
  <c r="Z19" i="1"/>
  <c r="Z23" i="1"/>
  <c r="Z27" i="1"/>
  <c r="Y2" i="1"/>
  <c r="AA2" i="1" s="1"/>
  <c r="AB2" i="1" s="1"/>
  <c r="Y6" i="1"/>
  <c r="AA6" i="1" s="1"/>
  <c r="AB6" i="1" s="1"/>
  <c r="Y10" i="1"/>
  <c r="Y14" i="1"/>
  <c r="Y18" i="1"/>
  <c r="AA18" i="1" s="1"/>
  <c r="AB18" i="1" s="1"/>
  <c r="Y22" i="1"/>
  <c r="AA22" i="1" s="1"/>
  <c r="AB22" i="1" s="1"/>
  <c r="Y30" i="1"/>
  <c r="Z4" i="1"/>
  <c r="Z8" i="1"/>
  <c r="Z12" i="1"/>
  <c r="Z16" i="1"/>
  <c r="Z20" i="1"/>
  <c r="Z24" i="1"/>
  <c r="Z28" i="1"/>
  <c r="Y3" i="1"/>
  <c r="Y7" i="1"/>
  <c r="AA7" i="1" s="1"/>
  <c r="AB7" i="1" s="1"/>
  <c r="Y11" i="1"/>
  <c r="Y15" i="1"/>
  <c r="AA15" i="1" s="1"/>
  <c r="AB15" i="1" s="1"/>
  <c r="Y19" i="1"/>
  <c r="Y23" i="1"/>
  <c r="AA23" i="1" s="1"/>
  <c r="AB23" i="1" s="1"/>
  <c r="Y27" i="1"/>
  <c r="Z5" i="1"/>
  <c r="Z9" i="1"/>
  <c r="Z13" i="1"/>
  <c r="Z17" i="1"/>
  <c r="Z21" i="1"/>
  <c r="Z25" i="1"/>
  <c r="Z29" i="1"/>
  <c r="Y4" i="1"/>
  <c r="Y8" i="1"/>
  <c r="AA8" i="1" s="1"/>
  <c r="AB8" i="1" s="1"/>
  <c r="Y12" i="1"/>
  <c r="Y16" i="1"/>
  <c r="AA16" i="1" s="1"/>
  <c r="AB16" i="1" s="1"/>
  <c r="Y20" i="1"/>
  <c r="Y24" i="1"/>
  <c r="AA24" i="1" s="1"/>
  <c r="AB24" i="1" s="1"/>
  <c r="Y28" i="1"/>
  <c r="Y26" i="1"/>
  <c r="W31" i="1"/>
  <c r="AA26" i="1" l="1"/>
  <c r="AB26" i="1" s="1"/>
  <c r="AA14" i="1"/>
  <c r="AB14" i="1" s="1"/>
  <c r="AA25" i="1"/>
  <c r="AB25" i="1" s="1"/>
  <c r="AA9" i="1"/>
  <c r="AB9" i="1" s="1"/>
  <c r="AA10" i="1"/>
  <c r="AB10" i="1" s="1"/>
  <c r="AA20" i="1"/>
  <c r="AB20" i="1" s="1"/>
  <c r="AA4" i="1"/>
  <c r="AB4" i="1" s="1"/>
  <c r="AA27" i="1"/>
  <c r="AB27" i="1" s="1"/>
  <c r="AA11" i="1"/>
  <c r="AB11" i="1" s="1"/>
  <c r="AA29" i="1"/>
  <c r="AB29" i="1" s="1"/>
  <c r="AA13" i="1"/>
  <c r="AB13" i="1" s="1"/>
  <c r="AA28" i="1"/>
  <c r="AB28" i="1" s="1"/>
  <c r="AA12" i="1"/>
  <c r="AB12" i="1" s="1"/>
  <c r="AA19" i="1"/>
  <c r="AB19" i="1" s="1"/>
  <c r="AA3" i="1"/>
  <c r="AB3" i="1" s="1"/>
  <c r="AA30" i="1"/>
  <c r="AB30" i="1" s="1"/>
  <c r="AA21" i="1"/>
  <c r="AB21" i="1" s="1"/>
  <c r="AA5" i="1"/>
  <c r="AB5" i="1" s="1"/>
</calcChain>
</file>

<file path=xl/sharedStrings.xml><?xml version="1.0" encoding="utf-8"?>
<sst xmlns="http://schemas.openxmlformats.org/spreadsheetml/2006/main" count="142" uniqueCount="55">
  <si>
    <t>ATIVO</t>
  </si>
  <si>
    <t>[C/V]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</si>
  <si>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</si>
  <si>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</si>
  <si>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</si>
  <si>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</si>
  <si>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</si>
  <si>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</si>
  <si>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</si>
  <si>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</si>
  <si>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</si>
  <si>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</si>
  <si>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</si>
  <si>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V</t>
  </si>
  <si>
    <t>N</t>
  </si>
  <si>
    <t>INET3</t>
  </si>
  <si>
    <t>C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</si>
  <si>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</si>
  <si>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</si>
  <si>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</si>
  <si>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</si>
  <si>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</si>
  <si>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</si>
  <si>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</si>
  <si>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</si>
  <si>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</si>
  <si>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</si>
  <si>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</si>
  <si>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</si>
  <si>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</si>
  <si>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</si>
  <si>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</si>
  <si>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</si>
  <si>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</si>
  <si>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</si>
  <si>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</si>
  <si>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</si>
  <si>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</si>
  <si>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</si>
  <si>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</si>
  <si>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</si>
  <si>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</si>
  <si>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</si>
  <si>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</si>
  <si>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</si>
  <si>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</si>
  <si>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</si>
  <si>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%</t>
  </si>
  <si>
    <t>CARTEIRA</t>
  </si>
  <si>
    <t>LUCRO MÊS</t>
  </si>
  <si>
    <t>SALDO</t>
  </si>
  <si>
    <t>VOLUME</t>
  </si>
  <si>
    <t>LUCRO D</t>
  </si>
  <si>
    <t>LUCRO N</t>
  </si>
  <si>
    <t>LUCRO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</si>
</sst>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0" fontId="3" fillId="0" borderId="0" xfId="0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6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C31" totalsRowCount="1" headerRowDxfId="57" dataDxfId="56">
  <autoFilter ref="A1:AC30"/>
  <sortState ref="A2:AC30">
    <sortCondition ref="A1:A30"/>
  </sortState>
  <tableColumns count="29">
    <tableColumn id="19" name="ID" totalsRowLabel="Total" dataDxfId="55" totalsRowDxfId="27"/>
    <tableColumn id="2" name="ATIVO" dataDxfId="54" totalsRowDxfId="26"/>
    <tableColumn id="3" name="[C/V]" dataDxfId="53" totalsRowDxfId="25"/>
    <tableColumn id="4" name="DATA" dataDxfId="52" totalsRowDxfId="24"/>
    <tableColumn id="5" name="QTDE" dataDxfId="51" totalsRowDxfId="23"/>
    <tableColumn id="6" name="PREÇO" dataDxfId="50" totalsRowDxfId="22"/>
    <tableColumn id="7" name="[D/N]" dataDxfId="49" totalsRowDxfId="21"/>
    <tableColumn id="21" name="PAR" dataDxfId="48" totalsRowDxfId="20">
      <calculatedColumnFormula>SUMPRODUCT(N(NC[ATIVO]=NC[[#This Row],[ATIVO]]),N(NC['[D/N']]="N"),N(NC['[C/V']]="C"))+SUMPRODUCT(N(NC[ID]&lt;NC[[#This Row],[ID]]),N(NC[ATIVO]=NC[[#This Row],[ATIVO]]),N(NC['[D/N']]="N"),N(NC[SALDO]=0))</calculatedColumnFormula>
    </tableColumn>
    <tableColumn id="8" name="VALOR" dataDxfId="47" totalsRowDxfId="19">
      <calculatedColumnFormula>NC[QTDE]*NC[PREÇO]</calculatedColumnFormula>
    </tableColumn>
    <tableColumn id="9" name="VL LIQUID" dataDxfId="46" totalsRowDxfId="18">
      <calculatedColumnFormula>SUMPRODUCT(N(NC[DATA]=NC[[#This Row],[DATA]]),N(NC[ID]&lt;=NC[[#This Row],[ID]]),N(NC['[C/V']]="V"),NC[VALOR])-SUMPRODUCT(N(NC[DATA]=NC[[#This Row],[DATA]]),N(NC[ID]&lt;=NC[[#This Row],[ID]]),N(NC['[C/V']]="C"),NC[VALOR])</calculatedColumnFormula>
    </tableColumn>
    <tableColumn id="10" name="TX LIQUID" dataDxfId="45" totalsRowDxfId="17">
      <calculatedColumnFormula>TRUNC(SUMPRODUCT(N(NC[DATA]=NC[[#This Row],[DATA]]),N(NC[ID]&lt;=NC[[#This Row],[ID]]),N(NC['[D/N']]="D"),NC[VALOR]*SETUP!$D$3)+SUMPRODUCT(N(NC[DATA]=NC[[#This Row],[DATA]]),N(NC[ID]&lt;=NC[[#This Row],[ID]]),N(NC['[D/N']]="N"),NC[VALOR]*SETUP!$B$3),2)</calculatedColumnFormula>
    </tableColumn>
    <tableColumn id="11" name="EMOL" dataDxfId="44" totalsRowDxfId="16">
      <calculatedColumnFormula>TRUNC(SUMPRODUCT(N(NC[DATA]=NC[[#This Row],[DATA]]),N(NC[ID]&lt;=NC[[#This Row],[ID]]),NC[VALOR]*SETUP!$A$3),2)</calculatedColumnFormula>
    </tableColumn>
    <tableColumn id="12" name="CORR. BASE" dataDxfId="43" totalsRowDxfId="15">
      <calculatedColumnFormula>SETUP!$E$3*SUMPRODUCT(N(NC[DATA]=NC[[#This Row],[DATA]]),N(NC[ID]&lt;=NC[[#This Row],[ID]]))</calculatedColumnFormula>
    </tableColumn>
    <tableColumn id="13" name="ISS" dataDxfId="42" totalsRowDxfId="14">
      <calculatedColumnFormula>TRUNC(NC[CORR. BASE]*SETUP!$F$3,2)</calculatedColumnFormula>
    </tableColumn>
    <tableColumn id="15" name="OUTRAS" dataDxfId="41" totalsRowDxfId="13">
      <calculatedColumnFormula>SETUP!$G$3*SUMPRODUCT(N(NC[DATA]=NC[[#This Row],[DATA]]),N(NC[ID]&lt;=NC[[#This Row],[ID]]))</calculatedColumnFormula>
    </tableColumn>
    <tableColumn id="16" name="LÍQUIDO" dataDxfId="40" totalsRowDxfId="12">
      <calculatedColumnFormula>NC[VL LIQUID]-NC[TX LIQUID]-NC[EMOL]-NC[CORR. BASE]-NC[ISS]-NC[OUTRAS]</calculatedColumnFormula>
    </tableColumn>
    <tableColumn id="17" name="VALOR P/ OP" dataDxfId="39" totalsRowDxfId="11">
      <calculatedColumnFormula>NC[LÍQUIDO]-SUMPRODUCT(N(NC[DATA]=NC[[#This Row],[DATA]]),N(NC[ID]=(NC[[#This Row],[ID]]-1)),NC[LÍQUIDO])</calculatedColumnFormula>
    </tableColumn>
    <tableColumn id="18" name="MEDIO" dataDxfId="38" totalsRowDxfId="10">
      <calculatedColumnFormula>ABS(Q2)/E2</calculatedColumnFormula>
    </tableColumn>
    <tableColumn id="20" name="IRRF" totalsRowFunction="sum" dataDxfId="37" totalsRowDxfId="9">
      <calculatedColumnFormula>TRUNC(IF(NC['[C/V']]="V",I2*SETUP!$H$3,0),2)</calculatedColumnFormula>
    </tableColumn>
    <tableColumn id="24" name="SALDO" dataDxfId="36" totalsRowDxfId="8">
      <calculatedColumnFormula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calculatedColumnFormula>
    </tableColumn>
    <tableColumn id="22" name="MED CP" dataDxfId="29" totalsRowDxfId="7">
      <calculatedColumnFormula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calculatedColumnFormula>
    </tableColumn>
    <tableColumn id="23" name="MED VD" dataDxfId="35" totalsRowDxfId="6">
      <calculatedColumnFormula>IF(NC['[C/V']]="V",NC[MEDIO],0)</calculatedColumnFormula>
    </tableColumn>
    <tableColumn id="25" name="LUCRO OP" totalsRowFunction="sum" dataDxfId="28" totalsRowDxfId="5">
      <calculatedColumnFormula>IF(NC['[D/N']]="D",IF(NC['[C/V']]="C",0,SUMPRODUCT(N(NC[DATA]=NC[[#This Row],[DATA]]),N(NC['[C/V']]="V"),NC[LÍQUIDO])),IF(AND(NC[MED CP]&gt;0,NC[MED VD]&gt;0),(NC[MED VD]-NC[MED CP])*NC[QTDE],0))</calculatedColumnFormula>
    </tableColumn>
    <tableColumn id="27" name="CARTEIRA" dataDxfId="0" totalsRowDxfId="4">
      <calculatedColumnFormula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calculatedColumnFormula>
    </tableColumn>
    <tableColumn id="26" name="LUCRO N" dataDxfId="33" totalsRowDxfId="3">
      <calculatedColumnFormula>SUMPRODUCT(N(YEAR(NC[DATA])=YEAR(NC[[#This Row],[DATA]])),N(MONTH(NC[DATA])=MONTH(NC[[#This Row],[DATA]])),N(NC['[D/N']]="N"),NC[LUCRO OP])</calculatedColumnFormula>
    </tableColumn>
    <tableColumn id="14" name="LUCRO D" dataDxfId="32" totalsRowDxfId="2">
      <calculatedColumnFormula>SUMPRODUCT(N(YEAR(NC[DATA])=YEAR(NC[[#This Row],[DATA]])),N(MONTH(NC[DATA])=MONTH(NC[[#This Row],[DATA]])),N(NC['[D/N']]="D"),NC[LUCRO OP])</calculatedColumnFormula>
    </tableColumn>
    <tableColumn id="29" name="LUCRO MÊS" dataDxfId="31" totalsRowDxfId="1">
      <calculatedColumnFormula>NC[LUCRO N]+NC[LUCRO D]</calculatedColumnFormula>
    </tableColumn>
    <tableColumn id="28" name="%" dataDxfId="30">
      <calculatedColumnFormula>NC[LUCRO MÊS]/(NC[CARTEIRA]-NC[LUCRO MÊS])</calculatedColumnFormula>
    </tableColumn>
    <tableColumn id="1" name="VOLUME" dataDxfId="34">
      <calculatedColumnFormula>SUMPRODUCT(N(MONTH(NC[DATA])=MONTH(NC[[#This Row],[DATA]])),N(YEAR(NC[DATA])=YEAR(NC[[#This Row],[DATA]])),N(NC['[C/V']]="V"),NC[VALOR])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36</v>
      </c>
      <c r="B3" s="11"/>
    </row>
    <row r="4" spans="1:2" x14ac:dyDescent="0.2">
      <c r="A4" s="8" t="s">
        <v>0</v>
      </c>
      <c r="B4" s="11" t="s">
        <v>35</v>
      </c>
    </row>
    <row r="5" spans="1:2" x14ac:dyDescent="0.2">
      <c r="A5" s="7" t="s">
        <v>31</v>
      </c>
      <c r="B5" s="12">
        <v>-862.45000000000027</v>
      </c>
    </row>
    <row r="6" spans="1:2" x14ac:dyDescent="0.2">
      <c r="A6" s="9" t="s">
        <v>28</v>
      </c>
      <c r="B6" s="13">
        <v>-130.13999999999999</v>
      </c>
    </row>
    <row r="7" spans="1:2" x14ac:dyDescent="0.2">
      <c r="A7" s="9" t="s">
        <v>25</v>
      </c>
      <c r="B7" s="13">
        <v>205.45000000000027</v>
      </c>
    </row>
    <row r="8" spans="1:2" x14ac:dyDescent="0.2">
      <c r="A8" s="9" t="s">
        <v>32</v>
      </c>
      <c r="B8" s="13">
        <v>-1201.19</v>
      </c>
    </row>
    <row r="9" spans="1:2" x14ac:dyDescent="0.2">
      <c r="A9" s="9" t="s">
        <v>15</v>
      </c>
      <c r="B9" s="13">
        <v>-121.93</v>
      </c>
    </row>
    <row r="10" spans="1:2" x14ac:dyDescent="0.2">
      <c r="A10" s="9" t="s">
        <v>27</v>
      </c>
      <c r="B10" s="13">
        <v>-21.560000000000855</v>
      </c>
    </row>
    <row r="11" spans="1:2" x14ac:dyDescent="0.2">
      <c r="A11" s="9" t="s">
        <v>29</v>
      </c>
      <c r="B11" s="13">
        <v>-81.129999999999654</v>
      </c>
    </row>
    <row r="12" spans="1:2" x14ac:dyDescent="0.2">
      <c r="A12" s="9" t="s">
        <v>12</v>
      </c>
      <c r="B12" s="13">
        <v>-255.90999999999991</v>
      </c>
    </row>
    <row r="13" spans="1:2" x14ac:dyDescent="0.2">
      <c r="A13" s="9" t="s">
        <v>26</v>
      </c>
      <c r="B13" s="13">
        <v>-88.079999999999814</v>
      </c>
    </row>
    <row r="14" spans="1:2" x14ac:dyDescent="0.2">
      <c r="A14" s="9" t="s">
        <v>30</v>
      </c>
      <c r="B14" s="13">
        <v>-150.42000000000007</v>
      </c>
    </row>
    <row r="15" spans="1:2" x14ac:dyDescent="0.2">
      <c r="A15" s="9" t="s">
        <v>33</v>
      </c>
      <c r="B15" s="13"/>
    </row>
    <row r="16" spans="1:2" x14ac:dyDescent="0.2">
      <c r="A16" s="10" t="s">
        <v>34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Q6" sqref="Q6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7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.140625" style="15" bestFit="1" customWidth="1"/>
    <col min="8" max="8" width="6" style="15" hidden="1" customWidth="1"/>
    <col min="9" max="9" width="10" style="16" hidden="1" customWidth="1"/>
    <col min="10" max="10" width="9.85546875" style="15" hidden="1" customWidth="1"/>
    <col min="11" max="11" width="7.140625" style="17" hidden="1" customWidth="1"/>
    <col min="12" max="12" width="10.85546875" style="15" hidden="1" customWidth="1"/>
    <col min="13" max="13" width="10.85546875" style="16" hidden="1" customWidth="1"/>
    <col min="14" max="14" width="8.5703125" style="15" hidden="1" customWidth="1"/>
    <col min="15" max="15" width="9.85546875" style="15" hidden="1" customWidth="1"/>
    <col min="16" max="16" width="9.85546875" style="15" bestFit="1" customWidth="1"/>
    <col min="17" max="17" width="11.85546875" style="15" bestFit="1" customWidth="1"/>
    <col min="18" max="18" width="7.85546875" style="15" bestFit="1" customWidth="1"/>
    <col min="19" max="19" width="6.85546875" style="15" bestFit="1" customWidth="1"/>
    <col min="20" max="20" width="7.7109375" style="15" bestFit="1" customWidth="1"/>
    <col min="21" max="21" width="8.42578125" style="15" bestFit="1" customWidth="1"/>
    <col min="22" max="22" width="8.7109375" style="15" bestFit="1" customWidth="1"/>
    <col min="23" max="24" width="9.85546875" style="15" bestFit="1" customWidth="1"/>
    <col min="25" max="26" width="9" style="15" bestFit="1" customWidth="1"/>
    <col min="27" max="27" width="10.85546875" style="15" bestFit="1" customWidth="1"/>
    <col min="28" max="28" width="6.42578125" style="15" bestFit="1" customWidth="1"/>
    <col min="29" max="16384" width="11.5703125" style="15"/>
  </cols>
  <sheetData>
    <row r="1" spans="1:29" s="18" customFormat="1" x14ac:dyDescent="0.2">
      <c r="A1" s="18" t="s">
        <v>39</v>
      </c>
      <c r="B1" s="18" t="s">
        <v>0</v>
      </c>
      <c r="C1" s="18" t="s">
        <v>1</v>
      </c>
      <c r="D1" s="18" t="s">
        <v>37</v>
      </c>
      <c r="E1" s="18" t="s">
        <v>2</v>
      </c>
      <c r="F1" s="18" t="s">
        <v>3</v>
      </c>
      <c r="G1" s="18" t="s">
        <v>4</v>
      </c>
      <c r="H1" s="18" t="s">
        <v>46</v>
      </c>
      <c r="I1" s="18" t="s">
        <v>5</v>
      </c>
      <c r="J1" s="18" t="s">
        <v>38</v>
      </c>
      <c r="K1" s="19" t="s">
        <v>6</v>
      </c>
      <c r="L1" s="18" t="s">
        <v>7</v>
      </c>
      <c r="M1" s="20" t="s">
        <v>8</v>
      </c>
      <c r="N1" s="18" t="s">
        <v>9</v>
      </c>
      <c r="O1" s="20" t="s">
        <v>10</v>
      </c>
      <c r="P1" s="18" t="s">
        <v>11</v>
      </c>
      <c r="Q1" s="18" t="s">
        <v>40</v>
      </c>
      <c r="R1" s="18" t="s">
        <v>41</v>
      </c>
      <c r="S1" s="18" t="s">
        <v>43</v>
      </c>
      <c r="T1" s="18" t="s">
        <v>50</v>
      </c>
      <c r="U1" s="18" t="s">
        <v>44</v>
      </c>
      <c r="V1" s="18" t="s">
        <v>45</v>
      </c>
      <c r="W1" s="18" t="s">
        <v>54</v>
      </c>
      <c r="X1" s="18" t="s">
        <v>48</v>
      </c>
      <c r="Y1" s="18" t="s">
        <v>53</v>
      </c>
      <c r="Z1" s="18" t="s">
        <v>52</v>
      </c>
      <c r="AA1" s="18" t="s">
        <v>49</v>
      </c>
      <c r="AB1" s="18" t="s">
        <v>47</v>
      </c>
      <c r="AC1" s="18" t="s">
        <v>51</v>
      </c>
    </row>
    <row r="2" spans="1:29" s="21" customFormat="1" x14ac:dyDescent="0.2">
      <c r="A2" s="21">
        <v>1</v>
      </c>
      <c r="B2" s="21" t="s">
        <v>25</v>
      </c>
      <c r="C2" s="21" t="s">
        <v>16</v>
      </c>
      <c r="D2" s="22">
        <v>40882</v>
      </c>
      <c r="E2" s="21">
        <v>100</v>
      </c>
      <c r="F2" s="23">
        <v>13.62</v>
      </c>
      <c r="G2" s="21" t="s">
        <v>14</v>
      </c>
      <c r="H2" s="21">
        <f>SUMPRODUCT(N(NC[ATIVO]=NC[[#This Row],[ATIVO]]),N(NC['[D/N']]="N"),N(NC['[C/V']]="C"))+SUMPRODUCT(N(NC[ID]&lt;NC[[#This Row],[ID]]),N(NC[ATIVO]=NC[[#This Row],[ATIVO]]),N(NC['[D/N']]="N"),N(NC[SALDO]=0))</f>
        <v>1</v>
      </c>
      <c r="I2" s="23">
        <f>NC[QTDE]*NC[PREÇO]</f>
        <v>1362</v>
      </c>
      <c r="J2" s="23">
        <f>SUMPRODUCT(N(NC[DATA]=NC[[#This Row],[DATA]]),N(NC[ID]&lt;=NC[[#This Row],[ID]]),N(NC['[C/V']]="V"),NC[VALOR])-SUMPRODUCT(N(NC[DATA]=NC[[#This Row],[DATA]]),N(NC[ID]&lt;=NC[[#This Row],[ID]]),N(NC['[C/V']]="C"),NC[VALOR])</f>
        <v>-1362</v>
      </c>
      <c r="K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0.37</v>
      </c>
      <c r="L2" s="23">
        <f>TRUNC(SUMPRODUCT(N(NC[DATA]=NC[[#This Row],[DATA]]),N(NC[ID]&lt;=NC[[#This Row],[ID]]),NC[VALOR]*SETUP!$A$3),2)</f>
        <v>0.09</v>
      </c>
      <c r="M2" s="23">
        <f>SETUP!$E$3*SUMPRODUCT(N(NC[DATA]=NC[[#This Row],[DATA]]),N(NC[ID]&lt;=NC[[#This Row],[ID]]))</f>
        <v>14.9</v>
      </c>
      <c r="N2" s="23">
        <f>TRUNC(NC[CORR. BASE]*SETUP!$F$3,2)</f>
        <v>0.28999999999999998</v>
      </c>
      <c r="O2" s="23">
        <f>SETUP!$G$3*SUMPRODUCT(N(NC[DATA]=NC[[#This Row],[DATA]]),N(NC[ID]&lt;=NC[[#This Row],[ID]]))</f>
        <v>0.57999999999999996</v>
      </c>
      <c r="P2" s="23">
        <f>NC[VL LIQUID]-NC[TX LIQUID]-NC[EMOL]-NC[CORR. BASE]-NC[ISS]-NC[OUTRAS]</f>
        <v>-1378.2299999999998</v>
      </c>
      <c r="Q2" s="23">
        <f>NC[LÍQUIDO]-SUMPRODUCT(N(NC[DATA]=NC[[#This Row],[DATA]]),N(NC[ID]=(NC[[#This Row],[ID]]-1)),NC[LÍQUIDO])</f>
        <v>-1378.2299999999998</v>
      </c>
      <c r="R2" s="23">
        <f>ABS(Q2)/E2</f>
        <v>13.782299999999998</v>
      </c>
      <c r="S2" s="23">
        <f>TRUNC(IF(NC['[C/V']]="V",I2*SETUP!$H$3,0),2)</f>
        <v>0</v>
      </c>
      <c r="T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V2" s="25">
        <f>IF(NC['[C/V']]="V",NC[MEDIO],0)</f>
        <v>0</v>
      </c>
      <c r="W2" s="23">
        <f>IF(NC['[D/N']]="D",IF(NC['[C/V']]="C",0,SUMPRODUCT(N(NC[DATA]=NC[[#This Row],[DATA]]),N(NC['[C/V']]="V"),NC[LÍQUIDO])),IF(AND(NC[MED CP]&gt;0,NC[MED VD]&gt;0),(NC[MED VD]-NC[MED CP])*NC[QTDE],0))</f>
        <v>0</v>
      </c>
      <c r="X2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2" s="23">
        <f>SUMPRODUCT(N(YEAR(NC[DATA])=YEAR(NC[[#This Row],[DATA]])),N(MONTH(NC[DATA])=MONTH(NC[[#This Row],[DATA]])),N(NC['[D/N']]="N"),NC[LUCRO OP])</f>
        <v>306.37500000000023</v>
      </c>
      <c r="Z2" s="23">
        <f>SUMPRODUCT(N(YEAR(NC[DATA])=YEAR(NC[[#This Row],[DATA]])),N(MONTH(NC[DATA])=MONTH(NC[[#This Row],[DATA]])),N(NC['[D/N']]="D"),NC[LUCRO OP])</f>
        <v>-36.1</v>
      </c>
      <c r="AA2" s="23">
        <f>NC[LUCRO N]+NC[LUCRO D]</f>
        <v>270.2750000000002</v>
      </c>
      <c r="AB2" s="26">
        <f>NC[LUCRO MÊS]/(NC[CARTEIRA]-NC[LUCRO MÊS])</f>
        <v>7.4778417666271566E-2</v>
      </c>
      <c r="AC2" s="23">
        <f>SUMPRODUCT(N(MONTH(NC[DATA])=MONTH(NC[[#This Row],[DATA]])),N(YEAR(NC[DATA])=YEAR(NC[[#This Row],[DATA]])),N(NC['[C/V']]="V"),NC[VALOR])</f>
        <v>4272</v>
      </c>
    </row>
    <row r="3" spans="1:29" s="21" customFormat="1" x14ac:dyDescent="0.2">
      <c r="A3" s="21">
        <v>2</v>
      </c>
      <c r="B3" s="21" t="s">
        <v>26</v>
      </c>
      <c r="C3" s="21" t="s">
        <v>16</v>
      </c>
      <c r="D3" s="22">
        <v>40886</v>
      </c>
      <c r="E3" s="21">
        <v>100</v>
      </c>
      <c r="F3" s="23">
        <v>8.4499999999999993</v>
      </c>
      <c r="G3" s="21" t="s">
        <v>14</v>
      </c>
      <c r="H3" s="21">
        <f>SUMPRODUCT(N(NC[ATIVO]=NC[[#This Row],[ATIVO]]),N(NC['[D/N']]="N"),N(NC['[C/V']]="C"))+SUMPRODUCT(N(NC[ID]&lt;NC[[#This Row],[ID]]),N(NC[ATIVO]=NC[[#This Row],[ATIVO]]),N(NC['[D/N']]="N"),N(NC[SALDO]=0))</f>
        <v>1</v>
      </c>
      <c r="I3" s="23">
        <f>NC[QTDE]*NC[PREÇO]</f>
        <v>844.99999999999989</v>
      </c>
      <c r="J3" s="23">
        <f>SUMPRODUCT(N(NC[DATA]=NC[[#This Row],[DATA]]),N(NC[ID]&lt;=NC[[#This Row],[ID]]),N(NC['[C/V']]="V"),NC[VALOR])-SUMPRODUCT(N(NC[DATA]=NC[[#This Row],[DATA]]),N(NC[ID]&lt;=NC[[#This Row],[ID]]),N(NC['[C/V']]="C"),NC[VALOR])</f>
        <v>-844.99999999999989</v>
      </c>
      <c r="K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L3" s="23">
        <f>TRUNC(SUMPRODUCT(N(NC[DATA]=NC[[#This Row],[DATA]]),N(NC[ID]&lt;=NC[[#This Row],[ID]]),NC[VALOR]*SETUP!$A$3),2)</f>
        <v>0.05</v>
      </c>
      <c r="M3" s="23">
        <f>SETUP!$E$3*SUMPRODUCT(N(NC[DATA]=NC[[#This Row],[DATA]]),N(NC[ID]&lt;=NC[[#This Row],[ID]]))</f>
        <v>14.9</v>
      </c>
      <c r="N3" s="23">
        <f>TRUNC(NC[CORR. BASE]*SETUP!$F$3,2)</f>
        <v>0.28999999999999998</v>
      </c>
      <c r="O3" s="23">
        <f>SETUP!$G$3*SUMPRODUCT(N(NC[DATA]=NC[[#This Row],[DATA]]),N(NC[ID]&lt;=NC[[#This Row],[ID]]))</f>
        <v>0.57999999999999996</v>
      </c>
      <c r="P3" s="23">
        <f>NC[VL LIQUID]-NC[TX LIQUID]-NC[EMOL]-NC[CORR. BASE]-NC[ISS]-NC[OUTRAS]</f>
        <v>-861.04999999999984</v>
      </c>
      <c r="Q3" s="23">
        <f>NC[LÍQUIDO]-SUMPRODUCT(N(NC[DATA]=NC[[#This Row],[DATA]]),N(NC[ID]=(NC[[#This Row],[ID]]-1)),NC[LÍQUIDO])</f>
        <v>-861.04999999999984</v>
      </c>
      <c r="R3" s="23">
        <f>ABS(Q3)/E3</f>
        <v>8.6104999999999983</v>
      </c>
      <c r="S3" s="23">
        <f>TRUNC(IF(NC['[C/V']]="V",I3*SETUP!$H$3,0),2)</f>
        <v>0</v>
      </c>
      <c r="T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V3" s="25">
        <f>IF(NC['[C/V']]="V",NC[MEDIO],0)</f>
        <v>0</v>
      </c>
      <c r="W3" s="23">
        <f>IF(NC['[D/N']]="D",IF(NC['[C/V']]="C",0,SUMPRODUCT(N(NC[DATA]=NC[[#This Row],[DATA]]),N(NC['[C/V']]="V"),NC[LÍQUIDO])),IF(AND(NC[MED CP]&gt;0,NC[MED VD]&gt;0),(NC[MED VD]-NC[MED CP])*NC[QTDE],0))</f>
        <v>0</v>
      </c>
      <c r="X3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3" s="23">
        <f>SUMPRODUCT(N(YEAR(NC[DATA])=YEAR(NC[[#This Row],[DATA]])),N(MONTH(NC[DATA])=MONTH(NC[[#This Row],[DATA]])),N(NC['[D/N']]="N"),NC[LUCRO OP])</f>
        <v>306.37500000000023</v>
      </c>
      <c r="Z3" s="23">
        <f>SUMPRODUCT(N(YEAR(NC[DATA])=YEAR(NC[[#This Row],[DATA]])),N(MONTH(NC[DATA])=MONTH(NC[[#This Row],[DATA]])),N(NC['[D/N']]="D"),NC[LUCRO OP])</f>
        <v>-36.1</v>
      </c>
      <c r="AA3" s="23">
        <f>NC[LUCRO N]+NC[LUCRO D]</f>
        <v>270.2750000000002</v>
      </c>
      <c r="AB3" s="26">
        <f>NC[LUCRO MÊS]/(NC[CARTEIRA]-NC[LUCRO MÊS])</f>
        <v>7.4778417666271566E-2</v>
      </c>
      <c r="AC3" s="23">
        <f>SUMPRODUCT(N(MONTH(NC[DATA])=MONTH(NC[[#This Row],[DATA]])),N(YEAR(NC[DATA])=YEAR(NC[[#This Row],[DATA]])),N(NC['[C/V']]="V"),NC[VALOR])</f>
        <v>4272</v>
      </c>
    </row>
    <row r="4" spans="1:29" s="21" customFormat="1" x14ac:dyDescent="0.2">
      <c r="A4" s="21">
        <v>3</v>
      </c>
      <c r="B4" s="21" t="s">
        <v>25</v>
      </c>
      <c r="C4" s="21" t="s">
        <v>13</v>
      </c>
      <c r="D4" s="22">
        <v>40889</v>
      </c>
      <c r="E4" s="21">
        <v>100</v>
      </c>
      <c r="F4" s="23">
        <v>16</v>
      </c>
      <c r="G4" s="21" t="s">
        <v>14</v>
      </c>
      <c r="H4" s="21">
        <f>SUMPRODUCT(N(NC[ATIVO]=NC[[#This Row],[ATIVO]]),N(NC['[D/N']]="N"),N(NC['[C/V']]="C"))+SUMPRODUCT(N(NC[ID]&lt;NC[[#This Row],[ID]]),N(NC[ATIVO]=NC[[#This Row],[ATIVO]]),N(NC['[D/N']]="N"),N(NC[SALDO]=0))</f>
        <v>1</v>
      </c>
      <c r="I4" s="23">
        <f>NC[QTDE]*NC[PREÇO]</f>
        <v>1600</v>
      </c>
      <c r="J4" s="23">
        <f>SUMPRODUCT(N(NC[DATA]=NC[[#This Row],[DATA]]),N(NC[ID]&lt;=NC[[#This Row],[ID]]),N(NC['[C/V']]="V"),NC[VALOR])-SUMPRODUCT(N(NC[DATA]=NC[[#This Row],[DATA]]),N(NC[ID]&lt;=NC[[#This Row],[ID]]),N(NC['[C/V']]="C"),NC[VALOR])</f>
        <v>1600</v>
      </c>
      <c r="K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0.44</v>
      </c>
      <c r="L4" s="23">
        <f>TRUNC(SUMPRODUCT(N(NC[DATA]=NC[[#This Row],[DATA]]),N(NC[ID]&lt;=NC[[#This Row],[ID]]),NC[VALOR]*SETUP!$A$3),2)</f>
        <v>0.11</v>
      </c>
      <c r="M4" s="23">
        <f>SETUP!$E$3*SUMPRODUCT(N(NC[DATA]=NC[[#This Row],[DATA]]),N(NC[ID]&lt;=NC[[#This Row],[ID]]))</f>
        <v>14.9</v>
      </c>
      <c r="N4" s="23">
        <f>TRUNC(NC[CORR. BASE]*SETUP!$F$3,2)</f>
        <v>0.28999999999999998</v>
      </c>
      <c r="O4" s="23">
        <f>SETUP!$G$3*SUMPRODUCT(N(NC[DATA]=NC[[#This Row],[DATA]]),N(NC[ID]&lt;=NC[[#This Row],[ID]]))</f>
        <v>0.57999999999999996</v>
      </c>
      <c r="P4" s="23">
        <f>NC[VL LIQUID]-NC[TX LIQUID]-NC[EMOL]-NC[CORR. BASE]-NC[ISS]-NC[OUTRAS]</f>
        <v>1583.68</v>
      </c>
      <c r="Q4" s="23">
        <f>NC[LÍQUIDO]-SUMPRODUCT(N(NC[DATA]=NC[[#This Row],[DATA]]),N(NC[ID]=(NC[[#This Row],[ID]]-1)),NC[LÍQUIDO])</f>
        <v>1583.68</v>
      </c>
      <c r="R4" s="23">
        <f>ABS(Q4)/E4</f>
        <v>15.8368</v>
      </c>
      <c r="S4" s="23">
        <f>TRUNC(IF(NC['[C/V']]="V",I4*SETUP!$H$3,0),2)</f>
        <v>0.08</v>
      </c>
      <c r="T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V4" s="25">
        <f>IF(NC['[C/V']]="V",NC[MEDIO],0)</f>
        <v>15.8368</v>
      </c>
      <c r="W4" s="23">
        <f>IF(NC['[D/N']]="D",IF(NC['[C/V']]="C",0,SUMPRODUCT(N(NC[DATA]=NC[[#This Row],[DATA]]),N(NC['[C/V']]="V"),NC[LÍQUIDO])),IF(AND(NC[MED CP]&gt;0,NC[MED VD]&gt;0),(NC[MED VD]-NC[MED CP])*NC[QTDE],0))</f>
        <v>205.45000000000027</v>
      </c>
      <c r="X4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4" s="23">
        <f>SUMPRODUCT(N(YEAR(NC[DATA])=YEAR(NC[[#This Row],[DATA]])),N(MONTH(NC[DATA])=MONTH(NC[[#This Row],[DATA]])),N(NC['[D/N']]="N"),NC[LUCRO OP])</f>
        <v>306.37500000000023</v>
      </c>
      <c r="Z4" s="23">
        <f>SUMPRODUCT(N(YEAR(NC[DATA])=YEAR(NC[[#This Row],[DATA]])),N(MONTH(NC[DATA])=MONTH(NC[[#This Row],[DATA]])),N(NC['[D/N']]="D"),NC[LUCRO OP])</f>
        <v>-36.1</v>
      </c>
      <c r="AA4" s="23">
        <f>NC[LUCRO N]+NC[LUCRO D]</f>
        <v>270.2750000000002</v>
      </c>
      <c r="AB4" s="26">
        <f>NC[LUCRO MÊS]/(NC[CARTEIRA]-NC[LUCRO MÊS])</f>
        <v>7.4778417666271566E-2</v>
      </c>
      <c r="AC4" s="23">
        <f>SUMPRODUCT(N(MONTH(NC[DATA])=MONTH(NC[[#This Row],[DATA]])),N(YEAR(NC[DATA])=YEAR(NC[[#This Row],[DATA]])),N(NC['[C/V']]="V"),NC[VALOR])</f>
        <v>4272</v>
      </c>
    </row>
    <row r="5" spans="1:29" s="21" customFormat="1" x14ac:dyDescent="0.2">
      <c r="A5" s="21">
        <v>4</v>
      </c>
      <c r="B5" s="21" t="s">
        <v>27</v>
      </c>
      <c r="C5" s="21" t="s">
        <v>16</v>
      </c>
      <c r="D5" s="22">
        <v>40893</v>
      </c>
      <c r="E5" s="21">
        <v>200</v>
      </c>
      <c r="F5" s="23">
        <v>5.66</v>
      </c>
      <c r="G5" s="21" t="s">
        <v>24</v>
      </c>
      <c r="H5" s="21">
        <f>SUMPRODUCT(N(NC[ATIVO]=NC[[#This Row],[ATIVO]]),N(NC['[D/N']]="N"),N(NC['[C/V']]="C"))+SUMPRODUCT(N(NC[ID]&lt;NC[[#This Row],[ID]]),N(NC[ATIVO]=NC[[#This Row],[ATIVO]]),N(NC['[D/N']]="N"),N(NC[SALDO]=0))</f>
        <v>2</v>
      </c>
      <c r="I5" s="23">
        <f>NC[QTDE]*NC[PREÇO]</f>
        <v>1132</v>
      </c>
      <c r="J5" s="23">
        <f>SUMPRODUCT(N(NC[DATA]=NC[[#This Row],[DATA]]),N(NC[ID]&lt;=NC[[#This Row],[ID]]),N(NC['[C/V']]="V"),NC[VALOR])-SUMPRODUCT(N(NC[DATA]=NC[[#This Row],[DATA]]),N(NC[ID]&lt;=NC[[#This Row],[ID]]),N(NC['[C/V']]="C"),NC[VALOR])</f>
        <v>-1132</v>
      </c>
      <c r="K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L5" s="23">
        <f>TRUNC(SUMPRODUCT(N(NC[DATA]=NC[[#This Row],[DATA]]),N(NC[ID]&lt;=NC[[#This Row],[ID]]),NC[VALOR]*SETUP!$A$3),2)</f>
        <v>7.0000000000000007E-2</v>
      </c>
      <c r="M5" s="23">
        <f>SETUP!$E$3*SUMPRODUCT(N(NC[DATA]=NC[[#This Row],[DATA]]),N(NC[ID]&lt;=NC[[#This Row],[ID]]))</f>
        <v>14.9</v>
      </c>
      <c r="N5" s="23">
        <f>TRUNC(NC[CORR. BASE]*SETUP!$F$3,2)</f>
        <v>0.28999999999999998</v>
      </c>
      <c r="O5" s="23">
        <f>SETUP!$G$3*SUMPRODUCT(N(NC[DATA]=NC[[#This Row],[DATA]]),N(NC[ID]&lt;=NC[[#This Row],[ID]]))</f>
        <v>0.57999999999999996</v>
      </c>
      <c r="P5" s="23">
        <f>NC[VL LIQUID]-NC[TX LIQUID]-NC[EMOL]-NC[CORR. BASE]-NC[ISS]-NC[OUTRAS]</f>
        <v>-1148.04</v>
      </c>
      <c r="Q5" s="23">
        <f>NC[LÍQUIDO]-SUMPRODUCT(N(NC[DATA]=NC[[#This Row],[DATA]]),N(NC[ID]=(NC[[#This Row],[ID]]-1)),NC[LÍQUIDO])</f>
        <v>-1148.04</v>
      </c>
      <c r="R5" s="23">
        <f>ABS(Q5)/E5</f>
        <v>5.7401999999999997</v>
      </c>
      <c r="S5" s="23">
        <f>TRUNC(IF(NC['[C/V']]="V",I5*SETUP!$H$3,0),2)</f>
        <v>0</v>
      </c>
      <c r="T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V5" s="25">
        <f>IF(NC['[C/V']]="V",NC[MEDIO],0)</f>
        <v>0</v>
      </c>
      <c r="W5" s="23">
        <f>IF(NC['[D/N']]="D",IF(NC['[C/V']]="C",0,SUMPRODUCT(N(NC[DATA]=NC[[#This Row],[DATA]]),N(NC['[C/V']]="V"),NC[LÍQUIDO])),IF(AND(NC[MED CP]&gt;0,NC[MED VD]&gt;0),(NC[MED VD]-NC[MED CP])*NC[QTDE],0))</f>
        <v>0</v>
      </c>
      <c r="X5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5" s="23">
        <f>SUMPRODUCT(N(YEAR(NC[DATA])=YEAR(NC[[#This Row],[DATA]])),N(MONTH(NC[DATA])=MONTH(NC[[#This Row],[DATA]])),N(NC['[D/N']]="N"),NC[LUCRO OP])</f>
        <v>306.37500000000023</v>
      </c>
      <c r="Z5" s="23">
        <f>SUMPRODUCT(N(YEAR(NC[DATA])=YEAR(NC[[#This Row],[DATA]])),N(MONTH(NC[DATA])=MONTH(NC[[#This Row],[DATA]])),N(NC['[D/N']]="D"),NC[LUCRO OP])</f>
        <v>-36.1</v>
      </c>
      <c r="AA5" s="23">
        <f>NC[LUCRO N]+NC[LUCRO D]</f>
        <v>270.2750000000002</v>
      </c>
      <c r="AB5" s="26">
        <f>NC[LUCRO MÊS]/(NC[CARTEIRA]-NC[LUCRO MÊS])</f>
        <v>7.4778417666271566E-2</v>
      </c>
      <c r="AC5" s="23">
        <f>SUMPRODUCT(N(MONTH(NC[DATA])=MONTH(NC[[#This Row],[DATA]])),N(YEAR(NC[DATA])=YEAR(NC[[#This Row],[DATA]])),N(NC['[C/V']]="V"),NC[VALOR])</f>
        <v>4272</v>
      </c>
    </row>
    <row r="6" spans="1:29" s="21" customFormat="1" x14ac:dyDescent="0.2">
      <c r="A6" s="21">
        <v>5</v>
      </c>
      <c r="B6" s="21" t="s">
        <v>27</v>
      </c>
      <c r="C6" s="21" t="s">
        <v>13</v>
      </c>
      <c r="D6" s="22">
        <v>40893</v>
      </c>
      <c r="E6" s="21">
        <v>200</v>
      </c>
      <c r="F6" s="23">
        <v>5.64</v>
      </c>
      <c r="G6" s="21" t="s">
        <v>24</v>
      </c>
      <c r="H6" s="21">
        <f>SUMPRODUCT(N(NC[ATIVO]=NC[[#This Row],[ATIVO]]),N(NC['[D/N']]="N"),N(NC['[C/V']]="C"))+SUMPRODUCT(N(NC[ID]&lt;NC[[#This Row],[ID]]),N(NC[ATIVO]=NC[[#This Row],[ATIVO]]),N(NC['[D/N']]="N"),N(NC[SALDO]=0))</f>
        <v>2</v>
      </c>
      <c r="I6" s="23">
        <f>NC[QTDE]*NC[PREÇO]</f>
        <v>1128</v>
      </c>
      <c r="J6" s="23">
        <f>SUMPRODUCT(N(NC[DATA]=NC[[#This Row],[DATA]]),N(NC[ID]&lt;=NC[[#This Row],[ID]]),N(NC['[C/V']]="V"),NC[VALOR])-SUMPRODUCT(N(NC[DATA]=NC[[#This Row],[DATA]]),N(NC[ID]&lt;=NC[[#This Row],[ID]]),N(NC['[C/V']]="C"),NC[VALOR])</f>
        <v>-4</v>
      </c>
      <c r="K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</v>
      </c>
      <c r="L6" s="23">
        <f>TRUNC(SUMPRODUCT(N(NC[DATA]=NC[[#This Row],[DATA]]),N(NC[ID]&lt;=NC[[#This Row],[ID]]),NC[VALOR]*SETUP!$A$3),2)</f>
        <v>0.15</v>
      </c>
      <c r="M6" s="23">
        <f>SETUP!$E$3*SUMPRODUCT(N(NC[DATA]=NC[[#This Row],[DATA]]),N(NC[ID]&lt;=NC[[#This Row],[ID]]))</f>
        <v>29.8</v>
      </c>
      <c r="N6" s="23">
        <f>TRUNC(NC[CORR. BASE]*SETUP!$F$3,2)</f>
        <v>0.59</v>
      </c>
      <c r="O6" s="23">
        <f>SETUP!$G$3*SUMPRODUCT(N(NC[DATA]=NC[[#This Row],[DATA]]),N(NC[ID]&lt;=NC[[#This Row],[ID]]))</f>
        <v>1.1599999999999999</v>
      </c>
      <c r="P6" s="23">
        <f>NC[VL LIQUID]-NC[TX LIQUID]-NC[EMOL]-NC[CORR. BASE]-NC[ISS]-NC[OUTRAS]</f>
        <v>-36.1</v>
      </c>
      <c r="Q6" s="23">
        <f>NC[LÍQUIDO]-SUMPRODUCT(N(NC[DATA]=NC[[#This Row],[DATA]]),N(NC[ID]=(NC[[#This Row],[ID]]-1)),NC[LÍQUIDO])</f>
        <v>1111.94</v>
      </c>
      <c r="R6" s="23">
        <f>ABS(Q6)/E6</f>
        <v>5.5597000000000003</v>
      </c>
      <c r="S6" s="23">
        <f>TRUNC(IF(NC['[C/V']]="V",I6*SETUP!$H$3,0),2)</f>
        <v>0.05</v>
      </c>
      <c r="T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V6" s="25">
        <f>IF(NC['[C/V']]="V",NC[MEDIO],0)</f>
        <v>5.5597000000000003</v>
      </c>
      <c r="W6" s="23">
        <f>IF(NC['[D/N']]="D",IF(NC['[C/V']]="C",0,SUMPRODUCT(N(NC[DATA]=NC[[#This Row],[DATA]]),N(NC['[C/V']]="V"),NC[LÍQUIDO])),IF(AND(NC[MED CP]&gt;0,NC[MED VD]&gt;0),(NC[MED VD]-NC[MED CP])*NC[QTDE],0))</f>
        <v>-36.1</v>
      </c>
      <c r="X6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6" s="23">
        <f>SUMPRODUCT(N(YEAR(NC[DATA])=YEAR(NC[[#This Row],[DATA]])),N(MONTH(NC[DATA])=MONTH(NC[[#This Row],[DATA]])),N(NC['[D/N']]="N"),NC[LUCRO OP])</f>
        <v>306.37500000000023</v>
      </c>
      <c r="Z6" s="23">
        <f>SUMPRODUCT(N(YEAR(NC[DATA])=YEAR(NC[[#This Row],[DATA]])),N(MONTH(NC[DATA])=MONTH(NC[[#This Row],[DATA]])),N(NC['[D/N']]="D"),NC[LUCRO OP])</f>
        <v>-36.1</v>
      </c>
      <c r="AA6" s="23">
        <f>NC[LUCRO N]+NC[LUCRO D]</f>
        <v>270.2750000000002</v>
      </c>
      <c r="AB6" s="26">
        <f>NC[LUCRO MÊS]/(NC[CARTEIRA]-NC[LUCRO MÊS])</f>
        <v>7.4778417666271566E-2</v>
      </c>
      <c r="AC6" s="23">
        <f>SUMPRODUCT(N(MONTH(NC[DATA])=MONTH(NC[[#This Row],[DATA]])),N(YEAR(NC[DATA])=YEAR(NC[[#This Row],[DATA]])),N(NC['[C/V']]="V"),NC[VALOR])</f>
        <v>4272</v>
      </c>
    </row>
    <row r="7" spans="1:29" s="21" customFormat="1" x14ac:dyDescent="0.2">
      <c r="A7" s="21">
        <v>6</v>
      </c>
      <c r="B7" s="21" t="s">
        <v>27</v>
      </c>
      <c r="C7" s="21" t="s">
        <v>16</v>
      </c>
      <c r="D7" s="22">
        <v>40893</v>
      </c>
      <c r="E7" s="21">
        <v>200</v>
      </c>
      <c r="F7" s="23">
        <v>5.65</v>
      </c>
      <c r="G7" s="21" t="s">
        <v>14</v>
      </c>
      <c r="H7" s="21">
        <f>SUMPRODUCT(N(NC[ATIVO]=NC[[#This Row],[ATIVO]]),N(NC['[D/N']]="N"),N(NC['[C/V']]="C"))+SUMPRODUCT(N(NC[ID]&lt;NC[[#This Row],[ID]]),N(NC[ATIVO]=NC[[#This Row],[ATIVO]]),N(NC['[D/N']]="N"),N(NC[SALDO]=0))</f>
        <v>2</v>
      </c>
      <c r="I7" s="23">
        <f>NC[QTDE]*NC[PREÇO]</f>
        <v>1130</v>
      </c>
      <c r="J7" s="23">
        <f>SUMPRODUCT(N(NC[DATA]=NC[[#This Row],[DATA]]),N(NC[ID]&lt;=NC[[#This Row],[ID]]),N(NC['[C/V']]="V"),NC[VALOR])-SUMPRODUCT(N(NC[DATA]=NC[[#This Row],[DATA]]),N(NC[ID]&lt;=NC[[#This Row],[ID]]),N(NC['[C/V']]="C"),NC[VALOR])</f>
        <v>-1134</v>
      </c>
      <c r="K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0.71</v>
      </c>
      <c r="L7" s="23">
        <f>TRUNC(SUMPRODUCT(N(NC[DATA]=NC[[#This Row],[DATA]]),N(NC[ID]&lt;=NC[[#This Row],[ID]]),NC[VALOR]*SETUP!$A$3),2)</f>
        <v>0.23</v>
      </c>
      <c r="M7" s="23">
        <f>SETUP!$E$3*SUMPRODUCT(N(NC[DATA]=NC[[#This Row],[DATA]]),N(NC[ID]&lt;=NC[[#This Row],[ID]]))</f>
        <v>44.7</v>
      </c>
      <c r="N7" s="23">
        <f>TRUNC(NC[CORR. BASE]*SETUP!$F$3,2)</f>
        <v>0.89</v>
      </c>
      <c r="O7" s="23">
        <f>SETUP!$G$3*SUMPRODUCT(N(NC[DATA]=NC[[#This Row],[DATA]]),N(NC[ID]&lt;=NC[[#This Row],[ID]]))</f>
        <v>1.7399999999999998</v>
      </c>
      <c r="P7" s="23">
        <f>NC[VL LIQUID]-NC[TX LIQUID]-NC[EMOL]-NC[CORR. BASE]-NC[ISS]-NC[OUTRAS]</f>
        <v>-1182.2700000000002</v>
      </c>
      <c r="Q7" s="23">
        <f>NC[LÍQUIDO]-SUMPRODUCT(N(NC[DATA]=NC[[#This Row],[DATA]]),N(NC[ID]=(NC[[#This Row],[ID]]-1)),NC[LÍQUIDO])</f>
        <v>-1146.1700000000003</v>
      </c>
      <c r="R7" s="23">
        <f>ABS(Q7)/E7</f>
        <v>5.7308500000000011</v>
      </c>
      <c r="S7" s="23">
        <f>TRUNC(IF(NC['[C/V']]="V",I7*SETUP!$H$3,0),2)</f>
        <v>0</v>
      </c>
      <c r="T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V7" s="25">
        <f>IF(NC['[C/V']]="V",NC[MEDIO],0)</f>
        <v>0</v>
      </c>
      <c r="W7" s="23">
        <f>IF(NC['[D/N']]="D",IF(NC['[C/V']]="C",0,SUMPRODUCT(N(NC[DATA]=NC[[#This Row],[DATA]]),N(NC['[C/V']]="V"),NC[LÍQUIDO])),IF(AND(NC[MED CP]&gt;0,NC[MED VD]&gt;0),(NC[MED VD]-NC[MED CP])*NC[QTDE],0))</f>
        <v>0</v>
      </c>
      <c r="X7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7" s="23">
        <f>SUMPRODUCT(N(YEAR(NC[DATA])=YEAR(NC[[#This Row],[DATA]])),N(MONTH(NC[DATA])=MONTH(NC[[#This Row],[DATA]])),N(NC['[D/N']]="N"),NC[LUCRO OP])</f>
        <v>306.37500000000023</v>
      </c>
      <c r="Z7" s="23">
        <f>SUMPRODUCT(N(YEAR(NC[DATA])=YEAR(NC[[#This Row],[DATA]])),N(MONTH(NC[DATA])=MONTH(NC[[#This Row],[DATA]])),N(NC['[D/N']]="D"),NC[LUCRO OP])</f>
        <v>-36.1</v>
      </c>
      <c r="AA7" s="23">
        <f>NC[LUCRO N]+NC[LUCRO D]</f>
        <v>270.2750000000002</v>
      </c>
      <c r="AB7" s="26">
        <f>NC[LUCRO MÊS]/(NC[CARTEIRA]-NC[LUCRO MÊS])</f>
        <v>7.4778417666271566E-2</v>
      </c>
      <c r="AC7" s="23">
        <f>SUMPRODUCT(N(MONTH(NC[DATA])=MONTH(NC[[#This Row],[DATA]])),N(YEAR(NC[DATA])=YEAR(NC[[#This Row],[DATA]])),N(NC['[C/V']]="V"),NC[VALOR])</f>
        <v>4272</v>
      </c>
    </row>
    <row r="8" spans="1:29" s="21" customFormat="1" x14ac:dyDescent="0.2">
      <c r="A8" s="21">
        <v>7</v>
      </c>
      <c r="B8" s="21" t="s">
        <v>28</v>
      </c>
      <c r="C8" s="21" t="s">
        <v>13</v>
      </c>
      <c r="D8" s="22">
        <v>40900</v>
      </c>
      <c r="E8" s="21">
        <v>200</v>
      </c>
      <c r="F8" s="23">
        <v>4.2699999999999996</v>
      </c>
      <c r="G8" s="21" t="s">
        <v>14</v>
      </c>
      <c r="H8" s="21">
        <f>SUMPRODUCT(N(NC[ATIVO]=NC[[#This Row],[ATIVO]]),N(NC['[D/N']]="N"),N(NC['[C/V']]="C"))+SUMPRODUCT(N(NC[ID]&lt;NC[[#This Row],[ID]]),N(NC[ATIVO]=NC[[#This Row],[ATIVO]]),N(NC['[D/N']]="N"),N(NC[SALDO]=0))</f>
        <v>2</v>
      </c>
      <c r="I8" s="23">
        <f>NC[QTDE]*NC[PREÇO]</f>
        <v>853.99999999999989</v>
      </c>
      <c r="J8" s="23">
        <f>SUMPRODUCT(N(NC[DATA]=NC[[#This Row],[DATA]]),N(NC[ID]&lt;=NC[[#This Row],[ID]]),N(NC['[C/V']]="V"),NC[VALOR])-SUMPRODUCT(N(NC[DATA]=NC[[#This Row],[DATA]]),N(NC[ID]&lt;=NC[[#This Row],[ID]]),N(NC['[C/V']]="C"),NC[VALOR])</f>
        <v>853.99999999999989</v>
      </c>
      <c r="K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L8" s="23">
        <f>TRUNC(SUMPRODUCT(N(NC[DATA]=NC[[#This Row],[DATA]]),N(NC[ID]&lt;=NC[[#This Row],[ID]]),NC[VALOR]*SETUP!$A$3),2)</f>
        <v>0.05</v>
      </c>
      <c r="M8" s="23">
        <f>SETUP!$E$3*SUMPRODUCT(N(NC[DATA]=NC[[#This Row],[DATA]]),N(NC[ID]&lt;=NC[[#This Row],[ID]]))</f>
        <v>14.9</v>
      </c>
      <c r="N8" s="23">
        <f>TRUNC(NC[CORR. BASE]*SETUP!$F$3,2)</f>
        <v>0.28999999999999998</v>
      </c>
      <c r="O8" s="23">
        <f>SETUP!$G$3*SUMPRODUCT(N(NC[DATA]=NC[[#This Row],[DATA]]),N(NC[ID]&lt;=NC[[#This Row],[ID]]))</f>
        <v>0.57999999999999996</v>
      </c>
      <c r="P8" s="23">
        <f>NC[VL LIQUID]-NC[TX LIQUID]-NC[EMOL]-NC[CORR. BASE]-NC[ISS]-NC[OUTRAS]</f>
        <v>837.94999999999993</v>
      </c>
      <c r="Q8" s="23">
        <f>NC[LÍQUIDO]-SUMPRODUCT(N(NC[DATA]=NC[[#This Row],[DATA]]),N(NC[ID]=(NC[[#This Row],[ID]]-1)),NC[LÍQUIDO])</f>
        <v>837.94999999999993</v>
      </c>
      <c r="R8" s="23">
        <f>ABS(Q8)/E8</f>
        <v>4.1897500000000001</v>
      </c>
      <c r="S8" s="23">
        <f>TRUNC(IF(NC['[C/V']]="V",I8*SETUP!$H$3,0),2)</f>
        <v>0.04</v>
      </c>
      <c r="T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-200</v>
      </c>
      <c r="U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V8" s="25">
        <f>IF(NC['[C/V']]="V",NC[MEDIO],0)</f>
        <v>4.1897500000000001</v>
      </c>
      <c r="W8" s="23">
        <f>IF(NC['[D/N']]="D",IF(NC['[C/V']]="C",0,SUMPRODUCT(N(NC[DATA]=NC[[#This Row],[DATA]]),N(NC['[C/V']]="V"),NC[LÍQUIDO])),IF(AND(NC[MED CP]&gt;0,NC[MED VD]&gt;0),(NC[MED VD]-NC[MED CP])*NC[QTDE],0))</f>
        <v>0</v>
      </c>
      <c r="X8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8" s="23">
        <f>SUMPRODUCT(N(YEAR(NC[DATA])=YEAR(NC[[#This Row],[DATA]])),N(MONTH(NC[DATA])=MONTH(NC[[#This Row],[DATA]])),N(NC['[D/N']]="N"),NC[LUCRO OP])</f>
        <v>306.37500000000023</v>
      </c>
      <c r="Z8" s="23">
        <f>SUMPRODUCT(N(YEAR(NC[DATA])=YEAR(NC[[#This Row],[DATA]])),N(MONTH(NC[DATA])=MONTH(NC[[#This Row],[DATA]])),N(NC['[D/N']]="D"),NC[LUCRO OP])</f>
        <v>-36.1</v>
      </c>
      <c r="AA8" s="23">
        <f>NC[LUCRO N]+NC[LUCRO D]</f>
        <v>270.2750000000002</v>
      </c>
      <c r="AB8" s="26">
        <f>NC[LUCRO MÊS]/(NC[CARTEIRA]-NC[LUCRO MÊS])</f>
        <v>7.4778417666271566E-2</v>
      </c>
      <c r="AC8" s="23">
        <f>SUMPRODUCT(N(MONTH(NC[DATA])=MONTH(NC[[#This Row],[DATA]])),N(YEAR(NC[DATA])=YEAR(NC[[#This Row],[DATA]])),N(NC['[C/V']]="V"),NC[VALOR])</f>
        <v>4272</v>
      </c>
    </row>
    <row r="9" spans="1:29" s="21" customFormat="1" x14ac:dyDescent="0.2">
      <c r="A9" s="21">
        <v>8</v>
      </c>
      <c r="B9" s="21" t="s">
        <v>29</v>
      </c>
      <c r="C9" s="21" t="s">
        <v>16</v>
      </c>
      <c r="D9" s="22">
        <v>40905</v>
      </c>
      <c r="E9" s="21">
        <v>300</v>
      </c>
      <c r="F9" s="23">
        <v>7.86</v>
      </c>
      <c r="G9" s="21" t="s">
        <v>14</v>
      </c>
      <c r="H9" s="21">
        <f>SUMPRODUCT(N(NC[ATIVO]=NC[[#This Row],[ATIVO]]),N(NC['[D/N']]="N"),N(NC['[C/V']]="C"))+SUMPRODUCT(N(NC[ID]&lt;NC[[#This Row],[ID]]),N(NC[ATIVO]=NC[[#This Row],[ATIVO]]),N(NC['[D/N']]="N"),N(NC[SALDO]=0))</f>
        <v>1</v>
      </c>
      <c r="I9" s="23">
        <f>NC[QTDE]*NC[PREÇO]</f>
        <v>2358</v>
      </c>
      <c r="J9" s="23">
        <f>SUMPRODUCT(N(NC[DATA]=NC[[#This Row],[DATA]]),N(NC[ID]&lt;=NC[[#This Row],[ID]]),N(NC['[C/V']]="V"),NC[VALOR])-SUMPRODUCT(N(NC[DATA]=NC[[#This Row],[DATA]]),N(NC[ID]&lt;=NC[[#This Row],[ID]]),N(NC['[C/V']]="C"),NC[VALOR])</f>
        <v>-2358</v>
      </c>
      <c r="K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0.64</v>
      </c>
      <c r="L9" s="23">
        <f>TRUNC(SUMPRODUCT(N(NC[DATA]=NC[[#This Row],[DATA]]),N(NC[ID]&lt;=NC[[#This Row],[ID]]),NC[VALOR]*SETUP!$A$3),2)</f>
        <v>0.16</v>
      </c>
      <c r="M9" s="23">
        <f>SETUP!$E$3*SUMPRODUCT(N(NC[DATA]=NC[[#This Row],[DATA]]),N(NC[ID]&lt;=NC[[#This Row],[ID]]))</f>
        <v>14.9</v>
      </c>
      <c r="N9" s="23">
        <f>TRUNC(NC[CORR. BASE]*SETUP!$F$3,2)</f>
        <v>0.28999999999999998</v>
      </c>
      <c r="O9" s="23">
        <f>SETUP!$G$3*SUMPRODUCT(N(NC[DATA]=NC[[#This Row],[DATA]]),N(NC[ID]&lt;=NC[[#This Row],[ID]]))</f>
        <v>0.57999999999999996</v>
      </c>
      <c r="P9" s="23">
        <f>NC[VL LIQUID]-NC[TX LIQUID]-NC[EMOL]-NC[CORR. BASE]-NC[ISS]-NC[OUTRAS]</f>
        <v>-2374.5699999999997</v>
      </c>
      <c r="Q9" s="23">
        <f>NC[LÍQUIDO]-SUMPRODUCT(N(NC[DATA]=NC[[#This Row],[DATA]]),N(NC[ID]=(NC[[#This Row],[ID]]-1)),NC[LÍQUIDO])</f>
        <v>-2374.5699999999997</v>
      </c>
      <c r="R9" s="23">
        <f>ABS(Q9)/E9</f>
        <v>7.9152333333333322</v>
      </c>
      <c r="S9" s="23">
        <f>TRUNC(IF(NC['[C/V']]="V",I9*SETUP!$H$3,0),2)</f>
        <v>0</v>
      </c>
      <c r="T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</v>
      </c>
      <c r="U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V9" s="25">
        <f>IF(NC['[C/V']]="V",NC[MEDIO],0)</f>
        <v>0</v>
      </c>
      <c r="W9" s="23">
        <f>IF(NC['[D/N']]="D",IF(NC['[C/V']]="C",0,SUMPRODUCT(N(NC[DATA]=NC[[#This Row],[DATA]]),N(NC['[C/V']]="V"),NC[LÍQUIDO])),IF(AND(NC[MED CP]&gt;0,NC[MED VD]&gt;0),(NC[MED VD]-NC[MED CP])*NC[QTDE],0))</f>
        <v>0</v>
      </c>
      <c r="X9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9" s="23">
        <f>SUMPRODUCT(N(YEAR(NC[DATA])=YEAR(NC[[#This Row],[DATA]])),N(MONTH(NC[DATA])=MONTH(NC[[#This Row],[DATA]])),N(NC['[D/N']]="N"),NC[LUCRO OP])</f>
        <v>306.37500000000023</v>
      </c>
      <c r="Z9" s="23">
        <f>SUMPRODUCT(N(YEAR(NC[DATA])=YEAR(NC[[#This Row],[DATA]])),N(MONTH(NC[DATA])=MONTH(NC[[#This Row],[DATA]])),N(NC['[D/N']]="D"),NC[LUCRO OP])</f>
        <v>-36.1</v>
      </c>
      <c r="AA9" s="23">
        <f>NC[LUCRO N]+NC[LUCRO D]</f>
        <v>270.2750000000002</v>
      </c>
      <c r="AB9" s="26">
        <f>NC[LUCRO MÊS]/(NC[CARTEIRA]-NC[LUCRO MÊS])</f>
        <v>7.4778417666271566E-2</v>
      </c>
      <c r="AC9" s="23">
        <f>SUMPRODUCT(N(MONTH(NC[DATA])=MONTH(NC[[#This Row],[DATA]])),N(YEAR(NC[DATA])=YEAR(NC[[#This Row],[DATA]])),N(NC['[C/V']]="V"),NC[VALOR])</f>
        <v>4272</v>
      </c>
    </row>
    <row r="10" spans="1:29" s="21" customFormat="1" x14ac:dyDescent="0.2">
      <c r="A10" s="21">
        <v>9</v>
      </c>
      <c r="B10" s="21" t="s">
        <v>27</v>
      </c>
      <c r="C10" s="21" t="s">
        <v>13</v>
      </c>
      <c r="D10" s="22">
        <v>40906</v>
      </c>
      <c r="E10" s="21">
        <v>100</v>
      </c>
      <c r="F10" s="23">
        <v>6.9</v>
      </c>
      <c r="G10" s="21" t="s">
        <v>14</v>
      </c>
      <c r="H10" s="21">
        <f>SUMPRODUCT(N(NC[ATIVO]=NC[[#This Row],[ATIVO]]),N(NC['[D/N']]="N"),N(NC['[C/V']]="C"))+SUMPRODUCT(N(NC[ID]&lt;NC[[#This Row],[ID]]),N(NC[ATIVO]=NC[[#This Row],[ATIVO]]),N(NC['[D/N']]="N"),N(NC[SALDO]=0))</f>
        <v>2</v>
      </c>
      <c r="I10" s="23">
        <f>NC[QTDE]*NC[PREÇO]</f>
        <v>690</v>
      </c>
      <c r="J10" s="23">
        <f>SUMPRODUCT(N(NC[DATA]=NC[[#This Row],[DATA]]),N(NC[ID]&lt;=NC[[#This Row],[ID]]),N(NC['[C/V']]="V"),NC[VALOR])-SUMPRODUCT(N(NC[DATA]=NC[[#This Row],[DATA]]),N(NC[ID]&lt;=NC[[#This Row],[ID]]),N(NC['[C/V']]="C"),NC[VALOR])</f>
        <v>690</v>
      </c>
      <c r="K1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0.18</v>
      </c>
      <c r="L10" s="23">
        <f>TRUNC(SUMPRODUCT(N(NC[DATA]=NC[[#This Row],[DATA]]),N(NC[ID]&lt;=NC[[#This Row],[ID]]),NC[VALOR]*SETUP!$A$3),2)</f>
        <v>0.04</v>
      </c>
      <c r="M10" s="23">
        <f>SETUP!$E$3*SUMPRODUCT(N(NC[DATA]=NC[[#This Row],[DATA]]),N(NC[ID]&lt;=NC[[#This Row],[ID]]))</f>
        <v>14.9</v>
      </c>
      <c r="N10" s="23">
        <f>TRUNC(NC[CORR. BASE]*SETUP!$F$3,2)</f>
        <v>0.28999999999999998</v>
      </c>
      <c r="O10" s="23">
        <f>SETUP!$G$3*SUMPRODUCT(N(NC[DATA]=NC[[#This Row],[DATA]]),N(NC[ID]&lt;=NC[[#This Row],[ID]]))</f>
        <v>0.57999999999999996</v>
      </c>
      <c r="P10" s="23">
        <f>NC[VL LIQUID]-NC[TX LIQUID]-NC[EMOL]-NC[CORR. BASE]-NC[ISS]-NC[OUTRAS]</f>
        <v>674.0100000000001</v>
      </c>
      <c r="Q10" s="23">
        <f>NC[LÍQUIDO]-SUMPRODUCT(N(NC[DATA]=NC[[#This Row],[DATA]]),N(NC[ID]=(NC[[#This Row],[ID]]-1)),NC[LÍQUIDO])</f>
        <v>674.0100000000001</v>
      </c>
      <c r="R10" s="23">
        <f>ABS(Q10)/E10</f>
        <v>6.7401000000000009</v>
      </c>
      <c r="S10" s="23">
        <f>TRUNC(IF(NC['[C/V']]="V",I10*SETUP!$H$3,0),2)</f>
        <v>0.03</v>
      </c>
      <c r="T1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U1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V10" s="25">
        <f>IF(NC['[C/V']]="V",NC[MEDIO],0)</f>
        <v>6.7401000000000009</v>
      </c>
      <c r="W10" s="23">
        <f>IF(NC['[D/N']]="D",IF(NC['[C/V']]="C",0,SUMPRODUCT(N(NC[DATA]=NC[[#This Row],[DATA]]),N(NC['[C/V']]="V"),NC[LÍQUIDO])),IF(AND(NC[MED CP]&gt;0,NC[MED VD]&gt;0),(NC[MED VD]-NC[MED CP])*NC[QTDE],0))</f>
        <v>100.92499999999998</v>
      </c>
      <c r="X10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3884.619999999999</v>
      </c>
      <c r="Y10" s="23">
        <f>SUMPRODUCT(N(YEAR(NC[DATA])=YEAR(NC[[#This Row],[DATA]])),N(MONTH(NC[DATA])=MONTH(NC[[#This Row],[DATA]])),N(NC['[D/N']]="N"),NC[LUCRO OP])</f>
        <v>306.37500000000023</v>
      </c>
      <c r="Z10" s="23">
        <f>SUMPRODUCT(N(YEAR(NC[DATA])=YEAR(NC[[#This Row],[DATA]])),N(MONTH(NC[DATA])=MONTH(NC[[#This Row],[DATA]])),N(NC['[D/N']]="D"),NC[LUCRO OP])</f>
        <v>-36.1</v>
      </c>
      <c r="AA10" s="23">
        <f>NC[LUCRO N]+NC[LUCRO D]</f>
        <v>270.2750000000002</v>
      </c>
      <c r="AB10" s="26">
        <f>NC[LUCRO MÊS]/(NC[CARTEIRA]-NC[LUCRO MÊS])</f>
        <v>7.4778417666271566E-2</v>
      </c>
      <c r="AC10" s="23">
        <f>SUMPRODUCT(N(MONTH(NC[DATA])=MONTH(NC[[#This Row],[DATA]])),N(YEAR(NC[DATA])=YEAR(NC[[#This Row],[DATA]])),N(NC['[C/V']]="V"),NC[VALOR])</f>
        <v>4272</v>
      </c>
    </row>
    <row r="11" spans="1:29" s="21" customFormat="1" x14ac:dyDescent="0.2">
      <c r="A11" s="21">
        <v>10</v>
      </c>
      <c r="B11" s="21" t="s">
        <v>27</v>
      </c>
      <c r="C11" s="21" t="s">
        <v>13</v>
      </c>
      <c r="D11" s="22">
        <v>40913</v>
      </c>
      <c r="E11" s="21">
        <v>100</v>
      </c>
      <c r="F11" s="23">
        <v>5.83</v>
      </c>
      <c r="G11" s="21" t="s">
        <v>14</v>
      </c>
      <c r="H11" s="21">
        <f>SUMPRODUCT(N(NC[ATIVO]=NC[[#This Row],[ATIVO]]),N(NC['[D/N']]="N"),N(NC['[C/V']]="C"))+SUMPRODUCT(N(NC[ID]&lt;NC[[#This Row],[ID]]),N(NC[ATIVO]=NC[[#This Row],[ATIVO]]),N(NC['[D/N']]="N"),N(NC[SALDO]=0))</f>
        <v>2</v>
      </c>
      <c r="I11" s="23">
        <f>NC[QTDE]*NC[PREÇO]</f>
        <v>583</v>
      </c>
      <c r="J11" s="23">
        <f>SUMPRODUCT(N(NC[DATA]=NC[[#This Row],[DATA]]),N(NC[ID]&lt;=NC[[#This Row],[ID]]),N(NC['[C/V']]="V"),NC[VALOR])-SUMPRODUCT(N(NC[DATA]=NC[[#This Row],[DATA]]),N(NC[ID]&lt;=NC[[#This Row],[ID]]),N(NC['[C/V']]="C"),NC[VALOR])</f>
        <v>583</v>
      </c>
      <c r="K1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0.16</v>
      </c>
      <c r="L11" s="23">
        <f>TRUNC(SUMPRODUCT(N(NC[DATA]=NC[[#This Row],[DATA]]),N(NC[ID]&lt;=NC[[#This Row],[ID]]),NC[VALOR]*SETUP!$A$3),2)</f>
        <v>0.04</v>
      </c>
      <c r="M11" s="23">
        <f>SETUP!$E$3*SUMPRODUCT(N(NC[DATA]=NC[[#This Row],[DATA]]),N(NC[ID]&lt;=NC[[#This Row],[ID]]))</f>
        <v>14.9</v>
      </c>
      <c r="N11" s="23">
        <f>TRUNC(NC[CORR. BASE]*SETUP!$F$3,2)</f>
        <v>0.28999999999999998</v>
      </c>
      <c r="O11" s="23">
        <f>SETUP!$G$3*SUMPRODUCT(N(NC[DATA]=NC[[#This Row],[DATA]]),N(NC[ID]&lt;=NC[[#This Row],[ID]]))</f>
        <v>0.57999999999999996</v>
      </c>
      <c r="P11" s="23">
        <f>NC[VL LIQUID]-NC[TX LIQUID]-NC[EMOL]-NC[CORR. BASE]-NC[ISS]-NC[OUTRAS]</f>
        <v>567.03000000000009</v>
      </c>
      <c r="Q11" s="23">
        <f>NC[LÍQUIDO]-SUMPRODUCT(N(NC[DATA]=NC[[#This Row],[DATA]]),N(NC[ID]=(NC[[#This Row],[ID]]-1)),NC[LÍQUIDO])</f>
        <v>567.03000000000009</v>
      </c>
      <c r="R11" s="23">
        <f>ABS(Q11)/E11</f>
        <v>5.670300000000001</v>
      </c>
      <c r="S11" s="23">
        <f>TRUNC(IF(NC['[C/V']]="V",I11*SETUP!$H$3,0),2)</f>
        <v>0.02</v>
      </c>
      <c r="T1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V11" s="25">
        <f>IF(NC['[C/V']]="V",NC[MEDIO],0)</f>
        <v>5.670300000000001</v>
      </c>
      <c r="W11" s="23">
        <f>IF(NC['[D/N']]="D",IF(NC['[C/V']]="C",0,SUMPRODUCT(N(NC[DATA]=NC[[#This Row],[DATA]]),N(NC['[C/V']]="V"),NC[LÍQUIDO])),IF(AND(NC[MED CP]&gt;0,NC[MED VD]&gt;0),(NC[MED VD]-NC[MED CP])*NC[QTDE],0))</f>
        <v>-6.0550000000000104</v>
      </c>
      <c r="X11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1" s="23">
        <f>SUMPRODUCT(N(YEAR(NC[DATA])=YEAR(NC[[#This Row],[DATA]])),N(MONTH(NC[DATA])=MONTH(NC[[#This Row],[DATA]])),N(NC['[D/N']]="N"),NC[LUCRO OP])</f>
        <v>-174.46500000000054</v>
      </c>
      <c r="Z11" s="23">
        <f>SUMPRODUCT(N(YEAR(NC[DATA])=YEAR(NC[[#This Row],[DATA]])),N(MONTH(NC[DATA])=MONTH(NC[[#This Row],[DATA]])),N(NC['[D/N']]="D"),NC[LUCRO OP])</f>
        <v>0</v>
      </c>
      <c r="AA11" s="23">
        <f>NC[LUCRO N]+NC[LUCRO D]</f>
        <v>-174.46500000000054</v>
      </c>
      <c r="AB11" s="26">
        <f>NC[LUCRO MÊS]/(NC[CARTEIRA]-NC[LUCRO MÊS])</f>
        <v>-3.4065315040462014E-2</v>
      </c>
      <c r="AC11" s="23">
        <f>SUMPRODUCT(N(MONTH(NC[DATA])=MONTH(NC[[#This Row],[DATA]])),N(YEAR(NC[DATA])=YEAR(NC[[#This Row],[DATA]])),N(NC['[C/V']]="V"),NC[VALOR])</f>
        <v>5196</v>
      </c>
    </row>
    <row r="12" spans="1:29" s="21" customFormat="1" x14ac:dyDescent="0.2">
      <c r="A12" s="21">
        <v>11</v>
      </c>
      <c r="B12" s="21" t="s">
        <v>27</v>
      </c>
      <c r="C12" s="21" t="s">
        <v>16</v>
      </c>
      <c r="D12" s="22">
        <v>40914</v>
      </c>
      <c r="E12" s="21">
        <v>200</v>
      </c>
      <c r="F12" s="23">
        <v>5.8</v>
      </c>
      <c r="G12" s="21" t="s">
        <v>14</v>
      </c>
      <c r="H12" s="21">
        <f>SUMPRODUCT(N(NC[ATIVO]=NC[[#This Row],[ATIVO]]),N(NC['[D/N']]="N"),N(NC['[C/V']]="C"))+SUMPRODUCT(N(NC[ID]&lt;NC[[#This Row],[ID]]),N(NC[ATIVO]=NC[[#This Row],[ATIVO]]),N(NC['[D/N']]="N"),N(NC[SALDO]=0))</f>
        <v>3</v>
      </c>
      <c r="I12" s="23">
        <f>NC[QTDE]*NC[PREÇO]</f>
        <v>1160</v>
      </c>
      <c r="J12" s="23">
        <f>SUMPRODUCT(N(NC[DATA]=NC[[#This Row],[DATA]]),N(NC[ID]&lt;=NC[[#This Row],[ID]]),N(NC['[C/V']]="V"),NC[VALOR])-SUMPRODUCT(N(NC[DATA]=NC[[#This Row],[DATA]]),N(NC[ID]&lt;=NC[[#This Row],[ID]]),N(NC['[C/V']]="C"),NC[VALOR])</f>
        <v>-1160</v>
      </c>
      <c r="K1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0.31</v>
      </c>
      <c r="L12" s="23">
        <f>TRUNC(SUMPRODUCT(N(NC[DATA]=NC[[#This Row],[DATA]]),N(NC[ID]&lt;=NC[[#This Row],[ID]]),NC[VALOR]*SETUP!$A$3),2)</f>
        <v>0.08</v>
      </c>
      <c r="M12" s="23">
        <f>SETUP!$E$3*SUMPRODUCT(N(NC[DATA]=NC[[#This Row],[DATA]]),N(NC[ID]&lt;=NC[[#This Row],[ID]]))</f>
        <v>14.9</v>
      </c>
      <c r="N12" s="23">
        <f>TRUNC(NC[CORR. BASE]*SETUP!$F$3,2)</f>
        <v>0.28999999999999998</v>
      </c>
      <c r="O12" s="23">
        <f>SETUP!$G$3*SUMPRODUCT(N(NC[DATA]=NC[[#This Row],[DATA]]),N(NC[ID]&lt;=NC[[#This Row],[ID]]))</f>
        <v>0.57999999999999996</v>
      </c>
      <c r="P12" s="23">
        <f>NC[VL LIQUID]-NC[TX LIQUID]-NC[EMOL]-NC[CORR. BASE]-NC[ISS]-NC[OUTRAS]</f>
        <v>-1176.1599999999999</v>
      </c>
      <c r="Q12" s="23">
        <f>NC[LÍQUIDO]-SUMPRODUCT(N(NC[DATA]=NC[[#This Row],[DATA]]),N(NC[ID]=(NC[[#This Row],[ID]]-1)),NC[LÍQUIDO])</f>
        <v>-1176.1599999999999</v>
      </c>
      <c r="R12" s="23">
        <f>ABS(Q12)/E12</f>
        <v>5.8807999999999989</v>
      </c>
      <c r="S12" s="23">
        <f>TRUNC(IF(NC['[C/V']]="V",I12*SETUP!$H$3,0),2)</f>
        <v>0</v>
      </c>
      <c r="T1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1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V12" s="25">
        <f>IF(NC['[C/V']]="V",NC[MEDIO],0)</f>
        <v>0</v>
      </c>
      <c r="W12" s="23">
        <f>IF(NC['[D/N']]="D",IF(NC['[C/V']]="C",0,SUMPRODUCT(N(NC[DATA]=NC[[#This Row],[DATA]]),N(NC['[C/V']]="V"),NC[LÍQUIDO])),IF(AND(NC[MED CP]&gt;0,NC[MED VD]&gt;0),(NC[MED VD]-NC[MED CP])*NC[QTDE],0))</f>
        <v>0</v>
      </c>
      <c r="X12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2" s="23">
        <f>SUMPRODUCT(N(YEAR(NC[DATA])=YEAR(NC[[#This Row],[DATA]])),N(MONTH(NC[DATA])=MONTH(NC[[#This Row],[DATA]])),N(NC['[D/N']]="N"),NC[LUCRO OP])</f>
        <v>-174.46500000000054</v>
      </c>
      <c r="Z12" s="23">
        <f>SUMPRODUCT(N(YEAR(NC[DATA])=YEAR(NC[[#This Row],[DATA]])),N(MONTH(NC[DATA])=MONTH(NC[[#This Row],[DATA]])),N(NC['[D/N']]="D"),NC[LUCRO OP])</f>
        <v>0</v>
      </c>
      <c r="AA12" s="23">
        <f>NC[LUCRO N]+NC[LUCRO D]</f>
        <v>-174.46500000000054</v>
      </c>
      <c r="AB12" s="26">
        <f>NC[LUCRO MÊS]/(NC[CARTEIRA]-NC[LUCRO MÊS])</f>
        <v>-3.4065315040462014E-2</v>
      </c>
      <c r="AC12" s="23">
        <f>SUMPRODUCT(N(MONTH(NC[DATA])=MONTH(NC[[#This Row],[DATA]])),N(YEAR(NC[DATA])=YEAR(NC[[#This Row],[DATA]])),N(NC['[C/V']]="V"),NC[VALOR])</f>
        <v>5196</v>
      </c>
    </row>
    <row r="13" spans="1:29" s="21" customFormat="1" x14ac:dyDescent="0.2">
      <c r="A13" s="21">
        <v>12</v>
      </c>
      <c r="B13" s="21" t="s">
        <v>30</v>
      </c>
      <c r="C13" s="21" t="s">
        <v>13</v>
      </c>
      <c r="D13" s="22">
        <v>40925</v>
      </c>
      <c r="E13" s="21">
        <v>300</v>
      </c>
      <c r="F13" s="23">
        <v>9.0399999999999991</v>
      </c>
      <c r="G13" s="21" t="s">
        <v>14</v>
      </c>
      <c r="H13" s="21">
        <f>SUMPRODUCT(N(NC[ATIVO]=NC[[#This Row],[ATIVO]]),N(NC['[D/N']]="N"),N(NC['[C/V']]="C"))+SUMPRODUCT(N(NC[ID]&lt;NC[[#This Row],[ID]]),N(NC[ATIVO]=NC[[#This Row],[ATIVO]]),N(NC['[D/N']]="N"),N(NC[SALDO]=0))</f>
        <v>1</v>
      </c>
      <c r="I13" s="23">
        <f>NC[QTDE]*NC[PREÇO]</f>
        <v>2711.9999999999995</v>
      </c>
      <c r="J13" s="23">
        <f>SUMPRODUCT(N(NC[DATA]=NC[[#This Row],[DATA]]),N(NC[ID]&lt;=NC[[#This Row],[ID]]),N(NC['[C/V']]="V"),NC[VALOR])-SUMPRODUCT(N(NC[DATA]=NC[[#This Row],[DATA]]),N(NC[ID]&lt;=NC[[#This Row],[ID]]),N(NC['[C/V']]="C"),NC[VALOR])</f>
        <v>2711.9999999999995</v>
      </c>
      <c r="K1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0.74</v>
      </c>
      <c r="L13" s="23">
        <f>TRUNC(SUMPRODUCT(N(NC[DATA]=NC[[#This Row],[DATA]]),N(NC[ID]&lt;=NC[[#This Row],[ID]]),NC[VALOR]*SETUP!$A$3),2)</f>
        <v>0.18</v>
      </c>
      <c r="M13" s="23">
        <f>SETUP!$E$3*SUMPRODUCT(N(NC[DATA]=NC[[#This Row],[DATA]]),N(NC[ID]&lt;=NC[[#This Row],[ID]]))</f>
        <v>14.9</v>
      </c>
      <c r="N13" s="23">
        <f>TRUNC(NC[CORR. BASE]*SETUP!$F$3,2)</f>
        <v>0.28999999999999998</v>
      </c>
      <c r="O13" s="23">
        <f>SETUP!$G$3*SUMPRODUCT(N(NC[DATA]=NC[[#This Row],[DATA]]),N(NC[ID]&lt;=NC[[#This Row],[ID]]))</f>
        <v>0.57999999999999996</v>
      </c>
      <c r="P13" s="23">
        <f>NC[VL LIQUID]-NC[TX LIQUID]-NC[EMOL]-NC[CORR. BASE]-NC[ISS]-NC[OUTRAS]</f>
        <v>2695.31</v>
      </c>
      <c r="Q13" s="23">
        <f>NC[LÍQUIDO]-SUMPRODUCT(N(NC[DATA]=NC[[#This Row],[DATA]]),N(NC[ID]=(NC[[#This Row],[ID]]-1)),NC[LÍQUIDO])</f>
        <v>2695.31</v>
      </c>
      <c r="R13" s="23">
        <f>ABS(Q13)/E13</f>
        <v>8.9843666666666664</v>
      </c>
      <c r="S13" s="23">
        <f>TRUNC(IF(NC['[C/V']]="V",I13*SETUP!$H$3,0),2)</f>
        <v>0.13</v>
      </c>
      <c r="T1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-300</v>
      </c>
      <c r="U1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V13" s="25">
        <f>IF(NC['[C/V']]="V",NC[MEDIO],0)</f>
        <v>8.9843666666666664</v>
      </c>
      <c r="W13" s="23">
        <f>IF(NC['[D/N']]="D",IF(NC['[C/V']]="C",0,SUMPRODUCT(N(NC[DATA]=NC[[#This Row],[DATA]]),N(NC['[C/V']]="V"),NC[LÍQUIDO])),IF(AND(NC[MED CP]&gt;0,NC[MED VD]&gt;0),(NC[MED VD]-NC[MED CP])*NC[QTDE],0))</f>
        <v>0</v>
      </c>
      <c r="X13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3" s="23">
        <f>SUMPRODUCT(N(YEAR(NC[DATA])=YEAR(NC[[#This Row],[DATA]])),N(MONTH(NC[DATA])=MONTH(NC[[#This Row],[DATA]])),N(NC['[D/N']]="N"),NC[LUCRO OP])</f>
        <v>-174.46500000000054</v>
      </c>
      <c r="Z13" s="23">
        <f>SUMPRODUCT(N(YEAR(NC[DATA])=YEAR(NC[[#This Row],[DATA]])),N(MONTH(NC[DATA])=MONTH(NC[[#This Row],[DATA]])),N(NC['[D/N']]="D"),NC[LUCRO OP])</f>
        <v>0</v>
      </c>
      <c r="AA13" s="23">
        <f>NC[LUCRO N]+NC[LUCRO D]</f>
        <v>-174.46500000000054</v>
      </c>
      <c r="AB13" s="26">
        <f>NC[LUCRO MÊS]/(NC[CARTEIRA]-NC[LUCRO MÊS])</f>
        <v>-3.4065315040462014E-2</v>
      </c>
      <c r="AC13" s="23">
        <f>SUMPRODUCT(N(MONTH(NC[DATA])=MONTH(NC[[#This Row],[DATA]])),N(YEAR(NC[DATA])=YEAR(NC[[#This Row],[DATA]])),N(NC['[C/V']]="V"),NC[VALOR])</f>
        <v>5196</v>
      </c>
    </row>
    <row r="14" spans="1:29" s="21" customFormat="1" x14ac:dyDescent="0.2">
      <c r="A14" s="21">
        <v>13</v>
      </c>
      <c r="B14" s="21" t="s">
        <v>27</v>
      </c>
      <c r="C14" s="21" t="s">
        <v>13</v>
      </c>
      <c r="D14" s="22">
        <v>40925</v>
      </c>
      <c r="E14" s="21">
        <v>200</v>
      </c>
      <c r="F14" s="23">
        <v>5.56</v>
      </c>
      <c r="G14" s="21" t="s">
        <v>14</v>
      </c>
      <c r="H14" s="21">
        <f>SUMPRODUCT(N(NC[ATIVO]=NC[[#This Row],[ATIVO]]),N(NC['[D/N']]="N"),N(NC['[C/V']]="C"))+SUMPRODUCT(N(NC[ID]&lt;NC[[#This Row],[ID]]),N(NC[ATIVO]=NC[[#This Row],[ATIVO]]),N(NC['[D/N']]="N"),N(NC[SALDO]=0))</f>
        <v>3</v>
      </c>
      <c r="I14" s="23">
        <f>NC[QTDE]*NC[PREÇO]</f>
        <v>1112</v>
      </c>
      <c r="J14" s="23">
        <f>SUMPRODUCT(N(NC[DATA]=NC[[#This Row],[DATA]]),N(NC[ID]&lt;=NC[[#This Row],[ID]]),N(NC['[C/V']]="V"),NC[VALOR])-SUMPRODUCT(N(NC[DATA]=NC[[#This Row],[DATA]]),N(NC[ID]&lt;=NC[[#This Row],[ID]]),N(NC['[C/V']]="C"),NC[VALOR])</f>
        <v>3823.9999999999995</v>
      </c>
      <c r="K1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1.05</v>
      </c>
      <c r="L14" s="23">
        <f>TRUNC(SUMPRODUCT(N(NC[DATA]=NC[[#This Row],[DATA]]),N(NC[ID]&lt;=NC[[#This Row],[ID]]),NC[VALOR]*SETUP!$A$3),2)</f>
        <v>0.26</v>
      </c>
      <c r="M14" s="23">
        <f>SETUP!$E$3*SUMPRODUCT(N(NC[DATA]=NC[[#This Row],[DATA]]),N(NC[ID]&lt;=NC[[#This Row],[ID]]))</f>
        <v>29.8</v>
      </c>
      <c r="N14" s="23">
        <f>TRUNC(NC[CORR. BASE]*SETUP!$F$3,2)</f>
        <v>0.59</v>
      </c>
      <c r="O14" s="23">
        <f>SETUP!$G$3*SUMPRODUCT(N(NC[DATA]=NC[[#This Row],[DATA]]),N(NC[ID]&lt;=NC[[#This Row],[ID]]))</f>
        <v>1.1599999999999999</v>
      </c>
      <c r="P14" s="23">
        <f>NC[VL LIQUID]-NC[TX LIQUID]-NC[EMOL]-NC[CORR. BASE]-NC[ISS]-NC[OUTRAS]</f>
        <v>3791.139999999999</v>
      </c>
      <c r="Q14" s="23">
        <f>NC[LÍQUIDO]-SUMPRODUCT(N(NC[DATA]=NC[[#This Row],[DATA]]),N(NC[ID]=(NC[[#This Row],[ID]]-1)),NC[LÍQUIDO])</f>
        <v>1095.829999999999</v>
      </c>
      <c r="R14" s="23">
        <f>ABS(Q14)/E14</f>
        <v>5.4791499999999953</v>
      </c>
      <c r="S14" s="23">
        <f>TRUNC(IF(NC['[C/V']]="V",I14*SETUP!$H$3,0),2)</f>
        <v>0.05</v>
      </c>
      <c r="T1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V14" s="25">
        <f>IF(NC['[C/V']]="V",NC[MEDIO],0)</f>
        <v>5.4791499999999953</v>
      </c>
      <c r="W14" s="23">
        <f>IF(NC['[D/N']]="D",IF(NC['[C/V']]="C",0,SUMPRODUCT(N(NC[DATA]=NC[[#This Row],[DATA]]),N(NC['[C/V']]="V"),NC[LÍQUIDO])),IF(AND(NC[MED CP]&gt;0,NC[MED VD]&gt;0),(NC[MED VD]-NC[MED CP])*NC[QTDE],0))</f>
        <v>-80.330000000000723</v>
      </c>
      <c r="X14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4" s="23">
        <f>SUMPRODUCT(N(YEAR(NC[DATA])=YEAR(NC[[#This Row],[DATA]])),N(MONTH(NC[DATA])=MONTH(NC[[#This Row],[DATA]])),N(NC['[D/N']]="N"),NC[LUCRO OP])</f>
        <v>-174.46500000000054</v>
      </c>
      <c r="Z14" s="23">
        <f>SUMPRODUCT(N(YEAR(NC[DATA])=YEAR(NC[[#This Row],[DATA]])),N(MONTH(NC[DATA])=MONTH(NC[[#This Row],[DATA]])),N(NC['[D/N']]="D"),NC[LUCRO OP])</f>
        <v>0</v>
      </c>
      <c r="AA14" s="23">
        <f>NC[LUCRO N]+NC[LUCRO D]</f>
        <v>-174.46500000000054</v>
      </c>
      <c r="AB14" s="26">
        <f>NC[LUCRO MÊS]/(NC[CARTEIRA]-NC[LUCRO MÊS])</f>
        <v>-3.4065315040462014E-2</v>
      </c>
      <c r="AC14" s="23">
        <f>SUMPRODUCT(N(MONTH(NC[DATA])=MONTH(NC[[#This Row],[DATA]])),N(YEAR(NC[DATA])=YEAR(NC[[#This Row],[DATA]])),N(NC['[C/V']]="V"),NC[VALOR])</f>
        <v>5196</v>
      </c>
    </row>
    <row r="15" spans="1:29" s="21" customFormat="1" x14ac:dyDescent="0.2">
      <c r="A15" s="21">
        <v>14</v>
      </c>
      <c r="B15" s="21" t="s">
        <v>12</v>
      </c>
      <c r="C15" s="21" t="s">
        <v>16</v>
      </c>
      <c r="D15" s="22">
        <v>40932</v>
      </c>
      <c r="E15" s="21">
        <v>2000</v>
      </c>
      <c r="F15" s="23">
        <v>0.5</v>
      </c>
      <c r="G15" s="21" t="s">
        <v>14</v>
      </c>
      <c r="H15" s="21">
        <f>SUMPRODUCT(N(NC[ATIVO]=NC[[#This Row],[ATIVO]]),N(NC['[D/N']]="N"),N(NC['[C/V']]="C"))+SUMPRODUCT(N(NC[ID]&lt;NC[[#This Row],[ID]]),N(NC[ATIVO]=NC[[#This Row],[ATIVO]]),N(NC['[D/N']]="N"),N(NC[SALDO]=0))</f>
        <v>1</v>
      </c>
      <c r="I15" s="23">
        <f>NC[QTDE]*NC[PREÇO]</f>
        <v>1000</v>
      </c>
      <c r="J15" s="23">
        <f>SUMPRODUCT(N(NC[DATA]=NC[[#This Row],[DATA]]),N(NC[ID]&lt;=NC[[#This Row],[ID]]),N(NC['[C/V']]="V"),NC[VALOR])-SUMPRODUCT(N(NC[DATA]=NC[[#This Row],[DATA]]),N(NC[ID]&lt;=NC[[#This Row],[ID]]),N(NC['[C/V']]="C"),NC[VALOR])</f>
        <v>-1000</v>
      </c>
      <c r="K1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0.27</v>
      </c>
      <c r="L15" s="23">
        <f>TRUNC(SUMPRODUCT(N(NC[DATA]=NC[[#This Row],[DATA]]),N(NC[ID]&lt;=NC[[#This Row],[ID]]),NC[VALOR]*SETUP!$A$3),2)</f>
        <v>7.0000000000000007E-2</v>
      </c>
      <c r="M15" s="23">
        <f>SETUP!$E$3*SUMPRODUCT(N(NC[DATA]=NC[[#This Row],[DATA]]),N(NC[ID]&lt;=NC[[#This Row],[ID]]))</f>
        <v>14.9</v>
      </c>
      <c r="N15" s="23">
        <f>TRUNC(NC[CORR. BASE]*SETUP!$F$3,2)</f>
        <v>0.28999999999999998</v>
      </c>
      <c r="O15" s="23">
        <f>SETUP!$G$3*SUMPRODUCT(N(NC[DATA]=NC[[#This Row],[DATA]]),N(NC[ID]&lt;=NC[[#This Row],[ID]]))</f>
        <v>0.57999999999999996</v>
      </c>
      <c r="P15" s="23">
        <f>NC[VL LIQUID]-NC[TX LIQUID]-NC[EMOL]-NC[CORR. BASE]-NC[ISS]-NC[OUTRAS]</f>
        <v>-1016.11</v>
      </c>
      <c r="Q15" s="23">
        <f>NC[LÍQUIDO]-SUMPRODUCT(N(NC[DATA]=NC[[#This Row],[DATA]]),N(NC[ID]=(NC[[#This Row],[ID]]-1)),NC[LÍQUIDO])</f>
        <v>-1016.11</v>
      </c>
      <c r="R15" s="23">
        <f>ABS(Q15)/E15</f>
        <v>0.50805500000000003</v>
      </c>
      <c r="S15" s="23">
        <f>TRUNC(IF(NC['[C/V']]="V",I15*SETUP!$H$3,0),2)</f>
        <v>0</v>
      </c>
      <c r="T1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2000</v>
      </c>
      <c r="U1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V15" s="25">
        <f>IF(NC['[C/V']]="V",NC[MEDIO],0)</f>
        <v>0</v>
      </c>
      <c r="W15" s="23">
        <f>IF(NC['[D/N']]="D",IF(NC['[C/V']]="C",0,SUMPRODUCT(N(NC[DATA]=NC[[#This Row],[DATA]]),N(NC['[C/V']]="V"),NC[LÍQUIDO])),IF(AND(NC[MED CP]&gt;0,NC[MED VD]&gt;0),(NC[MED VD]-NC[MED CP])*NC[QTDE],0))</f>
        <v>0</v>
      </c>
      <c r="X15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5" s="23">
        <f>SUMPRODUCT(N(YEAR(NC[DATA])=YEAR(NC[[#This Row],[DATA]])),N(MONTH(NC[DATA])=MONTH(NC[[#This Row],[DATA]])),N(NC['[D/N']]="N"),NC[LUCRO OP])</f>
        <v>-174.46500000000054</v>
      </c>
      <c r="Z15" s="23">
        <f>SUMPRODUCT(N(YEAR(NC[DATA])=YEAR(NC[[#This Row],[DATA]])),N(MONTH(NC[DATA])=MONTH(NC[[#This Row],[DATA]])),N(NC['[D/N']]="D"),NC[LUCRO OP])</f>
        <v>0</v>
      </c>
      <c r="AA15" s="23">
        <f>NC[LUCRO N]+NC[LUCRO D]</f>
        <v>-174.46500000000054</v>
      </c>
      <c r="AB15" s="26">
        <f>NC[LUCRO MÊS]/(NC[CARTEIRA]-NC[LUCRO MÊS])</f>
        <v>-3.4065315040462014E-2</v>
      </c>
      <c r="AC15" s="23">
        <f>SUMPRODUCT(N(MONTH(NC[DATA])=MONTH(NC[[#This Row],[DATA]])),N(YEAR(NC[DATA])=YEAR(NC[[#This Row],[DATA]])),N(NC['[C/V']]="V"),NC[VALOR])</f>
        <v>5196</v>
      </c>
    </row>
    <row r="16" spans="1:29" s="21" customFormat="1" x14ac:dyDescent="0.2">
      <c r="A16" s="21">
        <v>15</v>
      </c>
      <c r="B16" s="21" t="s">
        <v>26</v>
      </c>
      <c r="C16" s="21" t="s">
        <v>13</v>
      </c>
      <c r="D16" s="22">
        <v>40938</v>
      </c>
      <c r="E16" s="21">
        <v>100</v>
      </c>
      <c r="F16" s="23">
        <v>7.89</v>
      </c>
      <c r="G16" s="21" t="s">
        <v>14</v>
      </c>
      <c r="H16" s="21">
        <f>SUMPRODUCT(N(NC[ATIVO]=NC[[#This Row],[ATIVO]]),N(NC['[D/N']]="N"),N(NC['[C/V']]="C"))+SUMPRODUCT(N(NC[ID]&lt;NC[[#This Row],[ID]]),N(NC[ATIVO]=NC[[#This Row],[ATIVO]]),N(NC['[D/N']]="N"),N(NC[SALDO]=0))</f>
        <v>1</v>
      </c>
      <c r="I16" s="23">
        <f>NC[QTDE]*NC[PREÇO]</f>
        <v>789</v>
      </c>
      <c r="J16" s="23">
        <f>SUMPRODUCT(N(NC[DATA]=NC[[#This Row],[DATA]]),N(NC[ID]&lt;=NC[[#This Row],[ID]]),N(NC['[C/V']]="V"),NC[VALOR])-SUMPRODUCT(N(NC[DATA]=NC[[#This Row],[DATA]]),N(NC[ID]&lt;=NC[[#This Row],[ID]]),N(NC['[C/V']]="C"),NC[VALOR])</f>
        <v>789</v>
      </c>
      <c r="K1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0.21</v>
      </c>
      <c r="L16" s="23">
        <f>TRUNC(SUMPRODUCT(N(NC[DATA]=NC[[#This Row],[DATA]]),N(NC[ID]&lt;=NC[[#This Row],[ID]]),NC[VALOR]*SETUP!$A$3),2)</f>
        <v>0.05</v>
      </c>
      <c r="M16" s="23">
        <f>SETUP!$E$3*SUMPRODUCT(N(NC[DATA]=NC[[#This Row],[DATA]]),N(NC[ID]&lt;=NC[[#This Row],[ID]]))</f>
        <v>14.9</v>
      </c>
      <c r="N16" s="23">
        <f>TRUNC(NC[CORR. BASE]*SETUP!$F$3,2)</f>
        <v>0.28999999999999998</v>
      </c>
      <c r="O16" s="23">
        <f>SETUP!$G$3*SUMPRODUCT(N(NC[DATA]=NC[[#This Row],[DATA]]),N(NC[ID]&lt;=NC[[#This Row],[ID]]))</f>
        <v>0.57999999999999996</v>
      </c>
      <c r="P16" s="23">
        <f>NC[VL LIQUID]-NC[TX LIQUID]-NC[EMOL]-NC[CORR. BASE]-NC[ISS]-NC[OUTRAS]</f>
        <v>772.97</v>
      </c>
      <c r="Q16" s="23">
        <f>NC[LÍQUIDO]-SUMPRODUCT(N(NC[DATA]=NC[[#This Row],[DATA]]),N(NC[ID]=(NC[[#This Row],[ID]]-1)),NC[LÍQUIDO])</f>
        <v>772.97</v>
      </c>
      <c r="R16" s="23">
        <f>ABS(Q16)/E16</f>
        <v>7.7297000000000002</v>
      </c>
      <c r="S16" s="23">
        <f>TRUNC(IF(NC['[C/V']]="V",I16*SETUP!$H$3,0),2)</f>
        <v>0.03</v>
      </c>
      <c r="T1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V16" s="25">
        <f>IF(NC['[C/V']]="V",NC[MEDIO],0)</f>
        <v>7.7297000000000002</v>
      </c>
      <c r="W16" s="23">
        <f>IF(NC['[D/N']]="D",IF(NC['[C/V']]="C",0,SUMPRODUCT(N(NC[DATA]=NC[[#This Row],[DATA]]),N(NC['[C/V']]="V"),NC[LÍQUIDO])),IF(AND(NC[MED CP]&gt;0,NC[MED VD]&gt;0),(NC[MED VD]-NC[MED CP])*NC[QTDE],0))</f>
        <v>-88.079999999999799</v>
      </c>
      <c r="X16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6" s="23">
        <f>SUMPRODUCT(N(YEAR(NC[DATA])=YEAR(NC[[#This Row],[DATA]])),N(MONTH(NC[DATA])=MONTH(NC[[#This Row],[DATA]])),N(NC['[D/N']]="N"),NC[LUCRO OP])</f>
        <v>-174.46500000000054</v>
      </c>
      <c r="Z16" s="23">
        <f>SUMPRODUCT(N(YEAR(NC[DATA])=YEAR(NC[[#This Row],[DATA]])),N(MONTH(NC[DATA])=MONTH(NC[[#This Row],[DATA]])),N(NC['[D/N']]="D"),NC[LUCRO OP])</f>
        <v>0</v>
      </c>
      <c r="AA16" s="23">
        <f>NC[LUCRO N]+NC[LUCRO D]</f>
        <v>-174.46500000000054</v>
      </c>
      <c r="AB16" s="26">
        <f>NC[LUCRO MÊS]/(NC[CARTEIRA]-NC[LUCRO MÊS])</f>
        <v>-3.4065315040462014E-2</v>
      </c>
      <c r="AC16" s="23">
        <f>SUMPRODUCT(N(MONTH(NC[DATA])=MONTH(NC[[#This Row],[DATA]])),N(YEAR(NC[DATA])=YEAR(NC[[#This Row],[DATA]])),N(NC['[C/V']]="V"),NC[VALOR])</f>
        <v>5196</v>
      </c>
    </row>
    <row r="17" spans="1:29" s="21" customFormat="1" x14ac:dyDescent="0.2">
      <c r="A17" s="21">
        <v>16</v>
      </c>
      <c r="B17" s="21" t="s">
        <v>30</v>
      </c>
      <c r="C17" s="21" t="s">
        <v>16</v>
      </c>
      <c r="D17" s="22">
        <v>40939</v>
      </c>
      <c r="E17" s="21">
        <v>300</v>
      </c>
      <c r="F17" s="23">
        <v>9.43</v>
      </c>
      <c r="G17" s="21" t="s">
        <v>14</v>
      </c>
      <c r="H17" s="21">
        <f>SUMPRODUCT(N(NC[ATIVO]=NC[[#This Row],[ATIVO]]),N(NC['[D/N']]="N"),N(NC['[C/V']]="C"))+SUMPRODUCT(N(NC[ID]&lt;NC[[#This Row],[ID]]),N(NC[ATIVO]=NC[[#This Row],[ATIVO]]),N(NC['[D/N']]="N"),N(NC[SALDO]=0))</f>
        <v>1</v>
      </c>
      <c r="I17" s="23">
        <f>NC[QTDE]*NC[PREÇO]</f>
        <v>2829</v>
      </c>
      <c r="J17" s="23">
        <f>SUMPRODUCT(N(NC[DATA]=NC[[#This Row],[DATA]]),N(NC[ID]&lt;=NC[[#This Row],[ID]]),N(NC['[C/V']]="V"),NC[VALOR])-SUMPRODUCT(N(NC[DATA]=NC[[#This Row],[DATA]]),N(NC[ID]&lt;=NC[[#This Row],[ID]]),N(NC['[C/V']]="C"),NC[VALOR])</f>
        <v>-2829</v>
      </c>
      <c r="K1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0.77</v>
      </c>
      <c r="L17" s="23">
        <f>TRUNC(SUMPRODUCT(N(NC[DATA]=NC[[#This Row],[DATA]]),N(NC[ID]&lt;=NC[[#This Row],[ID]]),NC[VALOR]*SETUP!$A$3),2)</f>
        <v>0.19</v>
      </c>
      <c r="M17" s="23">
        <f>SETUP!$E$3*SUMPRODUCT(N(NC[DATA]=NC[[#This Row],[DATA]]),N(NC[ID]&lt;=NC[[#This Row],[ID]]))</f>
        <v>14.9</v>
      </c>
      <c r="N17" s="23">
        <f>TRUNC(NC[CORR. BASE]*SETUP!$F$3,2)</f>
        <v>0.28999999999999998</v>
      </c>
      <c r="O17" s="23">
        <f>SETUP!$G$3*SUMPRODUCT(N(NC[DATA]=NC[[#This Row],[DATA]]),N(NC[ID]&lt;=NC[[#This Row],[ID]]))</f>
        <v>0.57999999999999996</v>
      </c>
      <c r="P17" s="23">
        <f>NC[VL LIQUID]-NC[TX LIQUID]-NC[EMOL]-NC[CORR. BASE]-NC[ISS]-NC[OUTRAS]</f>
        <v>-2845.73</v>
      </c>
      <c r="Q17" s="23">
        <f>NC[LÍQUIDO]-SUMPRODUCT(N(NC[DATA]=NC[[#This Row],[DATA]]),N(NC[ID]=(NC[[#This Row],[ID]]-1)),NC[LÍQUIDO])</f>
        <v>-2845.73</v>
      </c>
      <c r="R17" s="23">
        <f>ABS(Q17)/E17</f>
        <v>9.4857666666666667</v>
      </c>
      <c r="S17" s="23">
        <f>TRUNC(IF(NC['[C/V']]="V",I17*SETUP!$H$3,0),2)</f>
        <v>0</v>
      </c>
      <c r="T1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9.4857666666666667</v>
      </c>
      <c r="V17" s="25">
        <f>IF(NC['[C/V']]="V",NC[MEDIO],0)</f>
        <v>0</v>
      </c>
      <c r="W17" s="23">
        <f>IF(NC['[D/N']]="D",IF(NC['[C/V']]="C",0,SUMPRODUCT(N(NC[DATA]=NC[[#This Row],[DATA]]),N(NC['[C/V']]="V"),NC[LÍQUIDO])),IF(AND(NC[MED CP]&gt;0,NC[MED VD]&gt;0),(NC[MED VD]-NC[MED CP])*NC[QTDE],0))</f>
        <v>0</v>
      </c>
      <c r="X17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7" s="23">
        <f>SUMPRODUCT(N(YEAR(NC[DATA])=YEAR(NC[[#This Row],[DATA]])),N(MONTH(NC[DATA])=MONTH(NC[[#This Row],[DATA]])),N(NC['[D/N']]="N"),NC[LUCRO OP])</f>
        <v>-174.46500000000054</v>
      </c>
      <c r="Z17" s="23">
        <f>SUMPRODUCT(N(YEAR(NC[DATA])=YEAR(NC[[#This Row],[DATA]])),N(MONTH(NC[DATA])=MONTH(NC[[#This Row],[DATA]])),N(NC['[D/N']]="D"),NC[LUCRO OP])</f>
        <v>0</v>
      </c>
      <c r="AA17" s="23">
        <f>NC[LUCRO N]+NC[LUCRO D]</f>
        <v>-174.46500000000054</v>
      </c>
      <c r="AB17" s="26">
        <f>NC[LUCRO MÊS]/(NC[CARTEIRA]-NC[LUCRO MÊS])</f>
        <v>-3.4065315040462014E-2</v>
      </c>
      <c r="AC17" s="23">
        <f>SUMPRODUCT(N(MONTH(NC[DATA])=MONTH(NC[[#This Row],[DATA]])),N(YEAR(NC[DATA])=YEAR(NC[[#This Row],[DATA]])),N(NC['[C/V']]="V"),NC[VALOR])</f>
        <v>5196</v>
      </c>
    </row>
    <row r="18" spans="1:29" s="21" customFormat="1" x14ac:dyDescent="0.2">
      <c r="A18" s="21">
        <v>17</v>
      </c>
      <c r="B18" s="21" t="s">
        <v>31</v>
      </c>
      <c r="C18" s="21" t="s">
        <v>16</v>
      </c>
      <c r="D18" s="22">
        <v>40939</v>
      </c>
      <c r="E18" s="21">
        <v>2300</v>
      </c>
      <c r="F18" s="23">
        <v>0.43</v>
      </c>
      <c r="G18" s="21" t="s">
        <v>14</v>
      </c>
      <c r="H18" s="21">
        <f>SUMPRODUCT(N(NC[ATIVO]=NC[[#This Row],[ATIVO]]),N(NC['[D/N']]="N"),N(NC['[C/V']]="C"))+SUMPRODUCT(N(NC[ID]&lt;NC[[#This Row],[ID]]),N(NC[ATIVO]=NC[[#This Row],[ATIVO]]),N(NC['[D/N']]="N"),N(NC[SALDO]=0))</f>
        <v>2</v>
      </c>
      <c r="I18" s="23">
        <f>NC[QTDE]*NC[PREÇO]</f>
        <v>989</v>
      </c>
      <c r="J18" s="23">
        <f>SUMPRODUCT(N(NC[DATA]=NC[[#This Row],[DATA]]),N(NC[ID]&lt;=NC[[#This Row],[ID]]),N(NC['[C/V']]="V"),NC[VALOR])-SUMPRODUCT(N(NC[DATA]=NC[[#This Row],[DATA]]),N(NC[ID]&lt;=NC[[#This Row],[ID]]),N(NC['[C/V']]="C"),NC[VALOR])</f>
        <v>-3818</v>
      </c>
      <c r="K1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1.04</v>
      </c>
      <c r="L18" s="23">
        <f>TRUNC(SUMPRODUCT(N(NC[DATA]=NC[[#This Row],[DATA]]),N(NC[ID]&lt;=NC[[#This Row],[ID]]),NC[VALOR]*SETUP!$A$3),2)</f>
        <v>0.26</v>
      </c>
      <c r="M18" s="23">
        <f>SETUP!$E$3*SUMPRODUCT(N(NC[DATA]=NC[[#This Row],[DATA]]),N(NC[ID]&lt;=NC[[#This Row],[ID]]))</f>
        <v>29.8</v>
      </c>
      <c r="N18" s="23">
        <f>TRUNC(NC[CORR. BASE]*SETUP!$F$3,2)</f>
        <v>0.59</v>
      </c>
      <c r="O18" s="23">
        <f>SETUP!$G$3*SUMPRODUCT(N(NC[DATA]=NC[[#This Row],[DATA]]),N(NC[ID]&lt;=NC[[#This Row],[ID]]))</f>
        <v>1.1599999999999999</v>
      </c>
      <c r="P18" s="23">
        <f>NC[VL LIQUID]-NC[TX LIQUID]-NC[EMOL]-NC[CORR. BASE]-NC[ISS]-NC[OUTRAS]</f>
        <v>-3850.8500000000004</v>
      </c>
      <c r="Q18" s="23">
        <f>NC[LÍQUIDO]-SUMPRODUCT(N(NC[DATA]=NC[[#This Row],[DATA]]),N(NC[ID]=(NC[[#This Row],[ID]]-1)),NC[LÍQUIDO])</f>
        <v>-1005.1200000000003</v>
      </c>
      <c r="R18" s="23">
        <f>ABS(Q18)/E18</f>
        <v>0.43700869565217404</v>
      </c>
      <c r="S18" s="23">
        <f>TRUNC(IF(NC['[C/V']]="V",I18*SETUP!$H$3,0),2)</f>
        <v>0</v>
      </c>
      <c r="T1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2300</v>
      </c>
      <c r="U1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0.43700869565217404</v>
      </c>
      <c r="V18" s="25">
        <f>IF(NC['[C/V']]="V",NC[MEDIO],0)</f>
        <v>0</v>
      </c>
      <c r="W18" s="23">
        <f>IF(NC['[D/N']]="D",IF(NC['[C/V']]="C",0,SUMPRODUCT(N(NC[DATA]=NC[[#This Row],[DATA]]),N(NC['[C/V']]="V"),NC[LÍQUIDO])),IF(AND(NC[MED CP]&gt;0,NC[MED VD]&gt;0),(NC[MED VD]-NC[MED CP])*NC[QTDE],0))</f>
        <v>0</v>
      </c>
      <c r="X18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4947.0199999999986</v>
      </c>
      <c r="Y18" s="23">
        <f>SUMPRODUCT(N(YEAR(NC[DATA])=YEAR(NC[[#This Row],[DATA]])),N(MONTH(NC[DATA])=MONTH(NC[[#This Row],[DATA]])),N(NC['[D/N']]="N"),NC[LUCRO OP])</f>
        <v>-174.46500000000054</v>
      </c>
      <c r="Z18" s="23">
        <f>SUMPRODUCT(N(YEAR(NC[DATA])=YEAR(NC[[#This Row],[DATA]])),N(MONTH(NC[DATA])=MONTH(NC[[#This Row],[DATA]])),N(NC['[D/N']]="D"),NC[LUCRO OP])</f>
        <v>0</v>
      </c>
      <c r="AA18" s="23">
        <f>NC[LUCRO N]+NC[LUCRO D]</f>
        <v>-174.46500000000054</v>
      </c>
      <c r="AB18" s="26">
        <f>NC[LUCRO MÊS]/(NC[CARTEIRA]-NC[LUCRO MÊS])</f>
        <v>-3.4065315040462014E-2</v>
      </c>
      <c r="AC18" s="23">
        <f>SUMPRODUCT(N(MONTH(NC[DATA])=MONTH(NC[[#This Row],[DATA]])),N(YEAR(NC[DATA])=YEAR(NC[[#This Row],[DATA]])),N(NC['[C/V']]="V"),NC[VALOR])</f>
        <v>5196</v>
      </c>
    </row>
    <row r="19" spans="1:29" s="21" customFormat="1" x14ac:dyDescent="0.2">
      <c r="A19" s="21">
        <v>18</v>
      </c>
      <c r="B19" s="21" t="s">
        <v>28</v>
      </c>
      <c r="C19" s="21" t="s">
        <v>16</v>
      </c>
      <c r="D19" s="22">
        <v>40942</v>
      </c>
      <c r="E19" s="21">
        <v>200</v>
      </c>
      <c r="F19" s="23">
        <v>4.76</v>
      </c>
      <c r="G19" s="21" t="s">
        <v>14</v>
      </c>
      <c r="H19" s="21">
        <f>SUMPRODUCT(N(NC[ATIVO]=NC[[#This Row],[ATIVO]]),N(NC['[D/N']]="N"),N(NC['[C/V']]="C"))+SUMPRODUCT(N(NC[ID]&lt;NC[[#This Row],[ID]]),N(NC[ATIVO]=NC[[#This Row],[ATIVO]]),N(NC['[D/N']]="N"),N(NC[SALDO]=0))</f>
        <v>2</v>
      </c>
      <c r="I19" s="23">
        <f>NC[QTDE]*NC[PREÇO]</f>
        <v>952</v>
      </c>
      <c r="J19" s="23">
        <f>SUMPRODUCT(N(NC[DATA]=NC[[#This Row],[DATA]]),N(NC[ID]&lt;=NC[[#This Row],[ID]]),N(NC['[C/V']]="V"),NC[VALOR])-SUMPRODUCT(N(NC[DATA]=NC[[#This Row],[DATA]]),N(NC[ID]&lt;=NC[[#This Row],[ID]]),N(NC['[C/V']]="C"),NC[VALOR])</f>
        <v>-952</v>
      </c>
      <c r="K1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0.26</v>
      </c>
      <c r="L19" s="23">
        <f>TRUNC(SUMPRODUCT(N(NC[DATA]=NC[[#This Row],[DATA]]),N(NC[ID]&lt;=NC[[#This Row],[ID]]),NC[VALOR]*SETUP!$A$3),2)</f>
        <v>0.06</v>
      </c>
      <c r="M19" s="23">
        <f>SETUP!$E$3*SUMPRODUCT(N(NC[DATA]=NC[[#This Row],[DATA]]),N(NC[ID]&lt;=NC[[#This Row],[ID]]))</f>
        <v>14.9</v>
      </c>
      <c r="N19" s="23">
        <f>TRUNC(NC[CORR. BASE]*SETUP!$F$3,2)</f>
        <v>0.28999999999999998</v>
      </c>
      <c r="O19" s="23">
        <f>SETUP!$G$3*SUMPRODUCT(N(NC[DATA]=NC[[#This Row],[DATA]]),N(NC[ID]&lt;=NC[[#This Row],[ID]]))</f>
        <v>0.57999999999999996</v>
      </c>
      <c r="P19" s="23">
        <f>NC[VL LIQUID]-NC[TX LIQUID]-NC[EMOL]-NC[CORR. BASE]-NC[ISS]-NC[OUTRAS]</f>
        <v>-968.08999999999992</v>
      </c>
      <c r="Q19" s="23">
        <f>NC[LÍQUIDO]-SUMPRODUCT(N(NC[DATA]=NC[[#This Row],[DATA]]),N(NC[ID]=(NC[[#This Row],[ID]]-1)),NC[LÍQUIDO])</f>
        <v>-968.08999999999992</v>
      </c>
      <c r="R19" s="23">
        <f>ABS(Q19)/E19</f>
        <v>4.8404499999999997</v>
      </c>
      <c r="S19" s="23">
        <f>TRUNC(IF(NC['[C/V']]="V",I19*SETUP!$H$3,0),2)</f>
        <v>0</v>
      </c>
      <c r="T1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1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4.8404499999999997</v>
      </c>
      <c r="V19" s="25">
        <f>IF(NC['[C/V']]="V",NC[MEDIO],0)</f>
        <v>0</v>
      </c>
      <c r="W19" s="23">
        <f>IF(NC['[D/N']]="D",IF(NC['[C/V']]="C",0,SUMPRODUCT(N(NC[DATA]=NC[[#This Row],[DATA]]),N(NC['[C/V']]="V"),NC[LÍQUIDO])),IF(AND(NC[MED CP]&gt;0,NC[MED VD]&gt;0),(NC[MED VD]-NC[MED CP])*NC[QTDE],0))</f>
        <v>0</v>
      </c>
      <c r="X19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19" s="23">
        <f>SUMPRODUCT(N(YEAR(NC[DATA])=YEAR(NC[[#This Row],[DATA]])),N(MONTH(NC[DATA])=MONTH(NC[[#This Row],[DATA]])),N(NC['[D/N']]="N"),NC[LUCRO OP])</f>
        <v>-337.03999999999962</v>
      </c>
      <c r="Z19" s="23">
        <f>SUMPRODUCT(N(YEAR(NC[DATA])=YEAR(NC[[#This Row],[DATA]])),N(MONTH(NC[DATA])=MONTH(NC[[#This Row],[DATA]])),N(NC['[D/N']]="D"),NC[LUCRO OP])</f>
        <v>0</v>
      </c>
      <c r="AA19" s="23">
        <f>NC[LUCRO N]+NC[LUCRO D]</f>
        <v>-337.03999999999962</v>
      </c>
      <c r="AB19" s="26">
        <f>NC[LUCRO MÊS]/(NC[CARTEIRA]-NC[LUCRO MÊS])</f>
        <v>-8.2040596756251416E-2</v>
      </c>
      <c r="AC19" s="23">
        <f>SUMPRODUCT(N(MONTH(NC[DATA])=MONTH(NC[[#This Row],[DATA]])),N(YEAR(NC[DATA])=YEAR(NC[[#This Row],[DATA]])),N(NC['[C/V']]="V"),NC[VALOR])</f>
        <v>3102</v>
      </c>
    </row>
    <row r="20" spans="1:29" s="21" customFormat="1" x14ac:dyDescent="0.2">
      <c r="A20" s="21">
        <v>19</v>
      </c>
      <c r="B20" s="21" t="s">
        <v>29</v>
      </c>
      <c r="C20" s="21" t="s">
        <v>13</v>
      </c>
      <c r="D20" s="22">
        <v>40948</v>
      </c>
      <c r="E20" s="21">
        <v>300</v>
      </c>
      <c r="F20" s="23">
        <v>7.7</v>
      </c>
      <c r="G20" s="21" t="s">
        <v>14</v>
      </c>
      <c r="H20" s="21">
        <f>SUMPRODUCT(N(NC[ATIVO]=NC[[#This Row],[ATIVO]]),N(NC['[D/N']]="N"),N(NC['[C/V']]="C"))+SUMPRODUCT(N(NC[ID]&lt;NC[[#This Row],[ID]]),N(NC[ATIVO]=NC[[#This Row],[ATIVO]]),N(NC['[D/N']]="N"),N(NC[SALDO]=0))</f>
        <v>1</v>
      </c>
      <c r="I20" s="23">
        <f>NC[QTDE]*NC[PREÇO]</f>
        <v>2310</v>
      </c>
      <c r="J20" s="23">
        <f>SUMPRODUCT(N(NC[DATA]=NC[[#This Row],[DATA]]),N(NC[ID]&lt;=NC[[#This Row],[ID]]),N(NC['[C/V']]="V"),NC[VALOR])-SUMPRODUCT(N(NC[DATA]=NC[[#This Row],[DATA]]),N(NC[ID]&lt;=NC[[#This Row],[ID]]),N(NC['[C/V']]="C"),NC[VALOR])</f>
        <v>2310</v>
      </c>
      <c r="K2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0.63</v>
      </c>
      <c r="L20" s="23">
        <f>TRUNC(SUMPRODUCT(N(NC[DATA]=NC[[#This Row],[DATA]]),N(NC[ID]&lt;=NC[[#This Row],[ID]]),NC[VALOR]*SETUP!$A$3),2)</f>
        <v>0.16</v>
      </c>
      <c r="M20" s="23">
        <f>SETUP!$E$3*SUMPRODUCT(N(NC[DATA]=NC[[#This Row],[DATA]]),N(NC[ID]&lt;=NC[[#This Row],[ID]]))</f>
        <v>14.9</v>
      </c>
      <c r="N20" s="23">
        <f>TRUNC(NC[CORR. BASE]*SETUP!$F$3,2)</f>
        <v>0.28999999999999998</v>
      </c>
      <c r="O20" s="23">
        <f>SETUP!$G$3*SUMPRODUCT(N(NC[DATA]=NC[[#This Row],[DATA]]),N(NC[ID]&lt;=NC[[#This Row],[ID]]))</f>
        <v>0.57999999999999996</v>
      </c>
      <c r="P20" s="23">
        <f>NC[VL LIQUID]-NC[TX LIQUID]-NC[EMOL]-NC[CORR. BASE]-NC[ISS]-NC[OUTRAS]</f>
        <v>2293.44</v>
      </c>
      <c r="Q20" s="23">
        <f>NC[LÍQUIDO]-SUMPRODUCT(N(NC[DATA]=NC[[#This Row],[DATA]]),N(NC[ID]=(NC[[#This Row],[ID]]-1)),NC[LÍQUIDO])</f>
        <v>2293.44</v>
      </c>
      <c r="R20" s="23">
        <f>ABS(Q20)/E20</f>
        <v>7.6448</v>
      </c>
      <c r="S20" s="23">
        <f>TRUNC(IF(NC['[C/V']]="V",I20*SETUP!$H$3,0),2)</f>
        <v>0.11</v>
      </c>
      <c r="T2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V20" s="25">
        <f>IF(NC['[C/V']]="V",NC[MEDIO],0)</f>
        <v>7.6448</v>
      </c>
      <c r="W20" s="23">
        <f>IF(NC['[D/N']]="D",IF(NC['[C/V']]="C",0,SUMPRODUCT(N(NC[DATA]=NC[[#This Row],[DATA]]),N(NC['[C/V']]="V"),NC[LÍQUIDO])),IF(AND(NC[MED CP]&gt;0,NC[MED VD]&gt;0),(NC[MED VD]-NC[MED CP])*NC[QTDE],0))</f>
        <v>-81.129999999999654</v>
      </c>
      <c r="X20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0" s="23">
        <f>SUMPRODUCT(N(YEAR(NC[DATA])=YEAR(NC[[#This Row],[DATA]])),N(MONTH(NC[DATA])=MONTH(NC[[#This Row],[DATA]])),N(NC['[D/N']]="N"),NC[LUCRO OP])</f>
        <v>-337.03999999999962</v>
      </c>
      <c r="Z20" s="23">
        <f>SUMPRODUCT(N(YEAR(NC[DATA])=YEAR(NC[[#This Row],[DATA]])),N(MONTH(NC[DATA])=MONTH(NC[[#This Row],[DATA]])),N(NC['[D/N']]="D"),NC[LUCRO OP])</f>
        <v>0</v>
      </c>
      <c r="AA20" s="23">
        <f>NC[LUCRO N]+NC[LUCRO D]</f>
        <v>-337.03999999999962</v>
      </c>
      <c r="AB20" s="26">
        <f>NC[LUCRO MÊS]/(NC[CARTEIRA]-NC[LUCRO MÊS])</f>
        <v>-8.2040596756251416E-2</v>
      </c>
      <c r="AC20" s="23">
        <f>SUMPRODUCT(N(MONTH(NC[DATA])=MONTH(NC[[#This Row],[DATA]])),N(YEAR(NC[DATA])=YEAR(NC[[#This Row],[DATA]])),N(NC['[C/V']]="V"),NC[VALOR])</f>
        <v>3102</v>
      </c>
    </row>
    <row r="21" spans="1:29" s="21" customFormat="1" x14ac:dyDescent="0.2">
      <c r="A21" s="21">
        <v>20</v>
      </c>
      <c r="B21" s="21" t="s">
        <v>31</v>
      </c>
      <c r="C21" s="21" t="s">
        <v>16</v>
      </c>
      <c r="D21" s="22">
        <v>40948</v>
      </c>
      <c r="E21" s="21">
        <v>3700</v>
      </c>
      <c r="F21" s="23">
        <v>0.37</v>
      </c>
      <c r="G21" s="21" t="s">
        <v>14</v>
      </c>
      <c r="H21" s="21">
        <f>SUMPRODUCT(N(NC[ATIVO]=NC[[#This Row],[ATIVO]]),N(NC['[D/N']]="N"),N(NC['[C/V']]="C"))+SUMPRODUCT(N(NC[ID]&lt;NC[[#This Row],[ID]]),N(NC[ATIVO]=NC[[#This Row],[ATIVO]]),N(NC['[D/N']]="N"),N(NC[SALDO]=0))</f>
        <v>2</v>
      </c>
      <c r="I21" s="23">
        <f>NC[QTDE]*NC[PREÇO]</f>
        <v>1369</v>
      </c>
      <c r="J21" s="23">
        <f>SUMPRODUCT(N(NC[DATA]=NC[[#This Row],[DATA]]),N(NC[ID]&lt;=NC[[#This Row],[ID]]),N(NC['[C/V']]="V"),NC[VALOR])-SUMPRODUCT(N(NC[DATA]=NC[[#This Row],[DATA]]),N(NC[ID]&lt;=NC[[#This Row],[ID]]),N(NC['[C/V']]="C"),NC[VALOR])</f>
        <v>941</v>
      </c>
      <c r="K2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1.01</v>
      </c>
      <c r="L21" s="23">
        <f>TRUNC(SUMPRODUCT(N(NC[DATA]=NC[[#This Row],[DATA]]),N(NC[ID]&lt;=NC[[#This Row],[ID]]),NC[VALOR]*SETUP!$A$3),2)</f>
        <v>0.25</v>
      </c>
      <c r="M21" s="23">
        <f>SETUP!$E$3*SUMPRODUCT(N(NC[DATA]=NC[[#This Row],[DATA]]),N(NC[ID]&lt;=NC[[#This Row],[ID]]))</f>
        <v>29.8</v>
      </c>
      <c r="N21" s="23">
        <f>TRUNC(NC[CORR. BASE]*SETUP!$F$3,2)</f>
        <v>0.59</v>
      </c>
      <c r="O21" s="23">
        <f>SETUP!$G$3*SUMPRODUCT(N(NC[DATA]=NC[[#This Row],[DATA]]),N(NC[ID]&lt;=NC[[#This Row],[ID]]))</f>
        <v>1.1599999999999999</v>
      </c>
      <c r="P21" s="23">
        <f>NC[VL LIQUID]-NC[TX LIQUID]-NC[EMOL]-NC[CORR. BASE]-NC[ISS]-NC[OUTRAS]</f>
        <v>908.19</v>
      </c>
      <c r="Q21" s="23">
        <f>NC[LÍQUIDO]-SUMPRODUCT(N(NC[DATA]=NC[[#This Row],[DATA]]),N(NC[ID]=(NC[[#This Row],[ID]]-1)),NC[LÍQUIDO])</f>
        <v>-1385.25</v>
      </c>
      <c r="R21" s="23">
        <f>ABS(Q21)/E21</f>
        <v>0.37439189189189187</v>
      </c>
      <c r="S21" s="23">
        <f>TRUNC(IF(NC['[C/V']]="V",I21*SETUP!$H$3,0),2)</f>
        <v>0</v>
      </c>
      <c r="T2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6000</v>
      </c>
      <c r="U2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V21" s="25">
        <f>IF(NC['[C/V']]="V",NC[MEDIO],0)</f>
        <v>0</v>
      </c>
      <c r="W21" s="23">
        <f>IF(NC['[D/N']]="D",IF(NC['[C/V']]="C",0,SUMPRODUCT(N(NC[DATA]=NC[[#This Row],[DATA]]),N(NC['[C/V']]="V"),NC[LÍQUIDO])),IF(AND(NC[MED CP]&gt;0,NC[MED VD]&gt;0),(NC[MED VD]-NC[MED CP])*NC[QTDE],0))</f>
        <v>0</v>
      </c>
      <c r="X21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1" s="23">
        <f>SUMPRODUCT(N(YEAR(NC[DATA])=YEAR(NC[[#This Row],[DATA]])),N(MONTH(NC[DATA])=MONTH(NC[[#This Row],[DATA]])),N(NC['[D/N']]="N"),NC[LUCRO OP])</f>
        <v>-337.03999999999962</v>
      </c>
      <c r="Z21" s="23">
        <f>SUMPRODUCT(N(YEAR(NC[DATA])=YEAR(NC[[#This Row],[DATA]])),N(MONTH(NC[DATA])=MONTH(NC[[#This Row],[DATA]])),N(NC['[D/N']]="D"),NC[LUCRO OP])</f>
        <v>0</v>
      </c>
      <c r="AA21" s="23">
        <f>NC[LUCRO N]+NC[LUCRO D]</f>
        <v>-337.03999999999962</v>
      </c>
      <c r="AB21" s="26">
        <f>NC[LUCRO MÊS]/(NC[CARTEIRA]-NC[LUCRO MÊS])</f>
        <v>-8.2040596756251416E-2</v>
      </c>
      <c r="AC21" s="23">
        <f>SUMPRODUCT(N(MONTH(NC[DATA])=MONTH(NC[[#This Row],[DATA]])),N(YEAR(NC[DATA])=YEAR(NC[[#This Row],[DATA]])),N(NC['[C/V']]="V"),NC[VALOR])</f>
        <v>3102</v>
      </c>
    </row>
    <row r="22" spans="1:29" s="21" customFormat="1" x14ac:dyDescent="0.2">
      <c r="A22" s="21">
        <v>21</v>
      </c>
      <c r="B22" s="21" t="s">
        <v>32</v>
      </c>
      <c r="C22" s="21" t="s">
        <v>16</v>
      </c>
      <c r="D22" s="22">
        <v>40948</v>
      </c>
      <c r="E22" s="21">
        <v>500</v>
      </c>
      <c r="F22" s="23">
        <v>2.37</v>
      </c>
      <c r="G22" s="21" t="s">
        <v>14</v>
      </c>
      <c r="H22" s="21">
        <f>SUMPRODUCT(N(NC[ATIVO]=NC[[#This Row],[ATIVO]]),N(NC['[D/N']]="N"),N(NC['[C/V']]="C"))+SUMPRODUCT(N(NC[ID]&lt;NC[[#This Row],[ID]]),N(NC[ATIVO]=NC[[#This Row],[ATIVO]]),N(NC['[D/N']]="N"),N(NC[SALDO]=0))</f>
        <v>1</v>
      </c>
      <c r="I22" s="23">
        <f>NC[QTDE]*NC[PREÇO]</f>
        <v>1185</v>
      </c>
      <c r="J22" s="23">
        <f>SUMPRODUCT(N(NC[DATA]=NC[[#This Row],[DATA]]),N(NC[ID]&lt;=NC[[#This Row],[ID]]),N(NC['[C/V']]="V"),NC[VALOR])-SUMPRODUCT(N(NC[DATA]=NC[[#This Row],[DATA]]),N(NC[ID]&lt;=NC[[#This Row],[ID]]),N(NC['[C/V']]="C"),NC[VALOR])</f>
        <v>-244</v>
      </c>
      <c r="K2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1.33</v>
      </c>
      <c r="L22" s="23">
        <f>TRUNC(SUMPRODUCT(N(NC[DATA]=NC[[#This Row],[DATA]]),N(NC[ID]&lt;=NC[[#This Row],[ID]]),NC[VALOR]*SETUP!$A$3),2)</f>
        <v>0.34</v>
      </c>
      <c r="M22" s="23">
        <f>SETUP!$E$3*SUMPRODUCT(N(NC[DATA]=NC[[#This Row],[DATA]]),N(NC[ID]&lt;=NC[[#This Row],[ID]]))</f>
        <v>44.7</v>
      </c>
      <c r="N22" s="23">
        <f>TRUNC(NC[CORR. BASE]*SETUP!$F$3,2)</f>
        <v>0.89</v>
      </c>
      <c r="O22" s="23">
        <f>SETUP!$G$3*SUMPRODUCT(N(NC[DATA]=NC[[#This Row],[DATA]]),N(NC[ID]&lt;=NC[[#This Row],[ID]]))</f>
        <v>1.7399999999999998</v>
      </c>
      <c r="P22" s="23">
        <f>NC[VL LIQUID]-NC[TX LIQUID]-NC[EMOL]-NC[CORR. BASE]-NC[ISS]-NC[OUTRAS]</f>
        <v>-293</v>
      </c>
      <c r="Q22" s="23">
        <f>NC[LÍQUIDO]-SUMPRODUCT(N(NC[DATA]=NC[[#This Row],[DATA]]),N(NC[ID]=(NC[[#This Row],[ID]]-1)),NC[LÍQUIDO])</f>
        <v>-1201.19</v>
      </c>
      <c r="R22" s="23">
        <f>ABS(Q22)/E22</f>
        <v>2.40238</v>
      </c>
      <c r="S22" s="23">
        <f>TRUNC(IF(NC['[C/V']]="V",I22*SETUP!$H$3,0),2)</f>
        <v>0</v>
      </c>
      <c r="T2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U2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2.40238</v>
      </c>
      <c r="V22" s="25">
        <f>IF(NC['[C/V']]="V",NC[MEDIO],0)</f>
        <v>0</v>
      </c>
      <c r="W22" s="23">
        <f>IF(NC['[D/N']]="D",IF(NC['[C/V']]="C",0,SUMPRODUCT(N(NC[DATA]=NC[[#This Row],[DATA]]),N(NC['[C/V']]="V"),NC[LÍQUIDO])),IF(AND(NC[MED CP]&gt;0,NC[MED VD]&gt;0),(NC[MED VD]-NC[MED CP])*NC[QTDE],0))</f>
        <v>0</v>
      </c>
      <c r="X22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2" s="23">
        <f>SUMPRODUCT(N(YEAR(NC[DATA])=YEAR(NC[[#This Row],[DATA]])),N(MONTH(NC[DATA])=MONTH(NC[[#This Row],[DATA]])),N(NC['[D/N']]="N"),NC[LUCRO OP])</f>
        <v>-337.03999999999962</v>
      </c>
      <c r="Z22" s="23">
        <f>SUMPRODUCT(N(YEAR(NC[DATA])=YEAR(NC[[#This Row],[DATA]])),N(MONTH(NC[DATA])=MONTH(NC[[#This Row],[DATA]])),N(NC['[D/N']]="D"),NC[LUCRO OP])</f>
        <v>0</v>
      </c>
      <c r="AA22" s="23">
        <f>NC[LUCRO N]+NC[LUCRO D]</f>
        <v>-337.03999999999962</v>
      </c>
      <c r="AB22" s="26">
        <f>NC[LUCRO MÊS]/(NC[CARTEIRA]-NC[LUCRO MÊS])</f>
        <v>-8.2040596756251416E-2</v>
      </c>
      <c r="AC22" s="23">
        <f>SUMPRODUCT(N(MONTH(NC[DATA])=MONTH(NC[[#This Row],[DATA]])),N(YEAR(NC[DATA])=YEAR(NC[[#This Row],[DATA]])),N(NC['[C/V']]="V"),NC[VALOR])</f>
        <v>3102</v>
      </c>
    </row>
    <row r="23" spans="1:29" s="21" customFormat="1" x14ac:dyDescent="0.2">
      <c r="A23" s="21">
        <v>22</v>
      </c>
      <c r="B23" s="21" t="s">
        <v>12</v>
      </c>
      <c r="C23" s="21" t="s">
        <v>13</v>
      </c>
      <c r="D23" s="22">
        <v>40953</v>
      </c>
      <c r="E23" s="21">
        <v>1600</v>
      </c>
      <c r="F23" s="23">
        <v>0.4</v>
      </c>
      <c r="G23" s="21" t="s">
        <v>14</v>
      </c>
      <c r="H23" s="21">
        <f>SUMPRODUCT(N(NC[ATIVO]=NC[[#This Row],[ATIVO]]),N(NC['[D/N']]="N"),N(NC['[C/V']]="C"))+SUMPRODUCT(N(NC[ID]&lt;NC[[#This Row],[ID]]),N(NC[ATIVO]=NC[[#This Row],[ATIVO]]),N(NC['[D/N']]="N"),N(NC[SALDO]=0))</f>
        <v>1</v>
      </c>
      <c r="I23" s="23">
        <f>NC[QTDE]*NC[PREÇO]</f>
        <v>640</v>
      </c>
      <c r="J23" s="23">
        <f>SUMPRODUCT(N(NC[DATA]=NC[[#This Row],[DATA]]),N(NC[ID]&lt;=NC[[#This Row],[ID]]),N(NC['[C/V']]="V"),NC[VALOR])-SUMPRODUCT(N(NC[DATA]=NC[[#This Row],[DATA]]),N(NC[ID]&lt;=NC[[#This Row],[ID]]),N(NC['[C/V']]="C"),NC[VALOR])</f>
        <v>640</v>
      </c>
      <c r="K2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L23" s="23">
        <f>TRUNC(SUMPRODUCT(N(NC[DATA]=NC[[#This Row],[DATA]]),N(NC[ID]&lt;=NC[[#This Row],[ID]]),NC[VALOR]*SETUP!$A$3),2)</f>
        <v>0.04</v>
      </c>
      <c r="M23" s="23">
        <f>SETUP!$E$3*SUMPRODUCT(N(NC[DATA]=NC[[#This Row],[DATA]]),N(NC[ID]&lt;=NC[[#This Row],[ID]]))</f>
        <v>14.9</v>
      </c>
      <c r="N23" s="23">
        <f>TRUNC(NC[CORR. BASE]*SETUP!$F$3,2)</f>
        <v>0.28999999999999998</v>
      </c>
      <c r="O23" s="23">
        <f>SETUP!$G$3*SUMPRODUCT(N(NC[DATA]=NC[[#This Row],[DATA]]),N(NC[ID]&lt;=NC[[#This Row],[ID]]))</f>
        <v>0.57999999999999996</v>
      </c>
      <c r="P23" s="23">
        <f>NC[VL LIQUID]-NC[TX LIQUID]-NC[EMOL]-NC[CORR. BASE]-NC[ISS]-NC[OUTRAS]</f>
        <v>624.0200000000001</v>
      </c>
      <c r="Q23" s="23">
        <f>NC[LÍQUIDO]-SUMPRODUCT(N(NC[DATA]=NC[[#This Row],[DATA]]),N(NC[ID]=(NC[[#This Row],[ID]]-1)),NC[LÍQUIDO])</f>
        <v>624.0200000000001</v>
      </c>
      <c r="R23" s="23">
        <f>ABS(Q23)/E23</f>
        <v>0.39001250000000004</v>
      </c>
      <c r="S23" s="23">
        <f>TRUNC(IF(NC['[C/V']]="V",I23*SETUP!$H$3,0),2)</f>
        <v>0.03</v>
      </c>
      <c r="T2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400</v>
      </c>
      <c r="U2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V23" s="25">
        <f>IF(NC['[C/V']]="V",NC[MEDIO],0)</f>
        <v>0.39001250000000004</v>
      </c>
      <c r="W23" s="23">
        <f>IF(NC['[D/N']]="D",IF(NC['[C/V']]="C",0,SUMPRODUCT(N(NC[DATA]=NC[[#This Row],[DATA]]),N(NC['[C/V']]="V"),NC[LÍQUIDO])),IF(AND(NC[MED CP]&gt;0,NC[MED VD]&gt;0),(NC[MED VD]-NC[MED CP])*NC[QTDE],0))</f>
        <v>-188.86799999999999</v>
      </c>
      <c r="X23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3" s="23">
        <f>SUMPRODUCT(N(YEAR(NC[DATA])=YEAR(NC[[#This Row],[DATA]])),N(MONTH(NC[DATA])=MONTH(NC[[#This Row],[DATA]])),N(NC['[D/N']]="N"),NC[LUCRO OP])</f>
        <v>-337.03999999999962</v>
      </c>
      <c r="Z23" s="23">
        <f>SUMPRODUCT(N(YEAR(NC[DATA])=YEAR(NC[[#This Row],[DATA]])),N(MONTH(NC[DATA])=MONTH(NC[[#This Row],[DATA]])),N(NC['[D/N']]="D"),NC[LUCRO OP])</f>
        <v>0</v>
      </c>
      <c r="AA23" s="23">
        <f>NC[LUCRO N]+NC[LUCRO D]</f>
        <v>-337.03999999999962</v>
      </c>
      <c r="AB23" s="26">
        <f>NC[LUCRO MÊS]/(NC[CARTEIRA]-NC[LUCRO MÊS])</f>
        <v>-8.2040596756251416E-2</v>
      </c>
      <c r="AC23" s="23">
        <f>SUMPRODUCT(N(MONTH(NC[DATA])=MONTH(NC[[#This Row],[DATA]])),N(YEAR(NC[DATA])=YEAR(NC[[#This Row],[DATA]])),N(NC['[C/V']]="V"),NC[VALOR])</f>
        <v>3102</v>
      </c>
    </row>
    <row r="24" spans="1:29" s="21" customFormat="1" x14ac:dyDescent="0.2">
      <c r="A24" s="21">
        <v>23</v>
      </c>
      <c r="B24" s="21" t="s">
        <v>15</v>
      </c>
      <c r="C24" s="21" t="s">
        <v>16</v>
      </c>
      <c r="D24" s="22">
        <v>40953</v>
      </c>
      <c r="E24" s="21">
        <v>3000</v>
      </c>
      <c r="F24" s="23">
        <v>0.2</v>
      </c>
      <c r="G24" s="21" t="s">
        <v>14</v>
      </c>
      <c r="H24" s="21">
        <f>SUMPRODUCT(N(NC[ATIVO]=NC[[#This Row],[ATIVO]]),N(NC['[D/N']]="N"),N(NC['[C/V']]="C"))+SUMPRODUCT(N(NC[ID]&lt;NC[[#This Row],[ID]]),N(NC[ATIVO]=NC[[#This Row],[ATIVO]]),N(NC['[D/N']]="N"),N(NC[SALDO]=0))</f>
        <v>1</v>
      </c>
      <c r="I24" s="23">
        <f>NC[QTDE]*NC[PREÇO]</f>
        <v>600</v>
      </c>
      <c r="J24" s="23">
        <f>SUMPRODUCT(N(NC[DATA]=NC[[#This Row],[DATA]]),N(NC[ID]&lt;=NC[[#This Row],[ID]]),N(NC['[C/V']]="V"),NC[VALOR])-SUMPRODUCT(N(NC[DATA]=NC[[#This Row],[DATA]]),N(NC[ID]&lt;=NC[[#This Row],[ID]]),N(NC['[C/V']]="C"),NC[VALOR])</f>
        <v>40</v>
      </c>
      <c r="K2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0.34</v>
      </c>
      <c r="L24" s="23">
        <f>TRUNC(SUMPRODUCT(N(NC[DATA]=NC[[#This Row],[DATA]]),N(NC[ID]&lt;=NC[[#This Row],[ID]]),NC[VALOR]*SETUP!$A$3),2)</f>
        <v>0.08</v>
      </c>
      <c r="M24" s="23">
        <f>SETUP!$E$3*SUMPRODUCT(N(NC[DATA]=NC[[#This Row],[DATA]]),N(NC[ID]&lt;=NC[[#This Row],[ID]]))</f>
        <v>29.8</v>
      </c>
      <c r="N24" s="23">
        <f>TRUNC(NC[CORR. BASE]*SETUP!$F$3,2)</f>
        <v>0.59</v>
      </c>
      <c r="O24" s="23">
        <f>SETUP!$G$3*SUMPRODUCT(N(NC[DATA]=NC[[#This Row],[DATA]]),N(NC[ID]&lt;=NC[[#This Row],[ID]]))</f>
        <v>1.1599999999999999</v>
      </c>
      <c r="P24" s="23">
        <f>NC[VL LIQUID]-NC[TX LIQUID]-NC[EMOL]-NC[CORR. BASE]-NC[ISS]-NC[OUTRAS]</f>
        <v>8.0299999999999976</v>
      </c>
      <c r="Q24" s="23">
        <f>NC[LÍQUIDO]-SUMPRODUCT(N(NC[DATA]=NC[[#This Row],[DATA]]),N(NC[ID]=(NC[[#This Row],[ID]]-1)),NC[LÍQUIDO])</f>
        <v>-615.99000000000012</v>
      </c>
      <c r="R24" s="23">
        <f>ABS(Q24)/E24</f>
        <v>0.20533000000000004</v>
      </c>
      <c r="S24" s="23">
        <f>TRUNC(IF(NC['[C/V']]="V",I24*SETUP!$H$3,0),2)</f>
        <v>0</v>
      </c>
      <c r="T2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U2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V24" s="25">
        <f>IF(NC['[C/V']]="V",NC[MEDIO],0)</f>
        <v>0</v>
      </c>
      <c r="W24" s="23">
        <f>IF(NC['[D/N']]="D",IF(NC['[C/V']]="C",0,SUMPRODUCT(N(NC[DATA]=NC[[#This Row],[DATA]]),N(NC['[C/V']]="V"),NC[LÍQUIDO])),IF(AND(NC[MED CP]&gt;0,NC[MED VD]&gt;0),(NC[MED VD]-NC[MED CP])*NC[QTDE],0))</f>
        <v>0</v>
      </c>
      <c r="X24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4" s="23">
        <f>SUMPRODUCT(N(YEAR(NC[DATA])=YEAR(NC[[#This Row],[DATA]])),N(MONTH(NC[DATA])=MONTH(NC[[#This Row],[DATA]])),N(NC['[D/N']]="N"),NC[LUCRO OP])</f>
        <v>-337.03999999999962</v>
      </c>
      <c r="Z24" s="23">
        <f>SUMPRODUCT(N(YEAR(NC[DATA])=YEAR(NC[[#This Row],[DATA]])),N(MONTH(NC[DATA])=MONTH(NC[[#This Row],[DATA]])),N(NC['[D/N']]="D"),NC[LUCRO OP])</f>
        <v>0</v>
      </c>
      <c r="AA24" s="23">
        <f>NC[LUCRO N]+NC[LUCRO D]</f>
        <v>-337.03999999999962</v>
      </c>
      <c r="AB24" s="26">
        <f>NC[LUCRO MÊS]/(NC[CARTEIRA]-NC[LUCRO MÊS])</f>
        <v>-8.2040596756251416E-2</v>
      </c>
      <c r="AC24" s="23">
        <f>SUMPRODUCT(N(MONTH(NC[DATA])=MONTH(NC[[#This Row],[DATA]])),N(YEAR(NC[DATA])=YEAR(NC[[#This Row],[DATA]])),N(NC['[C/V']]="V"),NC[VALOR])</f>
        <v>3102</v>
      </c>
    </row>
    <row r="25" spans="1:29" s="21" customFormat="1" x14ac:dyDescent="0.2">
      <c r="A25" s="21">
        <v>24</v>
      </c>
      <c r="B25" s="21" t="s">
        <v>12</v>
      </c>
      <c r="C25" s="21" t="s">
        <v>13</v>
      </c>
      <c r="D25" s="22">
        <v>40967</v>
      </c>
      <c r="E25" s="21">
        <v>400</v>
      </c>
      <c r="F25" s="23">
        <v>0.38</v>
      </c>
      <c r="G25" s="21" t="s">
        <v>14</v>
      </c>
      <c r="H25" s="21">
        <f>SUMPRODUCT(N(NC[ATIVO]=NC[[#This Row],[ATIVO]]),N(NC['[D/N']]="N"),N(NC['[C/V']]="C"))+SUMPRODUCT(N(NC[ID]&lt;NC[[#This Row],[ID]]),N(NC[ATIVO]=NC[[#This Row],[ATIVO]]),N(NC['[D/N']]="N"),N(NC[SALDO]=0))</f>
        <v>1</v>
      </c>
      <c r="I25" s="23">
        <f>NC[QTDE]*NC[PREÇO]</f>
        <v>152</v>
      </c>
      <c r="J25" s="23">
        <f>SUMPRODUCT(N(NC[DATA]=NC[[#This Row],[DATA]]),N(NC[ID]&lt;=NC[[#This Row],[ID]]),N(NC['[C/V']]="V"),NC[VALOR])-SUMPRODUCT(N(NC[DATA]=NC[[#This Row],[DATA]]),N(NC[ID]&lt;=NC[[#This Row],[ID]]),N(NC['[C/V']]="C"),NC[VALOR])</f>
        <v>152</v>
      </c>
      <c r="K2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0.04</v>
      </c>
      <c r="L25" s="23">
        <f>TRUNC(SUMPRODUCT(N(NC[DATA]=NC[[#This Row],[DATA]]),N(NC[ID]&lt;=NC[[#This Row],[ID]]),NC[VALOR]*SETUP!$A$3),2)</f>
        <v>0.01</v>
      </c>
      <c r="M25" s="23">
        <f>SETUP!$E$3*SUMPRODUCT(N(NC[DATA]=NC[[#This Row],[DATA]]),N(NC[ID]&lt;=NC[[#This Row],[ID]]))</f>
        <v>14.9</v>
      </c>
      <c r="N25" s="23">
        <f>TRUNC(NC[CORR. BASE]*SETUP!$F$3,2)</f>
        <v>0.28999999999999998</v>
      </c>
      <c r="O25" s="23">
        <f>SETUP!$G$3*SUMPRODUCT(N(NC[DATA]=NC[[#This Row],[DATA]]),N(NC[ID]&lt;=NC[[#This Row],[ID]]))</f>
        <v>0.57999999999999996</v>
      </c>
      <c r="P25" s="23">
        <f>NC[VL LIQUID]-NC[TX LIQUID]-NC[EMOL]-NC[CORR. BASE]-NC[ISS]-NC[OUTRAS]</f>
        <v>136.18</v>
      </c>
      <c r="Q25" s="23">
        <f>NC[LÍQUIDO]-SUMPRODUCT(N(NC[DATA]=NC[[#This Row],[DATA]]),N(NC[ID]=(NC[[#This Row],[ID]]-1)),NC[LÍQUIDO])</f>
        <v>136.18</v>
      </c>
      <c r="R25" s="23">
        <f>ABS(Q25)/E25</f>
        <v>0.34045000000000003</v>
      </c>
      <c r="S25" s="23">
        <f>TRUNC(IF(NC['[C/V']]="V",I25*SETUP!$H$3,0),2)</f>
        <v>0</v>
      </c>
      <c r="T2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V25" s="25">
        <f>IF(NC['[C/V']]="V",NC[MEDIO],0)</f>
        <v>0.34045000000000003</v>
      </c>
      <c r="W25" s="23">
        <f>IF(NC['[D/N']]="D",IF(NC['[C/V']]="C",0,SUMPRODUCT(N(NC[DATA]=NC[[#This Row],[DATA]]),N(NC['[C/V']]="V"),NC[LÍQUIDO])),IF(AND(NC[MED CP]&gt;0,NC[MED VD]&gt;0),(NC[MED VD]-NC[MED CP])*NC[QTDE],0))</f>
        <v>-67.042000000000002</v>
      </c>
      <c r="X25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3771.17</v>
      </c>
      <c r="Y25" s="23">
        <f>SUMPRODUCT(N(YEAR(NC[DATA])=YEAR(NC[[#This Row],[DATA]])),N(MONTH(NC[DATA])=MONTH(NC[[#This Row],[DATA]])),N(NC['[D/N']]="N"),NC[LUCRO OP])</f>
        <v>-337.03999999999962</v>
      </c>
      <c r="Z25" s="23">
        <f>SUMPRODUCT(N(YEAR(NC[DATA])=YEAR(NC[[#This Row],[DATA]])),N(MONTH(NC[DATA])=MONTH(NC[[#This Row],[DATA]])),N(NC['[D/N']]="D"),NC[LUCRO OP])</f>
        <v>0</v>
      </c>
      <c r="AA25" s="23">
        <f>NC[LUCRO N]+NC[LUCRO D]</f>
        <v>-337.03999999999962</v>
      </c>
      <c r="AB25" s="26">
        <f>NC[LUCRO MÊS]/(NC[CARTEIRA]-NC[LUCRO MÊS])</f>
        <v>-8.2040596756251416E-2</v>
      </c>
      <c r="AC25" s="23">
        <f>SUMPRODUCT(N(MONTH(NC[DATA])=MONTH(NC[[#This Row],[DATA]])),N(YEAR(NC[DATA])=YEAR(NC[[#This Row],[DATA]])),N(NC['[C/V']]="V"),NC[VALOR])</f>
        <v>3102</v>
      </c>
    </row>
    <row r="26" spans="1:29" s="21" customFormat="1" x14ac:dyDescent="0.2">
      <c r="A26" s="21">
        <v>25</v>
      </c>
      <c r="B26" s="21" t="s">
        <v>15</v>
      </c>
      <c r="C26" s="21" t="s">
        <v>13</v>
      </c>
      <c r="D26" s="22">
        <v>40970</v>
      </c>
      <c r="E26" s="21">
        <v>3000</v>
      </c>
      <c r="F26" s="23">
        <v>0.17</v>
      </c>
      <c r="G26" s="21" t="s">
        <v>14</v>
      </c>
      <c r="H26" s="21">
        <f>SUMPRODUCT(N(NC[ATIVO]=NC[[#This Row],[ATIVO]]),N(NC['[D/N']]="N"),N(NC['[C/V']]="C"))+SUMPRODUCT(N(NC[ID]&lt;NC[[#This Row],[ID]]),N(NC[ATIVO]=NC[[#This Row],[ATIVO]]),N(NC['[D/N']]="N"),N(NC[SALDO]=0))</f>
        <v>1</v>
      </c>
      <c r="I26" s="23">
        <f>NC[QTDE]*NC[PREÇO]</f>
        <v>510.00000000000006</v>
      </c>
      <c r="J26" s="23">
        <f>SUMPRODUCT(N(NC[DATA]=NC[[#This Row],[DATA]]),N(NC[ID]&lt;=NC[[#This Row],[ID]]),N(NC['[C/V']]="V"),NC[VALOR])-SUMPRODUCT(N(NC[DATA]=NC[[#This Row],[DATA]]),N(NC[ID]&lt;=NC[[#This Row],[ID]]),N(NC['[C/V']]="C"),NC[VALOR])</f>
        <v>510.00000000000006</v>
      </c>
      <c r="K2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0.14000000000000001</v>
      </c>
      <c r="L26" s="23">
        <f>TRUNC(SUMPRODUCT(N(NC[DATA]=NC[[#This Row],[DATA]]),N(NC[ID]&lt;=NC[[#This Row],[ID]]),NC[VALOR]*SETUP!$A$3),2)</f>
        <v>0.03</v>
      </c>
      <c r="M26" s="23">
        <f>SETUP!$E$3*SUMPRODUCT(N(NC[DATA]=NC[[#This Row],[DATA]]),N(NC[ID]&lt;=NC[[#This Row],[ID]]))</f>
        <v>14.9</v>
      </c>
      <c r="N26" s="23">
        <f>TRUNC(NC[CORR. BASE]*SETUP!$F$3,2)</f>
        <v>0.28999999999999998</v>
      </c>
      <c r="O26" s="23">
        <f>SETUP!$G$3*SUMPRODUCT(N(NC[DATA]=NC[[#This Row],[DATA]]),N(NC[ID]&lt;=NC[[#This Row],[ID]]))</f>
        <v>0.57999999999999996</v>
      </c>
      <c r="P26" s="23">
        <f>NC[VL LIQUID]-NC[TX LIQUID]-NC[EMOL]-NC[CORR. BASE]-NC[ISS]-NC[OUTRAS]</f>
        <v>494.06000000000012</v>
      </c>
      <c r="Q26" s="23">
        <f>NC[LÍQUIDO]-SUMPRODUCT(N(NC[DATA]=NC[[#This Row],[DATA]]),N(NC[ID]=(NC[[#This Row],[ID]]-1)),NC[LÍQUIDO])</f>
        <v>494.06000000000012</v>
      </c>
      <c r="R26" s="23">
        <f>ABS(Q26)/E26</f>
        <v>0.1646866666666667</v>
      </c>
      <c r="S26" s="23">
        <f>TRUNC(IF(NC['[C/V']]="V",I26*SETUP!$H$3,0),2)</f>
        <v>0.02</v>
      </c>
      <c r="T2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V26" s="25">
        <f>IF(NC['[C/V']]="V",NC[MEDIO],0)</f>
        <v>0.1646866666666667</v>
      </c>
      <c r="W26" s="23">
        <f>IF(NC['[D/N']]="D",IF(NC['[C/V']]="C",0,SUMPRODUCT(N(NC[DATA]=NC[[#This Row],[DATA]]),N(NC['[C/V']]="V"),NC[LÍQUIDO])),IF(AND(NC[MED CP]&gt;0,NC[MED VD]&gt;0),(NC[MED VD]-NC[MED CP])*NC[QTDE],0))</f>
        <v>-121.93</v>
      </c>
      <c r="X26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3351.1099999999997</v>
      </c>
      <c r="Y26" s="23">
        <f>SUMPRODUCT(N(YEAR(NC[DATA])=YEAR(NC[[#This Row],[DATA]])),N(MONTH(NC[DATA])=MONTH(NC[[#This Row],[DATA]])),N(NC['[D/N']]="N"),NC[LUCRO OP])</f>
        <v>-984.38000000000011</v>
      </c>
      <c r="Z26" s="23">
        <f>SUMPRODUCT(N(YEAR(NC[DATA])=YEAR(NC[[#This Row],[DATA]])),N(MONTH(NC[DATA])=MONTH(NC[[#This Row],[DATA]])),N(NC['[D/N']]="D"),NC[LUCRO OP])</f>
        <v>0</v>
      </c>
      <c r="AA26" s="23">
        <f>NC[LUCRO N]+NC[LUCRO D]</f>
        <v>-984.38000000000011</v>
      </c>
      <c r="AB26" s="26">
        <f>NC[LUCRO MÊS]/(NC[CARTEIRA]-NC[LUCRO MÊS])</f>
        <v>-0.22705161354310588</v>
      </c>
      <c r="AC26" s="23">
        <f>SUMPRODUCT(N(MONTH(NC[DATA])=MONTH(NC[[#This Row],[DATA]])),N(YEAR(NC[DATA])=YEAR(NC[[#This Row],[DATA]])),N(NC['[C/V']]="V"),NC[VALOR])</f>
        <v>2070</v>
      </c>
    </row>
    <row r="27" spans="1:29" s="21" customFormat="1" x14ac:dyDescent="0.2">
      <c r="A27" s="21">
        <v>26</v>
      </c>
      <c r="B27" s="21" t="s">
        <v>31</v>
      </c>
      <c r="C27" s="21" t="s">
        <v>13</v>
      </c>
      <c r="D27" s="22">
        <v>40970</v>
      </c>
      <c r="E27" s="21">
        <v>3000</v>
      </c>
      <c r="F27" s="23">
        <v>0.27</v>
      </c>
      <c r="G27" s="21" t="s">
        <v>14</v>
      </c>
      <c r="H27" s="21">
        <f>SUMPRODUCT(N(NC[ATIVO]=NC[[#This Row],[ATIVO]]),N(NC['[D/N']]="N"),N(NC['[C/V']]="C"))+SUMPRODUCT(N(NC[ID]&lt;NC[[#This Row],[ID]]),N(NC[ATIVO]=NC[[#This Row],[ATIVO]]),N(NC['[D/N']]="N"),N(NC[SALDO]=0))</f>
        <v>2</v>
      </c>
      <c r="I27" s="23">
        <f>NC[QTDE]*NC[PREÇO]</f>
        <v>810</v>
      </c>
      <c r="J27" s="23">
        <f>SUMPRODUCT(N(NC[DATA]=NC[[#This Row],[DATA]]),N(NC[ID]&lt;=NC[[#This Row],[ID]]),N(NC['[C/V']]="V"),NC[VALOR])-SUMPRODUCT(N(NC[DATA]=NC[[#This Row],[DATA]]),N(NC[ID]&lt;=NC[[#This Row],[ID]]),N(NC['[C/V']]="C"),NC[VALOR])</f>
        <v>1320</v>
      </c>
      <c r="K2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0.36</v>
      </c>
      <c r="L27" s="23">
        <f>TRUNC(SUMPRODUCT(N(NC[DATA]=NC[[#This Row],[DATA]]),N(NC[ID]&lt;=NC[[#This Row],[ID]]),NC[VALOR]*SETUP!$A$3),2)</f>
        <v>0.09</v>
      </c>
      <c r="M27" s="23">
        <f>SETUP!$E$3*SUMPRODUCT(N(NC[DATA]=NC[[#This Row],[DATA]]),N(NC[ID]&lt;=NC[[#This Row],[ID]]))</f>
        <v>29.8</v>
      </c>
      <c r="N27" s="23">
        <f>TRUNC(NC[CORR. BASE]*SETUP!$F$3,2)</f>
        <v>0.59</v>
      </c>
      <c r="O27" s="23">
        <f>SETUP!$G$3*SUMPRODUCT(N(NC[DATA]=NC[[#This Row],[DATA]]),N(NC[ID]&lt;=NC[[#This Row],[ID]]))</f>
        <v>1.1599999999999999</v>
      </c>
      <c r="P27" s="23">
        <f>NC[VL LIQUID]-NC[TX LIQUID]-NC[EMOL]-NC[CORR. BASE]-NC[ISS]-NC[OUTRAS]</f>
        <v>1288.0000000000002</v>
      </c>
      <c r="Q27" s="23">
        <f>NC[LÍQUIDO]-SUMPRODUCT(N(NC[DATA]=NC[[#This Row],[DATA]]),N(NC[ID]=(NC[[#This Row],[ID]]-1)),NC[LÍQUIDO])</f>
        <v>793.94</v>
      </c>
      <c r="R27" s="23">
        <f>ABS(Q27)/E27</f>
        <v>0.2646466666666667</v>
      </c>
      <c r="S27" s="23">
        <f>TRUNC(IF(NC['[C/V']]="V",I27*SETUP!$H$3,0),2)</f>
        <v>0.04</v>
      </c>
      <c r="T2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U2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V27" s="25">
        <f>IF(NC['[C/V']]="V",NC[MEDIO],0)</f>
        <v>0.2646466666666667</v>
      </c>
      <c r="W27" s="23">
        <f>IF(NC['[D/N']]="D",IF(NC['[C/V']]="C",0,SUMPRODUCT(N(NC[DATA]=NC[[#This Row],[DATA]]),N(NC['[C/V']]="V"),NC[LÍQUIDO])),IF(AND(NC[MED CP]&gt;0,NC[MED VD]&gt;0),(NC[MED VD]-NC[MED CP])*NC[QTDE],0))</f>
        <v>-401.24500000000006</v>
      </c>
      <c r="X27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3351.1099999999997</v>
      </c>
      <c r="Y27" s="23">
        <f>SUMPRODUCT(N(YEAR(NC[DATA])=YEAR(NC[[#This Row],[DATA]])),N(MONTH(NC[DATA])=MONTH(NC[[#This Row],[DATA]])),N(NC['[D/N']]="N"),NC[LUCRO OP])</f>
        <v>-984.38000000000011</v>
      </c>
      <c r="Z27" s="23">
        <f>SUMPRODUCT(N(YEAR(NC[DATA])=YEAR(NC[[#This Row],[DATA]])),N(MONTH(NC[DATA])=MONTH(NC[[#This Row],[DATA]])),N(NC['[D/N']]="D"),NC[LUCRO OP])</f>
        <v>0</v>
      </c>
      <c r="AA27" s="23">
        <f>NC[LUCRO N]+NC[LUCRO D]</f>
        <v>-984.38000000000011</v>
      </c>
      <c r="AB27" s="26">
        <f>NC[LUCRO MÊS]/(NC[CARTEIRA]-NC[LUCRO MÊS])</f>
        <v>-0.22705161354310588</v>
      </c>
      <c r="AC27" s="23">
        <f>SUMPRODUCT(N(MONTH(NC[DATA])=MONTH(NC[[#This Row],[DATA]])),N(YEAR(NC[DATA])=YEAR(NC[[#This Row],[DATA]])),N(NC['[C/V']]="V"),NC[VALOR])</f>
        <v>2070</v>
      </c>
    </row>
    <row r="28" spans="1:29" x14ac:dyDescent="0.2">
      <c r="A28" s="21">
        <v>27</v>
      </c>
      <c r="B28" s="21" t="s">
        <v>31</v>
      </c>
      <c r="C28" s="21" t="s">
        <v>13</v>
      </c>
      <c r="D28" s="22">
        <v>40973</v>
      </c>
      <c r="E28" s="21">
        <v>3000</v>
      </c>
      <c r="F28" s="23">
        <v>0.25</v>
      </c>
      <c r="G28" s="21" t="s">
        <v>14</v>
      </c>
      <c r="H28" s="21">
        <f>SUMPRODUCT(N(NC[ATIVO]=NC[[#This Row],[ATIVO]]),N(NC['[D/N']]="N"),N(NC['[C/V']]="C"))+SUMPRODUCT(N(NC[ID]&lt;NC[[#This Row],[ID]]),N(NC[ATIVO]=NC[[#This Row],[ATIVO]]),N(NC['[D/N']]="N"),N(NC[SALDO]=0))</f>
        <v>2</v>
      </c>
      <c r="I28" s="23">
        <f>NC[QTDE]*NC[PREÇO]</f>
        <v>750</v>
      </c>
      <c r="J28" s="23">
        <f>SUMPRODUCT(N(NC[DATA]=NC[[#This Row],[DATA]]),N(NC[ID]&lt;=NC[[#This Row],[ID]]),N(NC['[C/V']]="V"),NC[VALOR])-SUMPRODUCT(N(NC[DATA]=NC[[#This Row],[DATA]]),N(NC[ID]&lt;=NC[[#This Row],[ID]]),N(NC['[C/V']]="C"),NC[VALOR])</f>
        <v>750</v>
      </c>
      <c r="K2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L28" s="23">
        <f>TRUNC(SUMPRODUCT(N(NC[DATA]=NC[[#This Row],[DATA]]),N(NC[ID]&lt;=NC[[#This Row],[ID]]),NC[VALOR]*SETUP!$A$3),2)</f>
        <v>0.05</v>
      </c>
      <c r="M28" s="23">
        <f>SETUP!$E$3*SUMPRODUCT(N(NC[DATA]=NC[[#This Row],[DATA]]),N(NC[ID]&lt;=NC[[#This Row],[ID]]))</f>
        <v>14.9</v>
      </c>
      <c r="N28" s="23">
        <f>TRUNC(NC[CORR. BASE]*SETUP!$F$3,2)</f>
        <v>0.28999999999999998</v>
      </c>
      <c r="O28" s="23">
        <f>SETUP!$G$3*SUMPRODUCT(N(NC[DATA]=NC[[#This Row],[DATA]]),N(NC[ID]&lt;=NC[[#This Row],[ID]]))</f>
        <v>0.57999999999999996</v>
      </c>
      <c r="P28" s="23">
        <f>NC[VL LIQUID]-NC[TX LIQUID]-NC[EMOL]-NC[CORR. BASE]-NC[ISS]-NC[OUTRAS]</f>
        <v>733.98</v>
      </c>
      <c r="Q28" s="23">
        <f>NC[LÍQUIDO]-SUMPRODUCT(N(NC[DATA]=NC[[#This Row],[DATA]]),N(NC[ID]=(NC[[#This Row],[ID]]-1)),NC[LÍQUIDO])</f>
        <v>733.98</v>
      </c>
      <c r="R28" s="23">
        <f>ABS(Q28)/E28</f>
        <v>0.24466000000000002</v>
      </c>
      <c r="S28" s="23">
        <f>TRUNC(IF(NC['[C/V']]="V",I28*SETUP!$H$3,0),2)</f>
        <v>0.03</v>
      </c>
      <c r="T2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U2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V28" s="25">
        <f>IF(NC['[C/V']]="V",NC[MEDIO],0)</f>
        <v>0.24466000000000002</v>
      </c>
      <c r="W28" s="23">
        <f>IF(NC['[D/N']]="D",IF(NC['[C/V']]="C",0,SUMPRODUCT(N(NC[DATA]=NC[[#This Row],[DATA]]),N(NC['[C/V']]="V"),NC[LÍQUIDO])),IF(AND(NC[MED CP]&gt;0,NC[MED VD]&gt;0),(NC[MED VD]-NC[MED CP])*NC[QTDE],0))</f>
        <v>-461.2050000000001</v>
      </c>
      <c r="X28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3351.1099999999997</v>
      </c>
      <c r="Y28" s="23">
        <f>SUMPRODUCT(N(YEAR(NC[DATA])=YEAR(NC[[#This Row],[DATA]])),N(MONTH(NC[DATA])=MONTH(NC[[#This Row],[DATA]])),N(NC['[D/N']]="N"),NC[LUCRO OP])</f>
        <v>-984.38000000000011</v>
      </c>
      <c r="Z28" s="23">
        <f>SUMPRODUCT(N(YEAR(NC[DATA])=YEAR(NC[[#This Row],[DATA]])),N(MONTH(NC[DATA])=MONTH(NC[[#This Row],[DATA]])),N(NC['[D/N']]="D"),NC[LUCRO OP])</f>
        <v>0</v>
      </c>
      <c r="AA28" s="23">
        <f>NC[LUCRO N]+NC[LUCRO D]</f>
        <v>-984.38000000000011</v>
      </c>
      <c r="AB28" s="26">
        <f>NC[LUCRO MÊS]/(NC[CARTEIRA]-NC[LUCRO MÊS])</f>
        <v>-0.22705161354310588</v>
      </c>
      <c r="AC28" s="23">
        <f>SUMPRODUCT(N(MONTH(NC[DATA])=MONTH(NC[[#This Row],[DATA]])),N(YEAR(NC[DATA])=YEAR(NC[[#This Row],[DATA]])),N(NC['[C/V']]="V"),NC[VALOR])</f>
        <v>2070</v>
      </c>
    </row>
    <row r="29" spans="1:29" x14ac:dyDescent="0.2">
      <c r="A29" s="21">
        <v>28</v>
      </c>
      <c r="B29" s="21" t="s">
        <v>42</v>
      </c>
      <c r="C29" s="21" t="s">
        <v>16</v>
      </c>
      <c r="D29" s="22">
        <v>40975</v>
      </c>
      <c r="E29" s="21">
        <v>500</v>
      </c>
      <c r="F29" s="23">
        <v>2.12</v>
      </c>
      <c r="G29" s="21" t="s">
        <v>14</v>
      </c>
      <c r="H29" s="21">
        <f>SUMPRODUCT(N(NC[ATIVO]=NC[[#This Row],[ATIVO]]),N(NC['[D/N']]="N"),N(NC['[C/V']]="C"))+SUMPRODUCT(N(NC[ID]&lt;NC[[#This Row],[ID]]),N(NC[ATIVO]=NC[[#This Row],[ATIVO]]),N(NC['[D/N']]="N"),N(NC[SALDO]=0))</f>
        <v>1</v>
      </c>
      <c r="I29" s="23">
        <f>NC[QTDE]*NC[PREÇO]</f>
        <v>1060</v>
      </c>
      <c r="J29" s="23">
        <f>SUMPRODUCT(N(NC[DATA]=NC[[#This Row],[DATA]]),N(NC[ID]&lt;=NC[[#This Row],[ID]]),N(NC['[C/V']]="V"),NC[VALOR])-SUMPRODUCT(N(NC[DATA]=NC[[#This Row],[DATA]]),N(NC[ID]&lt;=NC[[#This Row],[ID]]),N(NC['[C/V']]="C"),NC[VALOR])</f>
        <v>-1060</v>
      </c>
      <c r="K2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0.28999999999999998</v>
      </c>
      <c r="L29" s="23">
        <f>TRUNC(SUMPRODUCT(N(NC[DATA]=NC[[#This Row],[DATA]]),N(NC[ID]&lt;=NC[[#This Row],[ID]]),NC[VALOR]*SETUP!$A$3),2)</f>
        <v>7.0000000000000007E-2</v>
      </c>
      <c r="M29" s="23">
        <f>SETUP!$E$3*SUMPRODUCT(N(NC[DATA]=NC[[#This Row],[DATA]]),N(NC[ID]&lt;=NC[[#This Row],[ID]]))</f>
        <v>14.9</v>
      </c>
      <c r="N29" s="23">
        <f>TRUNC(NC[CORR. BASE]*SETUP!$F$3,2)</f>
        <v>0.28999999999999998</v>
      </c>
      <c r="O29" s="23">
        <f>SETUP!$G$3*SUMPRODUCT(N(NC[DATA]=NC[[#This Row],[DATA]]),N(NC[ID]&lt;=NC[[#This Row],[ID]]))</f>
        <v>0.57999999999999996</v>
      </c>
      <c r="P29" s="23">
        <f>NC[VL LIQUID]-NC[TX LIQUID]-NC[EMOL]-NC[CORR. BASE]-NC[ISS]-NC[OUTRAS]</f>
        <v>-1076.1299999999999</v>
      </c>
      <c r="Q29" s="23">
        <f>NC[LÍQUIDO]-SUMPRODUCT(N(NC[DATA]=NC[[#This Row],[DATA]]),N(NC[ID]=(NC[[#This Row],[ID]]-1)),NC[LÍQUIDO])</f>
        <v>-1076.1299999999999</v>
      </c>
      <c r="R29" s="23">
        <f>ABS(Q29)/E29</f>
        <v>2.1522599999999996</v>
      </c>
      <c r="S29" s="23">
        <f>TRUNC(IF(NC['[C/V']]="V",I29*SETUP!$H$3,0),2)</f>
        <v>0</v>
      </c>
      <c r="T2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U2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2.1522599999999996</v>
      </c>
      <c r="V29" s="25">
        <f>IF(NC['[C/V']]="V",NC[MEDIO],0)</f>
        <v>0</v>
      </c>
      <c r="W29" s="23">
        <f>IF(NC['[D/N']]="D",IF(NC['[C/V']]="C",0,SUMPRODUCT(N(NC[DATA]=NC[[#This Row],[DATA]]),N(NC['[C/V']]="V"),NC[LÍQUIDO])),IF(AND(NC[MED CP]&gt;0,NC[MED VD]&gt;0),(NC[MED VD]-NC[MED CP])*NC[QTDE],0))</f>
        <v>0</v>
      </c>
      <c r="X29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3351.1099999999997</v>
      </c>
      <c r="Y29" s="23">
        <f>SUMPRODUCT(N(YEAR(NC[DATA])=YEAR(NC[[#This Row],[DATA]])),N(MONTH(NC[DATA])=MONTH(NC[[#This Row],[DATA]])),N(NC['[D/N']]="N"),NC[LUCRO OP])</f>
        <v>-984.38000000000011</v>
      </c>
      <c r="Z29" s="23">
        <f>SUMPRODUCT(N(YEAR(NC[DATA])=YEAR(NC[[#This Row],[DATA]])),N(MONTH(NC[DATA])=MONTH(NC[[#This Row],[DATA]])),N(NC['[D/N']]="D"),NC[LUCRO OP])</f>
        <v>0</v>
      </c>
      <c r="AA29" s="23">
        <f>NC[LUCRO N]+NC[LUCRO D]</f>
        <v>-984.38000000000011</v>
      </c>
      <c r="AB29" s="26">
        <f>NC[LUCRO MÊS]/(NC[CARTEIRA]-NC[LUCRO MÊS])</f>
        <v>-0.22705161354310588</v>
      </c>
      <c r="AC29" s="23">
        <f>SUMPRODUCT(N(MONTH(NC[DATA])=MONTH(NC[[#This Row],[DATA]])),N(YEAR(NC[DATA])=YEAR(NC[[#This Row],[DATA]])),N(NC['[C/V']]="V"),NC[VALOR])</f>
        <v>2070</v>
      </c>
    </row>
    <row r="30" spans="1:29" x14ac:dyDescent="0.2">
      <c r="A30" s="21">
        <v>29</v>
      </c>
      <c r="B30" s="21" t="s">
        <v>28</v>
      </c>
      <c r="C30" s="21" t="s">
        <v>16</v>
      </c>
      <c r="D30" s="22">
        <v>40975</v>
      </c>
      <c r="E30" s="21">
        <v>200</v>
      </c>
      <c r="F30" s="23">
        <v>4.95</v>
      </c>
      <c r="G30" s="21" t="s">
        <v>14</v>
      </c>
      <c r="H30" s="21">
        <f>SUMPRODUCT(N(NC[ATIVO]=NC[[#This Row],[ATIVO]]),N(NC['[D/N']]="N"),N(NC['[C/V']]="C"))+SUMPRODUCT(N(NC[ID]&lt;NC[[#This Row],[ID]]),N(NC[ATIVO]=NC[[#This Row],[ATIVO]]),N(NC['[D/N']]="N"),N(NC[SALDO]=0))</f>
        <v>3</v>
      </c>
      <c r="I30" s="23">
        <f>NC[QTDE]*NC[PREÇO]</f>
        <v>990</v>
      </c>
      <c r="J30" s="23">
        <f>SUMPRODUCT(N(NC[DATA]=NC[[#This Row],[DATA]]),N(NC[ID]&lt;=NC[[#This Row],[ID]]),N(NC['[C/V']]="V"),NC[VALOR])-SUMPRODUCT(N(NC[DATA]=NC[[#This Row],[DATA]]),N(NC[ID]&lt;=NC[[#This Row],[ID]]),N(NC['[C/V']]="C"),NC[VALOR])</f>
        <v>-2050</v>
      </c>
      <c r="K3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0.56000000000000005</v>
      </c>
      <c r="L30" s="23">
        <f>TRUNC(SUMPRODUCT(N(NC[DATA]=NC[[#This Row],[DATA]]),N(NC[ID]&lt;=NC[[#This Row],[ID]]),NC[VALOR]*SETUP!$A$3),2)</f>
        <v>0.14000000000000001</v>
      </c>
      <c r="M30" s="23">
        <f>SETUP!$E$3*SUMPRODUCT(N(NC[DATA]=NC[[#This Row],[DATA]]),N(NC[ID]&lt;=NC[[#This Row],[ID]]))</f>
        <v>29.8</v>
      </c>
      <c r="N30" s="23">
        <f>TRUNC(NC[CORR. BASE]*SETUP!$F$3,2)</f>
        <v>0.59</v>
      </c>
      <c r="O30" s="23">
        <f>SETUP!$G$3*SUMPRODUCT(N(NC[DATA]=NC[[#This Row],[DATA]]),N(NC[ID]&lt;=NC[[#This Row],[ID]]))</f>
        <v>1.1599999999999999</v>
      </c>
      <c r="P30" s="23">
        <f>NC[VL LIQUID]-NC[TX LIQUID]-NC[EMOL]-NC[CORR. BASE]-NC[ISS]-NC[OUTRAS]</f>
        <v>-2082.25</v>
      </c>
      <c r="Q30" s="23">
        <f>NC[LÍQUIDO]-SUMPRODUCT(N(NC[DATA]=NC[[#This Row],[DATA]]),N(NC[ID]=(NC[[#This Row],[ID]]-1)),NC[LÍQUIDO])</f>
        <v>-1006.1200000000001</v>
      </c>
      <c r="R30" s="23">
        <f>ABS(Q30)/E30</f>
        <v>5.0306000000000006</v>
      </c>
      <c r="S30" s="23">
        <f>TRUNC(IF(NC['[C/V']]="V",I30*SETUP!$H$3,0),2)</f>
        <v>0</v>
      </c>
      <c r="T3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U3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5.0306000000000006</v>
      </c>
      <c r="V30" s="25">
        <f>IF(NC['[C/V']]="V",NC[MEDIO],0)</f>
        <v>0</v>
      </c>
      <c r="W30" s="23">
        <f>IF(NC['[D/N']]="D",IF(NC['[C/V']]="C",0,SUMPRODUCT(N(NC[DATA]=NC[[#This Row],[DATA]]),N(NC['[C/V']]="V"),NC[LÍQUIDO])),IF(AND(NC[MED CP]&gt;0,NC[MED VD]&gt;0),(NC[MED VD]-NC[MED CP])*NC[QTDE],0))</f>
        <v>0</v>
      </c>
      <c r="X30" s="23">
        <f>ABS(SUMPRODUCT(N(YEAR(NC[DATA])=YEAR(NC[[#This Row],[DATA]])),N(MONTH(NC[DATA])=MONTH(NC[[#This Row],[DATA]])),NC[LÍQUIDO]))+ABS(SUMPRODUCT(N(YEAR(NC[DATA])=YEAR(NC[[#This Row],[DATA]])-IF(MONTH(NC[[#This Row],[DATA]])=1,1,0)),N(MONTH(NC[DATA])=IF(MONTH(NC[[#This Row],[DATA]])=1,12,MONTH(NC[[#This Row],[DATA]])-1)),NC[LÍQUIDO]))</f>
        <v>3351.1099999999997</v>
      </c>
      <c r="Y30" s="23">
        <f>SUMPRODUCT(N(YEAR(NC[DATA])=YEAR(NC[[#This Row],[DATA]])),N(MONTH(NC[DATA])=MONTH(NC[[#This Row],[DATA]])),N(NC['[D/N']]="N"),NC[LUCRO OP])</f>
        <v>-984.38000000000011</v>
      </c>
      <c r="Z30" s="23">
        <f>SUMPRODUCT(N(YEAR(NC[DATA])=YEAR(NC[[#This Row],[DATA]])),N(MONTH(NC[DATA])=MONTH(NC[[#This Row],[DATA]])),N(NC['[D/N']]="D"),NC[LUCRO OP])</f>
        <v>0</v>
      </c>
      <c r="AA30" s="23">
        <f>NC[LUCRO N]+NC[LUCRO D]</f>
        <v>-984.38000000000011</v>
      </c>
      <c r="AB30" s="26">
        <f>NC[LUCRO MÊS]/(NC[CARTEIRA]-NC[LUCRO MÊS])</f>
        <v>-0.22705161354310588</v>
      </c>
      <c r="AC30" s="23">
        <f>SUMPRODUCT(N(MONTH(NC[DATA])=MONTH(NC[[#This Row],[DATA]])),N(YEAR(NC[DATA])=YEAR(NC[[#This Row],[DATA]])),N(NC['[C/V']]="V"),NC[VALOR])</f>
        <v>2070</v>
      </c>
    </row>
    <row r="31" spans="1:29" ht="12.75" x14ac:dyDescent="0.2">
      <c r="A31" s="24" t="s">
        <v>35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3"/>
      <c r="Q31" s="24"/>
      <c r="R31" s="24"/>
      <c r="S31" s="23">
        <f>SUBTOTAL(109,NC[IRRF])</f>
        <v>0.66</v>
      </c>
      <c r="T31" s="23"/>
      <c r="U31" s="24"/>
      <c r="V31" s="24"/>
      <c r="W31" s="23">
        <f>SUBTOTAL(109,NC[LUCRO OP])</f>
        <v>-1225.6100000000001</v>
      </c>
      <c r="X31" s="23"/>
      <c r="Y31" s="26"/>
      <c r="Z31" s="26"/>
      <c r="AA31" s="26"/>
      <c r="AB31"/>
      <c r="AC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ColWidth="11.5703125" defaultRowHeight="11.25" x14ac:dyDescent="0.2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8" x14ac:dyDescent="0.2">
      <c r="A1" s="28" t="s">
        <v>17</v>
      </c>
      <c r="B1" s="28"/>
      <c r="C1" s="28" t="s">
        <v>18</v>
      </c>
      <c r="D1" s="28"/>
      <c r="E1" s="27" t="s">
        <v>19</v>
      </c>
      <c r="F1" s="27" t="s">
        <v>9</v>
      </c>
      <c r="G1" s="27" t="s">
        <v>20</v>
      </c>
      <c r="H1" s="27" t="s">
        <v>21</v>
      </c>
    </row>
    <row r="2" spans="1:8" x14ac:dyDescent="0.2">
      <c r="A2" s="3" t="s">
        <v>22</v>
      </c>
      <c r="B2" s="3" t="s">
        <v>23</v>
      </c>
      <c r="C2" s="3" t="s">
        <v>22</v>
      </c>
      <c r="D2" s="3" t="s">
        <v>23</v>
      </c>
      <c r="E2" s="27"/>
      <c r="F2" s="27"/>
      <c r="G2" s="27"/>
      <c r="H2" s="27"/>
    </row>
    <row r="3" spans="1:8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2">
        <v>0.57999999999999996</v>
      </c>
      <c r="H3" s="4">
        <v>5.0000000000000002E-5</v>
      </c>
    </row>
  </sheetData>
  <sheetProtection selectLockedCells="1" selectUnlockedCells="1"/>
  <mergeCells count="6"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2012-03-06T02:01:59Z</dcterms:modified>
</cp:coreProperties>
</file>