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0" windowWidth="2310" windowHeight="930" tabRatio="802" firstSheet="1" activeTab="11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TRAVA BAIXA NEW" sheetId="6" r:id="rId6"/>
    <sheet name="BORBOLETA" sheetId="5" r:id="rId7"/>
    <sheet name="Plan1" sheetId="7" r:id="rId8"/>
    <sheet name="SETUP" sheetId="2" r:id="rId9"/>
    <sheet name="Plan2" sheetId="10" r:id="rId10"/>
    <sheet name="Plan4" sheetId="12" r:id="rId11"/>
    <sheet name="Plan6" sheetId="14" r:id="rId12"/>
  </sheets>
  <calcPr calcId="124519"/>
  <pivotCaches>
    <pivotCache cacheId="69" r:id="rId13"/>
  </pivotCaches>
  <fileRecoveryPr repairLoad="1"/>
</workbook>
</file>

<file path=xl/calcChain.xml><?xml version="1.0" encoding="utf-8"?>
<calcChain xmlns="http://schemas.openxmlformats.org/spreadsheetml/2006/main">
  <c r="K7" i="14"/>
  <c r="J8"/>
  <c r="J9"/>
  <c r="O67" i="12"/>
  <c r="O66"/>
  <c r="O65"/>
  <c r="O54"/>
  <c r="O55"/>
  <c r="O56"/>
  <c r="O57"/>
  <c r="O58"/>
  <c r="O59"/>
  <c r="O60"/>
  <c r="O61"/>
  <c r="O62"/>
  <c r="O63"/>
  <c r="O64"/>
  <c r="O47"/>
  <c r="O48"/>
  <c r="O49"/>
  <c r="O50"/>
  <c r="O51"/>
  <c r="O52"/>
  <c r="O53"/>
  <c r="R4" i="14" l="1"/>
  <c r="O44" i="12"/>
  <c r="O45"/>
  <c r="O46"/>
  <c r="O40"/>
  <c r="O43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1"/>
  <c r="O42"/>
  <c r="K8" i="14"/>
  <c r="L6"/>
  <c r="L5"/>
  <c r="L4"/>
  <c r="K6"/>
  <c r="N6" s="1"/>
  <c r="O6" s="1"/>
  <c r="K5"/>
  <c r="N5" s="1"/>
  <c r="O5" s="1"/>
  <c r="K4"/>
  <c r="N4" s="1"/>
  <c r="O4" s="1"/>
  <c r="O7" s="1"/>
  <c r="J30" i="1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B25"/>
  <c r="B26"/>
  <c r="B27"/>
  <c r="B28"/>
  <c r="B29"/>
  <c r="J29" s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J14" s="1"/>
  <c r="B23"/>
  <c r="B24"/>
  <c r="J24" s="1"/>
  <c r="B3"/>
  <c r="B1" s="1"/>
  <c r="B2" i="3"/>
  <c r="B3"/>
  <c r="B4"/>
  <c r="B5"/>
  <c r="S55" i="10"/>
  <c r="N7" i="14" l="1"/>
  <c r="N8" s="1"/>
  <c r="T3"/>
  <c r="S4"/>
  <c r="R5" s="1"/>
  <c r="S5"/>
  <c r="J13" i="10"/>
  <c r="J12"/>
  <c r="J11"/>
  <c r="J10"/>
  <c r="J9"/>
  <c r="J8"/>
  <c r="J7"/>
  <c r="J6"/>
  <c r="J5"/>
  <c r="J4"/>
  <c r="J28"/>
  <c r="J3"/>
  <c r="J27"/>
  <c r="J26"/>
  <c r="J25"/>
  <c r="J23"/>
  <c r="J22"/>
  <c r="J21"/>
  <c r="J20"/>
  <c r="J19"/>
  <c r="J18"/>
  <c r="J17"/>
  <c r="J16"/>
  <c r="J15"/>
  <c r="S57"/>
  <c r="T56" s="1"/>
  <c r="T59" s="1"/>
  <c r="C103" i="1"/>
  <c r="C104" s="1"/>
  <c r="E102"/>
  <c r="T2" i="10"/>
  <c r="U2"/>
  <c r="S3"/>
  <c r="T3" s="1"/>
  <c r="C16"/>
  <c r="R6" i="14" l="1"/>
  <c r="S6" s="1"/>
  <c r="T55" i="10"/>
  <c r="E103" i="1"/>
  <c r="E104" s="1"/>
  <c r="F104" s="1"/>
  <c r="G104" s="1"/>
  <c r="U3" i="10"/>
  <c r="S4"/>
  <c r="T4" s="1"/>
  <c r="V2"/>
  <c r="W2" s="1"/>
  <c r="C12"/>
  <c r="R7" i="14" l="1"/>
  <c r="S7" s="1"/>
  <c r="V3" i="10"/>
  <c r="W3" s="1"/>
  <c r="U4"/>
  <c r="C15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C3"/>
  <c r="C4"/>
  <c r="C5"/>
  <c r="C6"/>
  <c r="C7"/>
  <c r="C8"/>
  <c r="C9"/>
  <c r="C10"/>
  <c r="C11"/>
  <c r="C13"/>
  <c r="C14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2"/>
  <c r="G2"/>
  <c r="D3"/>
  <c r="D4"/>
  <c r="D5"/>
  <c r="D6"/>
  <c r="D7"/>
  <c r="D8"/>
  <c r="D9"/>
  <c r="D10"/>
  <c r="D11"/>
  <c r="D12"/>
  <c r="D13"/>
  <c r="D14"/>
  <c r="D15"/>
  <c r="D16"/>
  <c r="E16" s="1"/>
  <c r="D17"/>
  <c r="E17" s="1"/>
  <c r="F17" s="1"/>
  <c r="D18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38"/>
  <c r="E38" s="1"/>
  <c r="F38" s="1"/>
  <c r="D39"/>
  <c r="E39" s="1"/>
  <c r="F39" s="1"/>
  <c r="D40"/>
  <c r="E40" s="1"/>
  <c r="F40" s="1"/>
  <c r="D41"/>
  <c r="E41" s="1"/>
  <c r="F41" s="1"/>
  <c r="D42"/>
  <c r="E42" s="1"/>
  <c r="F42" s="1"/>
  <c r="D43"/>
  <c r="E43" s="1"/>
  <c r="F43" s="1"/>
  <c r="D44"/>
  <c r="E44" s="1"/>
  <c r="F44" s="1"/>
  <c r="D45"/>
  <c r="E45" s="1"/>
  <c r="F45" s="1"/>
  <c r="D46"/>
  <c r="E46" s="1"/>
  <c r="F46" s="1"/>
  <c r="D47"/>
  <c r="E47" s="1"/>
  <c r="F47" s="1"/>
  <c r="D48"/>
  <c r="E48" s="1"/>
  <c r="F48" s="1"/>
  <c r="D49"/>
  <c r="E49" s="1"/>
  <c r="F49" s="1"/>
  <c r="D50"/>
  <c r="E50" s="1"/>
  <c r="F50" s="1"/>
  <c r="D51"/>
  <c r="E51" s="1"/>
  <c r="F51" s="1"/>
  <c r="D52"/>
  <c r="E52" s="1"/>
  <c r="F52" s="1"/>
  <c r="D53"/>
  <c r="E53" s="1"/>
  <c r="F53" s="1"/>
  <c r="D54"/>
  <c r="E54" s="1"/>
  <c r="F54" s="1"/>
  <c r="D55"/>
  <c r="E55" s="1"/>
  <c r="F55" s="1"/>
  <c r="D56"/>
  <c r="E56" s="1"/>
  <c r="F56" s="1"/>
  <c r="D57"/>
  <c r="E57" s="1"/>
  <c r="F57" s="1"/>
  <c r="D58"/>
  <c r="E58" s="1"/>
  <c r="F58" s="1"/>
  <c r="D59"/>
  <c r="E59" s="1"/>
  <c r="F59" s="1"/>
  <c r="D60"/>
  <c r="E60" s="1"/>
  <c r="F60" s="1"/>
  <c r="D61"/>
  <c r="E61" s="1"/>
  <c r="F61" s="1"/>
  <c r="D62"/>
  <c r="E62" s="1"/>
  <c r="F62" s="1"/>
  <c r="D63"/>
  <c r="E63" s="1"/>
  <c r="F63" s="1"/>
  <c r="D64"/>
  <c r="E64" s="1"/>
  <c r="F64" s="1"/>
  <c r="D65"/>
  <c r="E65" s="1"/>
  <c r="F65" s="1"/>
  <c r="D66"/>
  <c r="E66" s="1"/>
  <c r="F66" s="1"/>
  <c r="D67"/>
  <c r="E67" s="1"/>
  <c r="F67" s="1"/>
  <c r="D68"/>
  <c r="E68" s="1"/>
  <c r="F68" s="1"/>
  <c r="D69"/>
  <c r="E69" s="1"/>
  <c r="F69" s="1"/>
  <c r="D70"/>
  <c r="E70" s="1"/>
  <c r="F70" s="1"/>
  <c r="D71"/>
  <c r="E71" s="1"/>
  <c r="F71" s="1"/>
  <c r="D72"/>
  <c r="E72" s="1"/>
  <c r="F72" s="1"/>
  <c r="D73"/>
  <c r="E73" s="1"/>
  <c r="F73" s="1"/>
  <c r="D74"/>
  <c r="E74" s="1"/>
  <c r="F74" s="1"/>
  <c r="D75"/>
  <c r="E75" s="1"/>
  <c r="F75" s="1"/>
  <c r="D76"/>
  <c r="E76" s="1"/>
  <c r="F76" s="1"/>
  <c r="D77"/>
  <c r="E77" s="1"/>
  <c r="F77" s="1"/>
  <c r="D78"/>
  <c r="E78" s="1"/>
  <c r="F78" s="1"/>
  <c r="D79"/>
  <c r="E79" s="1"/>
  <c r="F79" s="1"/>
  <c r="D80"/>
  <c r="E80" s="1"/>
  <c r="F80" s="1"/>
  <c r="D2"/>
  <c r="E2" s="1"/>
  <c r="H80"/>
  <c r="H79"/>
  <c r="H77"/>
  <c r="H78"/>
  <c r="I78" s="1"/>
  <c r="H76"/>
  <c r="H75"/>
  <c r="H74"/>
  <c r="H73"/>
  <c r="H68"/>
  <c r="H69"/>
  <c r="I69" s="1"/>
  <c r="H70"/>
  <c r="I70" s="1"/>
  <c r="H71"/>
  <c r="I71" s="1"/>
  <c r="H72"/>
  <c r="I72" s="1"/>
  <c r="H62"/>
  <c r="H63"/>
  <c r="I63" s="1"/>
  <c r="H64"/>
  <c r="I64" s="1"/>
  <c r="H65"/>
  <c r="I65" s="1"/>
  <c r="H66"/>
  <c r="I66" s="1"/>
  <c r="H67"/>
  <c r="I67" s="1"/>
  <c r="H50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34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33"/>
  <c r="H30"/>
  <c r="H31"/>
  <c r="I31" s="1"/>
  <c r="H32"/>
  <c r="I32" s="1"/>
  <c r="H27"/>
  <c r="H28"/>
  <c r="I28" s="1"/>
  <c r="H29"/>
  <c r="I29" s="1"/>
  <c r="H26"/>
  <c r="H24"/>
  <c r="H25"/>
  <c r="I25" s="1"/>
  <c r="H22"/>
  <c r="H23"/>
  <c r="I23" s="1"/>
  <c r="H19"/>
  <c r="H20"/>
  <c r="I20" s="1"/>
  <c r="H21"/>
  <c r="I21" s="1"/>
  <c r="H17"/>
  <c r="H18"/>
  <c r="I18" s="1"/>
  <c r="H16"/>
  <c r="K95" i="1"/>
  <c r="L95"/>
  <c r="N95"/>
  <c r="S95"/>
  <c r="AB95"/>
  <c r="AC95"/>
  <c r="AH95"/>
  <c r="AI95"/>
  <c r="AJ95"/>
  <c r="K94"/>
  <c r="L94"/>
  <c r="N94"/>
  <c r="S94"/>
  <c r="AB94"/>
  <c r="AC94"/>
  <c r="AE94"/>
  <c r="AH94"/>
  <c r="AI94"/>
  <c r="AJ94"/>
  <c r="R8" i="14" l="1"/>
  <c r="S8" s="1"/>
  <c r="I17" i="10"/>
  <c r="I19"/>
  <c r="I22"/>
  <c r="I24"/>
  <c r="I26"/>
  <c r="I27"/>
  <c r="I30"/>
  <c r="I33"/>
  <c r="I34"/>
  <c r="I50"/>
  <c r="I62"/>
  <c r="I68"/>
  <c r="I73"/>
  <c r="I74"/>
  <c r="I75"/>
  <c r="I76"/>
  <c r="I77"/>
  <c r="I79"/>
  <c r="I80"/>
  <c r="V4"/>
  <c r="W4" s="1"/>
  <c r="S5"/>
  <c r="T5" s="1"/>
  <c r="F26"/>
  <c r="H2"/>
  <c r="E4"/>
  <c r="E3"/>
  <c r="F4" s="1"/>
  <c r="E15"/>
  <c r="E14"/>
  <c r="E13"/>
  <c r="E12"/>
  <c r="E11"/>
  <c r="E10"/>
  <c r="E9"/>
  <c r="E8"/>
  <c r="E7"/>
  <c r="E6"/>
  <c r="E5"/>
  <c r="F5" s="1"/>
  <c r="H15"/>
  <c r="H14"/>
  <c r="H13"/>
  <c r="H12"/>
  <c r="H11"/>
  <c r="H10"/>
  <c r="H9"/>
  <c r="H8"/>
  <c r="H7"/>
  <c r="H6"/>
  <c r="H5"/>
  <c r="H4"/>
  <c r="H3"/>
  <c r="I3" s="1"/>
  <c r="R9" i="14" l="1"/>
  <c r="S9" s="1"/>
  <c r="I5" i="10"/>
  <c r="I6"/>
  <c r="I7"/>
  <c r="I8"/>
  <c r="I9"/>
  <c r="I10"/>
  <c r="I11"/>
  <c r="I12"/>
  <c r="I13"/>
  <c r="I14"/>
  <c r="I15"/>
  <c r="I16"/>
  <c r="U5"/>
  <c r="S6"/>
  <c r="T6" s="1"/>
  <c r="I4"/>
  <c r="F6"/>
  <c r="F7"/>
  <c r="F8"/>
  <c r="F9"/>
  <c r="F10"/>
  <c r="F11"/>
  <c r="F12"/>
  <c r="F13"/>
  <c r="F14"/>
  <c r="F15"/>
  <c r="F16"/>
  <c r="F3"/>
  <c r="R10" i="14" l="1"/>
  <c r="S10" s="1"/>
  <c r="U6" i="10"/>
  <c r="S7"/>
  <c r="T7" s="1"/>
  <c r="V5"/>
  <c r="W5" s="1"/>
  <c r="N5" i="3"/>
  <c r="O5" s="1"/>
  <c r="N4"/>
  <c r="O4" s="1"/>
  <c r="R11" i="14" l="1"/>
  <c r="S11" s="1"/>
  <c r="V6" i="10"/>
  <c r="W6" s="1"/>
  <c r="U7"/>
  <c r="V7" s="1"/>
  <c r="W7" s="1"/>
  <c r="S8"/>
  <c r="T8" s="1"/>
  <c r="N1" i="3"/>
  <c r="F5"/>
  <c r="G5"/>
  <c r="H5"/>
  <c r="I5"/>
  <c r="J5"/>
  <c r="K5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R12" i="14" l="1"/>
  <c r="S12" s="1"/>
  <c r="U8" i="10"/>
  <c r="V8" s="1"/>
  <c r="W8" s="1"/>
  <c r="S9"/>
  <c r="T9" s="1"/>
  <c r="J3" i="6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R13" i="14" l="1"/>
  <c r="S13" s="1"/>
  <c r="U9" i="10"/>
  <c r="V9" s="1"/>
  <c r="W9" s="1"/>
  <c r="S10"/>
  <c r="T10" s="1"/>
  <c r="AC58" i="9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R14" i="14" l="1"/>
  <c r="S14" s="1"/>
  <c r="R15" s="1"/>
  <c r="S15" s="1"/>
  <c r="R16" s="1"/>
  <c r="S16" s="1"/>
  <c r="R17" s="1"/>
  <c r="S17" s="1"/>
  <c r="R18" s="1"/>
  <c r="S18" s="1"/>
  <c r="R19" s="1"/>
  <c r="S19" s="1"/>
  <c r="R20" s="1"/>
  <c r="S20" s="1"/>
  <c r="R21" s="1"/>
  <c r="S21" s="1"/>
  <c r="R22" s="1"/>
  <c r="S22" s="1"/>
  <c r="R23" s="1"/>
  <c r="S23" s="1"/>
  <c r="R24" s="1"/>
  <c r="S24" s="1"/>
  <c r="R25" s="1"/>
  <c r="S25" s="1"/>
  <c r="R26" s="1"/>
  <c r="S26" s="1"/>
  <c r="R27" s="1"/>
  <c r="S27" s="1"/>
  <c r="R28" s="1"/>
  <c r="S28" s="1"/>
  <c r="R29" s="1"/>
  <c r="S29" s="1"/>
  <c r="R30" s="1"/>
  <c r="S30" s="1"/>
  <c r="R31" s="1"/>
  <c r="S31" s="1"/>
  <c r="R32" s="1"/>
  <c r="S32" s="1"/>
  <c r="R33" s="1"/>
  <c r="S33" s="1"/>
  <c r="R34" s="1"/>
  <c r="S34" s="1"/>
  <c r="R35" s="1"/>
  <c r="S35" s="1"/>
  <c r="R36" s="1"/>
  <c r="S36" s="1"/>
  <c r="R37" s="1"/>
  <c r="S37" s="1"/>
  <c r="R38" s="1"/>
  <c r="S38" s="1"/>
  <c r="R39" s="1"/>
  <c r="S39" s="1"/>
  <c r="R40" s="1"/>
  <c r="S40" s="1"/>
  <c r="R41" s="1"/>
  <c r="S41" s="1"/>
  <c r="R42" s="1"/>
  <c r="S42" s="1"/>
  <c r="R43" s="1"/>
  <c r="S43" s="1"/>
  <c r="R44" s="1"/>
  <c r="S44" s="1"/>
  <c r="R45" s="1"/>
  <c r="S45" s="1"/>
  <c r="R46" s="1"/>
  <c r="S46" s="1"/>
  <c r="R47" s="1"/>
  <c r="S47" s="1"/>
  <c r="R48" s="1"/>
  <c r="S48" s="1"/>
  <c r="R49" s="1"/>
  <c r="S49" s="1"/>
  <c r="R50" s="1"/>
  <c r="S50" s="1"/>
  <c r="R51" s="1"/>
  <c r="S51" s="1"/>
  <c r="R52" s="1"/>
  <c r="S52" s="1"/>
  <c r="R53" s="1"/>
  <c r="S53" s="1"/>
  <c r="R54" s="1"/>
  <c r="S54" s="1"/>
  <c r="R55" s="1"/>
  <c r="S55" s="1"/>
  <c r="R56" s="1"/>
  <c r="S56" s="1"/>
  <c r="R57" s="1"/>
  <c r="S57" s="1"/>
  <c r="R58" s="1"/>
  <c r="S58" s="1"/>
  <c r="R59" s="1"/>
  <c r="S59" s="1"/>
  <c r="R60" s="1"/>
  <c r="S60" s="1"/>
  <c r="R61" s="1"/>
  <c r="S61" s="1"/>
  <c r="R62" s="1"/>
  <c r="S62" s="1"/>
  <c r="R63" s="1"/>
  <c r="S63" s="1"/>
  <c r="R64" s="1"/>
  <c r="S64" s="1"/>
  <c r="R65" s="1"/>
  <c r="S65" s="1"/>
  <c r="R66" s="1"/>
  <c r="S66" s="1"/>
  <c r="R67" s="1"/>
  <c r="S67" s="1"/>
  <c r="R68" s="1"/>
  <c r="S68" s="1"/>
  <c r="R69" s="1"/>
  <c r="S69" s="1"/>
  <c r="R70" s="1"/>
  <c r="S70" s="1"/>
  <c r="R71" s="1"/>
  <c r="S71" s="1"/>
  <c r="R72" s="1"/>
  <c r="S72" s="1"/>
  <c r="R73" s="1"/>
  <c r="S73" s="1"/>
  <c r="R74" s="1"/>
  <c r="S74" s="1"/>
  <c r="R75" s="1"/>
  <c r="S75" s="1"/>
  <c r="R76" s="1"/>
  <c r="S76" s="1"/>
  <c r="R77" s="1"/>
  <c r="S77" s="1"/>
  <c r="R78" s="1"/>
  <c r="S78" s="1"/>
  <c r="R79" s="1"/>
  <c r="S79" s="1"/>
  <c r="R80" s="1"/>
  <c r="S80" s="1"/>
  <c r="R81" s="1"/>
  <c r="S81" s="1"/>
  <c r="R82" s="1"/>
  <c r="S82" s="1"/>
  <c r="R83" s="1"/>
  <c r="S83" s="1"/>
  <c r="R84" s="1"/>
  <c r="S84" s="1"/>
  <c r="R85" s="1"/>
  <c r="S85" s="1"/>
  <c r="R86" s="1"/>
  <c r="S86" s="1"/>
  <c r="R87" s="1"/>
  <c r="S87" s="1"/>
  <c r="R88" s="1"/>
  <c r="S88" s="1"/>
  <c r="R89" s="1"/>
  <c r="S89" s="1"/>
  <c r="R90" s="1"/>
  <c r="S90" s="1"/>
  <c r="R91" s="1"/>
  <c r="S91" s="1"/>
  <c r="R92" s="1"/>
  <c r="S92" s="1"/>
  <c r="R93" s="1"/>
  <c r="S93" s="1"/>
  <c r="R94" s="1"/>
  <c r="S94" s="1"/>
  <c r="U10" i="10"/>
  <c r="V10" s="1"/>
  <c r="W10" s="1"/>
  <c r="S54" i="9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S11" i="10" l="1"/>
  <c r="T11" s="1"/>
  <c r="S17" i="9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U11" i="10" l="1"/>
  <c r="V11" s="1"/>
  <c r="W11" s="1"/>
  <c r="S12"/>
  <c r="T12" s="1"/>
  <c r="AC5" i="9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U12" i="10" l="1"/>
  <c r="V12" s="1"/>
  <c r="W12" s="1"/>
  <c r="S13"/>
  <c r="T13" s="1"/>
  <c r="Q57" i="9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U13" i="10" l="1"/>
  <c r="V13" s="1"/>
  <c r="W13" s="1"/>
  <c r="S14"/>
  <c r="T14" s="1"/>
  <c r="U58" i="9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U14" i="10" l="1"/>
  <c r="V14" s="1"/>
  <c r="W14" s="1"/>
  <c r="S15"/>
  <c r="T15" s="1"/>
  <c r="W57" i="9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U15" i="10" l="1"/>
  <c r="V15" s="1"/>
  <c r="W15" s="1"/>
  <c r="X58" i="9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S16" i="10" l="1"/>
  <c r="T16" s="1"/>
  <c r="Y51" i="9"/>
  <c r="Y61"/>
  <c r="Y34"/>
  <c r="Y17"/>
  <c r="Y13"/>
  <c r="Y10"/>
  <c r="Y11"/>
  <c r="AK4"/>
  <c r="U16" i="10" l="1"/>
  <c r="V16" s="1"/>
  <c r="W16" s="1"/>
  <c r="S17"/>
  <c r="T17" s="1"/>
  <c r="AK57" i="9"/>
  <c r="Z56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U17" i="10" l="1"/>
  <c r="V17" s="1"/>
  <c r="W17" s="1"/>
  <c r="S18"/>
  <c r="T18" s="1"/>
  <c r="AA57" i="9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U18" i="10" l="1"/>
  <c r="V18" s="1"/>
  <c r="W18" s="1"/>
  <c r="S19"/>
  <c r="T19" s="1"/>
  <c r="AE58" i="9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U19" i="10" l="1"/>
  <c r="V19" s="1"/>
  <c r="W19" s="1"/>
  <c r="S20"/>
  <c r="T20" s="1"/>
  <c r="AG59" i="9"/>
  <c r="AH56"/>
  <c r="AG52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U20" i="10" l="1"/>
  <c r="V20" s="1"/>
  <c r="W20" s="1"/>
  <c r="S21"/>
  <c r="T21" s="1"/>
  <c r="AH58" i="9"/>
  <c r="AH59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J4"/>
  <c r="K4" s="1"/>
  <c r="L4" s="1"/>
  <c r="O4"/>
  <c r="K71" i="1"/>
  <c r="L71" s="1"/>
  <c r="N71"/>
  <c r="AB71" s="1"/>
  <c r="S71"/>
  <c r="AC71"/>
  <c r="K70"/>
  <c r="L70"/>
  <c r="N70"/>
  <c r="S70"/>
  <c r="AB70"/>
  <c r="AC70"/>
  <c r="U21" i="10" l="1"/>
  <c r="V21" s="1"/>
  <c r="W21" s="1"/>
  <c r="N4" i="4"/>
  <c r="M4"/>
  <c r="AJ57" i="9"/>
  <c r="AI57"/>
  <c r="AI5"/>
  <c r="AJ47"/>
  <c r="AI47"/>
  <c r="AJ49"/>
  <c r="AH62"/>
  <c r="AI49"/>
  <c r="AJ5"/>
  <c r="H4" i="4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S22" i="10" l="1"/>
  <c r="P4" i="4"/>
  <c r="K68" i="1"/>
  <c r="L68"/>
  <c r="N68"/>
  <c r="AB68" s="1"/>
  <c r="S68"/>
  <c r="AC68"/>
  <c r="K64"/>
  <c r="L64" s="1"/>
  <c r="N64"/>
  <c r="S64"/>
  <c r="AB64"/>
  <c r="AC64"/>
  <c r="K3" i="3"/>
  <c r="K2"/>
  <c r="T22" i="10" l="1"/>
  <c r="S23"/>
  <c r="U22"/>
  <c r="V22" s="1"/>
  <c r="W22" s="1"/>
  <c r="X22" s="1"/>
  <c r="F2" i="3"/>
  <c r="G2" s="1"/>
  <c r="J2" s="1"/>
  <c r="H2"/>
  <c r="I2" s="1"/>
  <c r="T23" i="10" l="1"/>
  <c r="S24" s="1"/>
  <c r="U23"/>
  <c r="V23" s="1"/>
  <c r="W23" s="1"/>
  <c r="L2" i="8"/>
  <c r="L3"/>
  <c r="L4"/>
  <c r="L5"/>
  <c r="T24" i="10" l="1"/>
  <c r="U24"/>
  <c r="V24" s="1"/>
  <c r="W24" s="1"/>
  <c r="S25"/>
  <c r="K63" i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T25" i="10" l="1"/>
  <c r="U25"/>
  <c r="V25" s="1"/>
  <c r="W25" s="1"/>
  <c r="S26"/>
  <c r="S54" i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T26" i="10" l="1"/>
  <c r="U26"/>
  <c r="V26" s="1"/>
  <c r="W26" s="1"/>
  <c r="S27"/>
  <c r="O95" i="1"/>
  <c r="P95"/>
  <c r="Q95"/>
  <c r="R95"/>
  <c r="T95"/>
  <c r="O94"/>
  <c r="P94"/>
  <c r="Q94"/>
  <c r="R94"/>
  <c r="T94"/>
  <c r="O93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T27" i="10" l="1"/>
  <c r="U27"/>
  <c r="V27" s="1"/>
  <c r="W27" s="1"/>
  <c r="S28"/>
  <c r="U95" i="1"/>
  <c r="V95"/>
  <c r="W95"/>
  <c r="U94"/>
  <c r="V94"/>
  <c r="W94"/>
  <c r="U93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T28" i="10" l="1"/>
  <c r="U28"/>
  <c r="V28" s="1"/>
  <c r="W28" s="1"/>
  <c r="S29"/>
  <c r="X94" i="1"/>
  <c r="X95"/>
  <c r="X93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T29" i="10" l="1"/>
  <c r="S30" s="1"/>
  <c r="U29"/>
  <c r="V29" s="1"/>
  <c r="W29" s="1"/>
  <c r="K56" i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T30" i="10" l="1"/>
  <c r="U30"/>
  <c r="V30" s="1"/>
  <c r="W30" s="1"/>
  <c r="S31"/>
  <c r="K51" i="1"/>
  <c r="L51"/>
  <c r="U51"/>
  <c r="V51"/>
  <c r="AB51"/>
  <c r="AC51"/>
  <c r="AH51"/>
  <c r="AI51"/>
  <c r="K48"/>
  <c r="L48"/>
  <c r="U48"/>
  <c r="V48"/>
  <c r="AB48"/>
  <c r="AC48"/>
  <c r="AE48"/>
  <c r="T31" i="10" l="1"/>
  <c r="U31"/>
  <c r="V31" s="1"/>
  <c r="W31" s="1"/>
  <c r="S32"/>
  <c r="I5" i="7"/>
  <c r="J5"/>
  <c r="K5"/>
  <c r="L5" s="1"/>
  <c r="M5"/>
  <c r="N5"/>
  <c r="T32" i="10" l="1"/>
  <c r="U32"/>
  <c r="V32" s="1"/>
  <c r="W32" s="1"/>
  <c r="S33"/>
  <c r="O5" i="7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T33" i="10" l="1"/>
  <c r="U33"/>
  <c r="V33" s="1"/>
  <c r="W33" s="1"/>
  <c r="S34"/>
  <c r="U50" i="1"/>
  <c r="V47"/>
  <c r="L2" i="7"/>
  <c r="O2" s="1"/>
  <c r="L3"/>
  <c r="O3" s="1"/>
  <c r="L4"/>
  <c r="O4" s="1"/>
  <c r="T34" i="10" l="1"/>
  <c r="S35" s="1"/>
  <c r="U34"/>
  <c r="V34" s="1"/>
  <c r="W34" s="1"/>
  <c r="X34" s="1"/>
  <c r="N2" i="6"/>
  <c r="T35" i="10" l="1"/>
  <c r="S36" s="1"/>
  <c r="U35"/>
  <c r="V35" s="1"/>
  <c r="W35" s="1"/>
  <c r="I2" i="6"/>
  <c r="O2"/>
  <c r="T36" i="10" l="1"/>
  <c r="U36"/>
  <c r="V36" s="1"/>
  <c r="W36" s="1"/>
  <c r="S37"/>
  <c r="K49" i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T37" i="10" l="1"/>
  <c r="U37"/>
  <c r="V37" s="1"/>
  <c r="W37" s="1"/>
  <c r="S38"/>
  <c r="V39" i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T38" i="10" l="1"/>
  <c r="U38"/>
  <c r="V38" s="1"/>
  <c r="W38" s="1"/>
  <c r="S39"/>
  <c r="V37" i="1"/>
  <c r="T39" i="10" l="1"/>
  <c r="U39"/>
  <c r="V39" s="1"/>
  <c r="W39" s="1"/>
  <c r="S40"/>
  <c r="J2" i="5"/>
  <c r="K2"/>
  <c r="L2"/>
  <c r="T2"/>
  <c r="I2" i="4"/>
  <c r="I3"/>
  <c r="O2"/>
  <c r="O3"/>
  <c r="J2"/>
  <c r="J3"/>
  <c r="T40" i="10" l="1"/>
  <c r="U40"/>
  <c r="V40" s="1"/>
  <c r="W40" s="1"/>
  <c r="S41"/>
  <c r="M2" i="5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T41" i="10" l="1"/>
  <c r="U41"/>
  <c r="V41" s="1"/>
  <c r="W41" s="1"/>
  <c r="S42"/>
  <c r="Q2" i="5"/>
  <c r="S2"/>
  <c r="R2"/>
  <c r="P2"/>
  <c r="T42" i="10" l="1"/>
  <c r="U42"/>
  <c r="V42" s="1"/>
  <c r="W42" s="1"/>
  <c r="S43"/>
  <c r="U2" i="5"/>
  <c r="K3" i="4"/>
  <c r="L3" s="1"/>
  <c r="T43" i="10" l="1"/>
  <c r="U43"/>
  <c r="V43" s="1"/>
  <c r="W43" s="1"/>
  <c r="S44"/>
  <c r="N3" i="4"/>
  <c r="M3"/>
  <c r="H3"/>
  <c r="T44" i="10" l="1"/>
  <c r="U44"/>
  <c r="V44" s="1"/>
  <c r="W44" s="1"/>
  <c r="S45"/>
  <c r="P3" i="4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T45" i="10" l="1"/>
  <c r="U45"/>
  <c r="V45" s="1"/>
  <c r="W45" s="1"/>
  <c r="S46"/>
  <c r="V43" i="1"/>
  <c r="V44"/>
  <c r="V40"/>
  <c r="V34"/>
  <c r="V33"/>
  <c r="T46" i="10" l="1"/>
  <c r="U46"/>
  <c r="V46" s="1"/>
  <c r="W46" s="1"/>
  <c r="X46" s="1"/>
  <c r="S47"/>
  <c r="K32" i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T47" i="10" l="1"/>
  <c r="U47"/>
  <c r="V47" s="1"/>
  <c r="W47" s="1"/>
  <c r="N2" i="4"/>
  <c r="M2"/>
  <c r="H2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4" l="1"/>
  <c r="M95"/>
  <c r="M92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4" l="1"/>
  <c r="AK94" s="1"/>
  <c r="Y95"/>
  <c r="AK95" s="1"/>
  <c r="Y92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2"/>
  <c r="Z95" s="1"/>
  <c r="AA95" s="1"/>
  <c r="AE95" s="1"/>
  <c r="AK2" l="1"/>
  <c r="Z94"/>
  <c r="AA94" s="1"/>
  <c r="Z93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5" l="1"/>
  <c r="AF95" s="1"/>
  <c r="AD94"/>
  <c r="AF94" s="1"/>
  <c r="AG94" s="1"/>
  <c r="AD93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5" l="1"/>
  <c r="AG93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H47" l="1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<sst xmlns="http://schemas.openxmlformats.org/spreadsheetml/2006/main" count="944" uniqueCount="299">
  <si>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</si>
  <si>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</si>
  <si>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</si>
  <si>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</si>
  <si>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</si>
  <si>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</si>
  <si>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</si>
  <si>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</si>
  <si>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</si>
  <si>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</si>
  <si>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</si>
  <si>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</si>
  <si>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</si>
  <si>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</si>
  <si>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</si>
  <si>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</si>
  <si>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</si>
  <si>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</si>
  <si>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</si>
  <si>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</si>
  <si>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</si>
  <si>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</si>
  <si>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</si>
  <si>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</si>
  <si>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</si>
  <si>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</si>
  <si>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</si>
  <si>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</si>
  <si>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</si>
  <si>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</si>
  <si>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</si>
  <si>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</si>
  <si>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</si>
  <si>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</si>
  <si>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</si>
  <si>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</si>
  <si>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</si>
  <si>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</si>
  <si>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</si>
  <si>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</si>
  <si>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</si>
  <si>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</si>
  <si>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</si>
  <si>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</si>
  <si>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</si>
  <si>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</si>
  <si>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</si>
  <si>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</si>
  <si>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</si>
  <si>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</si>
  <si>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</si>
  <si>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</si>
  <si>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</si>
  <si>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</si>
  <si>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</si>
  <si>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</si>
  <si>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</si>
  <si>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</si>
  <si>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</si>
  <si>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</si>
  <si>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</si>
  <si>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</si>
  <si>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</si>
  <si>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</si>
  <si>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</si>
  <si>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</si>
  <si>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</si>
  <si>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</si>
  <si>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</si>
  <si>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</si>
  <si>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</si>
  <si>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</si>
  <si>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</si>
  <si>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</si>
  <si>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</si>
  <si>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</si>
  <si>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</si>
  <si>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</si>
  <si>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</si>
  <si>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</si>
  <si>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</si>
  <si>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</si>
  <si>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</si>
  <si>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</si>
  <si>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</si>
  <si>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</si>
  <si>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</si>
  <si>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</si>
  <si>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</si>
  <si>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</si>
  <si>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</si>
  <si>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</si>
  <si>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</si>
  <si>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</si>
  <si>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</si>
  <si>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</si>
  <si>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</si>
  <si>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</si>
  <si>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</si>
  <si>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</si>
  <si>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</si>
  <si>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</si>
  <si>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</si>
  <si>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</si>
  <si>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</si>
  <si>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</si>
  <si>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</si>
  <si>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</si>
  <si>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</si>
  <si>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</si>
  <si>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</si>
  <si>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</si>
  <si>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</si>
  <si>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</si>
  <si>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</si>
  <si>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</si>
  <si>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</si>
  <si>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</si>
  <si>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</si>
  <si>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</si>
  <si>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</si>
  <si>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</si>
  <si>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</si>
  <si>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</si>
  <si>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</si>
  <si>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</si>
  <si>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</si>
  <si>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</si>
  <si>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</si>
  <si>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</si>
  <si>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</si>
  <si>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</si>
  <si>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</si>
  <si>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</si>
  <si>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</si>
  <si>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</si>
  <si>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</si>
  <si>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</si>
  <si>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</si>
  <si>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</si>
  <si>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</si>
  <si>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</si>
  <si>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</si>
  <si>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</si>
  <si>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</si>
  <si>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</si>
  <si>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</si>
  <si>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</si>
  <si>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</si>
  <si>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</si>
  <si>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</si>
  <si>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</si>
  <si>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</si>
  <si>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</si>
  <si>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</si>
  <si>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</si>
  <si>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</si>
  <si>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</si>
  <si>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</si>
  <si>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</si>
  <si>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</si>
  <si>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</si>
  <si>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</si>
  <si>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</si>
  <si>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</si>
  <si>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</si>
  <si>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</si>
  <si>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</si>
  <si>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</si>
  <si>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</si>
  <si>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</si>
  <si>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</si>
  <si>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</si>
  <si>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</si>
  <si>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</si>
  <si>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</si>
  <si>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</si>
  <si>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</si>
  <si>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</si>
  <si>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</si>
  <si>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</si>
  <si>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</si>
  <si>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</si>
  <si>
    <t>VALED</t>
  </si>
  <si>
    <t>Média</t>
  </si>
  <si>
    <t>DesvPad</t>
  </si>
  <si>
    <t>%DesvPad</t>
  </si>
  <si>
    <t>Variância</t>
  </si>
  <si>
    <t>%Variância</t>
  </si>
  <si>
    <t>petr120m</t>
  </si>
  <si>
    <t>vale120m</t>
  </si>
  <si>
    <t>sell</t>
  </si>
  <si>
    <t>eurgbp</t>
  </si>
  <si>
    <t>buy</t>
  </si>
  <si>
    <t>eurusd</t>
  </si>
  <si>
    <t>gbpusd</t>
  </si>
  <si>
    <t>usdchf</t>
  </si>
  <si>
    <t>audusd</t>
  </si>
  <si>
    <t>usdcad</t>
  </si>
  <si>
    <t>Ticket</t>
  </si>
  <si>
    <t>Type</t>
  </si>
  <si>
    <t>Size</t>
  </si>
  <si>
    <t>Item</t>
  </si>
  <si>
    <t>Price</t>
  </si>
  <si>
    <t>Commission</t>
  </si>
  <si>
    <t>Taxes</t>
  </si>
  <si>
    <t>Swap</t>
  </si>
  <si>
    <t>Profit</t>
  </si>
  <si>
    <t>Total geral</t>
  </si>
  <si>
    <t>Valores</t>
  </si>
  <si>
    <t>OpenTime</t>
  </si>
  <si>
    <t>S/L</t>
  </si>
  <si>
    <t>T/P</t>
  </si>
  <si>
    <t>CloseTime</t>
  </si>
  <si>
    <t>Trades</t>
  </si>
  <si>
    <t>Total Profit</t>
  </si>
  <si>
    <t>H1</t>
  </si>
  <si>
    <t>Price2</t>
  </si>
  <si>
    <t>Moeda</t>
  </si>
  <si>
    <t>petr1d</t>
  </si>
  <si>
    <t>vale1d</t>
  </si>
  <si>
    <t>[0]</t>
  </si>
  <si>
    <t>2014,05,0909:24:27</t>
  </si>
  <si>
    <t>2014,05,1209:42:27</t>
  </si>
  <si>
    <t>2014,05,0609:38:23</t>
  </si>
  <si>
    <t>2014,05,1300:18:05</t>
  </si>
  <si>
    <t>2014,05,0918:14:34</t>
  </si>
  <si>
    <t>2014,05,1307:50:31</t>
  </si>
  <si>
    <t>2014,05,1301:31:27</t>
  </si>
  <si>
    <t>2014,05,1311:42:36</t>
  </si>
  <si>
    <t>2014,05,1308:06:31</t>
  </si>
  <si>
    <t>2014,05,1322:33:01</t>
  </si>
  <si>
    <t>2014,05,1407:13:27</t>
  </si>
  <si>
    <t>2014,05,1408:52:51</t>
  </si>
  <si>
    <t>2014,05,0908:35:42</t>
  </si>
  <si>
    <t>2014,05,1507:53:31</t>
  </si>
  <si>
    <t>2014,05,0610:47:29</t>
  </si>
  <si>
    <t>2014,05,1509:56:29</t>
  </si>
  <si>
    <t>2014,05,1411:09:22</t>
  </si>
  <si>
    <t>2014,05,1513:06:08</t>
  </si>
  <si>
    <t>2014,05,0909:22:33</t>
  </si>
  <si>
    <t>2014,05,1514:07:24</t>
  </si>
  <si>
    <t>2014,05,1507:09:37</t>
  </si>
  <si>
    <t>2014,05,1316:16:57</t>
  </si>
  <si>
    <t>2014,05,1514:09:02</t>
  </si>
  <si>
    <t>2014,05,1508:15:45</t>
  </si>
  <si>
    <t>2014,05,1515:12:55</t>
  </si>
  <si>
    <t>0.00000</t>
  </si>
  <si>
    <t>0.00</t>
  </si>
  <si>
    <t>1.03</t>
  </si>
  <si>
    <t>1.43</t>
  </si>
  <si>
    <t>1.51</t>
  </si>
  <si>
    <t>1.30</t>
  </si>
  <si>
    <t>[1]</t>
  </si>
  <si>
    <t>2014,05,1612:36:24</t>
  </si>
  <si>
    <t>2014,05,1613:27:53</t>
  </si>
  <si>
    <t>2014,05,1904:35:43</t>
  </si>
  <si>
    <t>2014,05,1907:53:42</t>
  </si>
  <si>
    <t>2014,05,0803:01:21</t>
  </si>
  <si>
    <t>2014,05,2006:42:53</t>
  </si>
  <si>
    <t>2014,05,2007:10:29</t>
  </si>
  <si>
    <t>2014,05,2010:05:32</t>
  </si>
  <si>
    <t>2014,05,1915:59:59</t>
  </si>
  <si>
    <t>2014,05,2022:58:58</t>
  </si>
  <si>
    <t>2014,05,0813:15:40</t>
  </si>
  <si>
    <t>2014,05,2111:01:24</t>
  </si>
  <si>
    <t>H4</t>
  </si>
  <si>
    <t>D1</t>
  </si>
  <si>
    <t>[2]</t>
  </si>
  <si>
    <t>2014,05,2007:07:56</t>
  </si>
  <si>
    <t>2014,05,2112:55:23</t>
  </si>
  <si>
    <t>Total Swap</t>
  </si>
  <si>
    <t>* Total</t>
  </si>
  <si>
    <t>Média de Total</t>
  </si>
  <si>
    <t>DesvPad de Total</t>
  </si>
  <si>
    <t>2014.05.21 11:01:27</t>
  </si>
  <si>
    <t>2014.05.21 18:39:34</t>
  </si>
  <si>
    <t>2014.05.21 12:37:14</t>
  </si>
  <si>
    <t>2014.05.21 13:14:52</t>
  </si>
  <si>
    <t>0.92113</t>
  </si>
  <si>
    <t>0.92370</t>
  </si>
  <si>
    <t>2014.05.21 18:44:57</t>
  </si>
  <si>
    <t>2014.05.21 14:01:41</t>
  </si>
  <si>
    <t>1.09</t>
  </si>
  <si>
    <t>2014.05.22 02:15:29</t>
  </si>
  <si>
    <t>2014.05.21 17:11:05</t>
  </si>
  <si>
    <t>2.29</t>
  </si>
  <si>
    <t>0.89585</t>
  </si>
  <si>
    <t>0.89250</t>
  </si>
  <si>
    <t>2014.05.22 08:37:27</t>
  </si>
  <si>
    <t>2014.05.20 08:06:47</t>
  </si>
  <si>
    <t>0.72</t>
  </si>
  <si>
    <t>2014.05.22 14:29:44</t>
  </si>
  <si>
    <t>Data</t>
  </si>
  <si>
    <t>Inicio</t>
  </si>
  <si>
    <t>Fim</t>
  </si>
  <si>
    <t>Rentabilidade</t>
  </si>
  <si>
    <t>bvmf120m</t>
  </si>
  <si>
    <t>[10]</t>
  </si>
</sst>
</file>

<file path=xl/styles.xml><?xml version="1.0" encoding="utf-8"?>
<styleSheet xmlns="http://schemas.openxmlformats.org/spreadsheetml/2006/main">
  <numFmts count="11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2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0E0E0"/>
        <bgColor indexed="64"/>
      </patternFill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18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172" fontId="3" fillId="0" borderId="0" xfId="3" applyNumberFormat="1" applyFont="1" applyBorder="1" applyAlignment="1"/>
    <xf numFmtId="167" fontId="3" fillId="0" borderId="0" xfId="2" applyNumberFormat="1" applyFont="1"/>
    <xf numFmtId="10" fontId="4" fillId="0" borderId="0" xfId="2" applyNumberFormat="1" applyFont="1"/>
    <xf numFmtId="43" fontId="4" fillId="0" borderId="0" xfId="3" applyFont="1"/>
    <xf numFmtId="9" fontId="4" fillId="0" borderId="0" xfId="2" applyFont="1"/>
    <xf numFmtId="9" fontId="3" fillId="0" borderId="0" xfId="2" applyFont="1"/>
    <xf numFmtId="167" fontId="4" fillId="0" borderId="0" xfId="2" applyNumberFormat="1" applyFont="1"/>
    <xf numFmtId="0" fontId="15" fillId="3" borderId="3" xfId="0" applyFont="1" applyFill="1" applyBorder="1" applyAlignment="1">
      <alignment horizontal="right" wrapText="1"/>
    </xf>
    <xf numFmtId="0" fontId="15" fillId="3" borderId="4" xfId="0" applyFont="1" applyFill="1" applyBorder="1" applyAlignment="1">
      <alignment horizontal="right"/>
    </xf>
    <xf numFmtId="0" fontId="15" fillId="3" borderId="4" xfId="0" applyFont="1" applyFill="1" applyBorder="1" applyAlignment="1">
      <alignment horizontal="right" wrapText="1"/>
    </xf>
    <xf numFmtId="0" fontId="15" fillId="2" borderId="4" xfId="0" applyFont="1" applyFill="1" applyBorder="1" applyAlignment="1">
      <alignment horizontal="right"/>
    </xf>
    <xf numFmtId="0" fontId="15" fillId="2" borderId="4" xfId="0" applyFont="1" applyFill="1" applyBorder="1" applyAlignment="1">
      <alignment horizontal="right" wrapText="1"/>
    </xf>
    <xf numFmtId="3" fontId="15" fillId="2" borderId="4" xfId="0" applyNumberFormat="1" applyFont="1" applyFill="1" applyBorder="1" applyAlignment="1">
      <alignment horizontal="right" wrapText="1"/>
    </xf>
    <xf numFmtId="0" fontId="15" fillId="0" borderId="4" xfId="0" applyFont="1" applyBorder="1" applyAlignment="1">
      <alignment horizontal="right" wrapText="1"/>
    </xf>
    <xf numFmtId="3" fontId="15" fillId="3" borderId="4" xfId="0" applyNumberFormat="1" applyFont="1" applyFill="1" applyBorder="1" applyAlignment="1">
      <alignment horizontal="right" wrapText="1"/>
    </xf>
    <xf numFmtId="0" fontId="15" fillId="0" borderId="3" xfId="0" applyFont="1" applyBorder="1" applyAlignment="1">
      <alignment horizontal="right" wrapText="1"/>
    </xf>
    <xf numFmtId="0" fontId="16" fillId="4" borderId="4" xfId="0" applyFont="1" applyFill="1" applyBorder="1" applyAlignment="1">
      <alignment horizontal="center" wrapText="1"/>
    </xf>
    <xf numFmtId="0" fontId="16" fillId="4" borderId="4" xfId="0" applyFont="1" applyFill="1" applyBorder="1" applyAlignment="1">
      <alignment horizontal="center"/>
    </xf>
    <xf numFmtId="43" fontId="3" fillId="0" borderId="6" xfId="0" applyNumberFormat="1" applyFont="1" applyBorder="1"/>
    <xf numFmtId="164" fontId="3" fillId="0" borderId="6" xfId="1" applyFont="1" applyBorder="1"/>
    <xf numFmtId="0" fontId="15" fillId="2" borderId="5" xfId="0" applyFont="1" applyFill="1" applyBorder="1" applyAlignment="1">
      <alignment horizontal="right" wrapText="1"/>
    </xf>
    <xf numFmtId="0" fontId="15" fillId="3" borderId="5" xfId="0" applyFont="1" applyFill="1" applyBorder="1" applyAlignment="1">
      <alignment horizontal="right" wrapText="1"/>
    </xf>
    <xf numFmtId="0" fontId="15" fillId="3" borderId="0" xfId="0" applyFont="1" applyFill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7" xfId="0" applyFont="1" applyBorder="1" applyAlignment="1">
      <alignment horizontal="right" wrapText="1"/>
    </xf>
    <xf numFmtId="0" fontId="15" fillId="2" borderId="3" xfId="0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5" fillId="2" borderId="3" xfId="0" applyFont="1" applyFill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5" fillId="0" borderId="0" xfId="0" applyFont="1" applyAlignment="1">
      <alignment horizontal="right"/>
    </xf>
    <xf numFmtId="0" fontId="15" fillId="3" borderId="0" xfId="0" applyFont="1" applyFill="1" applyAlignment="1">
      <alignment horizontal="right" wrapText="1"/>
    </xf>
    <xf numFmtId="0" fontId="15" fillId="3" borderId="0" xfId="0" applyFont="1" applyFill="1" applyAlignment="1">
      <alignment horizontal="right"/>
    </xf>
    <xf numFmtId="3" fontId="15" fillId="3" borderId="0" xfId="0" applyNumberFormat="1" applyFont="1" applyFill="1" applyAlignment="1">
      <alignment horizontal="right" wrapText="1"/>
    </xf>
    <xf numFmtId="3" fontId="15" fillId="0" borderId="0" xfId="0" applyNumberFormat="1" applyFont="1" applyAlignment="1">
      <alignment horizontal="right" wrapText="1"/>
    </xf>
    <xf numFmtId="0" fontId="15" fillId="2" borderId="0" xfId="0" applyFont="1" applyFill="1" applyBorder="1" applyAlignment="1">
      <alignment horizontal="right" wrapText="1"/>
    </xf>
    <xf numFmtId="0" fontId="15" fillId="2" borderId="7" xfId="0" applyFont="1" applyFill="1" applyBorder="1" applyAlignment="1">
      <alignment horizontal="right" wrapText="1"/>
    </xf>
    <xf numFmtId="0" fontId="17" fillId="0" borderId="0" xfId="0" pivotButton="1" applyFont="1"/>
    <xf numFmtId="0" fontId="17" fillId="0" borderId="0" xfId="0" applyFont="1"/>
    <xf numFmtId="44" fontId="17" fillId="0" borderId="0" xfId="1" applyNumberFormat="1" applyFont="1"/>
    <xf numFmtId="10" fontId="17" fillId="0" borderId="0" xfId="2" applyNumberFormat="1" applyFont="1"/>
    <xf numFmtId="44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5" fillId="3" borderId="2" xfId="0" applyFont="1" applyFill="1" applyBorder="1" applyAlignment="1">
      <alignment horizontal="right" wrapText="1"/>
    </xf>
    <xf numFmtId="0" fontId="15" fillId="0" borderId="2" xfId="0" applyFont="1" applyBorder="1" applyAlignment="1">
      <alignment horizontal="right" wrapText="1"/>
    </xf>
    <xf numFmtId="0" fontId="15" fillId="2" borderId="2" xfId="0" applyFont="1" applyFill="1" applyBorder="1" applyAlignment="1">
      <alignment horizontal="right" wrapText="1"/>
    </xf>
    <xf numFmtId="0" fontId="15" fillId="2" borderId="0" xfId="0" applyFont="1" applyFill="1" applyBorder="1" applyAlignment="1">
      <alignment horizontal="right"/>
    </xf>
    <xf numFmtId="0" fontId="15" fillId="2" borderId="8" xfId="0" applyFont="1" applyFill="1" applyBorder="1" applyAlignment="1">
      <alignment horizontal="right" wrapText="1"/>
    </xf>
    <xf numFmtId="17" fontId="17" fillId="0" borderId="0" xfId="0" applyNumberFormat="1" applyFont="1"/>
    <xf numFmtId="0" fontId="18" fillId="0" borderId="6" xfId="0" applyFont="1" applyBorder="1"/>
    <xf numFmtId="0" fontId="15" fillId="3" borderId="7" xfId="0" applyFont="1" applyFill="1" applyBorder="1" applyAlignment="1">
      <alignment horizontal="right" wrapText="1"/>
    </xf>
    <xf numFmtId="0" fontId="19" fillId="0" borderId="0" xfId="0" applyNumberFormat="1" applyFont="1"/>
    <xf numFmtId="0" fontId="19" fillId="0" borderId="0" xfId="0" applyNumberFormat="1" applyFont="1" applyBorder="1"/>
    <xf numFmtId="0" fontId="19" fillId="0" borderId="0" xfId="0" applyFont="1"/>
    <xf numFmtId="0" fontId="20" fillId="0" borderId="4" xfId="0" applyFont="1" applyBorder="1"/>
    <xf numFmtId="0" fontId="20" fillId="0" borderId="5" xfId="0" applyFont="1" applyBorder="1"/>
    <xf numFmtId="0" fontId="20" fillId="0" borderId="8" xfId="0" applyFont="1" applyBorder="1"/>
    <xf numFmtId="0" fontId="20" fillId="2" borderId="4" xfId="0" applyFont="1" applyFill="1" applyBorder="1"/>
    <xf numFmtId="0" fontId="20" fillId="2" borderId="5" xfId="0" applyFont="1" applyFill="1" applyBorder="1"/>
    <xf numFmtId="0" fontId="15" fillId="3" borderId="0" xfId="0" applyFont="1" applyFill="1" applyBorder="1" applyAlignment="1">
      <alignment horizontal="right"/>
    </xf>
    <xf numFmtId="3" fontId="15" fillId="3" borderId="0" xfId="0" applyNumberFormat="1" applyFont="1" applyFill="1" applyBorder="1" applyAlignment="1">
      <alignment horizontal="right" wrapText="1"/>
    </xf>
    <xf numFmtId="0" fontId="15" fillId="3" borderId="8" xfId="0" applyFont="1" applyFill="1" applyBorder="1" applyAlignment="1">
      <alignment horizontal="right" wrapText="1"/>
    </xf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94"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vertical="top" textRotation="0" inden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C0C0C0"/>
        </patternFill>
      </fill>
      <alignment horizontal="center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indent="0" relativeIndent="0" justifyLastLine="0" shrinkToFit="0" mergeCell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name val="Calibri"/>
        <scheme val="minor"/>
      </font>
    </dxf>
    <dxf>
      <font>
        <sz val="9"/>
      </font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786.556720370369" createdVersion="3" refreshedVersion="3" minRefreshableVersion="3" recordCount="66">
  <cacheSource type="worksheet">
    <worksheetSource name="Tabela9"/>
  </cacheSource>
  <cacheFields count="15">
    <cacheField name="Ticket" numFmtId="0">
      <sharedItems containsString="0" containsBlank="1" containsNumber="1" containsInteger="1" minValue="21209126" maxValue="21352984"/>
    </cacheField>
    <cacheField name="OpenTime" numFmtId="0">
      <sharedItems containsBlank="1"/>
    </cacheField>
    <cacheField name="Type" numFmtId="0">
      <sharedItems containsBlank="1" count="4">
        <s v="sell"/>
        <m/>
        <s v="buy"/>
        <s v="balance" u="1"/>
      </sharedItems>
    </cacheField>
    <cacheField name="Size" numFmtId="0">
      <sharedItems containsBlank="1" containsMixedTypes="1" containsNumber="1" minValue="0.53" maxValue="2.23"/>
    </cacheField>
    <cacheField name="Item" numFmtId="0">
      <sharedItems containsBlank="1" count="7">
        <s v="gbpusd"/>
        <m/>
        <s v="audusd"/>
        <s v="eurgbp"/>
        <s v="usdcad"/>
        <s v="eurusd"/>
        <s v="usdchf"/>
      </sharedItems>
    </cacheField>
    <cacheField name="Price" numFmtId="0">
      <sharedItems containsBlank="1" containsMixedTypes="1" containsNumber="1" minValue="0.81433" maxValue="168993"/>
    </cacheField>
    <cacheField name="S/L" numFmtId="0">
      <sharedItems containsBlank="1" containsMixedTypes="1" containsNumber="1" minValue="0.81430000000000002" maxValue="169020"/>
    </cacheField>
    <cacheField name="T/P" numFmtId="0">
      <sharedItems containsBlank="1" containsMixedTypes="1" containsNumber="1" containsInteger="1" minValue="0" maxValue="0"/>
    </cacheField>
    <cacheField name="CloseTime" numFmtId="0">
      <sharedItems containsBlank="1"/>
    </cacheField>
    <cacheField name="Price2" numFmtId="0">
      <sharedItems containsBlank="1" containsMixedTypes="1" containsNumber="1" minValue="0.80893000000000004" maxValue="169020"/>
    </cacheField>
    <cacheField name="Commission" numFmtId="0">
      <sharedItems containsMixedTypes="1" containsNumber="1" containsInteger="1" minValue="0" maxValue="0" count="5">
        <s v="[0]"/>
        <n v="0"/>
        <s v="[1]"/>
        <s v="[2]"/>
        <s v="[10]"/>
      </sharedItems>
    </cacheField>
    <cacheField name="Taxes" numFmtId="0">
      <sharedItems containsBlank="1" containsMixedTypes="1" containsNumber="1" containsInteger="1" minValue="0" maxValue="0"/>
    </cacheField>
    <cacheField name="Swap" numFmtId="0">
      <sharedItems containsString="0" containsBlank="1" containsNumber="1" minValue="-27.03" maxValue="76.31"/>
    </cacheField>
    <cacheField name="Profit" numFmtId="0">
      <sharedItems containsString="0" containsBlank="1" containsNumber="1" minValue="-1374.72" maxValue="3378.82"/>
    </cacheField>
    <cacheField name="Total" numFmtId="0">
      <sharedItems containsSemiMixedTypes="0" containsString="0" containsNumber="1" minValue="-1306.3700000000001" maxValue="3358.0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n v="21246904"/>
    <s v="2014,05,0909:24:27"/>
    <x v="0"/>
    <n v="0.7"/>
    <x v="0"/>
    <n v="168993"/>
    <n v="169020"/>
    <n v="0"/>
    <s v="2014,05,1209:42:27"/>
    <n v="169020"/>
    <x v="0"/>
    <n v="0"/>
    <n v="-3.16"/>
    <n v="-18.899999999999999"/>
    <n v="-22.06"/>
  </r>
  <r>
    <m/>
    <m/>
    <x v="1"/>
    <m/>
    <x v="1"/>
    <m/>
    <m/>
    <m/>
    <m/>
    <n v="8855"/>
    <x v="1"/>
    <m/>
    <m/>
    <m/>
    <n v="0"/>
  </r>
  <r>
    <n v="21209126"/>
    <s v="2014,05,0609:38:23"/>
    <x v="2"/>
    <n v="1.17"/>
    <x v="2"/>
    <n v="0.93137000000000003"/>
    <n v="0.93540000000000001"/>
    <n v="0"/>
    <s v="2014,05,1300:18:05"/>
    <n v="0.93540000000000001"/>
    <x v="0"/>
    <n v="0"/>
    <n v="43.67"/>
    <n v="471.51"/>
    <n v="515.17999999999995"/>
  </r>
  <r>
    <m/>
    <m/>
    <x v="1"/>
    <m/>
    <x v="1"/>
    <m/>
    <m/>
    <m/>
    <m/>
    <n v="8855"/>
    <x v="1"/>
    <m/>
    <m/>
    <m/>
    <n v="0"/>
  </r>
  <r>
    <n v="21253879"/>
    <s v="2014,05,0918:14:34"/>
    <x v="0"/>
    <n v="1.57"/>
    <x v="3"/>
    <n v="0.81613999999999998"/>
    <n v="0.81669999999999998"/>
    <n v="0"/>
    <s v="2014,05,1307:50:31"/>
    <n v="0.81669999999999998"/>
    <x v="0"/>
    <n v="0"/>
    <n v="-2.66"/>
    <n v="-148.25"/>
    <n v="-150.91"/>
  </r>
  <r>
    <m/>
    <m/>
    <x v="1"/>
    <m/>
    <x v="1"/>
    <m/>
    <m/>
    <m/>
    <m/>
    <n v="8855"/>
    <x v="1"/>
    <m/>
    <m/>
    <m/>
    <n v="0"/>
  </r>
  <r>
    <n v="21268764"/>
    <s v="2014,05,1301:31:27"/>
    <x v="0"/>
    <n v="2.13"/>
    <x v="2"/>
    <n v="0.93503999999999998"/>
    <n v="0.93620000000000003"/>
    <n v="0"/>
    <s v="2014,05,1311:42:36"/>
    <n v="0.93620000000000003"/>
    <x v="0"/>
    <n v="0"/>
    <n v="0"/>
    <n v="-247.08"/>
    <n v="-247.08"/>
  </r>
  <r>
    <m/>
    <m/>
    <x v="1"/>
    <m/>
    <x v="1"/>
    <m/>
    <m/>
    <m/>
    <m/>
    <n v="8855"/>
    <x v="1"/>
    <m/>
    <m/>
    <m/>
    <n v="0"/>
  </r>
  <r>
    <n v="21271016"/>
    <s v="2014,05,1308:06:31"/>
    <x v="0"/>
    <n v="1.1299999999999999"/>
    <x v="0"/>
    <n v="168505"/>
    <n v="168320"/>
    <n v="0"/>
    <s v="2014,05,1322:33:01"/>
    <n v="168320"/>
    <x v="0"/>
    <n v="0"/>
    <n v="-5.0999999999999996"/>
    <n v="209.05"/>
    <n v="203.95000000000002"/>
  </r>
  <r>
    <m/>
    <m/>
    <x v="1"/>
    <m/>
    <x v="1"/>
    <m/>
    <m/>
    <m/>
    <m/>
    <n v="8855"/>
    <x v="1"/>
    <m/>
    <m/>
    <m/>
    <n v="0"/>
  </r>
  <r>
    <n v="21283357"/>
    <s v="2014,05,1407:13:27"/>
    <x v="2"/>
    <n v="1.22"/>
    <x v="4"/>
    <n v="109225"/>
    <n v="108970"/>
    <n v="0"/>
    <s v="2014,05,1408:52:51"/>
    <n v="108970"/>
    <x v="0"/>
    <n v="0"/>
    <n v="0"/>
    <n v="-285.49"/>
    <n v="-285.49"/>
  </r>
  <r>
    <m/>
    <m/>
    <x v="1"/>
    <m/>
    <x v="1"/>
    <m/>
    <m/>
    <m/>
    <m/>
    <n v="8855"/>
    <x v="1"/>
    <m/>
    <m/>
    <m/>
    <n v="0"/>
  </r>
  <r>
    <n v="21246284"/>
    <s v="2014,05,0908:35:42"/>
    <x v="0"/>
    <n v="1.07"/>
    <x v="5"/>
    <n v="138192"/>
    <n v="137570"/>
    <n v="0"/>
    <s v="2014,05,1507:53:31"/>
    <n v="136717"/>
    <x v="0"/>
    <n v="0"/>
    <n v="-14.37"/>
    <n v="1578.25"/>
    <n v="1563.88"/>
  </r>
  <r>
    <m/>
    <m/>
    <x v="1"/>
    <m/>
    <x v="1"/>
    <m/>
    <m/>
    <m/>
    <m/>
    <n v="8855"/>
    <x v="1"/>
    <m/>
    <m/>
    <m/>
    <n v="0"/>
  </r>
  <r>
    <n v="21209623"/>
    <s v="2014,05,0610:47:29"/>
    <x v="2"/>
    <n v="1.3"/>
    <x v="2"/>
    <n v="0.93223999999999996"/>
    <n v="0.93579999999999997"/>
    <n v="0"/>
    <s v="2014,05,1509:56:29"/>
    <n v="0.93579999999999997"/>
    <x v="2"/>
    <n v="0"/>
    <n v="76.31"/>
    <n v="462.8"/>
    <n v="539.11"/>
  </r>
  <r>
    <m/>
    <m/>
    <x v="1"/>
    <m/>
    <x v="1"/>
    <m/>
    <m/>
    <m/>
    <m/>
    <n v="8855"/>
    <x v="1"/>
    <m/>
    <m/>
    <m/>
    <n v="0"/>
  </r>
  <r>
    <n v="21286193"/>
    <s v="2014,05,1411:09:22"/>
    <x v="0"/>
    <n v="0.6"/>
    <x v="0"/>
    <n v="167654"/>
    <n v="167750"/>
    <n v="0"/>
    <s v="2014,05,1513:06:08"/>
    <n v="167750"/>
    <x v="0"/>
    <n v="0"/>
    <n v="-8.09"/>
    <n v="-57.6"/>
    <n v="-65.69"/>
  </r>
  <r>
    <m/>
    <m/>
    <x v="1"/>
    <m/>
    <x v="1"/>
    <m/>
    <m/>
    <m/>
    <m/>
    <n v="8855"/>
    <x v="1"/>
    <m/>
    <m/>
    <m/>
    <n v="0"/>
  </r>
  <r>
    <n v="21246821"/>
    <s v="2014,05,0909:22:33"/>
    <x v="2"/>
    <n v="1.1499999999999999"/>
    <x v="6"/>
    <n v="0.88288"/>
    <n v="0.8921"/>
    <n v="0"/>
    <s v="2014,05,1514:07:24"/>
    <n v="0.8921"/>
    <x v="0"/>
    <n v="0"/>
    <n v="-9.42"/>
    <n v="1188.54"/>
    <n v="1179.1199999999999"/>
  </r>
  <r>
    <m/>
    <m/>
    <x v="1"/>
    <m/>
    <x v="1"/>
    <m/>
    <m/>
    <m/>
    <m/>
    <n v="8855"/>
    <x v="1"/>
    <m/>
    <m/>
    <m/>
    <n v="0"/>
  </r>
  <r>
    <n v="21295817"/>
    <s v="2014,05,1507:09:37"/>
    <x v="2"/>
    <n v="1.23"/>
    <x v="6"/>
    <n v="0.89124999999999999"/>
    <n v="0.8921"/>
    <n v="0"/>
    <s v="2014,05,1514:07:24"/>
    <n v="0.8921"/>
    <x v="2"/>
    <n v="0"/>
    <n v="0"/>
    <n v="117.2"/>
    <n v="117.2"/>
  </r>
  <r>
    <m/>
    <m/>
    <x v="1"/>
    <m/>
    <x v="1"/>
    <m/>
    <m/>
    <m/>
    <m/>
    <n v="8855"/>
    <x v="1"/>
    <m/>
    <m/>
    <m/>
    <n v="0"/>
  </r>
  <r>
    <n v="21278124"/>
    <s v="2014,05,1316:16:57"/>
    <x v="0"/>
    <n v="0.78"/>
    <x v="5"/>
    <n v="136953"/>
    <n v="136840"/>
    <n v="0"/>
    <s v="2014,05,1514:09:02"/>
    <n v="136840"/>
    <x v="2"/>
    <n v="0"/>
    <n v="-6.97"/>
    <n v="88.14"/>
    <n v="81.17"/>
  </r>
  <r>
    <m/>
    <m/>
    <x v="1"/>
    <m/>
    <x v="1"/>
    <m/>
    <m/>
    <m/>
    <m/>
    <n v="8855"/>
    <x v="1"/>
    <m/>
    <m/>
    <m/>
    <n v="0"/>
  </r>
  <r>
    <n v="21297201"/>
    <s v="2014,05,1508:15:45"/>
    <x v="0"/>
    <n v="0.53"/>
    <x v="5"/>
    <n v="136591"/>
    <n v="137210"/>
    <n v="0"/>
    <s v="2014,05,1515:12:55"/>
    <n v="137210"/>
    <x v="0"/>
    <n v="0"/>
    <n v="0"/>
    <n v="-328.07"/>
    <n v="-328.07"/>
  </r>
  <r>
    <m/>
    <m/>
    <x v="1"/>
    <m/>
    <x v="1"/>
    <m/>
    <m/>
    <m/>
    <m/>
    <n v="8855"/>
    <x v="1"/>
    <m/>
    <m/>
    <m/>
    <n v="0"/>
  </r>
  <r>
    <n v="21313467"/>
    <s v="2014,05,1612:36:24"/>
    <x v="2"/>
    <n v="1.5"/>
    <x v="6"/>
    <n v="0.89249000000000001"/>
    <n v="0.89019999999999999"/>
    <n v="0"/>
    <s v="2014,05,1613:27:53"/>
    <n v="0.89019999999999999"/>
    <x v="0"/>
    <n v="0"/>
    <n v="0"/>
    <n v="-385.87"/>
    <n v="-385.87"/>
  </r>
  <r>
    <m/>
    <m/>
    <x v="1"/>
    <m/>
    <x v="1"/>
    <m/>
    <m/>
    <m/>
    <m/>
    <n v="8855"/>
    <x v="1"/>
    <m/>
    <m/>
    <m/>
    <n v="0"/>
  </r>
  <r>
    <n v="21320438"/>
    <s v="2014,05,1904:35:43"/>
    <x v="0"/>
    <n v="2"/>
    <x v="2"/>
    <n v="0.93530999999999997"/>
    <n v="0.93610000000000004"/>
    <n v="0"/>
    <s v="2014,05,1907:53:42"/>
    <n v="0.93610000000000004"/>
    <x v="0"/>
    <n v="0"/>
    <n v="0"/>
    <n v="-158"/>
    <n v="-158"/>
  </r>
  <r>
    <m/>
    <m/>
    <x v="1"/>
    <m/>
    <x v="1"/>
    <m/>
    <m/>
    <m/>
    <m/>
    <n v="8855"/>
    <x v="1"/>
    <m/>
    <m/>
    <m/>
    <n v="0"/>
  </r>
  <r>
    <n v="21229219"/>
    <s v="2014,05,0803:01:21"/>
    <x v="2"/>
    <n v="1.28"/>
    <x v="2"/>
    <n v="0.93733999999999995"/>
    <n v="0.92659999999999998"/>
    <n v="0"/>
    <s v="2014,05,2006:42:53"/>
    <n v="0.92659999999999998"/>
    <x v="3"/>
    <n v="0"/>
    <n v="68.349999999999994"/>
    <n v="-1374.72"/>
    <n v="-1306.3700000000001"/>
  </r>
  <r>
    <m/>
    <m/>
    <x v="1"/>
    <m/>
    <x v="1"/>
    <m/>
    <m/>
    <m/>
    <m/>
    <n v="8855"/>
    <x v="1"/>
    <m/>
    <m/>
    <m/>
    <n v="0"/>
  </r>
  <r>
    <n v="21333717"/>
    <s v="2014,05,2007:10:29"/>
    <x v="2"/>
    <n v="1.56"/>
    <x v="6"/>
    <n v="0.89378999999999997"/>
    <n v="0.89170000000000005"/>
    <n v="0"/>
    <s v="2014,05,2010:05:32"/>
    <n v="0.89170000000000005"/>
    <x v="0"/>
    <n v="0"/>
    <n v="0"/>
    <n v="-365.64"/>
    <n v="-365.64"/>
  </r>
  <r>
    <m/>
    <m/>
    <x v="1"/>
    <m/>
    <x v="1"/>
    <m/>
    <m/>
    <m/>
    <m/>
    <n v="8855"/>
    <x v="1"/>
    <m/>
    <m/>
    <m/>
    <n v="0"/>
  </r>
  <r>
    <n v="21328071"/>
    <s v="2014,05,1915:59:59"/>
    <x v="0"/>
    <n v="1.61"/>
    <x v="2"/>
    <n v="0.93400000000000005"/>
    <n v="0.93259999999999998"/>
    <n v="0"/>
    <s v="2014,05,2022:58:58"/>
    <n v="0.92400000000000004"/>
    <x v="0"/>
    <n v="0"/>
    <n v="-27.03"/>
    <n v="1610"/>
    <n v="1582.97"/>
  </r>
  <r>
    <m/>
    <m/>
    <x v="1"/>
    <m/>
    <x v="1"/>
    <m/>
    <m/>
    <m/>
    <m/>
    <n v="8855"/>
    <x v="1"/>
    <m/>
    <m/>
    <m/>
    <n v="0"/>
  </r>
  <r>
    <n v="21235846"/>
    <s v="2014,05,0813:15:40"/>
    <x v="0"/>
    <n v="2.23"/>
    <x v="3"/>
    <n v="0.81903000000000004"/>
    <n v="0.81599999999999995"/>
    <n v="0"/>
    <s v="2014,05,2111:01:24"/>
    <n v="0.81006"/>
    <x v="2"/>
    <n v="0"/>
    <n v="-20.73"/>
    <n v="3378.82"/>
    <n v="3358.09"/>
  </r>
  <r>
    <m/>
    <m/>
    <x v="1"/>
    <m/>
    <x v="1"/>
    <m/>
    <m/>
    <m/>
    <m/>
    <n v="8855"/>
    <x v="1"/>
    <m/>
    <m/>
    <m/>
    <n v="0"/>
  </r>
  <r>
    <n v="21333692"/>
    <s v="2014,05,2007:07:56"/>
    <x v="0"/>
    <n v="2.0499999999999998"/>
    <x v="3"/>
    <n v="0.81433"/>
    <n v="0.81430000000000002"/>
    <n v="0"/>
    <s v="2014,05,2112:55:23"/>
    <n v="0.80893000000000004"/>
    <x v="0"/>
    <n v="0"/>
    <n v="-1.73"/>
    <n v="1869.89"/>
    <n v="1868.16"/>
  </r>
  <r>
    <n v="21348283"/>
    <s v="2014.05.21 11:01:27"/>
    <x v="0"/>
    <s v="1.03"/>
    <x v="5"/>
    <n v="136752"/>
    <n v="136840"/>
    <s v="0.00000"/>
    <s v="2014.05.21 18:39:34"/>
    <n v="136840"/>
    <x v="0"/>
    <s v="0.00"/>
    <n v="0"/>
    <n v="-90.64"/>
    <n v="-90.64"/>
  </r>
  <r>
    <n v="21349270"/>
    <s v="2014.05.21 12:37:14"/>
    <x v="0"/>
    <s v="1.30"/>
    <x v="5"/>
    <n v="136670"/>
    <n v="136840"/>
    <s v="0.00000"/>
    <s v="2014.05.21 18:39:34"/>
    <n v="136840"/>
    <x v="2"/>
    <s v="0.00"/>
    <n v="0"/>
    <n v="-221"/>
    <n v="-221"/>
  </r>
  <r>
    <n v="21349967"/>
    <s v="2014.05.21 13:14:52"/>
    <x v="0"/>
    <s v="1.51"/>
    <x v="2"/>
    <s v="0.92113"/>
    <s v="0.92370"/>
    <s v="0.00000"/>
    <s v="2014.05.21 18:44:57"/>
    <s v="0.92370"/>
    <x v="0"/>
    <s v="0.00"/>
    <n v="0"/>
    <n v="-388.07"/>
    <n v="-388.07"/>
  </r>
  <r>
    <n v="21350931"/>
    <s v="2014.05.21 14:01:41"/>
    <x v="2"/>
    <s v="1.09"/>
    <x v="4"/>
    <n v="109424"/>
    <n v="109060"/>
    <s v="0.00000"/>
    <s v="2014.05.22 02:15:29"/>
    <n v="109060"/>
    <x v="0"/>
    <s v="0.00"/>
    <n v="-19.78"/>
    <n v="-363.8"/>
    <n v="-383.58000000000004"/>
  </r>
  <r>
    <n v="21352984"/>
    <s v="2014.05.21 17:11:05"/>
    <x v="2"/>
    <s v="2.29"/>
    <x v="6"/>
    <s v="0.89585"/>
    <s v="0.89250"/>
    <s v="0.00000"/>
    <s v="2014.05.22 08:37:27"/>
    <s v="0.89250"/>
    <x v="2"/>
    <s v="0.00"/>
    <n v="-9.3800000000000008"/>
    <n v="-859.55"/>
    <n v="-868.93"/>
  </r>
  <r>
    <n v="21334343"/>
    <s v="2014.05.20 08:06:47"/>
    <x v="2"/>
    <s v="0.72"/>
    <x v="0"/>
    <n v="168456"/>
    <n v="168500"/>
    <s v="0.00000"/>
    <s v="2014.05.22 14:29:44"/>
    <n v="168500"/>
    <x v="0"/>
    <s v="0.00"/>
    <n v="-3.17"/>
    <n v="31.68"/>
    <n v="28.509999999999998"/>
  </r>
  <r>
    <m/>
    <m/>
    <x v="0"/>
    <s v="1.43"/>
    <x v="5"/>
    <m/>
    <m/>
    <m/>
    <m/>
    <m/>
    <x v="0"/>
    <m/>
    <n v="-3.18"/>
    <n v="148.72"/>
    <n v="145.54"/>
  </r>
  <r>
    <m/>
    <m/>
    <x v="2"/>
    <m/>
    <x v="2"/>
    <m/>
    <m/>
    <m/>
    <m/>
    <m/>
    <x v="0"/>
    <m/>
    <n v="0"/>
    <n v="-64.22"/>
    <n v="-64.22"/>
  </r>
  <r>
    <m/>
    <m/>
    <x v="2"/>
    <m/>
    <x v="2"/>
    <m/>
    <m/>
    <m/>
    <m/>
    <m/>
    <x v="0"/>
    <m/>
    <n v="0"/>
    <n v="-364.45"/>
    <n v="-364.45"/>
  </r>
  <r>
    <m/>
    <m/>
    <x v="0"/>
    <m/>
    <x v="4"/>
    <m/>
    <m/>
    <m/>
    <m/>
    <m/>
    <x v="0"/>
    <m/>
    <n v="-2.58"/>
    <n v="103.48"/>
    <n v="100.9"/>
  </r>
  <r>
    <m/>
    <m/>
    <x v="0"/>
    <m/>
    <x v="0"/>
    <m/>
    <m/>
    <m/>
    <m/>
    <m/>
    <x v="4"/>
    <m/>
    <m/>
    <n v="-75.599999999999994"/>
    <n v="-75.599999999999994"/>
  </r>
  <r>
    <m/>
    <m/>
    <x v="0"/>
    <m/>
    <x v="0"/>
    <m/>
    <m/>
    <m/>
    <m/>
    <m/>
    <x v="4"/>
    <m/>
    <m/>
    <n v="-73.8"/>
    <n v="-73.8"/>
  </r>
  <r>
    <m/>
    <m/>
    <x v="0"/>
    <m/>
    <x v="0"/>
    <m/>
    <m/>
    <m/>
    <m/>
    <m/>
    <x v="4"/>
    <m/>
    <m/>
    <n v="-73.8"/>
    <n v="-73.8"/>
  </r>
  <r>
    <m/>
    <m/>
    <x v="0"/>
    <m/>
    <x v="0"/>
    <m/>
    <m/>
    <m/>
    <m/>
    <m/>
    <x v="4"/>
    <m/>
    <m/>
    <n v="-72"/>
    <n v="-72"/>
  </r>
  <r>
    <m/>
    <m/>
    <x v="0"/>
    <m/>
    <x v="0"/>
    <m/>
    <m/>
    <m/>
    <m/>
    <m/>
    <x v="4"/>
    <m/>
    <m/>
    <n v="-70.2"/>
    <n v="-70.2"/>
  </r>
  <r>
    <m/>
    <m/>
    <x v="0"/>
    <m/>
    <x v="0"/>
    <m/>
    <m/>
    <m/>
    <m/>
    <m/>
    <x v="4"/>
    <m/>
    <m/>
    <n v="-73.8"/>
    <n v="-73.8"/>
  </r>
  <r>
    <m/>
    <m/>
    <x v="0"/>
    <m/>
    <x v="0"/>
    <m/>
    <m/>
    <m/>
    <m/>
    <m/>
    <x v="4"/>
    <m/>
    <m/>
    <n v="-66.599999999999994"/>
    <n v="-66.599999999999994"/>
  </r>
  <r>
    <m/>
    <m/>
    <x v="0"/>
    <m/>
    <x v="0"/>
    <m/>
    <m/>
    <m/>
    <m/>
    <m/>
    <x v="4"/>
    <m/>
    <m/>
    <n v="-70.2"/>
    <n v="-70.2"/>
  </r>
  <r>
    <m/>
    <m/>
    <x v="0"/>
    <m/>
    <x v="0"/>
    <m/>
    <m/>
    <m/>
    <m/>
    <m/>
    <x v="4"/>
    <m/>
    <m/>
    <n v="-75.599999999999994"/>
    <n v="-75.599999999999994"/>
  </r>
  <r>
    <m/>
    <m/>
    <x v="0"/>
    <m/>
    <x v="0"/>
    <m/>
    <m/>
    <m/>
    <m/>
    <m/>
    <x v="4"/>
    <m/>
    <m/>
    <n v="-75.599999999999994"/>
    <n v="-75.599999999999994"/>
  </r>
  <r>
    <m/>
    <m/>
    <x v="0"/>
    <m/>
    <x v="0"/>
    <m/>
    <m/>
    <m/>
    <m/>
    <m/>
    <x v="4"/>
    <m/>
    <m/>
    <n v="-75.599999999999994"/>
    <n v="-75.599999999999994"/>
  </r>
  <r>
    <m/>
    <m/>
    <x v="0"/>
    <m/>
    <x v="0"/>
    <m/>
    <m/>
    <m/>
    <m/>
    <m/>
    <x v="4"/>
    <m/>
    <m/>
    <n v="-77.400000000000006"/>
    <n v="-77.400000000000006"/>
  </r>
  <r>
    <m/>
    <m/>
    <x v="0"/>
    <m/>
    <x v="0"/>
    <m/>
    <m/>
    <m/>
    <m/>
    <m/>
    <x v="4"/>
    <m/>
    <m/>
    <n v="-79.2"/>
    <n v="-79.2"/>
  </r>
  <r>
    <m/>
    <m/>
    <x v="0"/>
    <m/>
    <x v="0"/>
    <m/>
    <m/>
    <m/>
    <m/>
    <m/>
    <x v="4"/>
    <m/>
    <m/>
    <n v="-79.2"/>
    <n v="-79.2"/>
  </r>
  <r>
    <m/>
    <m/>
    <x v="0"/>
    <m/>
    <x v="0"/>
    <m/>
    <m/>
    <m/>
    <m/>
    <m/>
    <x v="4"/>
    <m/>
    <m/>
    <n v="-79.2"/>
    <n v="-79.2"/>
  </r>
  <r>
    <m/>
    <m/>
    <x v="0"/>
    <m/>
    <x v="0"/>
    <m/>
    <m/>
    <m/>
    <m/>
    <m/>
    <x v="4"/>
    <m/>
    <m/>
    <n v="-79.2"/>
    <n v="-79.2"/>
  </r>
  <r>
    <m/>
    <m/>
    <x v="0"/>
    <m/>
    <x v="0"/>
    <m/>
    <m/>
    <m/>
    <m/>
    <m/>
    <x v="4"/>
    <m/>
    <m/>
    <n v="-79.2"/>
    <n v="-79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6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Moeda" colHeaderCaption="Periodo">
  <location ref="A3:G6" firstHeaderRow="1" firstDataRow="2" firstDataCol="1" rowPageCount="1" colPageCount="1"/>
  <pivotFields count="15">
    <pivotField showAll="0"/>
    <pivotField showAll="0"/>
    <pivotField axis="axisRow" showAll="0">
      <items count="5">
        <item m="1" x="3"/>
        <item x="2"/>
        <item x="0"/>
        <item x="1"/>
        <item t="default"/>
      </items>
    </pivotField>
    <pivotField showAll="0"/>
    <pivotField axis="axisRow" showAll="0">
      <items count="8">
        <item sd="0" x="2"/>
        <item sd="0" x="3"/>
        <item sd="0" x="5"/>
        <item sd="0" x="0"/>
        <item sd="0" x="4"/>
        <item sd="0" x="6"/>
        <item h="1"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1"/>
        <item x="0"/>
        <item x="2"/>
        <item x="3"/>
        <item x="4"/>
        <item t="default"/>
      </items>
    </pivotField>
    <pivotField showAll="0"/>
    <pivotField dataField="1" showAll="0"/>
    <pivotField dataField="1" showAll="0"/>
    <pivotField dataField="1" showAll="0" defaultSubtotal="0"/>
  </pivotFields>
  <rowFields count="2">
    <field x="4"/>
    <field x="2"/>
  </rowFields>
  <rowItems count="2"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0" item="4" hier="-1"/>
  </pageFields>
  <dataFields count="6">
    <dataField name="Trades" fld="13" subtotal="count" baseField="0" baseItem="0"/>
    <dataField name="Total Swap" fld="12" baseField="0" baseItem="0" numFmtId="44"/>
    <dataField name="Total Profit" fld="13" baseField="0" baseItem="0" numFmtId="44"/>
    <dataField name="* Total" fld="14" baseField="0" baseItem="0" numFmtId="44"/>
    <dataField name="Média de Total" fld="14" subtotal="average" baseField="0" baseItem="0" numFmtId="44"/>
    <dataField name="DesvPad de Total" fld="14" subtotal="stdDev" baseField="0" baseItem="0" numFmtId="44"/>
  </dataFields>
  <formats count="6">
    <format dxfId="39">
      <pivotArea type="all" dataOnly="0" outline="0" fieldPosition="0"/>
    </format>
    <format dxfId="40">
      <pivotArea type="all" dataOnly="0" outline="0" fieldPosition="0"/>
    </format>
    <format dxfId="41">
      <pivotArea outline="0" fieldPosition="0">
        <references count="1">
          <reference field="4294967294" count="1">
            <x v="1"/>
          </reference>
        </references>
      </pivotArea>
    </format>
    <format dxfId="42">
      <pivotArea outline="0" fieldPosition="0">
        <references count="1">
          <reference field="4294967294" count="1">
            <x v="3"/>
          </reference>
        </references>
      </pivotArea>
    </format>
    <format dxfId="43">
      <pivotArea outline="0" fieldPosition="0">
        <references count="1">
          <reference field="4294967294" count="1">
            <x v="4"/>
          </reference>
        </references>
      </pivotArea>
    </format>
    <format dxfId="44">
      <pivotArea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K95" headerRowDxfId="393" dataDxfId="392" totalsRowDxfId="391">
  <autoFilter ref="A1:AK95">
    <filterColumn colId="36"/>
  </autoFilter>
  <sortState ref="A2:AJ89">
    <sortCondition ref="E1:E89"/>
  </sortState>
  <tableColumns count="37">
    <tableColumn id="19" name="ID" totalsRowFunction="max" dataDxfId="390" totalsRowDxfId="389"/>
    <tableColumn id="36" name="U" dataDxfId="388" totalsRowDxfId="387"/>
    <tableColumn id="2" name="ATIVO" dataDxfId="386" totalsRowDxfId="385"/>
    <tableColumn id="3" name="T" dataDxfId="384" totalsRowDxfId="383"/>
    <tableColumn id="4" name="DATA" dataDxfId="382" totalsRowDxfId="381"/>
    <tableColumn id="5" name="QTDE" dataDxfId="380" totalsRowDxfId="379"/>
    <tableColumn id="6" name="PREÇO" totalsRowFunction="custom" dataDxfId="378" totalsRowDxfId="377">
      <totalsRowFormula>NC[[#Totals],[ID]]*14.9</totalsRowFormula>
    </tableColumn>
    <tableColumn id="37" name="PARCIAL" dataDxfId="376" totalsRowDxfId="375"/>
    <tableColumn id="40" name="AJUSTE" dataDxfId="374" totalsRowDxfId="373"/>
    <tableColumn id="7" name="[D/N]" totalsRowFunction="custom" dataDxfId="372" totalsRowDxfId="371">
      <totalsRowFormula>NC[[#Totals],[LUCRO P/ OP]]+NC[[#Totals],[PREÇO]]</totalsRowFormula>
    </tableColumn>
    <tableColumn id="34" name="DATA DE LIQUIDAÇÃO" dataDxfId="370" totalsRowDxfId="369">
      <calculatedColumnFormula>WORKDAY(NC[[#This Row],[DATA]],1,0)</calculatedColumnFormula>
    </tableColumn>
    <tableColumn id="31" name="DATA BASE" dataDxfId="368" totalsRowDxfId="367">
      <calculatedColumnFormula>EOMONTH(NC[[#This Row],[DATA DE LIQUIDAÇÃO]],0)</calculatedColumnFormula>
    </tableColumn>
    <tableColumn id="21" name="PAR" dataDxfId="366" totalsRowDxfId="365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64" totalsRowDxfId="363">
      <calculatedColumnFormula>[QTDE]*[PREÇO]</calculatedColumnFormula>
    </tableColumn>
    <tableColumn id="9" name="VALOR LÍQUIDO DAS OPERAÇÕES" dataDxfId="362" totalsRowDxfId="361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60" totalsRowDxfId="359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58" totalsRowDxfId="357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56" totalsRowDxfId="355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54" totalsRowDxfId="353">
      <calculatedColumnFormula>SETUP!$E$3 * IF([PARCIAL] &gt; 0, [QTDE] / [PARCIAL], 1)</calculatedColumnFormula>
    </tableColumn>
    <tableColumn id="12" name="CORRETAGEM" dataDxfId="352" totalsRowDxfId="351">
      <calculatedColumnFormula>SUMPRODUCT(N([DATA]=NC[[#This Row],[DATA]]),N([ID]&lt;=NC[[#This Row],[ID]]), [CORR])</calculatedColumnFormula>
    </tableColumn>
    <tableColumn id="13" name="ISS" dataDxfId="350" totalsRowDxfId="349">
      <calculatedColumnFormula>TRUNC([CORRETAGEM]*SETUP!$F$3,2)</calculatedColumnFormula>
    </tableColumn>
    <tableColumn id="15" name="OUTRAS BOVESPA" dataDxfId="348" totalsRowDxfId="347">
      <calculatedColumnFormula>ROUND([CORRETAGEM]*SETUP!$G$3,2)</calculatedColumnFormula>
    </tableColumn>
    <tableColumn id="16" name="LÍQUIDO BASE" dataDxfId="346" totalsRowDxfId="345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344" totalsRowDxfId="343">
      <calculatedColumnFormula>IF(AND(['[D/N']]="D",    [T]="CV",    [LÍQUIDO BASE] &gt; 0),    TRUNC([LÍQUIDO BASE]*0.01, 2),    0)</calculatedColumnFormula>
    </tableColumn>
    <tableColumn id="35" name="LÍQUIDO" dataDxfId="342" totalsRowDxfId="341">
      <calculatedColumnFormula>IF([PREÇO] &gt; 0,    [LÍQUIDO BASE]-SUMPRODUCT(N([DATA]=NC[[#This Row],[DATA]]),    [IRRF FONTE]),    0)</calculatedColumnFormula>
    </tableColumn>
    <tableColumn id="17" name="VALOR OP" dataDxfId="340" totalsRowDxfId="339">
      <calculatedColumnFormula>[LÍQUIDO]-SUMPRODUCT(N([DATA]=NC[[#This Row],[DATA]]),N([ID]=(NC[[#This Row],[ID]]-1)),[LÍQUIDO])</calculatedColumnFormula>
    </tableColumn>
    <tableColumn id="18" name="MEDIO P/ OP" dataDxfId="338" totalsRowDxfId="337">
      <calculatedColumnFormula>IF([T] = "VC", ABS([VALOR OP]) / [QTDE], [VALOR OP]/[QTDE])</calculatedColumnFormula>
    </tableColumn>
    <tableColumn id="20" name="IRRF" totalsRowFunction="sum" dataDxfId="336" totalsRowDxfId="335">
      <calculatedColumnFormula>TRUNC(IF(OR([T]="CV",[T]="VV"),     N2*SETUP!$H$3,     0),2)</calculatedColumnFormula>
    </tableColumn>
    <tableColumn id="24" name="SALDO" dataDxfId="334" totalsRowDxfId="333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332" totalsRowDxfId="331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330" totalsRowDxfId="329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328" totalsRowDxfId="327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326" totalsRowDxfId="325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324" totalsRowDxfId="323">
      <calculatedColumnFormula>IF([U] = "U", SUMPRODUCT(N([ID]&lt;=NC[[#This Row],[ID]]),N([DATA BASE]=NC[[#This Row],[DATA BASE]]), N(['[D/N']] = "N"),    [LUCRO P/ OP]), 0)</calculatedColumnFormula>
    </tableColumn>
    <tableColumn id="39" name="LUCRO [D]" dataDxfId="322" totalsRowDxfId="321">
      <calculatedColumnFormula>IF([U] = "U", SUMPRODUCT(N([DATA BASE]=NC[[#This Row],[DATA BASE]]), N(['[D/N']] = "D"),    [LUCRO P/ OP]), 0)</calculatedColumnFormula>
    </tableColumn>
    <tableColumn id="30" name="IRRF DT" dataDxfId="320" totalsRowDxfId="319">
      <calculatedColumnFormula>IF([U] = "U", SUMPRODUCT(N([DATA BASE]=NC[[#This Row],[DATA BASE]]), N(['[D/N']] = "D"),    [IRRF FONTE]), 0)</calculatedColumnFormula>
    </tableColumn>
    <tableColumn id="14" name="Colunas1" dataDxfId="318" totalsRowDxfId="317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316" dataDxfId="315" totalsRowDxfId="314">
  <autoFilter ref="A1:AK61"/>
  <sortState ref="A2:AK61">
    <sortCondition ref="E1:E61"/>
  </sortState>
  <tableColumns count="37">
    <tableColumn id="19" name="ID" totalsRowFunction="max" dataDxfId="313" totalsRowDxfId="312"/>
    <tableColumn id="36" name="U" dataDxfId="311" totalsRowDxfId="310"/>
    <tableColumn id="2" name="ATIVO" dataDxfId="309" totalsRowDxfId="308"/>
    <tableColumn id="3" name="T" dataDxfId="307" totalsRowDxfId="306"/>
    <tableColumn id="4" name="DATA" dataDxfId="305" totalsRowDxfId="304"/>
    <tableColumn id="5" name="QTDE" dataDxfId="303" totalsRowDxfId="302"/>
    <tableColumn id="6" name="PREÇO" dataDxfId="301" totalsRowDxfId="300"/>
    <tableColumn id="37" name="PARCIAL" dataDxfId="299" totalsRowDxfId="298"/>
    <tableColumn id="40" name="AJUSTE" dataDxfId="297" totalsRowDxfId="296"/>
    <tableColumn id="7" name="[D/N]" dataDxfId="295" totalsRowDxfId="294"/>
    <tableColumn id="34" name="DATA DE LIQUIDAÇÃO" dataDxfId="293" totalsRowDxfId="292">
      <calculatedColumnFormula>WORKDAY(NOTAS_80[[#This Row],[DATA]],1,0)</calculatedColumnFormula>
    </tableColumn>
    <tableColumn id="31" name="DATA BASE" dataDxfId="291" totalsRowDxfId="290">
      <calculatedColumnFormula>EOMONTH(NOTAS_80[[#This Row],[DATA DE LIQUIDAÇÃO]],0)</calculatedColumnFormula>
    </tableColumn>
    <tableColumn id="21" name="PAR" dataDxfId="289" totalsRowDxfId="288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87" totalsRowDxfId="286">
      <calculatedColumnFormula>[QTDE]*[PREÇO]</calculatedColumnFormula>
    </tableColumn>
    <tableColumn id="9" name="VALOR LÍQUIDO DAS OPERAÇÕES" dataDxfId="285" totalsRowDxfId="284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83" totalsRowDxfId="282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81" totalsRowDxfId="280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79" totalsRowDxfId="278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77" totalsRowDxfId="276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75" totalsRowDxfId="274">
      <calculatedColumnFormula>TRUNC([CORR BOV] * 20% * IF([PARCIAL] &gt; 0, [QTDE] / [PARCIAL], 1),2)</calculatedColumnFormula>
    </tableColumn>
    <tableColumn id="12" name="CORRETAGEM" dataDxfId="273" totalsRowDxfId="272">
      <calculatedColumnFormula>SUMPRODUCT(N([DATA]=NOTAS_80[[#This Row],[DATA]]),N([ID]&lt;=NOTAS_80[[#This Row],[ID]]), [CORR])</calculatedColumnFormula>
    </tableColumn>
    <tableColumn id="13" name="ISS" dataDxfId="271" totalsRowDxfId="270">
      <calculatedColumnFormula>TRUNC([CORRETAGEM]*SETUP!$F$3,2)</calculatedColumnFormula>
    </tableColumn>
    <tableColumn id="15" name="OUTRAS BOVESPA" dataDxfId="269" totalsRowDxfId="268">
      <calculatedColumnFormula>ROUND([CORRETAGEM]*SETUP!$G$3,2)</calculatedColumnFormula>
    </tableColumn>
    <tableColumn id="16" name="LÍQUIDO BASE" dataDxfId="267" totalsRowDxfId="266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65" totalsRowDxfId="264">
      <calculatedColumnFormula>IF(AND(['[D/N']]="D",    [T]="CV",    [LÍQUIDO BASE] &gt; 0),    TRUNC([LÍQUIDO BASE]*0.01, 2),    0)</calculatedColumnFormula>
    </tableColumn>
    <tableColumn id="35" name="LÍQUIDO" dataDxfId="263" totalsRowDxfId="262">
      <calculatedColumnFormula>IF([PREÇO] &gt; 0,    [LÍQUIDO BASE]-SUMPRODUCT(N([DATA]=NOTAS_80[[#This Row],[DATA]]),    [IRRF FONTE]),    0)</calculatedColumnFormula>
    </tableColumn>
    <tableColumn id="17" name="VALOR OP" dataDxfId="261" totalsRowDxfId="260">
      <calculatedColumnFormula>[LÍQUIDO]-SUMPRODUCT(N([DATA]=NOTAS_80[[#This Row],[DATA]]),N([ID]=(NOTAS_80[[#This Row],[ID]]-1)),[LÍQUIDO])</calculatedColumnFormula>
    </tableColumn>
    <tableColumn id="18" name="MEDIO P/ OP" dataDxfId="259" totalsRowDxfId="258">
      <calculatedColumnFormula>IF([T] = "VC", ABS([VALOR OP]) / [QTDE], [VALOR OP]/[QTDE])</calculatedColumnFormula>
    </tableColumn>
    <tableColumn id="20" name="IRRF" totalsRowFunction="sum" dataDxfId="257" totalsRowDxfId="256">
      <calculatedColumnFormula>TRUNC(IF(OR([T]="CV",[T]="VV"),     N2*SETUP!$H$3,     0),2)</calculatedColumnFormula>
    </tableColumn>
    <tableColumn id="24" name="SALDO" dataDxfId="255" totalsRowDxfId="254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53" totalsRowDxfId="252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51" totalsRowDxfId="250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49" totalsRowDxfId="248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47" totalsRowDxfId="246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45" totalsRowDxfId="244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243" totalsRowDxfId="242">
      <calculatedColumnFormula>IF([U] = "U", SUMPRODUCT(N([DATA BASE]=NOTAS_80[[#This Row],[DATA BASE]]), N(['[D/N']] = "D"),    [LUCRO P/ OP]), 0)</calculatedColumnFormula>
    </tableColumn>
    <tableColumn id="30" name="IRRF DT" dataDxfId="241" totalsRowDxfId="240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39" dataDxfId="238">
  <autoFilter ref="A1:N5"/>
  <tableColumns count="14">
    <tableColumn id="1" name="DATA" totalsRowLabel="Total" dataDxfId="237" totalsRowDxfId="236"/>
    <tableColumn id="2" name="LUCRO [N]" dataDxfId="235" totalsRowDxfId="234"/>
    <tableColumn id="3" name="DEDUÇÃO [N]" dataDxfId="233" totalsRowDxfId="232"/>
    <tableColumn id="8" name="IRRF [N]" dataDxfId="231" totalsRowDxfId="230"/>
    <tableColumn id="4" name="LUCRO [D]" dataDxfId="229" totalsRowDxfId="228"/>
    <tableColumn id="5" name="DEDUÇÃO [D]" dataDxfId="227" totalsRowDxfId="226"/>
    <tableColumn id="9" name="IRRF [D]" dataDxfId="225" totalsRowDxfId="224"/>
    <tableColumn id="6" name="ACC [N]" dataDxfId="223" totalsRowDxfId="222">
      <calculatedColumnFormula>IF([LUCRO '[N']] + [DEDUÇÃO '[N']] &gt; 0, 0, [LUCRO '[N']] + [DEDUÇÃO '[N']])</calculatedColumnFormula>
    </tableColumn>
    <tableColumn id="12" name="ACC [D]" dataDxfId="221" totalsRowDxfId="220">
      <calculatedColumnFormula>IF([LUCRO '[D']] + [DEDUÇÃO '[D']] &gt; 0, 0, [LUCRO '[D']] + [DEDUÇÃO '[D']])</calculatedColumnFormula>
    </tableColumn>
    <tableColumn id="7" name="IR DEVIDO [N]" dataDxfId="219" totalsRowDxfId="218">
      <calculatedColumnFormula>IF([ACC '[N']] = 0, ROUND(([LUCRO '[N']] + [DEDUÇÃO '[N']]) * 15%, 2) - [IRRF '[N']], 0)</calculatedColumnFormula>
    </tableColumn>
    <tableColumn id="10" name="IR DEVIDO [D]" dataDxfId="217" totalsRowDxfId="216">
      <calculatedColumnFormula>IF([ACC '[D']] = 0, ROUND(([LUCRO '[D']] + [DEDUÇÃO '[D']]) * 20%, 2) - [IRRF '[D']], 0)</calculatedColumnFormula>
    </tableColumn>
    <tableColumn id="14" name="IRRF" dataDxfId="215" totalsRowDxfId="214">
      <calculatedColumnFormula>[IRRF '[N']] + [IRRF '[D']]</calculatedColumnFormula>
    </tableColumn>
    <tableColumn id="11" name="IR DEVIDO" dataDxfId="213" totalsRowDxfId="212">
      <calculatedColumnFormula>[IR DEVIDO '[N']] + [IR DEVIDO '[D']]</calculatedColumnFormula>
    </tableColumn>
    <tableColumn id="13" name="LUCRO TOTAL" totalsRowFunction="sum" dataDxfId="211" totalsRowDxfId="210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209" dataDxfId="208">
  <autoFilter ref="A1:K5"/>
  <sortState ref="A2:K4">
    <sortCondition ref="C1:C4"/>
  </sortState>
  <tableColumns count="11">
    <tableColumn id="1" name="PAPEL" totalsRowLabel="Total" dataDxfId="207" totalsRowDxfId="206"/>
    <tableColumn id="10" name="APLICAÇÃO" dataDxfId="205" totalsRowDxfId="204">
      <calculatedColumnFormula>1000</calculatedColumnFormula>
    </tableColumn>
    <tableColumn id="2" name="EXERCÍCIO" dataDxfId="203" totalsRowDxfId="202"/>
    <tableColumn id="3" name="PREÇO OPÇÃO" dataDxfId="201" totalsRowDxfId="200"/>
    <tableColumn id="4" name="PREÇO AÇÃO" dataDxfId="199" totalsRowDxfId="198"/>
    <tableColumn id="11" name="QTDE TMP" dataDxfId="197" totalsRowDxfId="196">
      <calculatedColumnFormula>ROUNDDOWN([APLICAÇÃO]/[PREÇO OPÇÃO], 0)</calculatedColumnFormula>
    </tableColumn>
    <tableColumn id="14" name="QTDE" dataDxfId="195" totalsRowDxfId="194">
      <calculatedColumnFormula>[QTDE TMP] - MOD([QTDE TMP], 100)</calculatedColumnFormula>
    </tableColumn>
    <tableColumn id="5" name="TARGET 100%" dataDxfId="193" totalsRowDxfId="192" dataCellStyle="Moeda">
      <calculatedColumnFormula>[EXERCÍCIO] + ([PREÇO OPÇÃO] * 2)</calculatedColumnFormula>
    </tableColumn>
    <tableColumn id="6" name="ALTA 100%" dataDxfId="191" totalsRowDxfId="190">
      <calculatedColumnFormula>[TARGET 100%] / [PREÇO AÇÃO] - 1</calculatedColumnFormula>
    </tableColumn>
    <tableColumn id="12" name="LUCRO* 100%" dataDxfId="189" totalsRowDxfId="188">
      <calculatedColumnFormula>[PREÇO OPÇÃO] * [QTDE]</calculatedColumnFormula>
    </tableColumn>
    <tableColumn id="7" name="GORDURA" dataDxfId="187" totalsRowDxfId="186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185" dataDxfId="184">
  <autoFilter ref="A1:P4"/>
  <tableColumns count="16">
    <tableColumn id="1" name="PAPEL" totalsRowLabel="Total" dataDxfId="183" totalsRowDxfId="182"/>
    <tableColumn id="10" name="RISCO" dataDxfId="181" totalsRowDxfId="180"/>
    <tableColumn id="20" name="PREÇO AÇÃO" dataDxfId="179" totalsRowDxfId="178"/>
    <tableColumn id="7" name="EXERC. VENDA" dataDxfId="177" totalsRowDxfId="176"/>
    <tableColumn id="8" name="PREÇO VENDA" dataDxfId="175" totalsRowDxfId="174"/>
    <tableColumn id="2" name="EXERC. COMPRA" dataDxfId="173" totalsRowDxfId="172"/>
    <tableColumn id="3" name="PREÇO COMPRA" dataDxfId="171" totalsRowDxfId="170"/>
    <tableColumn id="4" name="VOLUME" dataDxfId="169" totalsRowDxfId="168">
      <calculatedColumnFormula>([QTDE] * [PREÇO COMPRA]) + ([QTDE] * [PREÇO VENDA])</calculatedColumnFormula>
    </tableColumn>
    <tableColumn id="18" name="LUCRO P/ OPÇÃO" dataDxfId="167" totalsRowDxfId="166">
      <calculatedColumnFormula>[PREÇO VENDA]-[PREÇO COMPRA]</calculatedColumnFormula>
    </tableColumn>
    <tableColumn id="19" name="PERDA P/ OPÇÃO" dataDxfId="165" totalsRowDxfId="164">
      <calculatedColumnFormula>(0.01 - [PREÇO COMPRA]) + ([PREÇO VENDA] - ([EXERC. COMPRA]-[EXERC. VENDA]+0.01))</calculatedColumnFormula>
    </tableColumn>
    <tableColumn id="11" name="QTDE TMP" dataDxfId="163" totalsRowDxfId="162">
      <calculatedColumnFormula>ROUNDDOWN([RISCO]/ABS([PERDA P/ OPÇÃO]), 0)</calculatedColumnFormula>
    </tableColumn>
    <tableColumn id="14" name="QTDE" dataDxfId="161" totalsRowDxfId="160">
      <calculatedColumnFormula>[QTDE TMP] - MOD([QTDE TMP], 100)</calculatedColumnFormula>
    </tableColumn>
    <tableColumn id="5" name="LUCRO*" dataDxfId="159" totalsRowDxfId="158">
      <calculatedColumnFormula>([QTDE]*[LUCRO P/ OPÇÃO])-32</calculatedColumnFormula>
    </tableColumn>
    <tableColumn id="6" name="PERDA*" dataDxfId="157" totalsRowDxfId="156">
      <calculatedColumnFormula>[QTDE]*[PERDA P/ OPÇÃO]-32</calculatedColumnFormula>
    </tableColumn>
    <tableColumn id="21" name="% QUEDA" dataDxfId="155" totalsRowDxfId="154">
      <calculatedColumnFormula>[EXERC. VENDA]/[PREÇO AÇÃO]-1</calculatedColumnFormula>
    </tableColumn>
    <tableColumn id="22" name="RISCO : 1" dataDxfId="153" totalsRowDxfId="152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3" headerRowDxfId="151" dataDxfId="150">
  <autoFilter ref="A1:O3"/>
  <tableColumns count="15">
    <tableColumn id="1" name="PAPEL" totalsRowLabel="Total" dataDxfId="149" totalsRowDxfId="148"/>
    <tableColumn id="10" name="RISCO" dataDxfId="147" totalsRowDxfId="146"/>
    <tableColumn id="20" name="PREÇO AÇÃO" dataDxfId="145" totalsRowDxfId="144"/>
    <tableColumn id="7" name="EX. VENDA" dataDxfId="143" totalsRowDxfId="142"/>
    <tableColumn id="2" name="EX. COMPRA" dataDxfId="141" totalsRowDxfId="140" dataCellStyle="Moeda"/>
    <tableColumn id="3" name="PR Venda" dataDxfId="139" totalsRowDxfId="138" dataCellStyle="Moeda"/>
    <tableColumn id="16" name="QTDE" dataDxfId="137" totalsRowDxfId="136"/>
    <tableColumn id="13" name="PERDA P/ OPÇÃO" dataDxfId="135" totalsRowDxfId="134">
      <calculatedColumnFormula>([RISCO])/[QTDE]</calculatedColumnFormula>
    </tableColumn>
    <tableColumn id="14" name="Volume" dataDxfId="133" totalsRowDxfId="132">
      <calculatedColumnFormula>[PR Venda] * [QTDE]+[QTDE]*[PR Compra]</calculatedColumnFormula>
    </tableColumn>
    <tableColumn id="15" name="LUCRO UNI" dataDxfId="131" totalsRowDxfId="130">
      <calculatedColumnFormula>[PR Venda]-[PR Compra]</calculatedColumnFormula>
    </tableColumn>
    <tableColumn id="8" name="PR Compra" dataDxfId="129" totalsRowDxfId="128">
      <calculatedColumnFormula>(-[PERDA P/ OPÇÃO] + ([EX. COMPRA] - [EX. VENDA] + 0.01) - 0.01 -[PR Venda])*-1</calculatedColumnFormula>
    </tableColumn>
    <tableColumn id="5" name="LUCRO" dataDxfId="127" totalsRowDxfId="126">
      <calculatedColumnFormula>([QTDE]*[LUCRO UNI])-64</calculatedColumnFormula>
    </tableColumn>
    <tableColumn id="6" name="PERDA" dataDxfId="125" totalsRowDxfId="124">
      <calculatedColumnFormula>-[PERDA P/ OPÇÃO]*[QTDE]-64</calculatedColumnFormula>
    </tableColumn>
    <tableColumn id="21" name="% QUEDA" dataDxfId="123" totalsRowDxfId="122">
      <calculatedColumnFormula>[EX. VENDA]/[PREÇO AÇÃO]-1</calculatedColumnFormula>
    </tableColumn>
    <tableColumn id="22" name="RISCO : 1" dataDxfId="121" totalsRowDxfId="120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ela245" displayName="Tabela245" ref="A1:U3" totalsRowCount="1" headerRowDxfId="119" dataDxfId="118">
  <autoFilter ref="A1:U2"/>
  <tableColumns count="21">
    <tableColumn id="1" name="PAPEL" totalsRowLabel="Total" dataDxfId="117" totalsRowDxfId="116"/>
    <tableColumn id="10" name="BASE" dataDxfId="115" totalsRowDxfId="114"/>
    <tableColumn id="20" name="PR. AÇÃO" dataDxfId="113" totalsRowDxfId="112"/>
    <tableColumn id="2" name="EX. CP 1" dataDxfId="111" totalsRowDxfId="110"/>
    <tableColumn id="3" name="PR CP 1" dataDxfId="109" totalsRowDxfId="108"/>
    <tableColumn id="12" name="EX. VD" dataDxfId="107" totalsRowDxfId="106"/>
    <tableColumn id="13" name="PR VD" dataDxfId="105" totalsRowDxfId="104"/>
    <tableColumn id="8" name="EX. CP 2" dataDxfId="103" totalsRowDxfId="102"/>
    <tableColumn id="7" name="PR CP 2" dataDxfId="101" totalsRowDxfId="100"/>
    <tableColumn id="18" name="LUCRO UNI." dataDxfId="99" totalsRowDxfId="98">
      <calculatedColumnFormula>(([PR VD] - 0.01) * 2) + (([EX. VD] - [EX. CP 1] + 0.01) - [PR CP 1]) + (0.01 - [PR CP 2])</calculatedColumnFormula>
    </tableColumn>
    <tableColumn id="19" name="PERDA 1" dataDxfId="97" totalsRowDxfId="96">
      <calculatedColumnFormula>(0.01 - [PR CP 1]) + (([PR VD] - 0.01) * 2) + (0.01 - [PR CP 2])</calculatedColumnFormula>
    </tableColumn>
    <tableColumn id="15" name="PERDA 2" dataDxfId="95" totalsRowDxfId="94">
      <calculatedColumnFormula>(([EX. CP 2] - [EX. CP 1] + 0.01) - [PR CP 1]) + (([PR VD] - ([EX. CP 2] - [EX. VD] + 0.01)) * 2) + (0.01 - [PR CP 2])</calculatedColumnFormula>
    </tableColumn>
    <tableColumn id="16" name="PERDA" dataDxfId="93" totalsRowDxfId="92">
      <calculatedColumnFormula>IF([PERDA 1] &gt; [PERDA 2], [PERDA 2], [PERDA 1])</calculatedColumnFormula>
    </tableColumn>
    <tableColumn id="11" name="QTDE TMP" dataDxfId="91" totalsRowDxfId="90">
      <calculatedColumnFormula>ROUNDDOWN([BASE]/ABS([PERDA]), 0)</calculatedColumnFormula>
    </tableColumn>
    <tableColumn id="14" name="QTDE" dataDxfId="89" totalsRowDxfId="88">
      <calculatedColumnFormula>[QTDE TMP] - MOD([QTDE TMP], 100)</calculatedColumnFormula>
    </tableColumn>
    <tableColumn id="4" name="QTDE VD" dataDxfId="87" totalsRowDxfId="86">
      <calculatedColumnFormula>Tabela245[[#This Row],[QTDE]]*2</calculatedColumnFormula>
    </tableColumn>
    <tableColumn id="17" name="VOLUME" dataDxfId="85" totalsRowDxfId="84">
      <calculatedColumnFormula>([QTDE]*[PR CP 1] + [QTDE]*[PR CP 2])+[QTDE]*[PR VD] * 2</calculatedColumnFormula>
    </tableColumn>
    <tableColumn id="5" name="LUCRO" dataDxfId="83" totalsRowDxfId="82">
      <calculatedColumnFormula>([QTDE]*[LUCRO UNI.])-48</calculatedColumnFormula>
    </tableColumn>
    <tableColumn id="6" name="PERDA2" dataDxfId="81" totalsRowDxfId="80">
      <calculatedColumnFormula>[QTDE]*[PERDA]-48</calculatedColumnFormula>
    </tableColumn>
    <tableColumn id="21" name="% VAR" dataDxfId="79" totalsRowDxfId="78">
      <calculatedColumnFormula>[EX. VD] / [PR. AÇÃO] - 1</calculatedColumnFormula>
    </tableColumn>
    <tableColumn id="22" name="RISCO : 1" dataDxfId="77" totalsRowDxfId="76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75" dataDxfId="74">
  <autoFilter ref="A1:O5"/>
  <tableColumns count="15">
    <tableColumn id="1" name="PAPEL" totalsRowLabel="Total" dataDxfId="73" totalsRowDxfId="72"/>
    <tableColumn id="10" name="RISCO" dataDxfId="71" totalsRowDxfId="70"/>
    <tableColumn id="20" name="PREÇO AÇÃO" dataDxfId="69" totalsRowDxfId="68"/>
    <tableColumn id="7" name="EX. VENDA" dataDxfId="67" totalsRowDxfId="66"/>
    <tableColumn id="2" name="EX. COMPRA" dataDxfId="65" totalsRowDxfId="64"/>
    <tableColumn id="9" name="PR VENDA" totalsRowDxfId="63"/>
    <tableColumn id="3" name="PR COMPRA" dataDxfId="62" totalsRowDxfId="61"/>
    <tableColumn id="16" name="QTDE" dataDxfId="60" totalsRowDxfId="59"/>
    <tableColumn id="13" name="PERDA P/ OPÇÃO" dataDxfId="58" totalsRowDxfId="57">
      <calculatedColumnFormula>([PR VENDA] - ([EX. COMPRA] - [EX. VENDA] + 0.01)) + (0.01 - ([PR COMPRA]))</calculatedColumnFormula>
    </tableColumn>
    <tableColumn id="14" name="VOLUME" dataDxfId="56" totalsRowDxfId="55">
      <calculatedColumnFormula>[PR COMPRA] * [QTDE]</calculatedColumnFormula>
    </tableColumn>
    <tableColumn id="15" name="LUCRO UNI" dataDxfId="54" totalsRowDxfId="53">
      <calculatedColumnFormula>[PR VENDA]-[PR COMPRA]</calculatedColumnFormula>
    </tableColumn>
    <tableColumn id="5" name="LUCRO*" dataDxfId="52" totalsRowDxfId="51">
      <calculatedColumnFormula>([QTDE]*[LUCRO UNI])</calculatedColumnFormula>
    </tableColumn>
    <tableColumn id="6" name="PERDA*" dataDxfId="50" totalsRowDxfId="49">
      <calculatedColumnFormula>[PERDA P/ OPÇÃO]*[QTDE]</calculatedColumnFormula>
    </tableColumn>
    <tableColumn id="21" name="% QUEDA" dataDxfId="48" totalsRowDxfId="47">
      <calculatedColumnFormula>[EX. VENDA]/[PREÇO AÇÃO]-1</calculatedColumnFormula>
    </tableColumn>
    <tableColumn id="22" name="RISCO : 1" dataDxfId="46" totalsRowDxfId="45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ela9" displayName="Tabela9" ref="A1:O67" totalsRowShown="0" headerRowDxfId="21" dataDxfId="20" headerRowBorderDxfId="37" tableBorderDxfId="38">
  <autoFilter ref="A1:O67">
    <filterColumn colId="14"/>
  </autoFilter>
  <tableColumns count="15">
    <tableColumn id="1" name="Ticket" dataDxfId="36"/>
    <tableColumn id="2" name="OpenTime" dataDxfId="35"/>
    <tableColumn id="3" name="Type" dataDxfId="34"/>
    <tableColumn id="4" name="Size" dataDxfId="33"/>
    <tableColumn id="5" name="Item" dataDxfId="32"/>
    <tableColumn id="6" name="Price" dataDxfId="31"/>
    <tableColumn id="7" name="S/L" dataDxfId="30"/>
    <tableColumn id="8" name="T/P" dataDxfId="29"/>
    <tableColumn id="9" name="CloseTime" dataDxfId="28"/>
    <tableColumn id="10" name="Price2" dataDxfId="27"/>
    <tableColumn id="11" name="Commission" dataDxfId="26"/>
    <tableColumn id="12" name="Taxes" dataDxfId="25"/>
    <tableColumn id="13" name="Swap" dataDxfId="24"/>
    <tableColumn id="14" name="Profit" dataDxfId="23"/>
    <tableColumn id="15" name="Total" dataDxfId="22">
      <calculatedColumnFormula>Tabela9[[#This Row],[Swap]]+Tabela9[[#This Row],[Profit]]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104"/>
  <sheetViews>
    <sheetView workbookViewId="0">
      <pane xSplit="10" ySplit="1" topLeftCell="K78" activePane="bottomRight" state="frozen"/>
      <selection pane="topRight" activeCell="K1" sqref="K1"/>
      <selection pane="bottomLeft" activeCell="A2" sqref="A2"/>
      <selection pane="bottomRight" activeCell="X83" sqref="X83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6.85546875" style="7" bestFit="1" customWidth="1"/>
    <col min="5" max="5" width="9.85546875" style="7" bestFit="1" customWidth="1"/>
    <col min="6" max="6" width="7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85546875" style="7" bestFit="1" customWidth="1"/>
    <col min="24" max="24" width="10.42578125" style="7" bestFit="1" customWidth="1"/>
    <col min="25" max="25" width="12.85546875" style="7" bestFit="1" customWidth="1"/>
    <col min="26" max="26" width="11.570312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4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2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3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3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3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3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3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3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3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3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3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3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3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3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3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3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3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3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3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3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3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3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3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3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3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3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3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3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3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3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3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3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3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3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3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3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3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3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3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3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3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3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3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3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3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3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3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3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3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3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3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3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3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3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3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3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3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3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3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3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3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3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3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3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3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3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3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3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3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3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3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3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3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3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3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3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3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3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3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3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3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3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3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3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3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3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3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3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3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3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3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3">
        <f>NC[[#This Row],[LÍQUIDO]]/NC[[#This Row],[QTDE]]</f>
        <v>0.39004999999999995</v>
      </c>
    </row>
    <row r="92" spans="1:37">
      <c r="A92" s="134">
        <v>91</v>
      </c>
      <c r="B92" s="134"/>
      <c r="C92" s="134" t="s">
        <v>177</v>
      </c>
      <c r="D92" s="134" t="s">
        <v>24</v>
      </c>
      <c r="E92" s="135">
        <v>41697</v>
      </c>
      <c r="F92" s="134">
        <v>1000</v>
      </c>
      <c r="G92" s="136">
        <v>0.47</v>
      </c>
      <c r="H92" s="137"/>
      <c r="I92" s="138"/>
      <c r="J92" s="134" t="s">
        <v>6</v>
      </c>
      <c r="K92" s="135">
        <f>WORKDAY(NC[[#This Row],[DATA]],1,0)</f>
        <v>41698</v>
      </c>
      <c r="L92" s="139">
        <f>EOMONTH(NC[[#This Row],[DATA DE LIQUIDAÇÃO]],0)</f>
        <v>41698</v>
      </c>
      <c r="M92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6">
        <f>[QTDE]*[PREÇO]</f>
        <v>470</v>
      </c>
      <c r="O92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-470</v>
      </c>
      <c r="P92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92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2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92" s="136">
        <f>SETUP!$E$3 * IF([PARCIAL] &gt; 0, [QTDE] / [PARCIAL], 1)</f>
        <v>14.9</v>
      </c>
      <c r="T92" s="136">
        <f>SUMPRODUCT(N([DATA]=NC[[#This Row],[DATA]]),N([ID]&lt;=NC[[#This Row],[ID]]), [CORR])</f>
        <v>14.9</v>
      </c>
      <c r="U92" s="136">
        <f>TRUNC([CORRETAGEM]*SETUP!$F$3,2)</f>
        <v>0.28999999999999998</v>
      </c>
      <c r="V92" s="136">
        <f>ROUND([CORRETAGEM]*SETUP!$G$3,2)</f>
        <v>0.57999999999999996</v>
      </c>
      <c r="W92" s="136">
        <f>[VALOR LÍQUIDO DAS OPERAÇÕES]-[TAXA DE LIQUIDAÇÃO]-[EMOLUMENTOS]-[TAXA DE REGISTRO]-[CORRETAGEM]-[ISS]-IF(['[D/N']]="D",    0,    [OUTRAS BOVESPA]) - [AJUSTE]</f>
        <v>-486.38</v>
      </c>
      <c r="X92" s="136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-486.38</v>
      </c>
      <c r="Z92" s="136">
        <f>[LÍQUIDO]-SUMPRODUCT(N([DATA]=NC[[#This Row],[DATA]]),N([ID]=(NC[[#This Row],[ID]]-1)),[LÍQUIDO])</f>
        <v>-486.38</v>
      </c>
      <c r="AA92" s="136">
        <f>IF([T] = "VC", ABS([VALOR OP]) / [QTDE], [VALOR OP]/[QTDE])</f>
        <v>-0.48637999999999998</v>
      </c>
      <c r="AB92" s="136">
        <f>TRUNC(IF(OR([T]="CV",[T]="VV"),     N92*SETUP!$H$3,     0),2)</f>
        <v>0</v>
      </c>
      <c r="AC92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92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2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6">
        <f>IF([LUCRO TMP] &lt;&gt; 0, [LUCRO TMP] - SUMPRODUCT(N([ATIVO]=NC[[#This Row],[ATIVO]]),N(['[D/N']]="N"),N([ID]&lt;NC[[#This Row],[ID]]),N([PAR]=NC[[#This Row],[PAR]]), [LUCRO TMP]), 0)</f>
        <v>0</v>
      </c>
      <c r="AH92" s="136">
        <f>IF([U] = "U", SUMPRODUCT(N([ID]&lt;=NC[[#This Row],[ID]]),N([DATA BASE]=NC[[#This Row],[DATA BASE]]), N(['[D/N']] = "N"),    [LUCRO P/ OP]), 0)</f>
        <v>0</v>
      </c>
      <c r="AI92" s="136">
        <f>IF([U] = "U", SUMPRODUCT(N([DATA BASE]=NC[[#This Row],[DATA BASE]]), N(['[D/N']] = "D"),    [LUCRO P/ OP]), 0)</f>
        <v>0</v>
      </c>
      <c r="AJ92" s="136">
        <f>IF([U] = "U", SUMPRODUCT(N([DATA BASE]=NC[[#This Row],[DATA BASE]]), N(['[D/N']] = "D"),    [IRRF FONTE]), 0)</f>
        <v>0</v>
      </c>
      <c r="AK92" s="143">
        <f>NC[[#This Row],[LÍQUIDO]]/NC[[#This Row],[QTDE]]</f>
        <v>-0.48637999999999998</v>
      </c>
    </row>
    <row r="93" spans="1:37">
      <c r="A93" s="13">
        <v>92</v>
      </c>
      <c r="B93" s="134"/>
      <c r="C93" s="134" t="s">
        <v>177</v>
      </c>
      <c r="D93" s="134" t="s">
        <v>25</v>
      </c>
      <c r="E93" s="135">
        <v>41698</v>
      </c>
      <c r="F93" s="134">
        <v>500</v>
      </c>
      <c r="G93" s="136">
        <v>0.65</v>
      </c>
      <c r="H93" s="137"/>
      <c r="I93" s="138"/>
      <c r="J93" s="134" t="s">
        <v>6</v>
      </c>
      <c r="K93" s="135">
        <f>WORKDAY(NC[[#This Row],[DATA]],1,0)</f>
        <v>41701</v>
      </c>
      <c r="L93" s="139">
        <f>EOMONTH(NC[[#This Row],[DATA DE LIQUIDAÇÃO]],0)</f>
        <v>41729</v>
      </c>
      <c r="M93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6">
        <f>[QTDE]*[PREÇO]</f>
        <v>325</v>
      </c>
      <c r="O93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325</v>
      </c>
      <c r="P93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93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93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93" s="136">
        <f>SETUP!$E$3 * IF([PARCIAL] &gt; 0, [QTDE] / [PARCIAL], 1)</f>
        <v>14.9</v>
      </c>
      <c r="T93" s="136">
        <f>SUMPRODUCT(N([DATA]=NC[[#This Row],[DATA]]),N([ID]&lt;=NC[[#This Row],[ID]]), [CORR])</f>
        <v>14.9</v>
      </c>
      <c r="U93" s="136">
        <f>TRUNC([CORRETAGEM]*SETUP!$F$3,2)</f>
        <v>0.28999999999999998</v>
      </c>
      <c r="V93" s="136">
        <f>ROUND([CORRETAGEM]*SETUP!$G$3,2)</f>
        <v>0.57999999999999996</v>
      </c>
      <c r="W93" s="136">
        <f>[VALOR LÍQUIDO DAS OPERAÇÕES]-[TAXA DE LIQUIDAÇÃO]-[EMOLUMENTOS]-[TAXA DE REGISTRO]-[CORRETAGEM]-[ISS]-IF(['[D/N']]="D",    0,    [OUTRAS BOVESPA]) - [AJUSTE]</f>
        <v>308.81</v>
      </c>
      <c r="X93" s="136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308.81</v>
      </c>
      <c r="Z93" s="136">
        <f>[LÍQUIDO]-SUMPRODUCT(N([DATA]=NC[[#This Row],[DATA]]),N([ID]=(NC[[#This Row],[ID]]-1)),[LÍQUIDO])</f>
        <v>308.81</v>
      </c>
      <c r="AA93" s="136">
        <f>IF([T] = "VC", ABS([VALOR OP]) / [QTDE], [VALOR OP]/[QTDE])</f>
        <v>0.61762000000000006</v>
      </c>
      <c r="AB93" s="136">
        <f>TRUNC(IF(OR([T]="CV",[T]="VV"),     N93*SETUP!$H$3,     0),2)</f>
        <v>0.01</v>
      </c>
      <c r="AC93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93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3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0.61762000000000006</v>
      </c>
      <c r="AF93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65.620000000000033</v>
      </c>
      <c r="AG93" s="136">
        <f>IF([LUCRO TMP] &lt;&gt; 0, [LUCRO TMP] - SUMPRODUCT(N([ATIVO]=NC[[#This Row],[ATIVO]]),N(['[D/N']]="N"),N([ID]&lt;NC[[#This Row],[ID]]),N([PAR]=NC[[#This Row],[PAR]]), [LUCRO TMP]), 0)</f>
        <v>65.620000000000033</v>
      </c>
      <c r="AH93" s="136">
        <f>IF([U] = "U", SUMPRODUCT(N([ID]&lt;=NC[[#This Row],[ID]]),N([DATA BASE]=NC[[#This Row],[DATA BASE]]), N(['[D/N']] = "N"),    [LUCRO P/ OP]), 0)</f>
        <v>0</v>
      </c>
      <c r="AI93" s="136">
        <f>IF([U] = "U", SUMPRODUCT(N([DATA BASE]=NC[[#This Row],[DATA BASE]]), N(['[D/N']] = "D"),    [LUCRO P/ OP]), 0)</f>
        <v>0</v>
      </c>
      <c r="AJ93" s="136">
        <f>IF([U] = "U", SUMPRODUCT(N([DATA BASE]=NC[[#This Row],[DATA BASE]]), N(['[D/N']] = "D"),    [IRRF FONTE]), 0)</f>
        <v>0</v>
      </c>
      <c r="AK93" s="143">
        <f>NC[[#This Row],[LÍQUIDO]]/NC[[#This Row],[QTDE]]</f>
        <v>0.61762000000000006</v>
      </c>
    </row>
    <row r="94" spans="1:37">
      <c r="A94" s="134">
        <v>93</v>
      </c>
      <c r="B94" s="134"/>
      <c r="C94" s="134" t="s">
        <v>183</v>
      </c>
      <c r="D94" s="134" t="s">
        <v>24</v>
      </c>
      <c r="E94" s="135">
        <v>41758</v>
      </c>
      <c r="F94" s="134">
        <v>700</v>
      </c>
      <c r="G94" s="136">
        <v>1.4</v>
      </c>
      <c r="H94" s="137"/>
      <c r="I94" s="138"/>
      <c r="J94" s="134" t="s">
        <v>6</v>
      </c>
      <c r="K94" s="135">
        <f>WORKDAY(NC[[#This Row],[DATA]],1,0)</f>
        <v>41759</v>
      </c>
      <c r="L94" s="139">
        <f>EOMONTH(NC[[#This Row],[DATA DE LIQUIDAÇÃO]],0)</f>
        <v>41759</v>
      </c>
      <c r="M94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4" s="136">
        <f>[QTDE]*[PREÇO]</f>
        <v>979.99999999999989</v>
      </c>
      <c r="O94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-979.99999999999989</v>
      </c>
      <c r="P94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0.26</v>
      </c>
      <c r="Q94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0.36</v>
      </c>
      <c r="R94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0.68</v>
      </c>
      <c r="S94" s="136">
        <f>SETUP!$E$3 * IF([PARCIAL] &gt; 0, [QTDE] / [PARCIAL], 1)</f>
        <v>14.9</v>
      </c>
      <c r="T94" s="136">
        <f>SUMPRODUCT(N([DATA]=NC[[#This Row],[DATA]]),N([ID]&lt;=NC[[#This Row],[ID]]), [CORR])</f>
        <v>14.9</v>
      </c>
      <c r="U94" s="136">
        <f>TRUNC([CORRETAGEM]*SETUP!$F$3,2)</f>
        <v>0.28999999999999998</v>
      </c>
      <c r="V94" s="136">
        <f>ROUND([CORRETAGEM]*SETUP!$G$3,2)</f>
        <v>0.57999999999999996</v>
      </c>
      <c r="W94" s="136">
        <f>[VALOR LÍQUIDO DAS OPERAÇÕES]-[TAXA DE LIQUIDAÇÃO]-[EMOLUMENTOS]-[TAXA DE REGISTRO]-[CORRETAGEM]-[ISS]-IF(['[D/N']]="D",    0,    [OUTRAS BOVESPA]) - [AJUSTE]</f>
        <v>-997.06999999999982</v>
      </c>
      <c r="X94" s="136">
        <f>IF(AND(['[D/N']]="D",    [T]="CV",    [LÍQUIDO BASE] &gt; 0),    TRUNC([LÍQUIDO BASE]*0.01, 2),    0)</f>
        <v>0</v>
      </c>
      <c r="Y94" s="63">
        <f>IF([PREÇO] &gt; 0,    [LÍQUIDO BASE]-SUMPRODUCT(N([DATA]=NC[[#This Row],[DATA]]),    [IRRF FONTE]),    0)</f>
        <v>-997.06999999999982</v>
      </c>
      <c r="Z94" s="136">
        <f>[LÍQUIDO]-SUMPRODUCT(N([DATA]=NC[[#This Row],[DATA]]),N([ID]=(NC[[#This Row],[ID]]-1)),[LÍQUIDO])</f>
        <v>-997.06999999999982</v>
      </c>
      <c r="AA94" s="136">
        <f>IF([T] = "VC", ABS([VALOR OP]) / [QTDE], [VALOR OP]/[QTDE])</f>
        <v>-1.4243857142857139</v>
      </c>
      <c r="AB94" s="136">
        <f>TRUNC(IF(OR([T]="CV",[T]="VV"),     N94*SETUP!$H$3,     0),2)</f>
        <v>0</v>
      </c>
      <c r="AC94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94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1.4243857142857139</v>
      </c>
      <c r="AE94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4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4" s="136">
        <f>IF([LUCRO TMP] &lt;&gt; 0, [LUCRO TMP] - SUMPRODUCT(N([ATIVO]=NC[[#This Row],[ATIVO]]),N(['[D/N']]="N"),N([ID]&lt;NC[[#This Row],[ID]]),N([PAR]=NC[[#This Row],[PAR]]), [LUCRO TMP]), 0)</f>
        <v>0</v>
      </c>
      <c r="AH94" s="136">
        <f>IF([U] = "U", SUMPRODUCT(N([ID]&lt;=NC[[#This Row],[ID]]),N([DATA BASE]=NC[[#This Row],[DATA BASE]]), N(['[D/N']] = "N"),    [LUCRO P/ OP]), 0)</f>
        <v>0</v>
      </c>
      <c r="AI94" s="136">
        <f>IF([U] = "U", SUMPRODUCT(N([DATA BASE]=NC[[#This Row],[DATA BASE]]), N(['[D/N']] = "D"),    [LUCRO P/ OP]), 0)</f>
        <v>0</v>
      </c>
      <c r="AJ94" s="136">
        <f>IF([U] = "U", SUMPRODUCT(N([DATA BASE]=NC[[#This Row],[DATA BASE]]), N(['[D/N']] = "D"),    [IRRF FONTE]), 0)</f>
        <v>0</v>
      </c>
      <c r="AK94" s="154">
        <f>NC[[#This Row],[LÍQUIDO]]/NC[[#This Row],[QTDE]]</f>
        <v>-1.4243857142857139</v>
      </c>
    </row>
    <row r="95" spans="1:37">
      <c r="A95" s="134">
        <v>94</v>
      </c>
      <c r="B95" s="134"/>
      <c r="C95" s="134" t="s">
        <v>183</v>
      </c>
      <c r="D95" s="134" t="s">
        <v>25</v>
      </c>
      <c r="E95" s="135">
        <v>41759</v>
      </c>
      <c r="F95" s="134">
        <v>700</v>
      </c>
      <c r="G95" s="136">
        <v>2.8</v>
      </c>
      <c r="H95" s="137"/>
      <c r="I95" s="138"/>
      <c r="J95" s="134" t="s">
        <v>6</v>
      </c>
      <c r="K95" s="135">
        <f>WORKDAY(NC[[#This Row],[DATA]],1,0)</f>
        <v>41760</v>
      </c>
      <c r="L95" s="139">
        <f>EOMONTH(NC[[#This Row],[DATA DE LIQUIDAÇÃO]],0)</f>
        <v>41790</v>
      </c>
      <c r="M95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5" s="136">
        <f>[QTDE]*[PREÇO]</f>
        <v>1959.9999999999998</v>
      </c>
      <c r="O95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1959.9999999999998</v>
      </c>
      <c r="P95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0.53</v>
      </c>
      <c r="Q95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0.72</v>
      </c>
      <c r="R95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1.36</v>
      </c>
      <c r="S95" s="136">
        <f>SETUP!$E$3 * IF([PARCIAL] &gt; 0, [QTDE] / [PARCIAL], 1)</f>
        <v>14.9</v>
      </c>
      <c r="T95" s="136">
        <f>SUMPRODUCT(N([DATA]=NC[[#This Row],[DATA]]),N([ID]&lt;=NC[[#This Row],[ID]]), [CORR])</f>
        <v>14.9</v>
      </c>
      <c r="U95" s="136">
        <f>TRUNC([CORRETAGEM]*SETUP!$F$3,2)</f>
        <v>0.28999999999999998</v>
      </c>
      <c r="V95" s="136">
        <f>ROUND([CORRETAGEM]*SETUP!$G$3,2)</f>
        <v>0.57999999999999996</v>
      </c>
      <c r="W95" s="136">
        <f>[VALOR LÍQUIDO DAS OPERAÇÕES]-[TAXA DE LIQUIDAÇÃO]-[EMOLUMENTOS]-[TAXA DE REGISTRO]-[CORRETAGEM]-[ISS]-IF(['[D/N']]="D",    0,    [OUTRAS BOVESPA]) - [AJUSTE]</f>
        <v>1941.62</v>
      </c>
      <c r="X95" s="136">
        <f>IF(AND(['[D/N']]="D",    [T]="CV",    [LÍQUIDO BASE] &gt; 0),    TRUNC([LÍQUIDO BASE]*0.01, 2),    0)</f>
        <v>0</v>
      </c>
      <c r="Y95" s="63">
        <f>IF([PREÇO] &gt; 0,    [LÍQUIDO BASE]-SUMPRODUCT(N([DATA]=NC[[#This Row],[DATA]]),    [IRRF FONTE]),    0)</f>
        <v>1941.62</v>
      </c>
      <c r="Z95" s="136">
        <f>[LÍQUIDO]-SUMPRODUCT(N([DATA]=NC[[#This Row],[DATA]]),N([ID]=(NC[[#This Row],[ID]]-1)),[LÍQUIDO])</f>
        <v>1941.62</v>
      </c>
      <c r="AA95" s="136">
        <f>IF([T] = "VC", ABS([VALOR OP]) / [QTDE], [VALOR OP]/[QTDE])</f>
        <v>2.7737428571428571</v>
      </c>
      <c r="AB95" s="136">
        <f>TRUNC(IF(OR([T]="CV",[T]="VV"),     N95*SETUP!$H$3,     0),2)</f>
        <v>0.09</v>
      </c>
      <c r="AC95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5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1.4243857142857139</v>
      </c>
      <c r="AE95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2.7737428571428571</v>
      </c>
      <c r="AF95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944.55000000000018</v>
      </c>
      <c r="AG95" s="136">
        <f>IF([LUCRO TMP] &lt;&gt; 0, [LUCRO TMP] - SUMPRODUCT(N([ATIVO]=NC[[#This Row],[ATIVO]]),N(['[D/N']]="N"),N([ID]&lt;NC[[#This Row],[ID]]),N([PAR]=NC[[#This Row],[PAR]]), [LUCRO TMP]), 0)</f>
        <v>944.55000000000018</v>
      </c>
      <c r="AH95" s="136">
        <f>IF([U] = "U", SUMPRODUCT(N([ID]&lt;=NC[[#This Row],[ID]]),N([DATA BASE]=NC[[#This Row],[DATA BASE]]), N(['[D/N']] = "N"),    [LUCRO P/ OP]), 0)</f>
        <v>0</v>
      </c>
      <c r="AI95" s="136">
        <f>IF([U] = "U", SUMPRODUCT(N([DATA BASE]=NC[[#This Row],[DATA BASE]]), N(['[D/N']] = "D"),    [LUCRO P/ OP]), 0)</f>
        <v>0</v>
      </c>
      <c r="AJ95" s="136">
        <f>IF([U] = "U", SUMPRODUCT(N([DATA BASE]=NC[[#This Row],[DATA BASE]]), N(['[D/N']] = "D"),    [IRRF FONTE]), 0)</f>
        <v>0</v>
      </c>
      <c r="AK95" s="154">
        <f>NC[[#This Row],[LÍQUIDO]]/NC[[#This Row],[QTDE]]</f>
        <v>2.7737428571428571</v>
      </c>
    </row>
    <row r="96" spans="1:37">
      <c r="Y96" s="27"/>
      <c r="AG96" s="27"/>
    </row>
    <row r="99" spans="2:25">
      <c r="Y99" s="7">
        <v>-760</v>
      </c>
    </row>
    <row r="102" spans="2:25">
      <c r="C102" s="7">
        <v>1900</v>
      </c>
      <c r="D102" s="25">
        <v>0.48</v>
      </c>
      <c r="E102" s="25">
        <f>C102*D102</f>
        <v>912</v>
      </c>
    </row>
    <row r="103" spans="2:25">
      <c r="B103" s="7">
        <v>530</v>
      </c>
      <c r="C103" s="7">
        <f>B103/D103-MOD(B103/D103,100)</f>
        <v>2600</v>
      </c>
      <c r="D103" s="25">
        <v>0.2</v>
      </c>
      <c r="E103" s="25">
        <f>C103*D103</f>
        <v>520</v>
      </c>
    </row>
    <row r="104" spans="2:25">
      <c r="C104" s="7">
        <f>C103+C102</f>
        <v>4500</v>
      </c>
      <c r="E104" s="23">
        <f>E102+E103</f>
        <v>1432</v>
      </c>
      <c r="F104" s="7">
        <f>E104/C104</f>
        <v>0.31822222222222224</v>
      </c>
      <c r="G104" s="7">
        <f>F104*2</f>
        <v>0.63644444444444448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X80"/>
  <sheetViews>
    <sheetView workbookViewId="0">
      <selection activeCell="A16" sqref="A16"/>
    </sheetView>
  </sheetViews>
  <sheetFormatPr defaultRowHeight="11.25"/>
  <cols>
    <col min="1" max="1" width="8.5703125" style="25" bestFit="1" customWidth="1"/>
    <col min="2" max="2" width="10" style="25" customWidth="1"/>
    <col min="3" max="3" width="7.7109375" style="25" bestFit="1" customWidth="1"/>
    <col min="4" max="4" width="7.42578125" style="152" bestFit="1" customWidth="1"/>
    <col min="5" max="5" width="7.7109375" style="27" bestFit="1" customWidth="1"/>
    <col min="6" max="6" width="6.5703125" style="159" bestFit="1" customWidth="1"/>
    <col min="7" max="7" width="8" style="152" bestFit="1" customWidth="1"/>
    <col min="8" max="8" width="8.28515625" style="155" bestFit="1" customWidth="1"/>
    <col min="9" max="9" width="6.5703125" style="159" bestFit="1" customWidth="1"/>
    <col min="10" max="10" width="6.5703125" style="7" bestFit="1" customWidth="1"/>
    <col min="11" max="11" width="9.140625" style="25" customWidth="1"/>
    <col min="12" max="12" width="7.7109375" style="25" bestFit="1" customWidth="1"/>
    <col min="13" max="13" width="8.5703125" style="25" bestFit="1" customWidth="1"/>
    <col min="14" max="14" width="8.42578125" style="25" bestFit="1" customWidth="1"/>
    <col min="15" max="15" width="9.140625" style="7"/>
    <col min="16" max="17" width="7.7109375" style="25" bestFit="1" customWidth="1"/>
    <col min="18" max="18" width="9.140625" style="7"/>
    <col min="19" max="19" width="13.85546875" style="25" bestFit="1" customWidth="1"/>
    <col min="20" max="21" width="10.85546875" style="7" bestFit="1" customWidth="1"/>
    <col min="22" max="24" width="11.7109375" style="7" bestFit="1" customWidth="1"/>
    <col min="25" max="16384" width="9.140625" style="7"/>
  </cols>
  <sheetData>
    <row r="1" spans="1:23" s="24" customFormat="1">
      <c r="A1" s="26" t="s">
        <v>189</v>
      </c>
      <c r="B1" s="156">
        <f>SUM(B2:B29)/COUNTA(B2:B29)</f>
        <v>1.1437171334306151E-3</v>
      </c>
      <c r="C1" s="26" t="s">
        <v>184</v>
      </c>
      <c r="D1" s="157" t="s">
        <v>185</v>
      </c>
      <c r="E1" s="156" t="s">
        <v>186</v>
      </c>
      <c r="F1" s="158"/>
      <c r="G1" s="157" t="s">
        <v>187</v>
      </c>
      <c r="H1" s="160" t="s">
        <v>188</v>
      </c>
      <c r="I1" s="158"/>
      <c r="K1" s="26"/>
      <c r="L1" s="26" t="s">
        <v>297</v>
      </c>
      <c r="M1" s="26" t="s">
        <v>189</v>
      </c>
      <c r="N1" s="26" t="s">
        <v>190</v>
      </c>
      <c r="P1" s="26" t="s">
        <v>219</v>
      </c>
      <c r="Q1" s="26" t="s">
        <v>220</v>
      </c>
      <c r="S1" s="26"/>
    </row>
    <row r="2" spans="1:23">
      <c r="A2" s="25">
        <v>17.46</v>
      </c>
      <c r="C2" s="25">
        <f>IF(COUNTBLANK(A2:A10)&gt;0,"",AVERAGE(A2:A10))</f>
        <v>17.61</v>
      </c>
      <c r="D2" s="152">
        <f t="shared" ref="D2:D9" si="0">IF(C2="","",STDEV(A2:A10))</f>
        <v>0.14585952145835274</v>
      </c>
      <c r="E2" s="27">
        <f>D2/C2</f>
        <v>8.2827666926946469E-3</v>
      </c>
      <c r="G2" s="152">
        <f>VAR(A2:A10)</f>
        <v>2.1275000000059663E-2</v>
      </c>
      <c r="H2" s="155">
        <f t="shared" ref="H2:H33" si="1">G2/C2</f>
        <v>1.2081203861476243E-3</v>
      </c>
      <c r="L2" s="25">
        <v>11.65</v>
      </c>
      <c r="M2" s="25">
        <v>17.46</v>
      </c>
      <c r="N2" s="25">
        <v>26.18</v>
      </c>
      <c r="P2" s="25">
        <v>16.13</v>
      </c>
      <c r="Q2" s="25">
        <v>28.15</v>
      </c>
      <c r="S2" s="25">
        <v>600</v>
      </c>
      <c r="T2" s="80">
        <f>S2*85%*20%</f>
        <v>102</v>
      </c>
      <c r="U2" s="80">
        <f>S2-T2</f>
        <v>498</v>
      </c>
      <c r="V2" s="80">
        <f>SUM($U$2:U2)</f>
        <v>498</v>
      </c>
      <c r="W2" s="80">
        <f>V2+T2+S2</f>
        <v>1200</v>
      </c>
    </row>
    <row r="3" spans="1:23">
      <c r="A3" s="25">
        <v>17.399999999999999</v>
      </c>
      <c r="B3" s="27">
        <f>IF(A3&gt;0,A3/A2-1,"")</f>
        <v>-3.4364261168385868E-3</v>
      </c>
      <c r="C3" s="25">
        <f t="shared" ref="C3:C66" si="2">IF(COUNTBLANK(A3:A11)&gt;0,"",AVERAGE(A3:A11))</f>
        <v>17.645555555555553</v>
      </c>
      <c r="D3" s="152">
        <f t="shared" si="0"/>
        <v>0.14371074343226634</v>
      </c>
      <c r="E3" s="27">
        <f t="shared" ref="E3:E15" si="3">D3/C3</f>
        <v>8.1443025684175881E-3</v>
      </c>
      <c r="F3" s="159">
        <f>E3/E2</f>
        <v>0.98328286556722844</v>
      </c>
      <c r="G3" s="152">
        <f t="shared" ref="G3:G66" si="4">VAR(A3:A11)</f>
        <v>2.0652777777854681E-2</v>
      </c>
      <c r="H3" s="155">
        <f t="shared" si="1"/>
        <v>1.1704237768446076E-3</v>
      </c>
      <c r="I3" s="159">
        <f>ROUND(H3/H2,2)</f>
        <v>0.97</v>
      </c>
      <c r="J3" s="27">
        <f>IF(COUNTBLANK(B3:B11)&gt;0,"",AVERAGE(B3:B11))</f>
        <v>2.0347203058510318E-3</v>
      </c>
      <c r="L3" s="25">
        <v>11.7</v>
      </c>
      <c r="M3" s="25">
        <v>17.399999999999999</v>
      </c>
      <c r="N3" s="25">
        <v>26.6</v>
      </c>
      <c r="O3" s="80"/>
      <c r="P3" s="25">
        <v>16.03</v>
      </c>
      <c r="Q3" s="25">
        <v>27.5</v>
      </c>
      <c r="S3" s="25">
        <f t="shared" ref="S3:S15" si="5">S2+T2+600</f>
        <v>1302</v>
      </c>
      <c r="T3" s="80">
        <f t="shared" ref="T3:T47" si="6">S3*85%*20%</f>
        <v>221.34000000000003</v>
      </c>
      <c r="U3" s="80">
        <f t="shared" ref="U3:U22" si="7">S3-T3</f>
        <v>1080.6599999999999</v>
      </c>
      <c r="V3" s="80">
        <f>SUM($U$2:U3)</f>
        <v>1578.6599999999999</v>
      </c>
      <c r="W3" s="80">
        <f t="shared" ref="W3:W22" si="8">V3+T3+S3</f>
        <v>3102</v>
      </c>
    </row>
    <row r="4" spans="1:23">
      <c r="A4" s="25">
        <v>17.5</v>
      </c>
      <c r="B4" s="27">
        <f t="shared" ref="B4:B29" si="9">IF(A4&gt;0,A4/A3-1,"")</f>
        <v>5.7471264367816577E-3</v>
      </c>
      <c r="C4" s="25">
        <f t="shared" si="2"/>
        <v>17.686666666666664</v>
      </c>
      <c r="D4" s="152">
        <f t="shared" si="0"/>
        <v>0.11467344941179741</v>
      </c>
      <c r="E4" s="27">
        <f t="shared" si="3"/>
        <v>6.4836100308215657E-3</v>
      </c>
      <c r="F4" s="159">
        <f t="shared" ref="F4:F67" si="10">E4/E3</f>
        <v>0.79609149787288791</v>
      </c>
      <c r="G4" s="152">
        <f t="shared" si="4"/>
        <v>1.3150000000000059E-2</v>
      </c>
      <c r="H4" s="155">
        <f t="shared" si="1"/>
        <v>7.4349792687523908E-4</v>
      </c>
      <c r="I4" s="159">
        <f>ROUND(H4/H3,2)</f>
        <v>0.64</v>
      </c>
      <c r="J4" s="27">
        <f t="shared" ref="J4:J67" si="11">IF(COUNTBLANK(B4:B12)&gt;0,"",AVERAGE(B4:B12))</f>
        <v>2.3540532414677573E-3</v>
      </c>
      <c r="L4" s="25">
        <v>11.78</v>
      </c>
      <c r="M4" s="25">
        <v>17.5</v>
      </c>
      <c r="N4" s="25">
        <v>26.67</v>
      </c>
      <c r="O4" s="80"/>
      <c r="P4" s="25">
        <v>16.559999999999999</v>
      </c>
      <c r="Q4" s="25">
        <v>26.75</v>
      </c>
      <c r="S4" s="25">
        <f t="shared" si="5"/>
        <v>2123.34</v>
      </c>
      <c r="T4" s="80">
        <f t="shared" si="6"/>
        <v>360.96780000000007</v>
      </c>
      <c r="U4" s="80">
        <f t="shared" si="7"/>
        <v>1762.3722</v>
      </c>
      <c r="V4" s="80">
        <f>SUM($U$2:U4)</f>
        <v>3341.0321999999996</v>
      </c>
      <c r="W4" s="80">
        <f t="shared" si="8"/>
        <v>5825.34</v>
      </c>
    </row>
    <row r="5" spans="1:23">
      <c r="A5" s="25">
        <v>17.54</v>
      </c>
      <c r="B5" s="27">
        <f t="shared" si="9"/>
        <v>2.2857142857142243E-3</v>
      </c>
      <c r="C5" s="25">
        <f t="shared" si="2"/>
        <v>17.722222222222221</v>
      </c>
      <c r="D5" s="152">
        <f t="shared" si="0"/>
        <v>9.7951235032767953E-2</v>
      </c>
      <c r="E5" s="27">
        <f t="shared" si="3"/>
        <v>5.5270289360182549E-3</v>
      </c>
      <c r="F5" s="159">
        <f t="shared" si="10"/>
        <v>0.85246165481021408</v>
      </c>
      <c r="G5" s="152">
        <f t="shared" si="4"/>
        <v>9.5944444444445477E-3</v>
      </c>
      <c r="H5" s="155">
        <f t="shared" si="1"/>
        <v>5.4137931034483342E-4</v>
      </c>
      <c r="I5" s="159">
        <f t="shared" ref="I5:I68" si="12">ROUND(H5/H4,2)</f>
        <v>0.73</v>
      </c>
      <c r="J5" s="27">
        <f t="shared" si="11"/>
        <v>2.028120415971545E-3</v>
      </c>
      <c r="L5" s="25">
        <v>11.79</v>
      </c>
      <c r="M5" s="25">
        <v>17.54</v>
      </c>
      <c r="N5" s="25">
        <v>26.68</v>
      </c>
      <c r="O5" s="80"/>
      <c r="P5" s="25">
        <v>16.690000000000001</v>
      </c>
      <c r="Q5" s="25">
        <v>26.73</v>
      </c>
      <c r="S5" s="25">
        <f t="shared" si="5"/>
        <v>3084.3078</v>
      </c>
      <c r="T5" s="80">
        <f t="shared" si="6"/>
        <v>524.33232600000008</v>
      </c>
      <c r="U5" s="80">
        <f t="shared" si="7"/>
        <v>2559.9754739999998</v>
      </c>
      <c r="V5" s="80">
        <f>SUM($U$2:U5)</f>
        <v>5901.0076739999995</v>
      </c>
      <c r="W5" s="80">
        <f t="shared" si="8"/>
        <v>9509.6477999999988</v>
      </c>
    </row>
    <row r="6" spans="1:23">
      <c r="A6" s="25">
        <v>17.649999999999999</v>
      </c>
      <c r="B6" s="27">
        <f t="shared" si="9"/>
        <v>6.2713797035347518E-3</v>
      </c>
      <c r="C6" s="25">
        <f t="shared" si="2"/>
        <v>17.757777777777775</v>
      </c>
      <c r="D6" s="152">
        <f t="shared" si="0"/>
        <v>7.99652702393015E-2</v>
      </c>
      <c r="E6" s="27">
        <f t="shared" si="3"/>
        <v>4.5031124524697388E-3</v>
      </c>
      <c r="F6" s="159">
        <f t="shared" si="10"/>
        <v>0.81474378089900878</v>
      </c>
      <c r="G6" s="152">
        <f t="shared" si="4"/>
        <v>6.3944444444445185E-3</v>
      </c>
      <c r="H6" s="155">
        <f t="shared" si="1"/>
        <v>3.6009260417970638E-4</v>
      </c>
      <c r="I6" s="159">
        <f t="shared" si="12"/>
        <v>0.67</v>
      </c>
      <c r="J6" s="27">
        <f t="shared" si="11"/>
        <v>2.0235598188183606E-3</v>
      </c>
      <c r="L6" s="25">
        <v>11.8</v>
      </c>
      <c r="M6" s="25">
        <v>17.649999999999999</v>
      </c>
      <c r="N6" s="25">
        <v>26.62</v>
      </c>
      <c r="O6" s="80"/>
      <c r="P6" s="25">
        <v>16.57</v>
      </c>
      <c r="Q6" s="25">
        <v>26.42</v>
      </c>
      <c r="S6" s="25">
        <f t="shared" si="5"/>
        <v>4208.6401260000002</v>
      </c>
      <c r="T6" s="80">
        <f t="shared" si="6"/>
        <v>715.46882142000004</v>
      </c>
      <c r="U6" s="80">
        <f t="shared" si="7"/>
        <v>3493.1713045800002</v>
      </c>
      <c r="V6" s="80">
        <f>SUM($U$2:U6)</f>
        <v>9394.1789785799992</v>
      </c>
      <c r="W6" s="80">
        <f t="shared" si="8"/>
        <v>14318.287925999999</v>
      </c>
    </row>
    <row r="7" spans="1:23">
      <c r="A7" s="25">
        <v>17.82</v>
      </c>
      <c r="B7" s="27">
        <f t="shared" si="9"/>
        <v>9.6317280453259713E-3</v>
      </c>
      <c r="C7" s="25">
        <f t="shared" si="2"/>
        <v>17.757777777777779</v>
      </c>
      <c r="D7" s="152">
        <f t="shared" si="0"/>
        <v>7.99652702393015E-2</v>
      </c>
      <c r="E7" s="27">
        <f t="shared" si="3"/>
        <v>4.5031124524697371E-3</v>
      </c>
      <c r="F7" s="159">
        <f t="shared" si="10"/>
        <v>0.99999999999999967</v>
      </c>
      <c r="G7" s="152">
        <f t="shared" si="4"/>
        <v>6.3944444444445176E-3</v>
      </c>
      <c r="H7" s="155">
        <f t="shared" si="1"/>
        <v>3.6009260417970627E-4</v>
      </c>
      <c r="I7" s="159">
        <f t="shared" si="12"/>
        <v>1</v>
      </c>
      <c r="J7" s="27">
        <f t="shared" si="11"/>
        <v>2.0282218313627531E-5</v>
      </c>
      <c r="L7" s="25">
        <v>11.83</v>
      </c>
      <c r="M7" s="25">
        <v>17.82</v>
      </c>
      <c r="N7" s="25">
        <v>26.73</v>
      </c>
      <c r="O7" s="80"/>
      <c r="P7" s="25">
        <v>17.600000000000001</v>
      </c>
      <c r="Q7" s="25">
        <v>27.35</v>
      </c>
      <c r="S7" s="25">
        <f t="shared" si="5"/>
        <v>5524.1089474199998</v>
      </c>
      <c r="T7" s="80">
        <f t="shared" si="6"/>
        <v>939.09852106139988</v>
      </c>
      <c r="U7" s="80">
        <f t="shared" si="7"/>
        <v>4585.0104263585999</v>
      </c>
      <c r="V7" s="80">
        <f>SUM($U$2:U7)</f>
        <v>13979.189404938599</v>
      </c>
      <c r="W7" s="80">
        <f t="shared" si="8"/>
        <v>20442.396873419999</v>
      </c>
    </row>
    <row r="8" spans="1:23">
      <c r="A8" s="25">
        <v>17.79</v>
      </c>
      <c r="B8" s="27">
        <f t="shared" si="9"/>
        <v>-1.6835016835017313E-3</v>
      </c>
      <c r="C8" s="25">
        <f t="shared" si="2"/>
        <v>17.777777777777779</v>
      </c>
      <c r="D8" s="152">
        <f t="shared" si="0"/>
        <v>0.11311253000638138</v>
      </c>
      <c r="E8" s="27">
        <f t="shared" si="3"/>
        <v>6.3625798128589522E-3</v>
      </c>
      <c r="F8" s="159">
        <f t="shared" si="10"/>
        <v>1.412929363860187</v>
      </c>
      <c r="G8" s="152">
        <f t="shared" si="4"/>
        <v>1.279444444444453E-2</v>
      </c>
      <c r="H8" s="155">
        <f t="shared" si="1"/>
        <v>7.1968750000000483E-4</v>
      </c>
      <c r="I8" s="159">
        <f t="shared" si="12"/>
        <v>2</v>
      </c>
      <c r="J8" s="27">
        <f t="shared" si="11"/>
        <v>1.153426694234288E-3</v>
      </c>
      <c r="L8" s="25">
        <v>11.77</v>
      </c>
      <c r="M8" s="25">
        <v>17.79</v>
      </c>
      <c r="N8" s="25">
        <v>26.76</v>
      </c>
      <c r="O8" s="80"/>
      <c r="P8" s="25">
        <v>17.57</v>
      </c>
      <c r="Q8" s="25">
        <v>27.15</v>
      </c>
      <c r="S8" s="25">
        <f t="shared" si="5"/>
        <v>7063.2074684813997</v>
      </c>
      <c r="T8" s="80">
        <f t="shared" si="6"/>
        <v>1200.7452696418379</v>
      </c>
      <c r="U8" s="80">
        <f t="shared" si="7"/>
        <v>5862.462198839562</v>
      </c>
      <c r="V8" s="80">
        <f>SUM($U$2:U8)</f>
        <v>19841.651603778162</v>
      </c>
      <c r="W8" s="80">
        <f t="shared" si="8"/>
        <v>28105.604341901399</v>
      </c>
    </row>
    <row r="9" spans="1:23">
      <c r="A9" s="25">
        <v>17.63</v>
      </c>
      <c r="B9" s="27">
        <f t="shared" si="9"/>
        <v>-8.993816750983652E-3</v>
      </c>
      <c r="C9" s="25" t="str">
        <f t="shared" si="2"/>
        <v/>
      </c>
      <c r="D9" s="152" t="str">
        <f t="shared" si="0"/>
        <v/>
      </c>
      <c r="E9" s="27" t="e">
        <f t="shared" si="3"/>
        <v>#VALUE!</v>
      </c>
      <c r="F9" s="159" t="e">
        <f t="shared" si="10"/>
        <v>#VALUE!</v>
      </c>
      <c r="G9" s="152">
        <f t="shared" si="4"/>
        <v>1.4598214285714384E-2</v>
      </c>
      <c r="H9" s="155" t="e">
        <f t="shared" si="1"/>
        <v>#VALUE!</v>
      </c>
      <c r="I9" s="159" t="e">
        <f t="shared" si="12"/>
        <v>#VALUE!</v>
      </c>
      <c r="J9" s="27" t="str">
        <f t="shared" si="11"/>
        <v/>
      </c>
      <c r="L9" s="25">
        <v>11.75</v>
      </c>
      <c r="M9" s="25">
        <v>17.63</v>
      </c>
      <c r="N9" s="25">
        <v>26.67</v>
      </c>
      <c r="O9" s="80"/>
      <c r="P9" s="25">
        <v>18.239999999999998</v>
      </c>
      <c r="Q9" s="25">
        <v>26.93</v>
      </c>
      <c r="S9" s="25">
        <f t="shared" si="5"/>
        <v>8863.9527381232383</v>
      </c>
      <c r="T9" s="80">
        <f t="shared" si="6"/>
        <v>1506.8719654809506</v>
      </c>
      <c r="U9" s="80">
        <f t="shared" si="7"/>
        <v>7357.0807726422881</v>
      </c>
      <c r="V9" s="80">
        <f>SUM($U$2:U9)</f>
        <v>27198.732376420448</v>
      </c>
      <c r="W9" s="80">
        <f t="shared" si="8"/>
        <v>37569.557080024635</v>
      </c>
    </row>
    <row r="10" spans="1:23">
      <c r="A10" s="25">
        <v>17.7</v>
      </c>
      <c r="B10" s="27">
        <f t="shared" si="9"/>
        <v>3.9705048213272143E-3</v>
      </c>
      <c r="C10" s="25" t="str">
        <f t="shared" si="2"/>
        <v/>
      </c>
      <c r="D10" s="152" t="str">
        <f>IF(C10="","",STDEV(A10:A17))</f>
        <v/>
      </c>
      <c r="E10" s="27" t="e">
        <f t="shared" si="3"/>
        <v>#VALUE!</v>
      </c>
      <c r="F10" s="159" t="e">
        <f t="shared" si="10"/>
        <v>#VALUE!</v>
      </c>
      <c r="G10" s="152">
        <f t="shared" si="4"/>
        <v>1.2957142857142938E-2</v>
      </c>
      <c r="H10" s="155" t="e">
        <f t="shared" si="1"/>
        <v>#VALUE!</v>
      </c>
      <c r="I10" s="159" t="e">
        <f t="shared" si="12"/>
        <v>#VALUE!</v>
      </c>
      <c r="J10" s="27" t="str">
        <f t="shared" si="11"/>
        <v/>
      </c>
      <c r="L10" s="25">
        <v>11.78</v>
      </c>
      <c r="M10" s="25">
        <v>17.7</v>
      </c>
      <c r="N10" s="25">
        <v>26.77</v>
      </c>
      <c r="O10" s="80"/>
      <c r="P10" s="25">
        <v>18.579999999999998</v>
      </c>
      <c r="Q10" s="25">
        <v>27.24</v>
      </c>
      <c r="S10" s="173">
        <f t="shared" si="5"/>
        <v>10970.824703604188</v>
      </c>
      <c r="T10" s="80">
        <f t="shared" si="6"/>
        <v>1865.0401996127121</v>
      </c>
      <c r="U10" s="172">
        <f t="shared" si="7"/>
        <v>9105.7845039914755</v>
      </c>
      <c r="V10" s="172">
        <f>SUM($U$2:U10)</f>
        <v>36304.516880411924</v>
      </c>
      <c r="W10" s="172">
        <f t="shared" si="8"/>
        <v>49140.381783628822</v>
      </c>
    </row>
    <row r="11" spans="1:23">
      <c r="A11" s="25">
        <v>17.78</v>
      </c>
      <c r="B11" s="27">
        <f t="shared" si="9"/>
        <v>4.5197740112994378E-3</v>
      </c>
      <c r="C11" s="25" t="str">
        <f t="shared" si="2"/>
        <v/>
      </c>
      <c r="D11" s="152" t="str">
        <f t="shared" ref="D11:D17" si="13">IF(C11="","",STDEV(A11:A19))</f>
        <v/>
      </c>
      <c r="E11" s="27" t="e">
        <f t="shared" si="3"/>
        <v>#VALUE!</v>
      </c>
      <c r="F11" s="159" t="e">
        <f t="shared" si="10"/>
        <v>#VALUE!</v>
      </c>
      <c r="G11" s="152">
        <f t="shared" si="4"/>
        <v>1.3346666666666739E-2</v>
      </c>
      <c r="H11" s="155" t="e">
        <f t="shared" si="1"/>
        <v>#VALUE!</v>
      </c>
      <c r="I11" s="159" t="e">
        <f t="shared" si="12"/>
        <v>#VALUE!</v>
      </c>
      <c r="J11" s="27" t="str">
        <f t="shared" si="11"/>
        <v/>
      </c>
      <c r="L11" s="25">
        <v>11.85</v>
      </c>
      <c r="M11" s="25">
        <v>17.78</v>
      </c>
      <c r="N11" s="25">
        <v>26.81</v>
      </c>
      <c r="P11" s="25">
        <v>17.88</v>
      </c>
      <c r="Q11" s="25">
        <v>26.83</v>
      </c>
      <c r="S11" s="25">
        <f t="shared" si="5"/>
        <v>13435.864903216901</v>
      </c>
      <c r="T11" s="80">
        <f t="shared" si="6"/>
        <v>2284.0970335468733</v>
      </c>
      <c r="U11" s="80">
        <f t="shared" si="7"/>
        <v>11151.767869670028</v>
      </c>
      <c r="V11" s="80">
        <f>SUM($U$2:U11)</f>
        <v>47456.284750081948</v>
      </c>
      <c r="W11" s="80">
        <f t="shared" si="8"/>
        <v>63176.246686845727</v>
      </c>
    </row>
    <row r="12" spans="1:23">
      <c r="A12" s="25">
        <v>17.77</v>
      </c>
      <c r="B12" s="27">
        <f t="shared" si="9"/>
        <v>-5.6242969628805817E-4</v>
      </c>
      <c r="C12" s="25" t="str">
        <f>IF(COUNTBLANK(A12:A20)&gt;0,"",AVERAGE(A12:A20))</f>
        <v/>
      </c>
      <c r="D12" s="152" t="str">
        <f t="shared" si="13"/>
        <v/>
      </c>
      <c r="E12" s="27" t="e">
        <f t="shared" si="3"/>
        <v>#VALUE!</v>
      </c>
      <c r="F12" s="159" t="e">
        <f t="shared" si="10"/>
        <v>#VALUE!</v>
      </c>
      <c r="G12" s="152">
        <f t="shared" si="4"/>
        <v>1.6350000000000121E-2</v>
      </c>
      <c r="H12" s="155" t="e">
        <f t="shared" si="1"/>
        <v>#VALUE!</v>
      </c>
      <c r="I12" s="159" t="e">
        <f t="shared" si="12"/>
        <v>#VALUE!</v>
      </c>
      <c r="J12" s="27" t="str">
        <f t="shared" si="11"/>
        <v/>
      </c>
      <c r="L12" s="25">
        <v>11.85</v>
      </c>
      <c r="M12" s="25">
        <v>17.77</v>
      </c>
      <c r="N12" s="25">
        <v>26.84</v>
      </c>
      <c r="P12" s="25">
        <v>17.670000000000002</v>
      </c>
      <c r="Q12" s="25">
        <v>26.5</v>
      </c>
      <c r="S12" s="25">
        <f t="shared" si="5"/>
        <v>16319.961936763775</v>
      </c>
      <c r="T12" s="80">
        <f t="shared" si="6"/>
        <v>2774.3935292498418</v>
      </c>
      <c r="U12" s="80">
        <f t="shared" si="7"/>
        <v>13545.568407513932</v>
      </c>
      <c r="V12" s="80">
        <f>SUM($U$2:U12)</f>
        <v>61001.853157595877</v>
      </c>
      <c r="W12" s="80">
        <f t="shared" si="8"/>
        <v>80096.208623609491</v>
      </c>
    </row>
    <row r="13" spans="1:23">
      <c r="A13" s="25">
        <v>17.82</v>
      </c>
      <c r="B13" s="27">
        <f t="shared" si="9"/>
        <v>2.8137310073157451E-3</v>
      </c>
      <c r="C13" s="25" t="str">
        <f t="shared" si="2"/>
        <v/>
      </c>
      <c r="D13" s="152" t="str">
        <f t="shared" si="13"/>
        <v/>
      </c>
      <c r="E13" s="27" t="e">
        <f t="shared" si="3"/>
        <v>#VALUE!</v>
      </c>
      <c r="F13" s="159" t="e">
        <f t="shared" si="10"/>
        <v>#VALUE!</v>
      </c>
      <c r="G13" s="152">
        <f t="shared" si="4"/>
        <v>2.0758333333333212E-2</v>
      </c>
      <c r="H13" s="155" t="e">
        <f t="shared" si="1"/>
        <v>#VALUE!</v>
      </c>
      <c r="I13" s="159" t="e">
        <f t="shared" si="12"/>
        <v>#VALUE!</v>
      </c>
      <c r="J13" s="27" t="str">
        <f t="shared" si="11"/>
        <v/>
      </c>
      <c r="L13" s="25">
        <v>11.86</v>
      </c>
      <c r="M13" s="25">
        <v>17.82</v>
      </c>
      <c r="N13" s="25">
        <v>26.9</v>
      </c>
      <c r="P13" s="25">
        <v>18.03</v>
      </c>
      <c r="Q13" s="25">
        <v>27.63</v>
      </c>
      <c r="S13" s="25">
        <f t="shared" si="5"/>
        <v>19694.355466013618</v>
      </c>
      <c r="T13" s="80">
        <f t="shared" si="6"/>
        <v>3348.0404292223157</v>
      </c>
      <c r="U13" s="80">
        <f t="shared" si="7"/>
        <v>16346.315036791302</v>
      </c>
      <c r="V13" s="80">
        <f>SUM($U$2:U13)</f>
        <v>77348.168194387181</v>
      </c>
      <c r="W13" s="80">
        <f t="shared" si="8"/>
        <v>100390.56408962311</v>
      </c>
    </row>
    <row r="14" spans="1:23">
      <c r="A14" s="25">
        <v>17.86</v>
      </c>
      <c r="B14" s="27">
        <f t="shared" si="9"/>
        <v>2.2446689113355678E-3</v>
      </c>
      <c r="C14" s="25" t="str">
        <f t="shared" si="2"/>
        <v/>
      </c>
      <c r="D14" s="152" t="str">
        <f t="shared" si="13"/>
        <v/>
      </c>
      <c r="E14" s="27" t="e">
        <f t="shared" si="3"/>
        <v>#VALUE!</v>
      </c>
      <c r="F14" s="159" t="e">
        <f t="shared" si="10"/>
        <v>#VALUE!</v>
      </c>
      <c r="G14" s="152">
        <f t="shared" si="4"/>
        <v>3.103333333331193E-2</v>
      </c>
      <c r="H14" s="155" t="e">
        <f t="shared" si="1"/>
        <v>#VALUE!</v>
      </c>
      <c r="I14" s="159" t="e">
        <f t="shared" si="12"/>
        <v>#VALUE!</v>
      </c>
      <c r="J14" s="27" t="str">
        <f t="shared" si="11"/>
        <v/>
      </c>
      <c r="L14" s="25">
        <v>11.8</v>
      </c>
      <c r="M14" s="25">
        <v>17.86</v>
      </c>
      <c r="N14" s="25">
        <v>26.89</v>
      </c>
      <c r="P14" s="25">
        <v>17.96</v>
      </c>
      <c r="Q14" s="25">
        <v>27.6</v>
      </c>
      <c r="S14" s="25">
        <f t="shared" si="5"/>
        <v>23642.395895235932</v>
      </c>
      <c r="T14" s="80">
        <f t="shared" si="6"/>
        <v>4019.2073021901083</v>
      </c>
      <c r="U14" s="80">
        <f t="shared" si="7"/>
        <v>19623.188593045823</v>
      </c>
      <c r="V14" s="80">
        <f>SUM($U$2:U14)</f>
        <v>96971.356787433004</v>
      </c>
      <c r="W14" s="80">
        <f t="shared" si="8"/>
        <v>124632.95998485904</v>
      </c>
    </row>
    <row r="15" spans="1:23">
      <c r="A15" s="25">
        <v>17.649999999999999</v>
      </c>
      <c r="B15" s="27">
        <f t="shared" si="9"/>
        <v>-1.1758118701007847E-2</v>
      </c>
      <c r="C15" s="25" t="str">
        <f>IF(COUNTBLANK(A15:A23)&gt;0,"",AVERAGE(A15:A23))</f>
        <v/>
      </c>
      <c r="D15" s="152" t="str">
        <f t="shared" si="13"/>
        <v/>
      </c>
      <c r="E15" s="27" t="e">
        <f t="shared" si="3"/>
        <v>#VALUE!</v>
      </c>
      <c r="F15" s="159" t="e">
        <f t="shared" si="10"/>
        <v>#VALUE!</v>
      </c>
      <c r="G15" s="152">
        <f t="shared" si="4"/>
        <v>6.1249999999972715E-2</v>
      </c>
      <c r="H15" s="155" t="e">
        <f t="shared" si="1"/>
        <v>#VALUE!</v>
      </c>
      <c r="I15" s="159" t="e">
        <f t="shared" si="12"/>
        <v>#VALUE!</v>
      </c>
      <c r="J15" s="27" t="str">
        <f t="shared" si="11"/>
        <v/>
      </c>
      <c r="L15" s="25">
        <v>11.74</v>
      </c>
      <c r="M15" s="25">
        <v>17.649999999999999</v>
      </c>
      <c r="N15" s="25">
        <v>26.73</v>
      </c>
      <c r="P15" s="25">
        <v>18.29</v>
      </c>
      <c r="Q15" s="25">
        <v>28.25</v>
      </c>
      <c r="S15" s="25">
        <f t="shared" si="5"/>
        <v>28261.60319742604</v>
      </c>
      <c r="T15" s="80">
        <f t="shared" si="6"/>
        <v>4804.4725435624268</v>
      </c>
      <c r="U15" s="80">
        <f t="shared" si="7"/>
        <v>23457.130653863613</v>
      </c>
      <c r="V15" s="80">
        <f>SUM($U$2:U15)</f>
        <v>120428.48744129662</v>
      </c>
      <c r="W15" s="80">
        <f t="shared" si="8"/>
        <v>153494.56318228508</v>
      </c>
    </row>
    <row r="16" spans="1:23">
      <c r="A16" s="25">
        <v>18</v>
      </c>
      <c r="B16" s="27">
        <f t="shared" si="9"/>
        <v>1.9830028328611915E-2</v>
      </c>
      <c r="C16" s="25" t="str">
        <f>IF(COUNTBLANK(A16:A24)&gt;0,"",AVERAGE(A16:A24))</f>
        <v/>
      </c>
      <c r="D16" s="152" t="str">
        <f t="shared" si="13"/>
        <v/>
      </c>
      <c r="E16" s="27" t="e">
        <f t="shared" ref="E16:E33" si="14">D16/C16</f>
        <v>#VALUE!</v>
      </c>
      <c r="F16" s="159" t="e">
        <f t="shared" si="10"/>
        <v>#VALUE!</v>
      </c>
      <c r="G16" s="152" t="e">
        <f t="shared" si="4"/>
        <v>#DIV/0!</v>
      </c>
      <c r="H16" s="155" t="e">
        <f t="shared" si="1"/>
        <v>#DIV/0!</v>
      </c>
      <c r="I16" s="159" t="e">
        <f t="shared" si="12"/>
        <v>#DIV/0!</v>
      </c>
      <c r="J16" s="27" t="str">
        <f t="shared" si="11"/>
        <v/>
      </c>
      <c r="P16" s="25">
        <v>18.03</v>
      </c>
      <c r="Q16" s="25">
        <v>28.17</v>
      </c>
      <c r="S16" s="25">
        <f t="shared" ref="S16:S22" si="15">S15+T15+600</f>
        <v>33666.075740988468</v>
      </c>
      <c r="T16" s="80">
        <f t="shared" si="6"/>
        <v>5723.2328759680395</v>
      </c>
      <c r="U16" s="80">
        <f t="shared" si="7"/>
        <v>27942.84286502043</v>
      </c>
      <c r="V16" s="80">
        <f>SUM($U$2:U16)</f>
        <v>148371.33030631705</v>
      </c>
      <c r="W16" s="80">
        <f t="shared" si="8"/>
        <v>187760.63892327354</v>
      </c>
    </row>
    <row r="17" spans="2:24">
      <c r="B17" s="27" t="str">
        <f t="shared" si="9"/>
        <v/>
      </c>
      <c r="C17" s="25" t="str">
        <f t="shared" si="2"/>
        <v/>
      </c>
      <c r="D17" s="152" t="str">
        <f t="shared" si="13"/>
        <v/>
      </c>
      <c r="E17" s="27" t="e">
        <f t="shared" si="14"/>
        <v>#VALUE!</v>
      </c>
      <c r="F17" s="159" t="e">
        <f t="shared" si="10"/>
        <v>#VALUE!</v>
      </c>
      <c r="G17" s="152" t="e">
        <f t="shared" si="4"/>
        <v>#DIV/0!</v>
      </c>
      <c r="H17" s="155" t="e">
        <f t="shared" si="1"/>
        <v>#DIV/0!</v>
      </c>
      <c r="I17" s="159" t="e">
        <f t="shared" si="12"/>
        <v>#DIV/0!</v>
      </c>
      <c r="J17" s="27" t="str">
        <f t="shared" si="11"/>
        <v/>
      </c>
      <c r="P17" s="25">
        <v>18.05</v>
      </c>
      <c r="Q17" s="25">
        <v>27.55</v>
      </c>
      <c r="S17" s="25">
        <f t="shared" si="15"/>
        <v>39989.308616956507</v>
      </c>
      <c r="T17" s="80">
        <f t="shared" si="6"/>
        <v>6798.1824648826068</v>
      </c>
      <c r="U17" s="80">
        <f t="shared" si="7"/>
        <v>33191.126152073899</v>
      </c>
      <c r="V17" s="80">
        <f>SUM($U$2:U17)</f>
        <v>181562.45645839095</v>
      </c>
      <c r="W17" s="80">
        <f t="shared" si="8"/>
        <v>228349.94754023006</v>
      </c>
    </row>
    <row r="18" spans="2:24">
      <c r="B18" s="27" t="str">
        <f t="shared" si="9"/>
        <v/>
      </c>
      <c r="C18" s="25" t="str">
        <f t="shared" si="2"/>
        <v/>
      </c>
      <c r="D18" s="152" t="str">
        <f>IF(C18="","",STDEV(A17:A26))</f>
        <v/>
      </c>
      <c r="E18" s="27" t="e">
        <f t="shared" si="14"/>
        <v>#VALUE!</v>
      </c>
      <c r="F18" s="159" t="e">
        <f t="shared" si="10"/>
        <v>#VALUE!</v>
      </c>
      <c r="G18" s="152" t="e">
        <f t="shared" si="4"/>
        <v>#DIV/0!</v>
      </c>
      <c r="H18" s="155" t="e">
        <f t="shared" si="1"/>
        <v>#DIV/0!</v>
      </c>
      <c r="I18" s="159" t="e">
        <f t="shared" si="12"/>
        <v>#DIV/0!</v>
      </c>
      <c r="J18" s="27" t="str">
        <f t="shared" si="11"/>
        <v/>
      </c>
      <c r="P18" s="25">
        <v>17.940000000000001</v>
      </c>
      <c r="Q18" s="25">
        <v>26.64</v>
      </c>
      <c r="S18" s="25">
        <f t="shared" si="15"/>
        <v>47387.491081839114</v>
      </c>
      <c r="T18" s="80">
        <f t="shared" si="6"/>
        <v>8055.87348391265</v>
      </c>
      <c r="U18" s="80">
        <f t="shared" si="7"/>
        <v>39331.617597926466</v>
      </c>
      <c r="V18" s="80">
        <f>SUM($U$2:U18)</f>
        <v>220894.07405631742</v>
      </c>
      <c r="W18" s="80">
        <f t="shared" si="8"/>
        <v>276337.4386220692</v>
      </c>
    </row>
    <row r="19" spans="2:24">
      <c r="B19" s="27" t="str">
        <f t="shared" si="9"/>
        <v/>
      </c>
      <c r="C19" s="25" t="str">
        <f t="shared" si="2"/>
        <v/>
      </c>
      <c r="D19" s="152" t="str">
        <f t="shared" ref="D19:D50" si="16">IF(C19="","",STDEV(A19:A27))</f>
        <v/>
      </c>
      <c r="E19" s="27" t="e">
        <f t="shared" si="14"/>
        <v>#VALUE!</v>
      </c>
      <c r="F19" s="159" t="e">
        <f t="shared" si="10"/>
        <v>#VALUE!</v>
      </c>
      <c r="G19" s="152" t="e">
        <f t="shared" si="4"/>
        <v>#DIV/0!</v>
      </c>
      <c r="H19" s="155" t="e">
        <f t="shared" si="1"/>
        <v>#DIV/0!</v>
      </c>
      <c r="I19" s="159" t="e">
        <f t="shared" si="12"/>
        <v>#DIV/0!</v>
      </c>
      <c r="J19" s="27" t="str">
        <f t="shared" si="11"/>
        <v/>
      </c>
      <c r="P19" s="25">
        <v>17.3</v>
      </c>
      <c r="Q19" s="25">
        <v>26.03</v>
      </c>
      <c r="S19" s="25">
        <f t="shared" si="15"/>
        <v>56043.364565751763</v>
      </c>
      <c r="T19" s="80">
        <f t="shared" si="6"/>
        <v>9527.3719761777993</v>
      </c>
      <c r="U19" s="80">
        <f t="shared" si="7"/>
        <v>46515.992589573965</v>
      </c>
      <c r="V19" s="80">
        <f>SUM($U$2:U19)</f>
        <v>267410.06664589141</v>
      </c>
      <c r="W19" s="80">
        <f t="shared" si="8"/>
        <v>332980.80318782094</v>
      </c>
    </row>
    <row r="20" spans="2:24">
      <c r="B20" s="27" t="str">
        <f t="shared" si="9"/>
        <v/>
      </c>
      <c r="C20" s="25" t="str">
        <f t="shared" si="2"/>
        <v/>
      </c>
      <c r="D20" s="152" t="str">
        <f t="shared" si="16"/>
        <v/>
      </c>
      <c r="E20" s="27" t="e">
        <f t="shared" si="14"/>
        <v>#VALUE!</v>
      </c>
      <c r="F20" s="159" t="e">
        <f t="shared" si="10"/>
        <v>#VALUE!</v>
      </c>
      <c r="G20" s="152" t="e">
        <f t="shared" si="4"/>
        <v>#DIV/0!</v>
      </c>
      <c r="H20" s="155" t="e">
        <f t="shared" si="1"/>
        <v>#DIV/0!</v>
      </c>
      <c r="I20" s="159" t="e">
        <f t="shared" si="12"/>
        <v>#DIV/0!</v>
      </c>
      <c r="J20" s="27" t="str">
        <f t="shared" si="11"/>
        <v/>
      </c>
      <c r="P20" s="25">
        <v>17.46</v>
      </c>
      <c r="Q20" s="25">
        <v>26.18</v>
      </c>
      <c r="S20" s="25">
        <f t="shared" si="15"/>
        <v>66170.736541929567</v>
      </c>
      <c r="T20" s="80">
        <f t="shared" si="6"/>
        <v>11249.025212128028</v>
      </c>
      <c r="U20" s="80">
        <f t="shared" si="7"/>
        <v>54921.711329801539</v>
      </c>
      <c r="V20" s="80">
        <f>SUM($U$2:U20)</f>
        <v>322331.77797569294</v>
      </c>
      <c r="W20" s="80">
        <f t="shared" si="8"/>
        <v>399751.53972975048</v>
      </c>
    </row>
    <row r="21" spans="2:24">
      <c r="B21" s="27" t="str">
        <f t="shared" si="9"/>
        <v/>
      </c>
      <c r="C21" s="25" t="str">
        <f t="shared" si="2"/>
        <v/>
      </c>
      <c r="D21" s="152" t="str">
        <f t="shared" si="16"/>
        <v/>
      </c>
      <c r="E21" s="27" t="e">
        <f t="shared" si="14"/>
        <v>#VALUE!</v>
      </c>
      <c r="F21" s="159" t="e">
        <f t="shared" si="10"/>
        <v>#VALUE!</v>
      </c>
      <c r="G21" s="152" t="e">
        <f t="shared" si="4"/>
        <v>#DIV/0!</v>
      </c>
      <c r="H21" s="155" t="e">
        <f t="shared" si="1"/>
        <v>#DIV/0!</v>
      </c>
      <c r="I21" s="159" t="e">
        <f t="shared" si="12"/>
        <v>#DIV/0!</v>
      </c>
      <c r="J21" s="27" t="str">
        <f t="shared" si="11"/>
        <v/>
      </c>
      <c r="P21" s="25">
        <v>17.649999999999999</v>
      </c>
      <c r="Q21" s="25">
        <v>26.62</v>
      </c>
      <c r="S21" s="25">
        <f t="shared" si="15"/>
        <v>78019.761754057603</v>
      </c>
      <c r="T21" s="80">
        <f t="shared" si="6"/>
        <v>13263.359498189791</v>
      </c>
      <c r="U21" s="80">
        <f t="shared" si="7"/>
        <v>64756.402255867812</v>
      </c>
      <c r="V21" s="80">
        <f>SUM($U$2:U21)</f>
        <v>387088.18023156072</v>
      </c>
      <c r="W21" s="80">
        <f t="shared" si="8"/>
        <v>478371.30148380809</v>
      </c>
    </row>
    <row r="22" spans="2:24">
      <c r="B22" s="27" t="str">
        <f t="shared" si="9"/>
        <v/>
      </c>
      <c r="C22" s="25" t="str">
        <f t="shared" si="2"/>
        <v/>
      </c>
      <c r="D22" s="152" t="str">
        <f t="shared" si="16"/>
        <v/>
      </c>
      <c r="E22" s="27" t="e">
        <f t="shared" si="14"/>
        <v>#VALUE!</v>
      </c>
      <c r="F22" s="159" t="e">
        <f t="shared" si="10"/>
        <v>#VALUE!</v>
      </c>
      <c r="G22" s="152" t="e">
        <f t="shared" si="4"/>
        <v>#DIV/0!</v>
      </c>
      <c r="H22" s="155" t="e">
        <f t="shared" si="1"/>
        <v>#DIV/0!</v>
      </c>
      <c r="I22" s="159" t="e">
        <f t="shared" si="12"/>
        <v>#DIV/0!</v>
      </c>
      <c r="J22" s="27" t="str">
        <f t="shared" si="11"/>
        <v/>
      </c>
      <c r="P22" s="25">
        <v>17.7</v>
      </c>
      <c r="Q22" s="25">
        <v>26.77</v>
      </c>
      <c r="S22" s="173">
        <f t="shared" si="15"/>
        <v>91883.121252247394</v>
      </c>
      <c r="T22" s="172">
        <f t="shared" si="6"/>
        <v>15620.130612882058</v>
      </c>
      <c r="U22" s="172">
        <f t="shared" si="7"/>
        <v>76262.990639365336</v>
      </c>
      <c r="V22" s="172">
        <f>SUM($U$2:U22)</f>
        <v>463351.17087092606</v>
      </c>
      <c r="W22" s="172">
        <f t="shared" si="8"/>
        <v>570854.42273605545</v>
      </c>
      <c r="X22" s="80">
        <f>W22-W10</f>
        <v>521714.04095242661</v>
      </c>
    </row>
    <row r="23" spans="2:24">
      <c r="B23" s="27" t="str">
        <f t="shared" si="9"/>
        <v/>
      </c>
      <c r="C23" s="25" t="str">
        <f t="shared" si="2"/>
        <v/>
      </c>
      <c r="D23" s="152" t="str">
        <f t="shared" si="16"/>
        <v/>
      </c>
      <c r="E23" s="27" t="e">
        <f t="shared" si="14"/>
        <v>#VALUE!</v>
      </c>
      <c r="F23" s="159" t="e">
        <f t="shared" si="10"/>
        <v>#VALUE!</v>
      </c>
      <c r="G23" s="152" t="e">
        <f t="shared" si="4"/>
        <v>#DIV/0!</v>
      </c>
      <c r="H23" s="155" t="e">
        <f t="shared" si="1"/>
        <v>#DIV/0!</v>
      </c>
      <c r="I23" s="159" t="e">
        <f t="shared" si="12"/>
        <v>#DIV/0!</v>
      </c>
      <c r="J23" s="27" t="str">
        <f t="shared" si="11"/>
        <v/>
      </c>
      <c r="S23" s="25">
        <f>S22+T22+600</f>
        <v>108103.25186512945</v>
      </c>
      <c r="T23" s="80">
        <f t="shared" si="6"/>
        <v>18377.552817072006</v>
      </c>
      <c r="U23" s="80">
        <f>S23-T23</f>
        <v>89725.699048057446</v>
      </c>
      <c r="V23" s="80">
        <f>SUM($U$2:U23)</f>
        <v>553076.86991898355</v>
      </c>
      <c r="W23" s="80">
        <f>V23+T23+S23</f>
        <v>679557.67460118502</v>
      </c>
    </row>
    <row r="24" spans="2:24">
      <c r="B24" s="27" t="str">
        <f t="shared" si="9"/>
        <v/>
      </c>
      <c r="C24" s="25" t="str">
        <f t="shared" si="2"/>
        <v/>
      </c>
      <c r="D24" s="152" t="str">
        <f t="shared" si="16"/>
        <v/>
      </c>
      <c r="E24" s="27" t="e">
        <f t="shared" si="14"/>
        <v>#VALUE!</v>
      </c>
      <c r="F24" s="159" t="e">
        <f t="shared" si="10"/>
        <v>#VALUE!</v>
      </c>
      <c r="G24" s="152" t="e">
        <f t="shared" si="4"/>
        <v>#DIV/0!</v>
      </c>
      <c r="H24" s="155" t="e">
        <f t="shared" si="1"/>
        <v>#DIV/0!</v>
      </c>
      <c r="I24" s="159" t="e">
        <f t="shared" si="12"/>
        <v>#DIV/0!</v>
      </c>
      <c r="J24" s="27" t="str">
        <f t="shared" si="11"/>
        <v/>
      </c>
      <c r="S24" s="25">
        <f t="shared" ref="S24:S29" si="17">S23+T23+600</f>
        <v>127080.80468220146</v>
      </c>
      <c r="T24" s="80">
        <f t="shared" si="6"/>
        <v>21603.736795974248</v>
      </c>
      <c r="U24" s="80">
        <f t="shared" ref="U24:U29" si="18">S24-T24</f>
        <v>105477.06788622722</v>
      </c>
      <c r="V24" s="80">
        <f>SUM($U$2:U24)</f>
        <v>658553.93780521071</v>
      </c>
      <c r="W24" s="80">
        <f t="shared" ref="W24:W29" si="19">V24+T24+S24</f>
        <v>807238.47928338638</v>
      </c>
    </row>
    <row r="25" spans="2:24">
      <c r="B25" s="27" t="str">
        <f>IF(A25&gt;0,A25/A24-1,"")</f>
        <v/>
      </c>
      <c r="C25" s="25" t="str">
        <f t="shared" si="2"/>
        <v/>
      </c>
      <c r="D25" s="152" t="str">
        <f t="shared" si="16"/>
        <v/>
      </c>
      <c r="E25" s="27" t="e">
        <f t="shared" si="14"/>
        <v>#VALUE!</v>
      </c>
      <c r="F25" s="159" t="e">
        <f t="shared" si="10"/>
        <v>#VALUE!</v>
      </c>
      <c r="G25" s="152" t="e">
        <f t="shared" si="4"/>
        <v>#DIV/0!</v>
      </c>
      <c r="H25" s="155" t="e">
        <f t="shared" si="1"/>
        <v>#DIV/0!</v>
      </c>
      <c r="I25" s="159" t="e">
        <f t="shared" si="12"/>
        <v>#DIV/0!</v>
      </c>
      <c r="J25" s="27" t="str">
        <f t="shared" si="11"/>
        <v/>
      </c>
      <c r="S25" s="25">
        <f t="shared" si="17"/>
        <v>149284.5414781757</v>
      </c>
      <c r="T25" s="80">
        <f t="shared" si="6"/>
        <v>25378.372051289869</v>
      </c>
      <c r="U25" s="80">
        <f t="shared" si="18"/>
        <v>123906.16942688583</v>
      </c>
      <c r="V25" s="80">
        <f>SUM($U$2:U25)</f>
        <v>782460.10723209649</v>
      </c>
      <c r="W25" s="80">
        <f t="shared" si="19"/>
        <v>957123.02076156205</v>
      </c>
    </row>
    <row r="26" spans="2:24">
      <c r="B26" s="27" t="str">
        <f t="shared" si="9"/>
        <v/>
      </c>
      <c r="C26" s="25" t="str">
        <f t="shared" si="2"/>
        <v/>
      </c>
      <c r="D26" s="152" t="str">
        <f t="shared" si="16"/>
        <v/>
      </c>
      <c r="E26" s="27" t="e">
        <f t="shared" si="14"/>
        <v>#VALUE!</v>
      </c>
      <c r="F26" s="159" t="e">
        <f t="shared" si="10"/>
        <v>#VALUE!</v>
      </c>
      <c r="G26" s="152" t="e">
        <f t="shared" si="4"/>
        <v>#DIV/0!</v>
      </c>
      <c r="H26" s="155" t="e">
        <f t="shared" si="1"/>
        <v>#DIV/0!</v>
      </c>
      <c r="I26" s="159" t="e">
        <f t="shared" si="12"/>
        <v>#DIV/0!</v>
      </c>
      <c r="J26" s="27" t="str">
        <f t="shared" si="11"/>
        <v/>
      </c>
      <c r="S26" s="25">
        <f t="shared" si="17"/>
        <v>175262.91352946556</v>
      </c>
      <c r="T26" s="80">
        <f t="shared" si="6"/>
        <v>29794.695300009145</v>
      </c>
      <c r="U26" s="80">
        <f t="shared" si="18"/>
        <v>145468.2182294564</v>
      </c>
      <c r="V26" s="80">
        <f>SUM($U$2:U26)</f>
        <v>927928.32546155294</v>
      </c>
      <c r="W26" s="80">
        <f t="shared" si="19"/>
        <v>1132985.9342910275</v>
      </c>
    </row>
    <row r="27" spans="2:24">
      <c r="B27" s="27" t="str">
        <f t="shared" si="9"/>
        <v/>
      </c>
      <c r="C27" s="25" t="str">
        <f t="shared" si="2"/>
        <v/>
      </c>
      <c r="D27" s="152" t="str">
        <f t="shared" si="16"/>
        <v/>
      </c>
      <c r="E27" s="27" t="e">
        <f t="shared" si="14"/>
        <v>#VALUE!</v>
      </c>
      <c r="F27" s="159" t="e">
        <f t="shared" si="10"/>
        <v>#VALUE!</v>
      </c>
      <c r="G27" s="152" t="e">
        <f t="shared" si="4"/>
        <v>#DIV/0!</v>
      </c>
      <c r="H27" s="155" t="e">
        <f t="shared" si="1"/>
        <v>#DIV/0!</v>
      </c>
      <c r="I27" s="159" t="e">
        <f t="shared" si="12"/>
        <v>#DIV/0!</v>
      </c>
      <c r="J27" s="27" t="str">
        <f t="shared" si="11"/>
        <v/>
      </c>
      <c r="K27" s="27"/>
      <c r="S27" s="25">
        <f t="shared" si="17"/>
        <v>205657.60882947472</v>
      </c>
      <c r="T27" s="80">
        <f t="shared" si="6"/>
        <v>34961.793501010703</v>
      </c>
      <c r="U27" s="80">
        <f t="shared" si="18"/>
        <v>170695.81532846403</v>
      </c>
      <c r="V27" s="80">
        <f>SUM($U$2:U27)</f>
        <v>1098624.1407900169</v>
      </c>
      <c r="W27" s="80">
        <f t="shared" si="19"/>
        <v>1339243.5431205023</v>
      </c>
    </row>
    <row r="28" spans="2:24">
      <c r="B28" s="27" t="str">
        <f t="shared" si="9"/>
        <v/>
      </c>
      <c r="C28" s="25" t="str">
        <f t="shared" si="2"/>
        <v/>
      </c>
      <c r="D28" s="152" t="str">
        <f t="shared" si="16"/>
        <v/>
      </c>
      <c r="E28" s="27" t="e">
        <f t="shared" si="14"/>
        <v>#VALUE!</v>
      </c>
      <c r="F28" s="159" t="e">
        <f t="shared" si="10"/>
        <v>#VALUE!</v>
      </c>
      <c r="G28" s="152" t="e">
        <f t="shared" si="4"/>
        <v>#DIV/0!</v>
      </c>
      <c r="H28" s="155" t="e">
        <f t="shared" si="1"/>
        <v>#DIV/0!</v>
      </c>
      <c r="I28" s="159" t="e">
        <f t="shared" si="12"/>
        <v>#DIV/0!</v>
      </c>
      <c r="J28" s="27" t="str">
        <f t="shared" si="11"/>
        <v/>
      </c>
      <c r="S28" s="25">
        <f t="shared" si="17"/>
        <v>241219.40233048541</v>
      </c>
      <c r="T28" s="80">
        <f t="shared" si="6"/>
        <v>41007.298396182523</v>
      </c>
      <c r="U28" s="80">
        <f t="shared" si="18"/>
        <v>200212.10393430287</v>
      </c>
      <c r="V28" s="80">
        <f>SUM($U$2:U28)</f>
        <v>1298836.2447243198</v>
      </c>
      <c r="W28" s="80">
        <f t="shared" si="19"/>
        <v>1581062.9454509877</v>
      </c>
    </row>
    <row r="29" spans="2:24">
      <c r="B29" s="27" t="str">
        <f t="shared" si="9"/>
        <v/>
      </c>
      <c r="C29" s="25" t="str">
        <f t="shared" si="2"/>
        <v/>
      </c>
      <c r="D29" s="152" t="str">
        <f t="shared" si="16"/>
        <v/>
      </c>
      <c r="E29" s="27" t="e">
        <f t="shared" si="14"/>
        <v>#VALUE!</v>
      </c>
      <c r="F29" s="159" t="e">
        <f t="shared" si="10"/>
        <v>#VALUE!</v>
      </c>
      <c r="G29" s="152" t="e">
        <f t="shared" si="4"/>
        <v>#DIV/0!</v>
      </c>
      <c r="H29" s="155" t="e">
        <f t="shared" si="1"/>
        <v>#DIV/0!</v>
      </c>
      <c r="I29" s="159" t="e">
        <f t="shared" si="12"/>
        <v>#DIV/0!</v>
      </c>
      <c r="J29" s="27" t="str">
        <f t="shared" si="11"/>
        <v/>
      </c>
      <c r="S29" s="25">
        <f t="shared" si="17"/>
        <v>282826.70072666794</v>
      </c>
      <c r="T29" s="80">
        <f t="shared" si="6"/>
        <v>48080.539123533556</v>
      </c>
      <c r="U29" s="80">
        <f t="shared" si="18"/>
        <v>234746.16160313439</v>
      </c>
      <c r="V29" s="80">
        <f>SUM($U$2:U29)</f>
        <v>1533582.4063274541</v>
      </c>
      <c r="W29" s="80">
        <f t="shared" si="19"/>
        <v>1864489.6461776556</v>
      </c>
    </row>
    <row r="30" spans="2:24">
      <c r="C30" s="25" t="str">
        <f t="shared" si="2"/>
        <v/>
      </c>
      <c r="D30" s="152" t="str">
        <f t="shared" si="16"/>
        <v/>
      </c>
      <c r="E30" s="27" t="e">
        <f t="shared" si="14"/>
        <v>#VALUE!</v>
      </c>
      <c r="F30" s="159" t="e">
        <f t="shared" si="10"/>
        <v>#VALUE!</v>
      </c>
      <c r="G30" s="152" t="e">
        <f t="shared" si="4"/>
        <v>#DIV/0!</v>
      </c>
      <c r="H30" s="155" t="e">
        <f t="shared" si="1"/>
        <v>#DIV/0!</v>
      </c>
      <c r="I30" s="159" t="e">
        <f t="shared" si="12"/>
        <v>#DIV/0!</v>
      </c>
      <c r="J30" s="27" t="str">
        <f t="shared" si="11"/>
        <v/>
      </c>
      <c r="S30" s="25">
        <f t="shared" ref="S30:S35" si="20">S29+T29+600</f>
        <v>331507.23985020153</v>
      </c>
      <c r="T30" s="80">
        <f t="shared" si="6"/>
        <v>56356.230774534262</v>
      </c>
      <c r="U30" s="80">
        <f t="shared" ref="U30:U35" si="21">S30-T30</f>
        <v>275151.00907566724</v>
      </c>
      <c r="V30" s="80">
        <f>SUM($U$2:U30)</f>
        <v>1808733.4154031214</v>
      </c>
      <c r="W30" s="80">
        <f t="shared" ref="W30:W35" si="22">V30+T30+S30</f>
        <v>2196596.8860278572</v>
      </c>
    </row>
    <row r="31" spans="2:24">
      <c r="C31" s="25" t="str">
        <f t="shared" si="2"/>
        <v/>
      </c>
      <c r="D31" s="152" t="str">
        <f t="shared" si="16"/>
        <v/>
      </c>
      <c r="E31" s="27" t="e">
        <f t="shared" si="14"/>
        <v>#VALUE!</v>
      </c>
      <c r="F31" s="159" t="e">
        <f t="shared" si="10"/>
        <v>#VALUE!</v>
      </c>
      <c r="G31" s="152" t="e">
        <f t="shared" si="4"/>
        <v>#DIV/0!</v>
      </c>
      <c r="H31" s="155" t="e">
        <f t="shared" si="1"/>
        <v>#DIV/0!</v>
      </c>
      <c r="I31" s="159" t="e">
        <f t="shared" si="12"/>
        <v>#DIV/0!</v>
      </c>
      <c r="J31" s="27" t="str">
        <f t="shared" si="11"/>
        <v/>
      </c>
      <c r="S31" s="25">
        <f t="shared" si="20"/>
        <v>388463.47062473581</v>
      </c>
      <c r="T31" s="80">
        <f t="shared" si="6"/>
        <v>66038.79000620509</v>
      </c>
      <c r="U31" s="80">
        <f t="shared" si="21"/>
        <v>322424.68061853072</v>
      </c>
      <c r="V31" s="80">
        <f>SUM($U$2:U31)</f>
        <v>2131158.0960216522</v>
      </c>
      <c r="W31" s="80">
        <f t="shared" si="22"/>
        <v>2585660.3566525932</v>
      </c>
    </row>
    <row r="32" spans="2:24">
      <c r="C32" s="25" t="str">
        <f t="shared" si="2"/>
        <v/>
      </c>
      <c r="D32" s="152" t="str">
        <f t="shared" si="16"/>
        <v/>
      </c>
      <c r="E32" s="27" t="e">
        <f t="shared" si="14"/>
        <v>#VALUE!</v>
      </c>
      <c r="F32" s="159" t="e">
        <f t="shared" si="10"/>
        <v>#VALUE!</v>
      </c>
      <c r="G32" s="152" t="e">
        <f t="shared" si="4"/>
        <v>#DIV/0!</v>
      </c>
      <c r="H32" s="155" t="e">
        <f t="shared" si="1"/>
        <v>#DIV/0!</v>
      </c>
      <c r="I32" s="159" t="e">
        <f t="shared" si="12"/>
        <v>#DIV/0!</v>
      </c>
      <c r="J32" s="27" t="str">
        <f t="shared" si="11"/>
        <v/>
      </c>
      <c r="S32" s="25">
        <f t="shared" si="20"/>
        <v>455102.2606309409</v>
      </c>
      <c r="T32" s="80">
        <f t="shared" si="6"/>
        <v>77367.384307259956</v>
      </c>
      <c r="U32" s="80">
        <f t="shared" si="21"/>
        <v>377734.87632368098</v>
      </c>
      <c r="V32" s="80">
        <f>SUM($U$2:U32)</f>
        <v>2508892.9723453331</v>
      </c>
      <c r="W32" s="80">
        <f t="shared" si="22"/>
        <v>3041362.6172835343</v>
      </c>
    </row>
    <row r="33" spans="3:24">
      <c r="C33" s="25" t="str">
        <f t="shared" si="2"/>
        <v/>
      </c>
      <c r="D33" s="152" t="str">
        <f t="shared" si="16"/>
        <v/>
      </c>
      <c r="E33" s="27" t="e">
        <f t="shared" si="14"/>
        <v>#VALUE!</v>
      </c>
      <c r="F33" s="159" t="e">
        <f t="shared" si="10"/>
        <v>#VALUE!</v>
      </c>
      <c r="G33" s="152" t="e">
        <f t="shared" si="4"/>
        <v>#DIV/0!</v>
      </c>
      <c r="H33" s="155" t="e">
        <f t="shared" si="1"/>
        <v>#DIV/0!</v>
      </c>
      <c r="I33" s="159" t="e">
        <f t="shared" si="12"/>
        <v>#DIV/0!</v>
      </c>
      <c r="J33" s="27" t="str">
        <f t="shared" si="11"/>
        <v/>
      </c>
      <c r="S33" s="25">
        <f t="shared" si="20"/>
        <v>533069.64493820083</v>
      </c>
      <c r="T33" s="80">
        <f t="shared" si="6"/>
        <v>90621.839639494137</v>
      </c>
      <c r="U33" s="80">
        <f t="shared" si="21"/>
        <v>442447.80529870669</v>
      </c>
      <c r="V33" s="80">
        <f>SUM($U$2:U33)</f>
        <v>2951340.7776440396</v>
      </c>
      <c r="W33" s="80">
        <f t="shared" si="22"/>
        <v>3575032.2622217345</v>
      </c>
    </row>
    <row r="34" spans="3:24">
      <c r="C34" s="25" t="str">
        <f t="shared" si="2"/>
        <v/>
      </c>
      <c r="D34" s="152" t="str">
        <f t="shared" si="16"/>
        <v/>
      </c>
      <c r="E34" s="27" t="e">
        <f t="shared" ref="E34:E49" si="23">D34/C34</f>
        <v>#VALUE!</v>
      </c>
      <c r="F34" s="159" t="e">
        <f t="shared" si="10"/>
        <v>#VALUE!</v>
      </c>
      <c r="G34" s="152" t="e">
        <f t="shared" si="4"/>
        <v>#DIV/0!</v>
      </c>
      <c r="H34" s="155" t="e">
        <f t="shared" ref="H34:H65" si="24">G34/C34</f>
        <v>#DIV/0!</v>
      </c>
      <c r="I34" s="159" t="e">
        <f t="shared" si="12"/>
        <v>#DIV/0!</v>
      </c>
      <c r="J34" s="27" t="str">
        <f t="shared" si="11"/>
        <v/>
      </c>
      <c r="S34" s="173">
        <f t="shared" si="20"/>
        <v>624291.48457769491</v>
      </c>
      <c r="T34" s="172">
        <f t="shared" si="6"/>
        <v>106129.55237820813</v>
      </c>
      <c r="U34" s="172">
        <f t="shared" si="21"/>
        <v>518161.93219948676</v>
      </c>
      <c r="V34" s="172">
        <f>SUM($U$2:U34)</f>
        <v>3469502.7098435266</v>
      </c>
      <c r="W34" s="172">
        <f t="shared" si="22"/>
        <v>4199923.7467994299</v>
      </c>
      <c r="X34" s="80">
        <f>W34-W22</f>
        <v>3629069.3240633747</v>
      </c>
    </row>
    <row r="35" spans="3:24">
      <c r="C35" s="25" t="str">
        <f t="shared" si="2"/>
        <v/>
      </c>
      <c r="D35" s="152" t="str">
        <f t="shared" si="16"/>
        <v/>
      </c>
      <c r="E35" s="27" t="e">
        <f t="shared" si="23"/>
        <v>#VALUE!</v>
      </c>
      <c r="F35" s="159" t="e">
        <f t="shared" si="10"/>
        <v>#VALUE!</v>
      </c>
      <c r="G35" s="152" t="e">
        <f t="shared" si="4"/>
        <v>#DIV/0!</v>
      </c>
      <c r="H35" s="155" t="e">
        <f t="shared" si="24"/>
        <v>#DIV/0!</v>
      </c>
      <c r="I35" s="159" t="e">
        <f t="shared" si="12"/>
        <v>#DIV/0!</v>
      </c>
      <c r="J35" s="27" t="str">
        <f t="shared" si="11"/>
        <v/>
      </c>
      <c r="S35" s="25">
        <f t="shared" si="20"/>
        <v>731021.03695590305</v>
      </c>
      <c r="T35" s="80">
        <f t="shared" si="6"/>
        <v>124273.57628250353</v>
      </c>
      <c r="U35" s="80">
        <f t="shared" si="21"/>
        <v>606747.4606733995</v>
      </c>
      <c r="V35" s="80">
        <f>SUM($U$2:U35)</f>
        <v>4076250.1705169259</v>
      </c>
      <c r="W35" s="80">
        <f t="shared" si="22"/>
        <v>4931544.7837553322</v>
      </c>
    </row>
    <row r="36" spans="3:24">
      <c r="C36" s="25" t="str">
        <f t="shared" si="2"/>
        <v/>
      </c>
      <c r="D36" s="152" t="str">
        <f t="shared" si="16"/>
        <v/>
      </c>
      <c r="E36" s="27" t="e">
        <f t="shared" si="23"/>
        <v>#VALUE!</v>
      </c>
      <c r="F36" s="159" t="e">
        <f t="shared" si="10"/>
        <v>#VALUE!</v>
      </c>
      <c r="G36" s="152" t="e">
        <f t="shared" si="4"/>
        <v>#DIV/0!</v>
      </c>
      <c r="H36" s="155" t="e">
        <f t="shared" si="24"/>
        <v>#DIV/0!</v>
      </c>
      <c r="I36" s="159" t="e">
        <f t="shared" si="12"/>
        <v>#DIV/0!</v>
      </c>
      <c r="J36" s="27" t="str">
        <f t="shared" si="11"/>
        <v/>
      </c>
      <c r="S36" s="25">
        <f t="shared" ref="S36:S47" si="25">S35+T35+600</f>
        <v>855894.6132384066</v>
      </c>
      <c r="T36" s="80">
        <f t="shared" si="6"/>
        <v>145502.08425052912</v>
      </c>
      <c r="U36" s="80">
        <f t="shared" ref="U36:U47" si="26">S36-T36</f>
        <v>710392.52898787754</v>
      </c>
      <c r="V36" s="80">
        <f>SUM($U$2:U36)</f>
        <v>4786642.6995048039</v>
      </c>
      <c r="W36" s="80">
        <f t="shared" ref="W36:W47" si="27">V36+T36+S36</f>
        <v>5788039.3969937395</v>
      </c>
    </row>
    <row r="37" spans="3:24">
      <c r="C37" s="25" t="str">
        <f t="shared" si="2"/>
        <v/>
      </c>
      <c r="D37" s="152" t="str">
        <f t="shared" si="16"/>
        <v/>
      </c>
      <c r="E37" s="27" t="e">
        <f t="shared" si="23"/>
        <v>#VALUE!</v>
      </c>
      <c r="F37" s="159" t="e">
        <f t="shared" si="10"/>
        <v>#VALUE!</v>
      </c>
      <c r="G37" s="152" t="e">
        <f t="shared" si="4"/>
        <v>#DIV/0!</v>
      </c>
      <c r="H37" s="155" t="e">
        <f t="shared" si="24"/>
        <v>#DIV/0!</v>
      </c>
      <c r="I37" s="159" t="e">
        <f t="shared" si="12"/>
        <v>#DIV/0!</v>
      </c>
      <c r="J37" s="27" t="str">
        <f t="shared" si="11"/>
        <v/>
      </c>
      <c r="S37" s="25">
        <f t="shared" si="25"/>
        <v>1001996.6974889357</v>
      </c>
      <c r="T37" s="80">
        <f t="shared" si="6"/>
        <v>170339.43857311909</v>
      </c>
      <c r="U37" s="80">
        <f t="shared" si="26"/>
        <v>831657.25891581655</v>
      </c>
      <c r="V37" s="80">
        <f>SUM($U$2:U37)</f>
        <v>5618299.9584206203</v>
      </c>
      <c r="W37" s="80">
        <f t="shared" si="27"/>
        <v>6790636.0944826752</v>
      </c>
    </row>
    <row r="38" spans="3:24">
      <c r="C38" s="25" t="str">
        <f t="shared" si="2"/>
        <v/>
      </c>
      <c r="D38" s="152" t="str">
        <f t="shared" si="16"/>
        <v/>
      </c>
      <c r="E38" s="27" t="e">
        <f t="shared" si="23"/>
        <v>#VALUE!</v>
      </c>
      <c r="F38" s="159" t="e">
        <f t="shared" si="10"/>
        <v>#VALUE!</v>
      </c>
      <c r="G38" s="152" t="e">
        <f t="shared" si="4"/>
        <v>#DIV/0!</v>
      </c>
      <c r="H38" s="155" t="e">
        <f t="shared" si="24"/>
        <v>#DIV/0!</v>
      </c>
      <c r="I38" s="159" t="e">
        <f t="shared" si="12"/>
        <v>#DIV/0!</v>
      </c>
      <c r="J38" s="27" t="str">
        <f t="shared" si="11"/>
        <v/>
      </c>
      <c r="S38" s="25">
        <f t="shared" si="25"/>
        <v>1172936.1360620547</v>
      </c>
      <c r="T38" s="80">
        <f t="shared" si="6"/>
        <v>199399.14313054929</v>
      </c>
      <c r="U38" s="80">
        <f t="shared" si="26"/>
        <v>973536.99293150543</v>
      </c>
      <c r="V38" s="80">
        <f>SUM($U$2:U38)</f>
        <v>6591836.951352126</v>
      </c>
      <c r="W38" s="80">
        <f t="shared" si="27"/>
        <v>7964172.2305447301</v>
      </c>
    </row>
    <row r="39" spans="3:24">
      <c r="C39" s="25" t="str">
        <f t="shared" si="2"/>
        <v/>
      </c>
      <c r="D39" s="152" t="str">
        <f t="shared" si="16"/>
        <v/>
      </c>
      <c r="E39" s="27" t="e">
        <f t="shared" si="23"/>
        <v>#VALUE!</v>
      </c>
      <c r="F39" s="159" t="e">
        <f t="shared" si="10"/>
        <v>#VALUE!</v>
      </c>
      <c r="G39" s="152" t="e">
        <f t="shared" si="4"/>
        <v>#DIV/0!</v>
      </c>
      <c r="H39" s="155" t="e">
        <f t="shared" si="24"/>
        <v>#DIV/0!</v>
      </c>
      <c r="I39" s="159" t="e">
        <f t="shared" si="12"/>
        <v>#DIV/0!</v>
      </c>
      <c r="J39" s="27" t="str">
        <f t="shared" si="11"/>
        <v/>
      </c>
      <c r="S39" s="25">
        <f t="shared" si="25"/>
        <v>1372935.2791926039</v>
      </c>
      <c r="T39" s="80">
        <f t="shared" si="6"/>
        <v>233398.99746274264</v>
      </c>
      <c r="U39" s="80">
        <f t="shared" si="26"/>
        <v>1139536.2817298612</v>
      </c>
      <c r="V39" s="80">
        <f>SUM($U$2:U39)</f>
        <v>7731373.2330819871</v>
      </c>
      <c r="W39" s="80">
        <f t="shared" si="27"/>
        <v>9337707.5097373333</v>
      </c>
    </row>
    <row r="40" spans="3:24">
      <c r="C40" s="25" t="str">
        <f t="shared" si="2"/>
        <v/>
      </c>
      <c r="D40" s="152" t="str">
        <f t="shared" si="16"/>
        <v/>
      </c>
      <c r="E40" s="27" t="e">
        <f t="shared" si="23"/>
        <v>#VALUE!</v>
      </c>
      <c r="F40" s="159" t="e">
        <f t="shared" si="10"/>
        <v>#VALUE!</v>
      </c>
      <c r="G40" s="152" t="e">
        <f t="shared" si="4"/>
        <v>#DIV/0!</v>
      </c>
      <c r="H40" s="155" t="e">
        <f t="shared" si="24"/>
        <v>#DIV/0!</v>
      </c>
      <c r="I40" s="159" t="e">
        <f t="shared" si="12"/>
        <v>#DIV/0!</v>
      </c>
      <c r="J40" s="27" t="str">
        <f t="shared" si="11"/>
        <v/>
      </c>
      <c r="S40" s="25">
        <f t="shared" si="25"/>
        <v>1606934.2766553466</v>
      </c>
      <c r="T40" s="80">
        <f t="shared" si="6"/>
        <v>273178.8270314089</v>
      </c>
      <c r="U40" s="80">
        <f t="shared" si="26"/>
        <v>1333755.4496239377</v>
      </c>
      <c r="V40" s="80">
        <f>SUM($U$2:U40)</f>
        <v>9065128.6827059239</v>
      </c>
      <c r="W40" s="80">
        <f t="shared" si="27"/>
        <v>10945241.786392679</v>
      </c>
    </row>
    <row r="41" spans="3:24">
      <c r="C41" s="25" t="str">
        <f t="shared" si="2"/>
        <v/>
      </c>
      <c r="D41" s="152" t="str">
        <f t="shared" si="16"/>
        <v/>
      </c>
      <c r="E41" s="27" t="e">
        <f t="shared" si="23"/>
        <v>#VALUE!</v>
      </c>
      <c r="F41" s="159" t="e">
        <f t="shared" si="10"/>
        <v>#VALUE!</v>
      </c>
      <c r="G41" s="152" t="e">
        <f t="shared" si="4"/>
        <v>#DIV/0!</v>
      </c>
      <c r="H41" s="155" t="e">
        <f t="shared" si="24"/>
        <v>#DIV/0!</v>
      </c>
      <c r="I41" s="159" t="e">
        <f t="shared" si="12"/>
        <v>#DIV/0!</v>
      </c>
      <c r="J41" s="27" t="str">
        <f t="shared" si="11"/>
        <v/>
      </c>
      <c r="S41" s="25">
        <f t="shared" si="25"/>
        <v>1880713.1036867555</v>
      </c>
      <c r="T41" s="80">
        <f t="shared" si="6"/>
        <v>319721.22762674844</v>
      </c>
      <c r="U41" s="80">
        <f t="shared" si="26"/>
        <v>1560991.8760600071</v>
      </c>
      <c r="V41" s="80">
        <f>SUM($U$2:U41)</f>
        <v>10626120.558765931</v>
      </c>
      <c r="W41" s="80">
        <f t="shared" si="27"/>
        <v>12826554.890079435</v>
      </c>
    </row>
    <row r="42" spans="3:24">
      <c r="C42" s="25" t="str">
        <f t="shared" si="2"/>
        <v/>
      </c>
      <c r="D42" s="152" t="str">
        <f t="shared" si="16"/>
        <v/>
      </c>
      <c r="E42" s="27" t="e">
        <f t="shared" si="23"/>
        <v>#VALUE!</v>
      </c>
      <c r="F42" s="159" t="e">
        <f t="shared" si="10"/>
        <v>#VALUE!</v>
      </c>
      <c r="G42" s="152" t="e">
        <f t="shared" si="4"/>
        <v>#DIV/0!</v>
      </c>
      <c r="H42" s="155" t="e">
        <f t="shared" si="24"/>
        <v>#DIV/0!</v>
      </c>
      <c r="I42" s="159" t="e">
        <f t="shared" si="12"/>
        <v>#DIV/0!</v>
      </c>
      <c r="J42" s="27" t="str">
        <f t="shared" si="11"/>
        <v/>
      </c>
      <c r="S42" s="25">
        <f t="shared" si="25"/>
        <v>2201034.3313135039</v>
      </c>
      <c r="T42" s="80">
        <f t="shared" si="6"/>
        <v>374175.83632329572</v>
      </c>
      <c r="U42" s="80">
        <f t="shared" si="26"/>
        <v>1826858.4949902082</v>
      </c>
      <c r="V42" s="80">
        <f>SUM($U$2:U42)</f>
        <v>12452979.05375614</v>
      </c>
      <c r="W42" s="80">
        <f t="shared" si="27"/>
        <v>15028189.221392939</v>
      </c>
    </row>
    <row r="43" spans="3:24">
      <c r="C43" s="25" t="str">
        <f t="shared" si="2"/>
        <v/>
      </c>
      <c r="D43" s="152" t="str">
        <f t="shared" si="16"/>
        <v/>
      </c>
      <c r="E43" s="27" t="e">
        <f t="shared" si="23"/>
        <v>#VALUE!</v>
      </c>
      <c r="F43" s="159" t="e">
        <f t="shared" si="10"/>
        <v>#VALUE!</v>
      </c>
      <c r="G43" s="152" t="e">
        <f t="shared" si="4"/>
        <v>#DIV/0!</v>
      </c>
      <c r="H43" s="155" t="e">
        <f t="shared" si="24"/>
        <v>#DIV/0!</v>
      </c>
      <c r="I43" s="159" t="e">
        <f t="shared" si="12"/>
        <v>#DIV/0!</v>
      </c>
      <c r="J43" s="27" t="str">
        <f t="shared" si="11"/>
        <v/>
      </c>
      <c r="S43" s="25">
        <f t="shared" si="25"/>
        <v>2575810.1676367996</v>
      </c>
      <c r="T43" s="80">
        <f t="shared" si="6"/>
        <v>437887.72849825595</v>
      </c>
      <c r="U43" s="80">
        <f t="shared" si="26"/>
        <v>2137922.4391385438</v>
      </c>
      <c r="V43" s="80">
        <f>SUM($U$2:U43)</f>
        <v>14590901.492894683</v>
      </c>
      <c r="W43" s="80">
        <f t="shared" si="27"/>
        <v>17604599.389029738</v>
      </c>
    </row>
    <row r="44" spans="3:24">
      <c r="C44" s="25" t="str">
        <f t="shared" si="2"/>
        <v/>
      </c>
      <c r="D44" s="152" t="str">
        <f t="shared" si="16"/>
        <v/>
      </c>
      <c r="E44" s="27" t="e">
        <f t="shared" si="23"/>
        <v>#VALUE!</v>
      </c>
      <c r="F44" s="159" t="e">
        <f t="shared" si="10"/>
        <v>#VALUE!</v>
      </c>
      <c r="G44" s="152" t="e">
        <f t="shared" si="4"/>
        <v>#DIV/0!</v>
      </c>
      <c r="H44" s="155" t="e">
        <f t="shared" si="24"/>
        <v>#DIV/0!</v>
      </c>
      <c r="I44" s="159" t="e">
        <f t="shared" si="12"/>
        <v>#DIV/0!</v>
      </c>
      <c r="J44" s="27" t="str">
        <f t="shared" si="11"/>
        <v/>
      </c>
      <c r="S44" s="25">
        <f t="shared" si="25"/>
        <v>3014297.8961350555</v>
      </c>
      <c r="T44" s="80">
        <f t="shared" si="6"/>
        <v>512430.64234295947</v>
      </c>
      <c r="U44" s="80">
        <f t="shared" si="26"/>
        <v>2501867.2537920959</v>
      </c>
      <c r="V44" s="80">
        <f>SUM($U$2:U44)</f>
        <v>17092768.746686779</v>
      </c>
      <c r="W44" s="80">
        <f t="shared" si="27"/>
        <v>20619497.285164792</v>
      </c>
    </row>
    <row r="45" spans="3:24">
      <c r="C45" s="25" t="str">
        <f t="shared" si="2"/>
        <v/>
      </c>
      <c r="D45" s="152" t="str">
        <f t="shared" si="16"/>
        <v/>
      </c>
      <c r="E45" s="27" t="e">
        <f t="shared" si="23"/>
        <v>#VALUE!</v>
      </c>
      <c r="F45" s="159" t="e">
        <f t="shared" si="10"/>
        <v>#VALUE!</v>
      </c>
      <c r="G45" s="152" t="e">
        <f t="shared" si="4"/>
        <v>#DIV/0!</v>
      </c>
      <c r="H45" s="155" t="e">
        <f t="shared" si="24"/>
        <v>#DIV/0!</v>
      </c>
      <c r="I45" s="159" t="e">
        <f t="shared" si="12"/>
        <v>#DIV/0!</v>
      </c>
      <c r="J45" s="27" t="str">
        <f t="shared" si="11"/>
        <v/>
      </c>
      <c r="S45" s="25">
        <f t="shared" si="25"/>
        <v>3527328.538478015</v>
      </c>
      <c r="T45" s="80">
        <f t="shared" si="6"/>
        <v>599645.85154126247</v>
      </c>
      <c r="U45" s="80">
        <f t="shared" si="26"/>
        <v>2927682.6869367524</v>
      </c>
      <c r="V45" s="80">
        <f>SUM($U$2:U45)</f>
        <v>20020451.43362353</v>
      </c>
      <c r="W45" s="80">
        <f t="shared" si="27"/>
        <v>24147425.823642805</v>
      </c>
    </row>
    <row r="46" spans="3:24">
      <c r="C46" s="25" t="str">
        <f t="shared" si="2"/>
        <v/>
      </c>
      <c r="D46" s="152" t="str">
        <f t="shared" si="16"/>
        <v/>
      </c>
      <c r="E46" s="27" t="e">
        <f t="shared" si="23"/>
        <v>#VALUE!</v>
      </c>
      <c r="F46" s="159" t="e">
        <f t="shared" si="10"/>
        <v>#VALUE!</v>
      </c>
      <c r="G46" s="152" t="e">
        <f t="shared" si="4"/>
        <v>#DIV/0!</v>
      </c>
      <c r="H46" s="155" t="e">
        <f t="shared" si="24"/>
        <v>#DIV/0!</v>
      </c>
      <c r="I46" s="159" t="e">
        <f t="shared" si="12"/>
        <v>#DIV/0!</v>
      </c>
      <c r="J46" s="27" t="str">
        <f t="shared" si="11"/>
        <v/>
      </c>
      <c r="S46" s="25">
        <f t="shared" si="25"/>
        <v>4127574.3900192776</v>
      </c>
      <c r="T46" s="80">
        <f t="shared" si="6"/>
        <v>701687.64630327723</v>
      </c>
      <c r="U46" s="80">
        <f t="shared" si="26"/>
        <v>3425886.7437160006</v>
      </c>
      <c r="V46" s="80">
        <f>SUM($U$2:U46)</f>
        <v>23446338.177339531</v>
      </c>
      <c r="W46" s="80">
        <f t="shared" si="27"/>
        <v>28275600.213662088</v>
      </c>
      <c r="X46" s="80">
        <f>W46-W34</f>
        <v>24075676.466862656</v>
      </c>
    </row>
    <row r="47" spans="3:24">
      <c r="C47" s="25" t="str">
        <f t="shared" si="2"/>
        <v/>
      </c>
      <c r="D47" s="152" t="str">
        <f t="shared" si="16"/>
        <v/>
      </c>
      <c r="E47" s="27" t="e">
        <f t="shared" si="23"/>
        <v>#VALUE!</v>
      </c>
      <c r="F47" s="159" t="e">
        <f t="shared" si="10"/>
        <v>#VALUE!</v>
      </c>
      <c r="G47" s="152" t="e">
        <f t="shared" si="4"/>
        <v>#DIV/0!</v>
      </c>
      <c r="H47" s="155" t="e">
        <f t="shared" si="24"/>
        <v>#DIV/0!</v>
      </c>
      <c r="I47" s="159" t="e">
        <f t="shared" si="12"/>
        <v>#DIV/0!</v>
      </c>
      <c r="J47" s="27" t="str">
        <f t="shared" si="11"/>
        <v/>
      </c>
      <c r="S47" s="25">
        <f t="shared" si="25"/>
        <v>4829862.0363225546</v>
      </c>
      <c r="T47" s="80">
        <f t="shared" si="6"/>
        <v>821076.54617483437</v>
      </c>
      <c r="U47" s="80">
        <f t="shared" si="26"/>
        <v>4008785.4901477201</v>
      </c>
      <c r="V47" s="80">
        <f>SUM($U$2:U47)</f>
        <v>27455123.667487253</v>
      </c>
      <c r="W47" s="80">
        <f t="shared" si="27"/>
        <v>33106062.249984644</v>
      </c>
      <c r="X47" s="80"/>
    </row>
    <row r="48" spans="3:24">
      <c r="C48" s="25" t="str">
        <f t="shared" si="2"/>
        <v/>
      </c>
      <c r="D48" s="152" t="str">
        <f t="shared" si="16"/>
        <v/>
      </c>
      <c r="E48" s="27" t="e">
        <f t="shared" si="23"/>
        <v>#VALUE!</v>
      </c>
      <c r="F48" s="159" t="e">
        <f t="shared" si="10"/>
        <v>#VALUE!</v>
      </c>
      <c r="G48" s="152" t="e">
        <f t="shared" si="4"/>
        <v>#DIV/0!</v>
      </c>
      <c r="H48" s="155" t="e">
        <f t="shared" si="24"/>
        <v>#DIV/0!</v>
      </c>
      <c r="I48" s="159" t="e">
        <f t="shared" si="12"/>
        <v>#DIV/0!</v>
      </c>
      <c r="J48" s="27" t="str">
        <f t="shared" si="11"/>
        <v/>
      </c>
    </row>
    <row r="49" spans="3:20">
      <c r="C49" s="25" t="str">
        <f t="shared" si="2"/>
        <v/>
      </c>
      <c r="D49" s="152" t="str">
        <f t="shared" si="16"/>
        <v/>
      </c>
      <c r="E49" s="27" t="e">
        <f t="shared" si="23"/>
        <v>#VALUE!</v>
      </c>
      <c r="F49" s="159" t="e">
        <f t="shared" si="10"/>
        <v>#VALUE!</v>
      </c>
      <c r="G49" s="152" t="e">
        <f t="shared" si="4"/>
        <v>#DIV/0!</v>
      </c>
      <c r="H49" s="155" t="e">
        <f t="shared" si="24"/>
        <v>#DIV/0!</v>
      </c>
      <c r="I49" s="159" t="e">
        <f t="shared" si="12"/>
        <v>#DIV/0!</v>
      </c>
      <c r="J49" s="27" t="str">
        <f t="shared" si="11"/>
        <v/>
      </c>
    </row>
    <row r="50" spans="3:20">
      <c r="C50" s="25" t="str">
        <f t="shared" si="2"/>
        <v/>
      </c>
      <c r="D50" s="152" t="str">
        <f t="shared" si="16"/>
        <v/>
      </c>
      <c r="E50" s="27" t="e">
        <f t="shared" ref="E50:E61" si="28">D50/C50</f>
        <v>#VALUE!</v>
      </c>
      <c r="F50" s="159" t="e">
        <f t="shared" si="10"/>
        <v>#VALUE!</v>
      </c>
      <c r="G50" s="152" t="e">
        <f t="shared" si="4"/>
        <v>#DIV/0!</v>
      </c>
      <c r="H50" s="155" t="e">
        <f t="shared" si="24"/>
        <v>#DIV/0!</v>
      </c>
      <c r="I50" s="159" t="e">
        <f t="shared" si="12"/>
        <v>#DIV/0!</v>
      </c>
      <c r="J50" s="27" t="str">
        <f t="shared" si="11"/>
        <v/>
      </c>
    </row>
    <row r="51" spans="3:20">
      <c r="C51" s="25" t="str">
        <f t="shared" si="2"/>
        <v/>
      </c>
      <c r="D51" s="152" t="str">
        <f t="shared" ref="D51:D80" si="29">IF(C51="","",STDEV(A51:A59))</f>
        <v/>
      </c>
      <c r="E51" s="27" t="e">
        <f t="shared" si="28"/>
        <v>#VALUE!</v>
      </c>
      <c r="F51" s="159" t="e">
        <f t="shared" si="10"/>
        <v>#VALUE!</v>
      </c>
      <c r="G51" s="152" t="e">
        <f t="shared" si="4"/>
        <v>#DIV/0!</v>
      </c>
      <c r="H51" s="155" t="e">
        <f t="shared" si="24"/>
        <v>#DIV/0!</v>
      </c>
      <c r="I51" s="159" t="e">
        <f t="shared" si="12"/>
        <v>#DIV/0!</v>
      </c>
      <c r="J51" s="27" t="str">
        <f t="shared" si="11"/>
        <v/>
      </c>
      <c r="S51" s="25">
        <v>1000</v>
      </c>
    </row>
    <row r="52" spans="3:20">
      <c r="C52" s="25" t="str">
        <f t="shared" si="2"/>
        <v/>
      </c>
      <c r="D52" s="152" t="str">
        <f t="shared" si="29"/>
        <v/>
      </c>
      <c r="E52" s="27" t="e">
        <f t="shared" si="28"/>
        <v>#VALUE!</v>
      </c>
      <c r="F52" s="159" t="e">
        <f t="shared" si="10"/>
        <v>#VALUE!</v>
      </c>
      <c r="G52" s="152" t="e">
        <f t="shared" si="4"/>
        <v>#DIV/0!</v>
      </c>
      <c r="H52" s="155" t="e">
        <f t="shared" si="24"/>
        <v>#DIV/0!</v>
      </c>
      <c r="I52" s="159" t="e">
        <f t="shared" si="12"/>
        <v>#DIV/0!</v>
      </c>
      <c r="J52" s="27" t="str">
        <f t="shared" si="11"/>
        <v/>
      </c>
      <c r="S52" s="25">
        <v>900</v>
      </c>
    </row>
    <row r="53" spans="3:20">
      <c r="C53" s="25" t="str">
        <f t="shared" si="2"/>
        <v/>
      </c>
      <c r="D53" s="152" t="str">
        <f t="shared" si="29"/>
        <v/>
      </c>
      <c r="E53" s="27" t="e">
        <f t="shared" si="28"/>
        <v>#VALUE!</v>
      </c>
      <c r="F53" s="159" t="e">
        <f t="shared" si="10"/>
        <v>#VALUE!</v>
      </c>
      <c r="G53" s="152" t="e">
        <f t="shared" si="4"/>
        <v>#DIV/0!</v>
      </c>
      <c r="H53" s="155" t="e">
        <f t="shared" si="24"/>
        <v>#DIV/0!</v>
      </c>
      <c r="I53" s="159" t="e">
        <f t="shared" si="12"/>
        <v>#DIV/0!</v>
      </c>
      <c r="J53" s="27" t="str">
        <f t="shared" si="11"/>
        <v/>
      </c>
      <c r="S53" s="25">
        <v>600</v>
      </c>
    </row>
    <row r="54" spans="3:20">
      <c r="C54" s="25" t="str">
        <f t="shared" si="2"/>
        <v/>
      </c>
      <c r="D54" s="152" t="str">
        <f t="shared" si="29"/>
        <v/>
      </c>
      <c r="E54" s="27" t="e">
        <f t="shared" si="28"/>
        <v>#VALUE!</v>
      </c>
      <c r="F54" s="159" t="e">
        <f t="shared" si="10"/>
        <v>#VALUE!</v>
      </c>
      <c r="G54" s="152" t="e">
        <f t="shared" si="4"/>
        <v>#DIV/0!</v>
      </c>
      <c r="H54" s="155" t="e">
        <f t="shared" si="24"/>
        <v>#DIV/0!</v>
      </c>
      <c r="I54" s="159" t="e">
        <f t="shared" si="12"/>
        <v>#DIV/0!</v>
      </c>
      <c r="J54" s="27" t="str">
        <f t="shared" si="11"/>
        <v/>
      </c>
      <c r="S54" s="25">
        <v>4000</v>
      </c>
    </row>
    <row r="55" spans="3:20">
      <c r="C55" s="25" t="str">
        <f t="shared" si="2"/>
        <v/>
      </c>
      <c r="D55" s="152" t="str">
        <f t="shared" si="29"/>
        <v/>
      </c>
      <c r="E55" s="27" t="e">
        <f t="shared" si="28"/>
        <v>#VALUE!</v>
      </c>
      <c r="F55" s="159" t="e">
        <f t="shared" si="10"/>
        <v>#VALUE!</v>
      </c>
      <c r="G55" s="152" t="e">
        <f t="shared" si="4"/>
        <v>#DIV/0!</v>
      </c>
      <c r="H55" s="155" t="e">
        <f t="shared" si="24"/>
        <v>#DIV/0!</v>
      </c>
      <c r="I55" s="159" t="e">
        <f t="shared" si="12"/>
        <v>#DIV/0!</v>
      </c>
      <c r="J55" s="27" t="str">
        <f t="shared" si="11"/>
        <v/>
      </c>
      <c r="S55" s="25">
        <f>SUM(S51:S54)</f>
        <v>6500</v>
      </c>
      <c r="T55" s="27">
        <f>S55/S57</f>
        <v>0.95588235294117652</v>
      </c>
    </row>
    <row r="56" spans="3:20">
      <c r="C56" s="25" t="str">
        <f t="shared" si="2"/>
        <v/>
      </c>
      <c r="D56" s="152" t="str">
        <f t="shared" si="29"/>
        <v/>
      </c>
      <c r="E56" s="27" t="e">
        <f t="shared" si="28"/>
        <v>#VALUE!</v>
      </c>
      <c r="F56" s="159" t="e">
        <f t="shared" si="10"/>
        <v>#VALUE!</v>
      </c>
      <c r="G56" s="152" t="e">
        <f t="shared" si="4"/>
        <v>#DIV/0!</v>
      </c>
      <c r="H56" s="155" t="e">
        <f t="shared" si="24"/>
        <v>#DIV/0!</v>
      </c>
      <c r="I56" s="159" t="e">
        <f t="shared" si="12"/>
        <v>#DIV/0!</v>
      </c>
      <c r="J56" s="27" t="str">
        <f t="shared" si="11"/>
        <v/>
      </c>
      <c r="S56" s="25">
        <v>300</v>
      </c>
      <c r="T56" s="27">
        <f>S56/S57</f>
        <v>4.4117647058823532E-2</v>
      </c>
    </row>
    <row r="57" spans="3:20">
      <c r="C57" s="25" t="str">
        <f t="shared" si="2"/>
        <v/>
      </c>
      <c r="D57" s="152" t="str">
        <f t="shared" si="29"/>
        <v/>
      </c>
      <c r="E57" s="27" t="e">
        <f t="shared" si="28"/>
        <v>#VALUE!</v>
      </c>
      <c r="F57" s="159" t="e">
        <f t="shared" si="10"/>
        <v>#VALUE!</v>
      </c>
      <c r="G57" s="152" t="e">
        <f t="shared" si="4"/>
        <v>#DIV/0!</v>
      </c>
      <c r="H57" s="155" t="e">
        <f t="shared" si="24"/>
        <v>#DIV/0!</v>
      </c>
      <c r="I57" s="159" t="e">
        <f t="shared" si="12"/>
        <v>#DIV/0!</v>
      </c>
      <c r="J57" s="27" t="str">
        <f t="shared" si="11"/>
        <v/>
      </c>
      <c r="S57" s="25">
        <f>S56+S55</f>
        <v>6800</v>
      </c>
    </row>
    <row r="58" spans="3:20">
      <c r="C58" s="25" t="str">
        <f t="shared" si="2"/>
        <v/>
      </c>
      <c r="D58" s="152" t="str">
        <f t="shared" si="29"/>
        <v/>
      </c>
      <c r="E58" s="27" t="e">
        <f t="shared" si="28"/>
        <v>#VALUE!</v>
      </c>
      <c r="F58" s="159" t="e">
        <f t="shared" si="10"/>
        <v>#VALUE!</v>
      </c>
      <c r="G58" s="152" t="e">
        <f t="shared" si="4"/>
        <v>#DIV/0!</v>
      </c>
      <c r="H58" s="155" t="e">
        <f t="shared" si="24"/>
        <v>#DIV/0!</v>
      </c>
      <c r="I58" s="159" t="e">
        <f t="shared" si="12"/>
        <v>#DIV/0!</v>
      </c>
      <c r="J58" s="27" t="str">
        <f t="shared" si="11"/>
        <v/>
      </c>
    </row>
    <row r="59" spans="3:20">
      <c r="C59" s="25" t="str">
        <f t="shared" si="2"/>
        <v/>
      </c>
      <c r="D59" s="152" t="str">
        <f t="shared" si="29"/>
        <v/>
      </c>
      <c r="E59" s="27" t="e">
        <f t="shared" si="28"/>
        <v>#VALUE!</v>
      </c>
      <c r="F59" s="159" t="e">
        <f t="shared" si="10"/>
        <v>#VALUE!</v>
      </c>
      <c r="G59" s="152" t="e">
        <f t="shared" si="4"/>
        <v>#DIV/0!</v>
      </c>
      <c r="H59" s="155" t="e">
        <f t="shared" si="24"/>
        <v>#DIV/0!</v>
      </c>
      <c r="I59" s="159" t="e">
        <f t="shared" si="12"/>
        <v>#DIV/0!</v>
      </c>
      <c r="J59" s="27" t="str">
        <f t="shared" si="11"/>
        <v/>
      </c>
      <c r="S59" s="25">
        <v>24075676</v>
      </c>
      <c r="T59" s="80">
        <f>S59*T56</f>
        <v>1062162.1764705882</v>
      </c>
    </row>
    <row r="60" spans="3:20">
      <c r="C60" s="25" t="str">
        <f t="shared" si="2"/>
        <v/>
      </c>
      <c r="D60" s="152" t="str">
        <f t="shared" si="29"/>
        <v/>
      </c>
      <c r="E60" s="27" t="e">
        <f t="shared" si="28"/>
        <v>#VALUE!</v>
      </c>
      <c r="F60" s="159" t="e">
        <f t="shared" si="10"/>
        <v>#VALUE!</v>
      </c>
      <c r="G60" s="152" t="e">
        <f t="shared" si="4"/>
        <v>#DIV/0!</v>
      </c>
      <c r="H60" s="155" t="e">
        <f t="shared" si="24"/>
        <v>#DIV/0!</v>
      </c>
      <c r="I60" s="159" t="e">
        <f t="shared" si="12"/>
        <v>#DIV/0!</v>
      </c>
      <c r="J60" s="27" t="str">
        <f t="shared" si="11"/>
        <v/>
      </c>
    </row>
    <row r="61" spans="3:20">
      <c r="C61" s="25" t="str">
        <f t="shared" si="2"/>
        <v/>
      </c>
      <c r="D61" s="152" t="str">
        <f t="shared" si="29"/>
        <v/>
      </c>
      <c r="E61" s="27" t="e">
        <f t="shared" si="28"/>
        <v>#VALUE!</v>
      </c>
      <c r="F61" s="159" t="e">
        <f t="shared" si="10"/>
        <v>#VALUE!</v>
      </c>
      <c r="G61" s="152" t="e">
        <f t="shared" si="4"/>
        <v>#DIV/0!</v>
      </c>
      <c r="H61" s="155" t="e">
        <f t="shared" si="24"/>
        <v>#DIV/0!</v>
      </c>
      <c r="I61" s="159" t="e">
        <f t="shared" si="12"/>
        <v>#DIV/0!</v>
      </c>
      <c r="J61" s="27" t="str">
        <f t="shared" si="11"/>
        <v/>
      </c>
    </row>
    <row r="62" spans="3:20">
      <c r="C62" s="25" t="str">
        <f t="shared" si="2"/>
        <v/>
      </c>
      <c r="D62" s="152" t="str">
        <f t="shared" si="29"/>
        <v/>
      </c>
      <c r="E62" s="27" t="e">
        <f t="shared" ref="E62:E67" si="30">D62/C62</f>
        <v>#VALUE!</v>
      </c>
      <c r="F62" s="159" t="e">
        <f t="shared" si="10"/>
        <v>#VALUE!</v>
      </c>
      <c r="G62" s="152" t="e">
        <f t="shared" si="4"/>
        <v>#DIV/0!</v>
      </c>
      <c r="H62" s="155" t="e">
        <f t="shared" si="24"/>
        <v>#DIV/0!</v>
      </c>
      <c r="I62" s="159" t="e">
        <f t="shared" si="12"/>
        <v>#DIV/0!</v>
      </c>
      <c r="J62" s="27" t="str">
        <f t="shared" si="11"/>
        <v/>
      </c>
    </row>
    <row r="63" spans="3:20">
      <c r="C63" s="25" t="str">
        <f t="shared" si="2"/>
        <v/>
      </c>
      <c r="D63" s="152" t="str">
        <f t="shared" si="29"/>
        <v/>
      </c>
      <c r="E63" s="27" t="e">
        <f t="shared" si="30"/>
        <v>#VALUE!</v>
      </c>
      <c r="F63" s="159" t="e">
        <f t="shared" si="10"/>
        <v>#VALUE!</v>
      </c>
      <c r="G63" s="152" t="e">
        <f t="shared" si="4"/>
        <v>#DIV/0!</v>
      </c>
      <c r="H63" s="155" t="e">
        <f t="shared" si="24"/>
        <v>#DIV/0!</v>
      </c>
      <c r="I63" s="159" t="e">
        <f t="shared" si="12"/>
        <v>#DIV/0!</v>
      </c>
      <c r="J63" s="27" t="str">
        <f t="shared" si="11"/>
        <v/>
      </c>
    </row>
    <row r="64" spans="3:20">
      <c r="C64" s="25" t="str">
        <f t="shared" si="2"/>
        <v/>
      </c>
      <c r="D64" s="152" t="str">
        <f t="shared" si="29"/>
        <v/>
      </c>
      <c r="E64" s="27" t="e">
        <f t="shared" si="30"/>
        <v>#VALUE!</v>
      </c>
      <c r="F64" s="159" t="e">
        <f t="shared" si="10"/>
        <v>#VALUE!</v>
      </c>
      <c r="G64" s="152" t="e">
        <f t="shared" si="4"/>
        <v>#DIV/0!</v>
      </c>
      <c r="H64" s="155" t="e">
        <f t="shared" si="24"/>
        <v>#DIV/0!</v>
      </c>
      <c r="I64" s="159" t="e">
        <f t="shared" si="12"/>
        <v>#DIV/0!</v>
      </c>
      <c r="J64" s="27" t="str">
        <f t="shared" si="11"/>
        <v/>
      </c>
    </row>
    <row r="65" spans="3:10">
      <c r="C65" s="25" t="str">
        <f t="shared" si="2"/>
        <v/>
      </c>
      <c r="D65" s="152" t="str">
        <f t="shared" si="29"/>
        <v/>
      </c>
      <c r="E65" s="27" t="e">
        <f t="shared" si="30"/>
        <v>#VALUE!</v>
      </c>
      <c r="F65" s="159" t="e">
        <f t="shared" si="10"/>
        <v>#VALUE!</v>
      </c>
      <c r="G65" s="152" t="e">
        <f t="shared" si="4"/>
        <v>#DIV/0!</v>
      </c>
      <c r="H65" s="155" t="e">
        <f t="shared" si="24"/>
        <v>#DIV/0!</v>
      </c>
      <c r="I65" s="159" t="e">
        <f t="shared" si="12"/>
        <v>#DIV/0!</v>
      </c>
      <c r="J65" s="27" t="str">
        <f t="shared" si="11"/>
        <v/>
      </c>
    </row>
    <row r="66" spans="3:10">
      <c r="C66" s="25" t="str">
        <f t="shared" si="2"/>
        <v/>
      </c>
      <c r="D66" s="152" t="str">
        <f t="shared" si="29"/>
        <v/>
      </c>
      <c r="E66" s="27" t="e">
        <f t="shared" si="30"/>
        <v>#VALUE!</v>
      </c>
      <c r="F66" s="159" t="e">
        <f t="shared" si="10"/>
        <v>#VALUE!</v>
      </c>
      <c r="G66" s="152" t="e">
        <f t="shared" si="4"/>
        <v>#DIV/0!</v>
      </c>
      <c r="H66" s="155" t="e">
        <f t="shared" ref="H66:H80" si="31">G66/C66</f>
        <v>#DIV/0!</v>
      </c>
      <c r="I66" s="159" t="e">
        <f t="shared" si="12"/>
        <v>#DIV/0!</v>
      </c>
      <c r="J66" s="27" t="str">
        <f t="shared" si="11"/>
        <v/>
      </c>
    </row>
    <row r="67" spans="3:10">
      <c r="C67" s="25" t="str">
        <f t="shared" ref="C67:C80" si="32">IF(COUNTBLANK(A67:A75)&gt;0,"",AVERAGE(A67:A75))</f>
        <v/>
      </c>
      <c r="D67" s="152" t="str">
        <f t="shared" si="29"/>
        <v/>
      </c>
      <c r="E67" s="27" t="e">
        <f t="shared" si="30"/>
        <v>#VALUE!</v>
      </c>
      <c r="F67" s="159" t="e">
        <f t="shared" si="10"/>
        <v>#VALUE!</v>
      </c>
      <c r="G67" s="152" t="e">
        <f t="shared" ref="G67:G80" si="33">VAR(A67:A75)</f>
        <v>#DIV/0!</v>
      </c>
      <c r="H67" s="155" t="e">
        <f t="shared" si="31"/>
        <v>#DIV/0!</v>
      </c>
      <c r="I67" s="159" t="e">
        <f t="shared" si="12"/>
        <v>#DIV/0!</v>
      </c>
      <c r="J67" s="27" t="str">
        <f t="shared" si="11"/>
        <v/>
      </c>
    </row>
    <row r="68" spans="3:10">
      <c r="C68" s="25" t="str">
        <f t="shared" si="32"/>
        <v/>
      </c>
      <c r="D68" s="152" t="str">
        <f t="shared" si="29"/>
        <v/>
      </c>
      <c r="E68" s="27" t="e">
        <f t="shared" ref="E68:E80" si="34">D68/C68</f>
        <v>#VALUE!</v>
      </c>
      <c r="F68" s="159" t="e">
        <f t="shared" ref="F68:F80" si="35">E68/E67</f>
        <v>#VALUE!</v>
      </c>
      <c r="G68" s="152" t="e">
        <f t="shared" si="33"/>
        <v>#DIV/0!</v>
      </c>
      <c r="H68" s="155" t="e">
        <f t="shared" si="31"/>
        <v>#DIV/0!</v>
      </c>
      <c r="I68" s="159" t="e">
        <f t="shared" si="12"/>
        <v>#DIV/0!</v>
      </c>
      <c r="J68" s="27" t="str">
        <f t="shared" ref="J68:J80" si="36">IF(COUNTBLANK(B68:B76)&gt;0,"",AVERAGE(B68:B76))</f>
        <v/>
      </c>
    </row>
    <row r="69" spans="3:10">
      <c r="C69" s="25" t="str">
        <f t="shared" si="32"/>
        <v/>
      </c>
      <c r="D69" s="152" t="str">
        <f t="shared" si="29"/>
        <v/>
      </c>
      <c r="E69" s="27" t="e">
        <f t="shared" si="34"/>
        <v>#VALUE!</v>
      </c>
      <c r="F69" s="159" t="e">
        <f t="shared" si="35"/>
        <v>#VALUE!</v>
      </c>
      <c r="G69" s="152" t="e">
        <f t="shared" si="33"/>
        <v>#DIV/0!</v>
      </c>
      <c r="H69" s="155" t="e">
        <f t="shared" si="31"/>
        <v>#DIV/0!</v>
      </c>
      <c r="I69" s="159" t="e">
        <f t="shared" ref="I69:I80" si="37">ROUND(H69/H68,2)</f>
        <v>#DIV/0!</v>
      </c>
      <c r="J69" s="27" t="str">
        <f t="shared" si="36"/>
        <v/>
      </c>
    </row>
    <row r="70" spans="3:10">
      <c r="C70" s="25" t="str">
        <f t="shared" si="32"/>
        <v/>
      </c>
      <c r="D70" s="152" t="str">
        <f t="shared" si="29"/>
        <v/>
      </c>
      <c r="E70" s="27" t="e">
        <f t="shared" si="34"/>
        <v>#VALUE!</v>
      </c>
      <c r="F70" s="159" t="e">
        <f t="shared" si="35"/>
        <v>#VALUE!</v>
      </c>
      <c r="G70" s="152" t="e">
        <f t="shared" si="33"/>
        <v>#DIV/0!</v>
      </c>
      <c r="H70" s="155" t="e">
        <f t="shared" si="31"/>
        <v>#DIV/0!</v>
      </c>
      <c r="I70" s="159" t="e">
        <f t="shared" si="37"/>
        <v>#DIV/0!</v>
      </c>
      <c r="J70" s="27" t="str">
        <f t="shared" si="36"/>
        <v/>
      </c>
    </row>
    <row r="71" spans="3:10">
      <c r="C71" s="25" t="str">
        <f t="shared" si="32"/>
        <v/>
      </c>
      <c r="D71" s="152" t="str">
        <f t="shared" si="29"/>
        <v/>
      </c>
      <c r="E71" s="27" t="e">
        <f t="shared" si="34"/>
        <v>#VALUE!</v>
      </c>
      <c r="F71" s="159" t="e">
        <f t="shared" si="35"/>
        <v>#VALUE!</v>
      </c>
      <c r="G71" s="152" t="e">
        <f t="shared" si="33"/>
        <v>#DIV/0!</v>
      </c>
      <c r="H71" s="155" t="e">
        <f t="shared" si="31"/>
        <v>#DIV/0!</v>
      </c>
      <c r="I71" s="159" t="e">
        <f t="shared" si="37"/>
        <v>#DIV/0!</v>
      </c>
      <c r="J71" s="27" t="str">
        <f t="shared" si="36"/>
        <v/>
      </c>
    </row>
    <row r="72" spans="3:10">
      <c r="C72" s="25" t="str">
        <f t="shared" si="32"/>
        <v/>
      </c>
      <c r="D72" s="152" t="str">
        <f t="shared" si="29"/>
        <v/>
      </c>
      <c r="E72" s="27" t="e">
        <f t="shared" si="34"/>
        <v>#VALUE!</v>
      </c>
      <c r="F72" s="159" t="e">
        <f t="shared" si="35"/>
        <v>#VALUE!</v>
      </c>
      <c r="G72" s="152" t="e">
        <f t="shared" si="33"/>
        <v>#DIV/0!</v>
      </c>
      <c r="H72" s="155" t="e">
        <f t="shared" si="31"/>
        <v>#DIV/0!</v>
      </c>
      <c r="I72" s="159" t="e">
        <f t="shared" si="37"/>
        <v>#DIV/0!</v>
      </c>
      <c r="J72" s="27" t="str">
        <f t="shared" si="36"/>
        <v/>
      </c>
    </row>
    <row r="73" spans="3:10">
      <c r="C73" s="25" t="str">
        <f t="shared" si="32"/>
        <v/>
      </c>
      <c r="D73" s="152" t="str">
        <f t="shared" si="29"/>
        <v/>
      </c>
      <c r="E73" s="27" t="e">
        <f t="shared" si="34"/>
        <v>#VALUE!</v>
      </c>
      <c r="F73" s="159" t="e">
        <f t="shared" si="35"/>
        <v>#VALUE!</v>
      </c>
      <c r="G73" s="152" t="e">
        <f t="shared" si="33"/>
        <v>#DIV/0!</v>
      </c>
      <c r="H73" s="155" t="e">
        <f t="shared" si="31"/>
        <v>#DIV/0!</v>
      </c>
      <c r="I73" s="159" t="e">
        <f t="shared" si="37"/>
        <v>#DIV/0!</v>
      </c>
      <c r="J73" s="27" t="str">
        <f t="shared" si="36"/>
        <v/>
      </c>
    </row>
    <row r="74" spans="3:10">
      <c r="C74" s="25" t="str">
        <f t="shared" si="32"/>
        <v/>
      </c>
      <c r="D74" s="152" t="str">
        <f t="shared" si="29"/>
        <v/>
      </c>
      <c r="E74" s="27" t="e">
        <f t="shared" si="34"/>
        <v>#VALUE!</v>
      </c>
      <c r="F74" s="159" t="e">
        <f t="shared" si="35"/>
        <v>#VALUE!</v>
      </c>
      <c r="G74" s="152" t="e">
        <f t="shared" si="33"/>
        <v>#DIV/0!</v>
      </c>
      <c r="H74" s="155" t="e">
        <f t="shared" si="31"/>
        <v>#DIV/0!</v>
      </c>
      <c r="I74" s="159" t="e">
        <f t="shared" si="37"/>
        <v>#DIV/0!</v>
      </c>
      <c r="J74" s="27" t="str">
        <f t="shared" si="36"/>
        <v/>
      </c>
    </row>
    <row r="75" spans="3:10">
      <c r="C75" s="25" t="str">
        <f t="shared" si="32"/>
        <v/>
      </c>
      <c r="D75" s="152" t="str">
        <f t="shared" si="29"/>
        <v/>
      </c>
      <c r="E75" s="27" t="e">
        <f t="shared" si="34"/>
        <v>#VALUE!</v>
      </c>
      <c r="F75" s="159" t="e">
        <f t="shared" si="35"/>
        <v>#VALUE!</v>
      </c>
      <c r="G75" s="152" t="e">
        <f t="shared" si="33"/>
        <v>#DIV/0!</v>
      </c>
      <c r="H75" s="155" t="e">
        <f t="shared" si="31"/>
        <v>#DIV/0!</v>
      </c>
      <c r="I75" s="159" t="e">
        <f t="shared" si="37"/>
        <v>#DIV/0!</v>
      </c>
      <c r="J75" s="27" t="str">
        <f t="shared" si="36"/>
        <v/>
      </c>
    </row>
    <row r="76" spans="3:10">
      <c r="C76" s="25" t="str">
        <f t="shared" si="32"/>
        <v/>
      </c>
      <c r="D76" s="152" t="str">
        <f t="shared" si="29"/>
        <v/>
      </c>
      <c r="E76" s="27" t="e">
        <f t="shared" si="34"/>
        <v>#VALUE!</v>
      </c>
      <c r="F76" s="159" t="e">
        <f t="shared" si="35"/>
        <v>#VALUE!</v>
      </c>
      <c r="G76" s="152" t="e">
        <f t="shared" si="33"/>
        <v>#DIV/0!</v>
      </c>
      <c r="H76" s="155" t="e">
        <f t="shared" si="31"/>
        <v>#DIV/0!</v>
      </c>
      <c r="I76" s="159" t="e">
        <f t="shared" si="37"/>
        <v>#DIV/0!</v>
      </c>
      <c r="J76" s="27" t="str">
        <f t="shared" si="36"/>
        <v/>
      </c>
    </row>
    <row r="77" spans="3:10">
      <c r="C77" s="25" t="str">
        <f t="shared" si="32"/>
        <v/>
      </c>
      <c r="D77" s="152" t="str">
        <f t="shared" si="29"/>
        <v/>
      </c>
      <c r="E77" s="27" t="e">
        <f t="shared" si="34"/>
        <v>#VALUE!</v>
      </c>
      <c r="F77" s="159" t="e">
        <f t="shared" si="35"/>
        <v>#VALUE!</v>
      </c>
      <c r="G77" s="152" t="e">
        <f t="shared" si="33"/>
        <v>#DIV/0!</v>
      </c>
      <c r="H77" s="155" t="e">
        <f t="shared" si="31"/>
        <v>#DIV/0!</v>
      </c>
      <c r="I77" s="159" t="e">
        <f t="shared" si="37"/>
        <v>#DIV/0!</v>
      </c>
      <c r="J77" s="27" t="str">
        <f t="shared" si="36"/>
        <v/>
      </c>
    </row>
    <row r="78" spans="3:10">
      <c r="C78" s="25" t="str">
        <f t="shared" si="32"/>
        <v/>
      </c>
      <c r="D78" s="152" t="str">
        <f t="shared" si="29"/>
        <v/>
      </c>
      <c r="E78" s="27" t="e">
        <f t="shared" si="34"/>
        <v>#VALUE!</v>
      </c>
      <c r="F78" s="159" t="e">
        <f t="shared" si="35"/>
        <v>#VALUE!</v>
      </c>
      <c r="G78" s="152" t="e">
        <f t="shared" si="33"/>
        <v>#DIV/0!</v>
      </c>
      <c r="H78" s="155" t="e">
        <f t="shared" si="31"/>
        <v>#DIV/0!</v>
      </c>
      <c r="I78" s="159" t="e">
        <f t="shared" si="37"/>
        <v>#DIV/0!</v>
      </c>
      <c r="J78" s="27" t="str">
        <f t="shared" si="36"/>
        <v/>
      </c>
    </row>
    <row r="79" spans="3:10">
      <c r="C79" s="25" t="str">
        <f t="shared" si="32"/>
        <v/>
      </c>
      <c r="D79" s="152" t="str">
        <f t="shared" si="29"/>
        <v/>
      </c>
      <c r="E79" s="27" t="e">
        <f t="shared" si="34"/>
        <v>#VALUE!</v>
      </c>
      <c r="F79" s="159" t="e">
        <f t="shared" si="35"/>
        <v>#VALUE!</v>
      </c>
      <c r="G79" s="152" t="e">
        <f t="shared" si="33"/>
        <v>#DIV/0!</v>
      </c>
      <c r="H79" s="155" t="e">
        <f t="shared" si="31"/>
        <v>#DIV/0!</v>
      </c>
      <c r="I79" s="159" t="e">
        <f t="shared" si="37"/>
        <v>#DIV/0!</v>
      </c>
      <c r="J79" s="27" t="str">
        <f t="shared" si="36"/>
        <v/>
      </c>
    </row>
    <row r="80" spans="3:10">
      <c r="C80" s="25" t="str">
        <f t="shared" si="32"/>
        <v/>
      </c>
      <c r="D80" s="152" t="str">
        <f t="shared" si="29"/>
        <v/>
      </c>
      <c r="E80" s="27" t="e">
        <f t="shared" si="34"/>
        <v>#VALUE!</v>
      </c>
      <c r="F80" s="159" t="e">
        <f t="shared" si="35"/>
        <v>#VALUE!</v>
      </c>
      <c r="G80" s="152" t="e">
        <f t="shared" si="33"/>
        <v>#DIV/0!</v>
      </c>
      <c r="H80" s="155" t="e">
        <f t="shared" si="31"/>
        <v>#DIV/0!</v>
      </c>
      <c r="I80" s="159" t="e">
        <f t="shared" si="37"/>
        <v>#DIV/0!</v>
      </c>
      <c r="J80" s="27" t="str">
        <f t="shared" si="36"/>
        <v/>
      </c>
    </row>
  </sheetData>
  <conditionalFormatting sqref="I4:I80">
    <cfRule type="cellIs" dxfId="19" priority="1" operator="lessThanOrEqual">
      <formula>0.5</formula>
    </cfRule>
    <cfRule type="cellIs" dxfId="18" priority="2" operator="greaterThanOrEqual">
      <formula>2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62"/>
  <sheetViews>
    <sheetView topLeftCell="A40" workbookViewId="0">
      <selection activeCell="N68" sqref="N68"/>
    </sheetView>
  </sheetViews>
  <sheetFormatPr defaultRowHeight="10.5"/>
  <cols>
    <col min="1" max="1" width="9.140625" style="209"/>
    <col min="2" max="2" width="11.140625" style="209" customWidth="1"/>
    <col min="3" max="8" width="9.140625" style="209"/>
    <col min="9" max="9" width="11.28515625" style="209" customWidth="1"/>
    <col min="10" max="10" width="9.140625" style="209"/>
    <col min="11" max="11" width="12.7109375" style="209" customWidth="1"/>
    <col min="12" max="16384" width="9.140625" style="209"/>
  </cols>
  <sheetData>
    <row r="1" spans="1:16">
      <c r="A1" s="170" t="s">
        <v>199</v>
      </c>
      <c r="B1" s="171" t="s">
        <v>210</v>
      </c>
      <c r="C1" s="170" t="s">
        <v>200</v>
      </c>
      <c r="D1" s="170" t="s">
        <v>201</v>
      </c>
      <c r="E1" s="170" t="s">
        <v>202</v>
      </c>
      <c r="F1" s="170" t="s">
        <v>203</v>
      </c>
      <c r="G1" s="170" t="s">
        <v>211</v>
      </c>
      <c r="H1" s="170" t="s">
        <v>212</v>
      </c>
      <c r="I1" s="171" t="s">
        <v>213</v>
      </c>
      <c r="J1" s="170" t="s">
        <v>217</v>
      </c>
      <c r="K1" s="170" t="s">
        <v>204</v>
      </c>
      <c r="L1" s="170" t="s">
        <v>205</v>
      </c>
      <c r="M1" s="170" t="s">
        <v>206</v>
      </c>
      <c r="N1" s="170" t="s">
        <v>207</v>
      </c>
      <c r="O1" s="170" t="s">
        <v>15</v>
      </c>
    </row>
    <row r="2" spans="1:16">
      <c r="A2" s="163">
        <v>21246904</v>
      </c>
      <c r="B2" s="162" t="s">
        <v>222</v>
      </c>
      <c r="C2" s="163" t="s">
        <v>191</v>
      </c>
      <c r="D2" s="163">
        <v>0.7</v>
      </c>
      <c r="E2" s="163" t="s">
        <v>195</v>
      </c>
      <c r="F2" s="168">
        <v>168993</v>
      </c>
      <c r="G2" s="168">
        <v>169020</v>
      </c>
      <c r="H2" s="163">
        <v>0</v>
      </c>
      <c r="I2" s="162" t="s">
        <v>223</v>
      </c>
      <c r="J2" s="168">
        <v>169020</v>
      </c>
      <c r="K2" s="199" t="s">
        <v>221</v>
      </c>
      <c r="L2" s="163">
        <v>0</v>
      </c>
      <c r="M2" s="163">
        <v>-3.16</v>
      </c>
      <c r="N2" s="163">
        <v>-18.899999999999999</v>
      </c>
      <c r="O2" s="207">
        <f>Tabela9[[#This Row],[Swap]]+Tabela9[[#This Row],[Profit]]</f>
        <v>-22.06</v>
      </c>
      <c r="P2" s="209">
        <v>-27.81</v>
      </c>
    </row>
    <row r="3" spans="1:16">
      <c r="A3" s="163"/>
      <c r="B3" s="199"/>
      <c r="C3" s="199"/>
      <c r="D3" s="199"/>
      <c r="E3" s="199"/>
      <c r="F3" s="199"/>
      <c r="G3" s="199"/>
      <c r="H3" s="199"/>
      <c r="I3" s="199"/>
      <c r="J3" s="163">
        <v>8855</v>
      </c>
      <c r="K3" s="165">
        <v>0</v>
      </c>
      <c r="L3" s="199"/>
      <c r="M3" s="199"/>
      <c r="N3" s="210"/>
      <c r="O3" s="207">
        <f>Tabela9[[#This Row],[Swap]]+Tabela9[[#This Row],[Profit]]</f>
        <v>0</v>
      </c>
    </row>
    <row r="4" spans="1:16">
      <c r="A4" s="165">
        <v>21209126</v>
      </c>
      <c r="B4" s="164" t="s">
        <v>224</v>
      </c>
      <c r="C4" s="165" t="s">
        <v>193</v>
      </c>
      <c r="D4" s="165">
        <v>1.17</v>
      </c>
      <c r="E4" s="165" t="s">
        <v>197</v>
      </c>
      <c r="F4" s="165">
        <v>0.93137000000000003</v>
      </c>
      <c r="G4" s="165">
        <v>0.93540000000000001</v>
      </c>
      <c r="H4" s="165">
        <v>0</v>
      </c>
      <c r="I4" s="164" t="s">
        <v>225</v>
      </c>
      <c r="J4" s="165">
        <v>0.93540000000000001</v>
      </c>
      <c r="K4" s="201" t="s">
        <v>221</v>
      </c>
      <c r="L4" s="165">
        <v>0</v>
      </c>
      <c r="M4" s="165">
        <v>43.67</v>
      </c>
      <c r="N4" s="165">
        <v>471.51</v>
      </c>
      <c r="O4" s="207">
        <f>Tabela9[[#This Row],[Swap]]+Tabela9[[#This Row],[Profit]]</f>
        <v>515.17999999999995</v>
      </c>
    </row>
    <row r="5" spans="1:16">
      <c r="A5" s="167"/>
      <c r="B5" s="200"/>
      <c r="C5" s="200"/>
      <c r="D5" s="200"/>
      <c r="E5" s="200"/>
      <c r="F5" s="200"/>
      <c r="G5" s="200"/>
      <c r="H5" s="200"/>
      <c r="I5" s="200"/>
      <c r="J5" s="167">
        <v>8855</v>
      </c>
      <c r="K5" s="163">
        <v>0</v>
      </c>
      <c r="L5" s="201"/>
      <c r="M5" s="201"/>
      <c r="N5" s="210"/>
      <c r="O5" s="207">
        <f>Tabela9[[#This Row],[Swap]]+Tabela9[[#This Row],[Profit]]</f>
        <v>0</v>
      </c>
    </row>
    <row r="6" spans="1:16">
      <c r="A6" s="163">
        <v>21253879</v>
      </c>
      <c r="B6" s="162" t="s">
        <v>226</v>
      </c>
      <c r="C6" s="163" t="s">
        <v>191</v>
      </c>
      <c r="D6" s="163">
        <v>1.57</v>
      </c>
      <c r="E6" s="163" t="s">
        <v>192</v>
      </c>
      <c r="F6" s="163">
        <v>0.81613999999999998</v>
      </c>
      <c r="G6" s="163">
        <v>0.81669999999999998</v>
      </c>
      <c r="H6" s="163">
        <v>0</v>
      </c>
      <c r="I6" s="162" t="s">
        <v>227</v>
      </c>
      <c r="J6" s="163">
        <v>0.81669999999999998</v>
      </c>
      <c r="K6" s="199" t="s">
        <v>221</v>
      </c>
      <c r="L6" s="163">
        <v>0</v>
      </c>
      <c r="M6" s="163">
        <v>-2.66</v>
      </c>
      <c r="N6" s="163">
        <v>-148.25</v>
      </c>
      <c r="O6" s="207">
        <f>Tabela9[[#This Row],[Swap]]+Tabela9[[#This Row],[Profit]]</f>
        <v>-150.91</v>
      </c>
    </row>
    <row r="7" spans="1:16">
      <c r="A7" s="163"/>
      <c r="B7" s="199"/>
      <c r="C7" s="199"/>
      <c r="D7" s="199"/>
      <c r="E7" s="199"/>
      <c r="F7" s="199"/>
      <c r="G7" s="199"/>
      <c r="H7" s="199"/>
      <c r="I7" s="199"/>
      <c r="J7" s="163">
        <v>8855</v>
      </c>
      <c r="K7" s="165">
        <v>0</v>
      </c>
      <c r="L7" s="199"/>
      <c r="M7" s="199"/>
      <c r="N7" s="210"/>
      <c r="O7" s="207">
        <f>Tabela9[[#This Row],[Swap]]+Tabela9[[#This Row],[Profit]]</f>
        <v>0</v>
      </c>
    </row>
    <row r="8" spans="1:16">
      <c r="A8" s="165">
        <v>21268764</v>
      </c>
      <c r="B8" s="164" t="s">
        <v>228</v>
      </c>
      <c r="C8" s="165" t="s">
        <v>191</v>
      </c>
      <c r="D8" s="165">
        <v>2.13</v>
      </c>
      <c r="E8" s="165" t="s">
        <v>197</v>
      </c>
      <c r="F8" s="165">
        <v>0.93503999999999998</v>
      </c>
      <c r="G8" s="165">
        <v>0.93620000000000003</v>
      </c>
      <c r="H8" s="165">
        <v>0</v>
      </c>
      <c r="I8" s="164" t="s">
        <v>229</v>
      </c>
      <c r="J8" s="165">
        <v>0.93620000000000003</v>
      </c>
      <c r="K8" s="201" t="s">
        <v>221</v>
      </c>
      <c r="L8" s="165">
        <v>0</v>
      </c>
      <c r="M8" s="165">
        <v>0</v>
      </c>
      <c r="N8" s="165">
        <v>-247.08</v>
      </c>
      <c r="O8" s="207">
        <f>Tabela9[[#This Row],[Swap]]+Tabela9[[#This Row],[Profit]]</f>
        <v>-247.08</v>
      </c>
    </row>
    <row r="9" spans="1:16">
      <c r="A9" s="167"/>
      <c r="B9" s="200"/>
      <c r="C9" s="200"/>
      <c r="D9" s="200"/>
      <c r="E9" s="200"/>
      <c r="F9" s="200"/>
      <c r="G9" s="200"/>
      <c r="H9" s="200"/>
      <c r="I9" s="200"/>
      <c r="J9" s="167">
        <v>8855</v>
      </c>
      <c r="K9" s="163">
        <v>0</v>
      </c>
      <c r="L9" s="201"/>
      <c r="M9" s="201"/>
      <c r="N9" s="210"/>
      <c r="O9" s="207">
        <f>Tabela9[[#This Row],[Swap]]+Tabela9[[#This Row],[Profit]]</f>
        <v>0</v>
      </c>
    </row>
    <row r="10" spans="1:16">
      <c r="A10" s="163">
        <v>21271016</v>
      </c>
      <c r="B10" s="162" t="s">
        <v>230</v>
      </c>
      <c r="C10" s="163" t="s">
        <v>191</v>
      </c>
      <c r="D10" s="163">
        <v>1.1299999999999999</v>
      </c>
      <c r="E10" s="163" t="s">
        <v>195</v>
      </c>
      <c r="F10" s="168">
        <v>168505</v>
      </c>
      <c r="G10" s="168">
        <v>168320</v>
      </c>
      <c r="H10" s="163">
        <v>0</v>
      </c>
      <c r="I10" s="162" t="s">
        <v>231</v>
      </c>
      <c r="J10" s="168">
        <v>168320</v>
      </c>
      <c r="K10" s="199" t="s">
        <v>221</v>
      </c>
      <c r="L10" s="163">
        <v>0</v>
      </c>
      <c r="M10" s="163">
        <v>-5.0999999999999996</v>
      </c>
      <c r="N10" s="163">
        <v>209.05</v>
      </c>
      <c r="O10" s="207">
        <f>Tabela9[[#This Row],[Swap]]+Tabela9[[#This Row],[Profit]]</f>
        <v>203.95000000000002</v>
      </c>
    </row>
    <row r="11" spans="1:16">
      <c r="A11" s="163"/>
      <c r="B11" s="199"/>
      <c r="C11" s="199"/>
      <c r="D11" s="199"/>
      <c r="E11" s="199"/>
      <c r="F11" s="199"/>
      <c r="G11" s="199"/>
      <c r="H11" s="199"/>
      <c r="I11" s="199"/>
      <c r="J11" s="163">
        <v>8855</v>
      </c>
      <c r="K11" s="165">
        <v>0</v>
      </c>
      <c r="L11" s="199"/>
      <c r="M11" s="199"/>
      <c r="N11" s="210"/>
      <c r="O11" s="207">
        <f>Tabela9[[#This Row],[Swap]]+Tabela9[[#This Row],[Profit]]</f>
        <v>0</v>
      </c>
    </row>
    <row r="12" spans="1:16">
      <c r="A12" s="165">
        <v>21283357</v>
      </c>
      <c r="B12" s="164" t="s">
        <v>232</v>
      </c>
      <c r="C12" s="165" t="s">
        <v>193</v>
      </c>
      <c r="D12" s="165">
        <v>1.22</v>
      </c>
      <c r="E12" s="165" t="s">
        <v>198</v>
      </c>
      <c r="F12" s="166">
        <v>109225</v>
      </c>
      <c r="G12" s="166">
        <v>108970</v>
      </c>
      <c r="H12" s="165">
        <v>0</v>
      </c>
      <c r="I12" s="164" t="s">
        <v>233</v>
      </c>
      <c r="J12" s="166">
        <v>108970</v>
      </c>
      <c r="K12" s="201" t="s">
        <v>221</v>
      </c>
      <c r="L12" s="165">
        <v>0</v>
      </c>
      <c r="M12" s="165">
        <v>0</v>
      </c>
      <c r="N12" s="165">
        <v>-285.49</v>
      </c>
      <c r="O12" s="207">
        <f>Tabela9[[#This Row],[Swap]]+Tabela9[[#This Row],[Profit]]</f>
        <v>-285.49</v>
      </c>
    </row>
    <row r="13" spans="1:16">
      <c r="A13" s="167"/>
      <c r="B13" s="200"/>
      <c r="C13" s="200"/>
      <c r="D13" s="200"/>
      <c r="E13" s="200"/>
      <c r="F13" s="200"/>
      <c r="G13" s="200"/>
      <c r="H13" s="200"/>
      <c r="I13" s="200"/>
      <c r="J13" s="167">
        <v>8855</v>
      </c>
      <c r="K13" s="163">
        <v>0</v>
      </c>
      <c r="L13" s="201"/>
      <c r="M13" s="201"/>
      <c r="N13" s="210"/>
      <c r="O13" s="207">
        <f>Tabela9[[#This Row],[Swap]]+Tabela9[[#This Row],[Profit]]</f>
        <v>0</v>
      </c>
    </row>
    <row r="14" spans="1:16">
      <c r="A14" s="163">
        <v>21246284</v>
      </c>
      <c r="B14" s="162" t="s">
        <v>234</v>
      </c>
      <c r="C14" s="163" t="s">
        <v>191</v>
      </c>
      <c r="D14" s="163">
        <v>1.07</v>
      </c>
      <c r="E14" s="163" t="s">
        <v>194</v>
      </c>
      <c r="F14" s="168">
        <v>138192</v>
      </c>
      <c r="G14" s="168">
        <v>137570</v>
      </c>
      <c r="H14" s="163">
        <v>0</v>
      </c>
      <c r="I14" s="162" t="s">
        <v>235</v>
      </c>
      <c r="J14" s="168">
        <v>136717</v>
      </c>
      <c r="K14" s="199" t="s">
        <v>221</v>
      </c>
      <c r="L14" s="163">
        <v>0</v>
      </c>
      <c r="M14" s="163">
        <v>-14.37</v>
      </c>
      <c r="N14" s="163">
        <v>1578.25</v>
      </c>
      <c r="O14" s="207">
        <f>Tabela9[[#This Row],[Swap]]+Tabela9[[#This Row],[Profit]]</f>
        <v>1563.88</v>
      </c>
    </row>
    <row r="15" spans="1:16">
      <c r="A15" s="163"/>
      <c r="B15" s="199"/>
      <c r="C15" s="199"/>
      <c r="D15" s="199"/>
      <c r="E15" s="199"/>
      <c r="F15" s="199"/>
      <c r="G15" s="199"/>
      <c r="H15" s="199"/>
      <c r="I15" s="199"/>
      <c r="J15" s="163">
        <v>8855</v>
      </c>
      <c r="K15" s="165">
        <v>0</v>
      </c>
      <c r="L15" s="199"/>
      <c r="M15" s="199"/>
      <c r="N15" s="210"/>
      <c r="O15" s="207">
        <f>Tabela9[[#This Row],[Swap]]+Tabela9[[#This Row],[Profit]]</f>
        <v>0</v>
      </c>
    </row>
    <row r="16" spans="1:16">
      <c r="A16" s="165">
        <v>21209623</v>
      </c>
      <c r="B16" s="164" t="s">
        <v>236</v>
      </c>
      <c r="C16" s="165" t="s">
        <v>193</v>
      </c>
      <c r="D16" s="165">
        <v>1.3</v>
      </c>
      <c r="E16" s="165" t="s">
        <v>197</v>
      </c>
      <c r="F16" s="165">
        <v>0.93223999999999996</v>
      </c>
      <c r="G16" s="165">
        <v>0.93579999999999997</v>
      </c>
      <c r="H16" s="165">
        <v>0</v>
      </c>
      <c r="I16" s="164" t="s">
        <v>237</v>
      </c>
      <c r="J16" s="165">
        <v>0.93579999999999997</v>
      </c>
      <c r="K16" s="201" t="s">
        <v>253</v>
      </c>
      <c r="L16" s="165">
        <v>0</v>
      </c>
      <c r="M16" s="165">
        <v>76.31</v>
      </c>
      <c r="N16" s="165">
        <v>462.8</v>
      </c>
      <c r="O16" s="207">
        <f>Tabela9[[#This Row],[Swap]]+Tabela9[[#This Row],[Profit]]</f>
        <v>539.11</v>
      </c>
    </row>
    <row r="17" spans="1:15">
      <c r="A17" s="167"/>
      <c r="B17" s="200"/>
      <c r="C17" s="200"/>
      <c r="D17" s="200"/>
      <c r="E17" s="200"/>
      <c r="F17" s="200"/>
      <c r="G17" s="200"/>
      <c r="H17" s="200"/>
      <c r="I17" s="200"/>
      <c r="J17" s="167">
        <v>8855</v>
      </c>
      <c r="K17" s="163">
        <v>0</v>
      </c>
      <c r="L17" s="201"/>
      <c r="M17" s="201"/>
      <c r="N17" s="210"/>
      <c r="O17" s="207">
        <f>Tabela9[[#This Row],[Swap]]+Tabela9[[#This Row],[Profit]]</f>
        <v>0</v>
      </c>
    </row>
    <row r="18" spans="1:15">
      <c r="A18" s="163">
        <v>21286193</v>
      </c>
      <c r="B18" s="162" t="s">
        <v>238</v>
      </c>
      <c r="C18" s="163" t="s">
        <v>191</v>
      </c>
      <c r="D18" s="163">
        <v>0.6</v>
      </c>
      <c r="E18" s="163" t="s">
        <v>195</v>
      </c>
      <c r="F18" s="168">
        <v>167654</v>
      </c>
      <c r="G18" s="168">
        <v>167750</v>
      </c>
      <c r="H18" s="163">
        <v>0</v>
      </c>
      <c r="I18" s="162" t="s">
        <v>239</v>
      </c>
      <c r="J18" s="168">
        <v>167750</v>
      </c>
      <c r="K18" s="199" t="s">
        <v>221</v>
      </c>
      <c r="L18" s="163">
        <v>0</v>
      </c>
      <c r="M18" s="163">
        <v>-8.09</v>
      </c>
      <c r="N18" s="163">
        <v>-57.6</v>
      </c>
      <c r="O18" s="207">
        <f>Tabela9[[#This Row],[Swap]]+Tabela9[[#This Row],[Profit]]</f>
        <v>-65.69</v>
      </c>
    </row>
    <row r="19" spans="1:15">
      <c r="A19" s="163"/>
      <c r="B19" s="199"/>
      <c r="C19" s="199"/>
      <c r="D19" s="199"/>
      <c r="E19" s="199"/>
      <c r="F19" s="199"/>
      <c r="G19" s="199"/>
      <c r="H19" s="199"/>
      <c r="I19" s="199"/>
      <c r="J19" s="163">
        <v>8855</v>
      </c>
      <c r="K19" s="165">
        <v>0</v>
      </c>
      <c r="L19" s="199"/>
      <c r="M19" s="199"/>
      <c r="N19" s="210"/>
      <c r="O19" s="207">
        <f>Tabela9[[#This Row],[Swap]]+Tabela9[[#This Row],[Profit]]</f>
        <v>0</v>
      </c>
    </row>
    <row r="20" spans="1:15">
      <c r="A20" s="165">
        <v>21246821</v>
      </c>
      <c r="B20" s="164" t="s">
        <v>240</v>
      </c>
      <c r="C20" s="165" t="s">
        <v>193</v>
      </c>
      <c r="D20" s="165">
        <v>1.1499999999999999</v>
      </c>
      <c r="E20" s="165" t="s">
        <v>196</v>
      </c>
      <c r="F20" s="165">
        <v>0.88288</v>
      </c>
      <c r="G20" s="165">
        <v>0.8921</v>
      </c>
      <c r="H20" s="165">
        <v>0</v>
      </c>
      <c r="I20" s="164" t="s">
        <v>241</v>
      </c>
      <c r="J20" s="165">
        <v>0.8921</v>
      </c>
      <c r="K20" s="201" t="s">
        <v>221</v>
      </c>
      <c r="L20" s="165">
        <v>0</v>
      </c>
      <c r="M20" s="165">
        <v>-9.42</v>
      </c>
      <c r="N20" s="165">
        <v>1188.54</v>
      </c>
      <c r="O20" s="207">
        <f>Tabela9[[#This Row],[Swap]]+Tabela9[[#This Row],[Profit]]</f>
        <v>1179.1199999999999</v>
      </c>
    </row>
    <row r="21" spans="1:15">
      <c r="A21" s="167"/>
      <c r="B21" s="200"/>
      <c r="C21" s="200"/>
      <c r="D21" s="200"/>
      <c r="E21" s="200"/>
      <c r="F21" s="200"/>
      <c r="G21" s="200"/>
      <c r="H21" s="200"/>
      <c r="I21" s="200"/>
      <c r="J21" s="167">
        <v>8855</v>
      </c>
      <c r="K21" s="163">
        <v>0</v>
      </c>
      <c r="L21" s="201"/>
      <c r="M21" s="201"/>
      <c r="N21" s="210"/>
      <c r="O21" s="207">
        <f>Tabela9[[#This Row],[Swap]]+Tabela9[[#This Row],[Profit]]</f>
        <v>0</v>
      </c>
    </row>
    <row r="22" spans="1:15">
      <c r="A22" s="163">
        <v>21295817</v>
      </c>
      <c r="B22" s="162" t="s">
        <v>242</v>
      </c>
      <c r="C22" s="163" t="s">
        <v>193</v>
      </c>
      <c r="D22" s="163">
        <v>1.23</v>
      </c>
      <c r="E22" s="163" t="s">
        <v>196</v>
      </c>
      <c r="F22" s="163">
        <v>0.89124999999999999</v>
      </c>
      <c r="G22" s="163">
        <v>0.8921</v>
      </c>
      <c r="H22" s="163">
        <v>0</v>
      </c>
      <c r="I22" s="162" t="s">
        <v>241</v>
      </c>
      <c r="J22" s="163">
        <v>0.8921</v>
      </c>
      <c r="K22" s="199" t="s">
        <v>253</v>
      </c>
      <c r="L22" s="163">
        <v>0</v>
      </c>
      <c r="M22" s="163">
        <v>0</v>
      </c>
      <c r="N22" s="163">
        <v>117.2</v>
      </c>
      <c r="O22" s="207">
        <f>Tabela9[[#This Row],[Swap]]+Tabela9[[#This Row],[Profit]]</f>
        <v>117.2</v>
      </c>
    </row>
    <row r="23" spans="1:15">
      <c r="A23" s="163"/>
      <c r="B23" s="199"/>
      <c r="C23" s="199"/>
      <c r="D23" s="199"/>
      <c r="E23" s="199"/>
      <c r="F23" s="199"/>
      <c r="G23" s="199"/>
      <c r="H23" s="199"/>
      <c r="I23" s="199"/>
      <c r="J23" s="163">
        <v>8855</v>
      </c>
      <c r="K23" s="165">
        <v>0</v>
      </c>
      <c r="L23" s="199"/>
      <c r="M23" s="199"/>
      <c r="N23" s="210"/>
      <c r="O23" s="207">
        <f>Tabela9[[#This Row],[Swap]]+Tabela9[[#This Row],[Profit]]</f>
        <v>0</v>
      </c>
    </row>
    <row r="24" spans="1:15">
      <c r="A24" s="165">
        <v>21278124</v>
      </c>
      <c r="B24" s="164" t="s">
        <v>243</v>
      </c>
      <c r="C24" s="165" t="s">
        <v>191</v>
      </c>
      <c r="D24" s="165">
        <v>0.78</v>
      </c>
      <c r="E24" s="165" t="s">
        <v>194</v>
      </c>
      <c r="F24" s="166">
        <v>136953</v>
      </c>
      <c r="G24" s="166">
        <v>136840</v>
      </c>
      <c r="H24" s="165">
        <v>0</v>
      </c>
      <c r="I24" s="164" t="s">
        <v>244</v>
      </c>
      <c r="J24" s="166">
        <v>136840</v>
      </c>
      <c r="K24" s="201" t="s">
        <v>253</v>
      </c>
      <c r="L24" s="165">
        <v>0</v>
      </c>
      <c r="M24" s="165">
        <v>-6.97</v>
      </c>
      <c r="N24" s="165">
        <v>88.14</v>
      </c>
      <c r="O24" s="207">
        <f>Tabela9[[#This Row],[Swap]]+Tabela9[[#This Row],[Profit]]</f>
        <v>81.17</v>
      </c>
    </row>
    <row r="25" spans="1:15">
      <c r="A25" s="167"/>
      <c r="B25" s="200"/>
      <c r="C25" s="200"/>
      <c r="D25" s="200"/>
      <c r="E25" s="200"/>
      <c r="F25" s="200"/>
      <c r="G25" s="200"/>
      <c r="H25" s="200"/>
      <c r="I25" s="200"/>
      <c r="J25" s="167">
        <v>8855</v>
      </c>
      <c r="K25" s="163">
        <v>0</v>
      </c>
      <c r="L25" s="201"/>
      <c r="M25" s="201"/>
      <c r="N25" s="210"/>
      <c r="O25" s="207">
        <f>Tabela9[[#This Row],[Swap]]+Tabela9[[#This Row],[Profit]]</f>
        <v>0</v>
      </c>
    </row>
    <row r="26" spans="1:15">
      <c r="A26" s="163">
        <v>21297201</v>
      </c>
      <c r="B26" s="162" t="s">
        <v>245</v>
      </c>
      <c r="C26" s="163" t="s">
        <v>191</v>
      </c>
      <c r="D26" s="163">
        <v>0.53</v>
      </c>
      <c r="E26" s="163" t="s">
        <v>194</v>
      </c>
      <c r="F26" s="168">
        <v>136591</v>
      </c>
      <c r="G26" s="168">
        <v>137210</v>
      </c>
      <c r="H26" s="163">
        <v>0</v>
      </c>
      <c r="I26" s="162" t="s">
        <v>246</v>
      </c>
      <c r="J26" s="168">
        <v>137210</v>
      </c>
      <c r="K26" s="199" t="s">
        <v>221</v>
      </c>
      <c r="L26" s="163">
        <v>0</v>
      </c>
      <c r="M26" s="163">
        <v>0</v>
      </c>
      <c r="N26" s="163">
        <v>-328.07</v>
      </c>
      <c r="O26" s="207">
        <f>Tabela9[[#This Row],[Swap]]+Tabela9[[#This Row],[Profit]]</f>
        <v>-328.07</v>
      </c>
    </row>
    <row r="27" spans="1:15">
      <c r="A27" s="163"/>
      <c r="B27" s="199"/>
      <c r="C27" s="199"/>
      <c r="D27" s="199"/>
      <c r="E27" s="199"/>
      <c r="F27" s="199"/>
      <c r="G27" s="199"/>
      <c r="H27" s="199"/>
      <c r="I27" s="199"/>
      <c r="J27" s="163">
        <v>8855</v>
      </c>
      <c r="K27" s="165">
        <v>0</v>
      </c>
      <c r="L27" s="199"/>
      <c r="M27" s="199"/>
      <c r="N27" s="210"/>
      <c r="O27" s="207">
        <f>Tabela9[[#This Row],[Swap]]+Tabela9[[#This Row],[Profit]]</f>
        <v>0</v>
      </c>
    </row>
    <row r="28" spans="1:15">
      <c r="A28" s="165">
        <v>21313467</v>
      </c>
      <c r="B28" s="164" t="s">
        <v>254</v>
      </c>
      <c r="C28" s="165" t="s">
        <v>193</v>
      </c>
      <c r="D28" s="165">
        <v>1.5</v>
      </c>
      <c r="E28" s="165" t="s">
        <v>196</v>
      </c>
      <c r="F28" s="165">
        <v>0.89249000000000001</v>
      </c>
      <c r="G28" s="165">
        <v>0.89019999999999999</v>
      </c>
      <c r="H28" s="165">
        <v>0</v>
      </c>
      <c r="I28" s="164" t="s">
        <v>255</v>
      </c>
      <c r="J28" s="165">
        <v>0.89019999999999999</v>
      </c>
      <c r="K28" s="201" t="s">
        <v>221</v>
      </c>
      <c r="L28" s="165">
        <v>0</v>
      </c>
      <c r="M28" s="165">
        <v>0</v>
      </c>
      <c r="N28" s="165">
        <v>-385.87</v>
      </c>
      <c r="O28" s="207">
        <f>Tabela9[[#This Row],[Swap]]+Tabela9[[#This Row],[Profit]]</f>
        <v>-385.87</v>
      </c>
    </row>
    <row r="29" spans="1:15">
      <c r="A29" s="167"/>
      <c r="B29" s="200"/>
      <c r="C29" s="200"/>
      <c r="D29" s="200"/>
      <c r="E29" s="200"/>
      <c r="F29" s="200"/>
      <c r="G29" s="200"/>
      <c r="H29" s="200"/>
      <c r="I29" s="200"/>
      <c r="J29" s="167">
        <v>8855</v>
      </c>
      <c r="K29" s="163">
        <v>0</v>
      </c>
      <c r="L29" s="201"/>
      <c r="M29" s="201"/>
      <c r="N29" s="210"/>
      <c r="O29" s="207">
        <f>Tabela9[[#This Row],[Swap]]+Tabela9[[#This Row],[Profit]]</f>
        <v>0</v>
      </c>
    </row>
    <row r="30" spans="1:15">
      <c r="A30" s="163">
        <v>21320438</v>
      </c>
      <c r="B30" s="162" t="s">
        <v>256</v>
      </c>
      <c r="C30" s="163" t="s">
        <v>191</v>
      </c>
      <c r="D30" s="163">
        <v>2</v>
      </c>
      <c r="E30" s="163" t="s">
        <v>197</v>
      </c>
      <c r="F30" s="163">
        <v>0.93530999999999997</v>
      </c>
      <c r="G30" s="163">
        <v>0.93610000000000004</v>
      </c>
      <c r="H30" s="163">
        <v>0</v>
      </c>
      <c r="I30" s="162" t="s">
        <v>257</v>
      </c>
      <c r="J30" s="163">
        <v>0.93610000000000004</v>
      </c>
      <c r="K30" s="199" t="s">
        <v>221</v>
      </c>
      <c r="L30" s="163">
        <v>0</v>
      </c>
      <c r="M30" s="163">
        <v>0</v>
      </c>
      <c r="N30" s="163">
        <v>-158</v>
      </c>
      <c r="O30" s="207">
        <f>Tabela9[[#This Row],[Swap]]+Tabela9[[#This Row],[Profit]]</f>
        <v>-158</v>
      </c>
    </row>
    <row r="31" spans="1:15">
      <c r="A31" s="163"/>
      <c r="B31" s="199"/>
      <c r="C31" s="199"/>
      <c r="D31" s="199"/>
      <c r="E31" s="199"/>
      <c r="F31" s="199"/>
      <c r="G31" s="199"/>
      <c r="H31" s="199"/>
      <c r="I31" s="199"/>
      <c r="J31" s="163">
        <v>8855</v>
      </c>
      <c r="K31" s="165">
        <v>0</v>
      </c>
      <c r="L31" s="199"/>
      <c r="M31" s="199"/>
      <c r="N31" s="210"/>
      <c r="O31" s="207">
        <f>Tabela9[[#This Row],[Swap]]+Tabela9[[#This Row],[Profit]]</f>
        <v>0</v>
      </c>
    </row>
    <row r="32" spans="1:15">
      <c r="A32" s="165">
        <v>21229219</v>
      </c>
      <c r="B32" s="164" t="s">
        <v>258</v>
      </c>
      <c r="C32" s="165" t="s">
        <v>193</v>
      </c>
      <c r="D32" s="165">
        <v>1.28</v>
      </c>
      <c r="E32" s="165" t="s">
        <v>197</v>
      </c>
      <c r="F32" s="165">
        <v>0.93733999999999995</v>
      </c>
      <c r="G32" s="165">
        <v>0.92659999999999998</v>
      </c>
      <c r="H32" s="165">
        <v>0</v>
      </c>
      <c r="I32" s="164" t="s">
        <v>259</v>
      </c>
      <c r="J32" s="165">
        <v>0.92659999999999998</v>
      </c>
      <c r="K32" s="201" t="s">
        <v>268</v>
      </c>
      <c r="L32" s="165">
        <v>0</v>
      </c>
      <c r="M32" s="165">
        <v>68.349999999999994</v>
      </c>
      <c r="N32" s="165">
        <v>-1374.72</v>
      </c>
      <c r="O32" s="207">
        <f>Tabela9[[#This Row],[Swap]]+Tabela9[[#This Row],[Profit]]</f>
        <v>-1306.3700000000001</v>
      </c>
    </row>
    <row r="33" spans="1:15">
      <c r="A33" s="167"/>
      <c r="B33" s="200"/>
      <c r="C33" s="200"/>
      <c r="D33" s="200"/>
      <c r="E33" s="200"/>
      <c r="F33" s="200"/>
      <c r="G33" s="200"/>
      <c r="H33" s="200"/>
      <c r="I33" s="200"/>
      <c r="J33" s="167">
        <v>8855</v>
      </c>
      <c r="K33" s="163">
        <v>0</v>
      </c>
      <c r="L33" s="201"/>
      <c r="M33" s="201"/>
      <c r="N33" s="210"/>
      <c r="O33" s="207">
        <f>Tabela9[[#This Row],[Swap]]+Tabela9[[#This Row],[Profit]]</f>
        <v>0</v>
      </c>
    </row>
    <row r="34" spans="1:15">
      <c r="A34" s="163">
        <v>21333717</v>
      </c>
      <c r="B34" s="162" t="s">
        <v>260</v>
      </c>
      <c r="C34" s="163" t="s">
        <v>193</v>
      </c>
      <c r="D34" s="163">
        <v>1.56</v>
      </c>
      <c r="E34" s="163" t="s">
        <v>196</v>
      </c>
      <c r="F34" s="163">
        <v>0.89378999999999997</v>
      </c>
      <c r="G34" s="163">
        <v>0.89170000000000005</v>
      </c>
      <c r="H34" s="163">
        <v>0</v>
      </c>
      <c r="I34" s="162" t="s">
        <v>261</v>
      </c>
      <c r="J34" s="163">
        <v>0.89170000000000005</v>
      </c>
      <c r="K34" s="199" t="s">
        <v>221</v>
      </c>
      <c r="L34" s="163">
        <v>0</v>
      </c>
      <c r="M34" s="163">
        <v>0</v>
      </c>
      <c r="N34" s="163">
        <v>-365.64</v>
      </c>
      <c r="O34" s="207">
        <f>Tabela9[[#This Row],[Swap]]+Tabela9[[#This Row],[Profit]]</f>
        <v>-365.64</v>
      </c>
    </row>
    <row r="35" spans="1:15">
      <c r="A35" s="163"/>
      <c r="B35" s="199"/>
      <c r="C35" s="199"/>
      <c r="D35" s="199"/>
      <c r="E35" s="199"/>
      <c r="F35" s="199"/>
      <c r="G35" s="199"/>
      <c r="H35" s="199"/>
      <c r="I35" s="199"/>
      <c r="J35" s="163">
        <v>8855</v>
      </c>
      <c r="K35" s="165">
        <v>0</v>
      </c>
      <c r="L35" s="199"/>
      <c r="M35" s="199"/>
      <c r="N35" s="210"/>
      <c r="O35" s="207">
        <f>Tabela9[[#This Row],[Swap]]+Tabela9[[#This Row],[Profit]]</f>
        <v>0</v>
      </c>
    </row>
    <row r="36" spans="1:15">
      <c r="A36" s="165">
        <v>21328071</v>
      </c>
      <c r="B36" s="164" t="s">
        <v>262</v>
      </c>
      <c r="C36" s="165" t="s">
        <v>191</v>
      </c>
      <c r="D36" s="165">
        <v>1.61</v>
      </c>
      <c r="E36" s="165" t="s">
        <v>197</v>
      </c>
      <c r="F36" s="165">
        <v>0.93400000000000005</v>
      </c>
      <c r="G36" s="165">
        <v>0.93259999999999998</v>
      </c>
      <c r="H36" s="165">
        <v>0</v>
      </c>
      <c r="I36" s="164" t="s">
        <v>263</v>
      </c>
      <c r="J36" s="165">
        <v>0.92400000000000004</v>
      </c>
      <c r="K36" s="201" t="s">
        <v>221</v>
      </c>
      <c r="L36" s="165">
        <v>0</v>
      </c>
      <c r="M36" s="165">
        <v>-27.03</v>
      </c>
      <c r="N36" s="165">
        <v>1610</v>
      </c>
      <c r="O36" s="207">
        <f>Tabela9[[#This Row],[Swap]]+Tabela9[[#This Row],[Profit]]</f>
        <v>1582.97</v>
      </c>
    </row>
    <row r="37" spans="1:15">
      <c r="A37" s="167"/>
      <c r="B37" s="200"/>
      <c r="C37" s="200"/>
      <c r="D37" s="200"/>
      <c r="E37" s="200"/>
      <c r="F37" s="200"/>
      <c r="G37" s="200"/>
      <c r="H37" s="200"/>
      <c r="I37" s="200"/>
      <c r="J37" s="167">
        <v>8855</v>
      </c>
      <c r="K37" s="163">
        <v>0</v>
      </c>
      <c r="L37" s="201"/>
      <c r="M37" s="201"/>
      <c r="N37" s="210"/>
      <c r="O37" s="207">
        <f>Tabela9[[#This Row],[Swap]]+Tabela9[[#This Row],[Profit]]</f>
        <v>0</v>
      </c>
    </row>
    <row r="38" spans="1:15">
      <c r="A38" s="163">
        <v>21235846</v>
      </c>
      <c r="B38" s="162" t="s">
        <v>264</v>
      </c>
      <c r="C38" s="163" t="s">
        <v>191</v>
      </c>
      <c r="D38" s="163">
        <v>2.23</v>
      </c>
      <c r="E38" s="163" t="s">
        <v>192</v>
      </c>
      <c r="F38" s="163">
        <v>0.81903000000000004</v>
      </c>
      <c r="G38" s="163">
        <v>0.81599999999999995</v>
      </c>
      <c r="H38" s="163">
        <v>0</v>
      </c>
      <c r="I38" s="162" t="s">
        <v>265</v>
      </c>
      <c r="J38" s="163">
        <v>0.81006</v>
      </c>
      <c r="K38" s="199" t="s">
        <v>253</v>
      </c>
      <c r="L38" s="163">
        <v>0</v>
      </c>
      <c r="M38" s="163">
        <v>-20.73</v>
      </c>
      <c r="N38" s="163">
        <v>3378.82</v>
      </c>
      <c r="O38" s="207">
        <f>Tabela9[[#This Row],[Swap]]+Tabela9[[#This Row],[Profit]]</f>
        <v>3358.09</v>
      </c>
    </row>
    <row r="39" spans="1:15">
      <c r="A39" s="163"/>
      <c r="B39" s="199"/>
      <c r="C39" s="199"/>
      <c r="D39" s="199"/>
      <c r="E39" s="199"/>
      <c r="F39" s="199"/>
      <c r="G39" s="199"/>
      <c r="H39" s="199"/>
      <c r="I39" s="199"/>
      <c r="J39" s="163">
        <v>8855</v>
      </c>
      <c r="K39" s="165">
        <v>0</v>
      </c>
      <c r="L39" s="199"/>
      <c r="M39" s="199"/>
      <c r="N39" s="210"/>
      <c r="O39" s="207">
        <f>Tabela9[[#This Row],[Swap]]+Tabela9[[#This Row],[Profit]]</f>
        <v>0</v>
      </c>
    </row>
    <row r="40" spans="1:15">
      <c r="A40" s="165">
        <v>21333692</v>
      </c>
      <c r="B40" s="164" t="s">
        <v>269</v>
      </c>
      <c r="C40" s="165" t="s">
        <v>191</v>
      </c>
      <c r="D40" s="165">
        <v>2.0499999999999998</v>
      </c>
      <c r="E40" s="165" t="s">
        <v>192</v>
      </c>
      <c r="F40" s="165">
        <v>0.81433</v>
      </c>
      <c r="G40" s="165">
        <v>0.81430000000000002</v>
      </c>
      <c r="H40" s="165">
        <v>0</v>
      </c>
      <c r="I40" s="164" t="s">
        <v>270</v>
      </c>
      <c r="J40" s="165">
        <v>0.80893000000000004</v>
      </c>
      <c r="K40" s="201" t="s">
        <v>221</v>
      </c>
      <c r="L40" s="165">
        <v>0</v>
      </c>
      <c r="M40" s="165">
        <v>-1.73</v>
      </c>
      <c r="N40" s="165">
        <v>1869.89</v>
      </c>
      <c r="O40" s="207">
        <f>Tabela9[[#This Row],[Swap]]+Tabela9[[#This Row],[Profit]]</f>
        <v>1868.16</v>
      </c>
    </row>
    <row r="41" spans="1:15">
      <c r="A41" s="186">
        <v>21348283</v>
      </c>
      <c r="B41" s="187" t="s">
        <v>275</v>
      </c>
      <c r="C41" s="186" t="s">
        <v>191</v>
      </c>
      <c r="D41" s="186" t="s">
        <v>249</v>
      </c>
      <c r="E41" s="186" t="s">
        <v>194</v>
      </c>
      <c r="F41" s="188">
        <v>136752</v>
      </c>
      <c r="G41" s="188">
        <v>136840</v>
      </c>
      <c r="H41" s="186" t="s">
        <v>247</v>
      </c>
      <c r="I41" s="187" t="s">
        <v>276</v>
      </c>
      <c r="J41" s="188">
        <v>136840</v>
      </c>
      <c r="K41" s="201" t="s">
        <v>221</v>
      </c>
      <c r="L41" s="186" t="s">
        <v>248</v>
      </c>
      <c r="M41" s="186">
        <v>0</v>
      </c>
      <c r="N41" s="186">
        <v>-90.64</v>
      </c>
      <c r="O41" s="207">
        <f>Tabela9[[#This Row],[Swap]]+Tabela9[[#This Row],[Profit]]</f>
        <v>-90.64</v>
      </c>
    </row>
    <row r="42" spans="1:15">
      <c r="A42" s="184">
        <v>21349270</v>
      </c>
      <c r="B42" s="185" t="s">
        <v>277</v>
      </c>
      <c r="C42" s="184" t="s">
        <v>191</v>
      </c>
      <c r="D42" s="184" t="s">
        <v>252</v>
      </c>
      <c r="E42" s="184" t="s">
        <v>194</v>
      </c>
      <c r="F42" s="189">
        <v>136670</v>
      </c>
      <c r="G42" s="189">
        <v>136840</v>
      </c>
      <c r="H42" s="184" t="s">
        <v>247</v>
      </c>
      <c r="I42" s="185" t="s">
        <v>276</v>
      </c>
      <c r="J42" s="189">
        <v>136840</v>
      </c>
      <c r="K42" s="201" t="s">
        <v>253</v>
      </c>
      <c r="L42" s="184" t="s">
        <v>248</v>
      </c>
      <c r="M42" s="184">
        <v>0</v>
      </c>
      <c r="N42" s="184">
        <v>-221</v>
      </c>
      <c r="O42" s="207">
        <f>Tabela9[[#This Row],[Swap]]+Tabela9[[#This Row],[Profit]]</f>
        <v>-221</v>
      </c>
    </row>
    <row r="43" spans="1:15">
      <c r="A43" s="186">
        <v>21349967</v>
      </c>
      <c r="B43" s="187" t="s">
        <v>278</v>
      </c>
      <c r="C43" s="186" t="s">
        <v>191</v>
      </c>
      <c r="D43" s="186" t="s">
        <v>251</v>
      </c>
      <c r="E43" s="186" t="s">
        <v>197</v>
      </c>
      <c r="F43" s="186" t="s">
        <v>279</v>
      </c>
      <c r="G43" s="186" t="s">
        <v>280</v>
      </c>
      <c r="H43" s="186" t="s">
        <v>247</v>
      </c>
      <c r="I43" s="187" t="s">
        <v>281</v>
      </c>
      <c r="J43" s="186" t="s">
        <v>280</v>
      </c>
      <c r="K43" s="201" t="s">
        <v>221</v>
      </c>
      <c r="L43" s="186" t="s">
        <v>248</v>
      </c>
      <c r="M43" s="186">
        <v>0</v>
      </c>
      <c r="N43" s="186">
        <v>-388.07</v>
      </c>
      <c r="O43" s="208">
        <f>Tabela9[[#This Row],[Swap]]+Tabela9[[#This Row],[Profit]]</f>
        <v>-388.07</v>
      </c>
    </row>
    <row r="44" spans="1:15">
      <c r="A44" s="184">
        <v>21350931</v>
      </c>
      <c r="B44" s="185" t="s">
        <v>282</v>
      </c>
      <c r="C44" s="184" t="s">
        <v>193</v>
      </c>
      <c r="D44" s="184" t="s">
        <v>283</v>
      </c>
      <c r="E44" s="184" t="s">
        <v>198</v>
      </c>
      <c r="F44" s="189">
        <v>109424</v>
      </c>
      <c r="G44" s="189">
        <v>109060</v>
      </c>
      <c r="H44" s="184" t="s">
        <v>247</v>
      </c>
      <c r="I44" s="185" t="s">
        <v>284</v>
      </c>
      <c r="J44" s="189">
        <v>109060</v>
      </c>
      <c r="K44" s="201" t="s">
        <v>221</v>
      </c>
      <c r="L44" s="184" t="s">
        <v>248</v>
      </c>
      <c r="M44" s="184">
        <v>-19.78</v>
      </c>
      <c r="N44" s="184">
        <v>-363.8</v>
      </c>
      <c r="O44" s="207">
        <f>Tabela9[[#This Row],[Swap]]+Tabela9[[#This Row],[Profit]]</f>
        <v>-383.58000000000004</v>
      </c>
    </row>
    <row r="45" spans="1:15">
      <c r="A45" s="186">
        <v>21352984</v>
      </c>
      <c r="B45" s="187" t="s">
        <v>285</v>
      </c>
      <c r="C45" s="186" t="s">
        <v>193</v>
      </c>
      <c r="D45" s="186" t="s">
        <v>286</v>
      </c>
      <c r="E45" s="186" t="s">
        <v>196</v>
      </c>
      <c r="F45" s="186" t="s">
        <v>287</v>
      </c>
      <c r="G45" s="186" t="s">
        <v>288</v>
      </c>
      <c r="H45" s="186" t="s">
        <v>247</v>
      </c>
      <c r="I45" s="187" t="s">
        <v>289</v>
      </c>
      <c r="J45" s="186" t="s">
        <v>288</v>
      </c>
      <c r="K45" s="201" t="s">
        <v>253</v>
      </c>
      <c r="L45" s="186" t="s">
        <v>248</v>
      </c>
      <c r="M45" s="186">
        <v>-9.3800000000000008</v>
      </c>
      <c r="N45" s="186">
        <v>-859.55</v>
      </c>
      <c r="O45" s="207">
        <f>Tabela9[[#This Row],[Swap]]+Tabela9[[#This Row],[Profit]]</f>
        <v>-868.93</v>
      </c>
    </row>
    <row r="46" spans="1:15">
      <c r="A46" s="184">
        <v>21334343</v>
      </c>
      <c r="B46" s="185" t="s">
        <v>290</v>
      </c>
      <c r="C46" s="184" t="s">
        <v>193</v>
      </c>
      <c r="D46" s="184" t="s">
        <v>291</v>
      </c>
      <c r="E46" s="184" t="s">
        <v>195</v>
      </c>
      <c r="F46" s="189">
        <v>168456</v>
      </c>
      <c r="G46" s="189">
        <v>168500</v>
      </c>
      <c r="H46" s="184" t="s">
        <v>247</v>
      </c>
      <c r="I46" s="185" t="s">
        <v>292</v>
      </c>
      <c r="J46" s="189">
        <v>168500</v>
      </c>
      <c r="K46" s="201" t="s">
        <v>221</v>
      </c>
      <c r="L46" s="184" t="s">
        <v>248</v>
      </c>
      <c r="M46" s="184">
        <v>-3.17</v>
      </c>
      <c r="N46" s="184">
        <v>31.68</v>
      </c>
      <c r="O46" s="208">
        <f>Tabela9[[#This Row],[Swap]]+Tabela9[[#This Row],[Profit]]</f>
        <v>28.509999999999998</v>
      </c>
    </row>
    <row r="47" spans="1:15">
      <c r="A47" s="169"/>
      <c r="B47" s="169"/>
      <c r="C47" s="169" t="s">
        <v>191</v>
      </c>
      <c r="D47" s="169" t="s">
        <v>250</v>
      </c>
      <c r="E47" s="169" t="s">
        <v>194</v>
      </c>
      <c r="F47" s="169"/>
      <c r="G47" s="169"/>
      <c r="H47" s="169"/>
      <c r="I47" s="169"/>
      <c r="J47" s="167"/>
      <c r="K47" s="165" t="s">
        <v>221</v>
      </c>
      <c r="L47" s="165"/>
      <c r="M47" s="165">
        <v>-3.18</v>
      </c>
      <c r="N47" s="211">
        <v>148.72</v>
      </c>
      <c r="O47" s="207">
        <f>Tabela9[[#This Row],[Swap]]+Tabela9[[#This Row],[Profit]]</f>
        <v>145.54</v>
      </c>
    </row>
    <row r="48" spans="1:15">
      <c r="A48" s="161"/>
      <c r="B48" s="162"/>
      <c r="C48" s="163" t="s">
        <v>193</v>
      </c>
      <c r="D48" s="163"/>
      <c r="E48" s="163" t="s">
        <v>197</v>
      </c>
      <c r="F48" s="168"/>
      <c r="G48" s="168"/>
      <c r="H48" s="163"/>
      <c r="I48" s="162"/>
      <c r="J48" s="168"/>
      <c r="K48" s="165" t="s">
        <v>221</v>
      </c>
      <c r="L48" s="163"/>
      <c r="M48" s="163">
        <v>0</v>
      </c>
      <c r="N48" s="175">
        <v>-64.22</v>
      </c>
      <c r="O48" s="207">
        <f>Tabela9[[#This Row],[Swap]]+Tabela9[[#This Row],[Profit]]</f>
        <v>-64.22</v>
      </c>
    </row>
    <row r="49" spans="1:15">
      <c r="A49" s="161"/>
      <c r="B49" s="161"/>
      <c r="C49" s="161" t="s">
        <v>193</v>
      </c>
      <c r="D49" s="161"/>
      <c r="E49" s="161" t="s">
        <v>197</v>
      </c>
      <c r="F49" s="161"/>
      <c r="G49" s="161"/>
      <c r="H49" s="161"/>
      <c r="I49" s="161"/>
      <c r="J49" s="163"/>
      <c r="K49" s="165" t="s">
        <v>221</v>
      </c>
      <c r="L49" s="163"/>
      <c r="M49" s="163">
        <v>0</v>
      </c>
      <c r="N49" s="211">
        <v>-364.45</v>
      </c>
      <c r="O49" s="207">
        <f>Tabela9[[#This Row],[Swap]]+Tabela9[[#This Row],[Profit]]</f>
        <v>-364.45</v>
      </c>
    </row>
    <row r="50" spans="1:15">
      <c r="A50" s="179"/>
      <c r="B50" s="164"/>
      <c r="C50" s="165" t="s">
        <v>191</v>
      </c>
      <c r="D50" s="165"/>
      <c r="E50" s="165" t="s">
        <v>198</v>
      </c>
      <c r="F50" s="165"/>
      <c r="G50" s="165"/>
      <c r="H50" s="165"/>
      <c r="I50" s="164"/>
      <c r="J50" s="165"/>
      <c r="K50" s="165" t="s">
        <v>221</v>
      </c>
      <c r="L50" s="165"/>
      <c r="M50" s="165">
        <v>-2.58</v>
      </c>
      <c r="N50" s="174">
        <v>103.48</v>
      </c>
      <c r="O50" s="207">
        <f>Tabela9[[#This Row],[Swap]]+Tabela9[[#This Row],[Profit]]</f>
        <v>100.9</v>
      </c>
    </row>
    <row r="51" spans="1:15">
      <c r="A51" s="169"/>
      <c r="B51" s="169"/>
      <c r="C51" s="169" t="s">
        <v>191</v>
      </c>
      <c r="D51" s="169"/>
      <c r="E51" s="169" t="s">
        <v>195</v>
      </c>
      <c r="F51" s="169"/>
      <c r="G51" s="169"/>
      <c r="H51" s="169"/>
      <c r="I51" s="169"/>
      <c r="J51" s="167"/>
      <c r="K51" s="165" t="s">
        <v>298</v>
      </c>
      <c r="L51" s="165"/>
      <c r="M51" s="165"/>
      <c r="N51" s="211">
        <v>-75.599999999999994</v>
      </c>
      <c r="O51" s="207">
        <f>Tabela9[[#This Row],[Swap]]+Tabela9[[#This Row],[Profit]]</f>
        <v>-75.599999999999994</v>
      </c>
    </row>
    <row r="52" spans="1:15">
      <c r="A52" s="161"/>
      <c r="B52" s="162"/>
      <c r="C52" s="163" t="s">
        <v>191</v>
      </c>
      <c r="D52" s="163"/>
      <c r="E52" s="163" t="s">
        <v>195</v>
      </c>
      <c r="F52" s="168"/>
      <c r="G52" s="168"/>
      <c r="H52" s="163"/>
      <c r="I52" s="162"/>
      <c r="J52" s="168"/>
      <c r="K52" s="165" t="s">
        <v>298</v>
      </c>
      <c r="L52" s="163"/>
      <c r="M52" s="163"/>
      <c r="N52" s="175">
        <v>-73.8</v>
      </c>
      <c r="O52" s="207">
        <f>Tabela9[[#This Row],[Swap]]+Tabela9[[#This Row],[Profit]]</f>
        <v>-73.8</v>
      </c>
    </row>
    <row r="53" spans="1:15">
      <c r="A53" s="206"/>
      <c r="B53" s="206"/>
      <c r="C53" s="206" t="s">
        <v>191</v>
      </c>
      <c r="D53" s="206"/>
      <c r="E53" s="206" t="s">
        <v>195</v>
      </c>
      <c r="F53" s="206"/>
      <c r="G53" s="206"/>
      <c r="H53" s="206"/>
      <c r="I53" s="206"/>
      <c r="J53" s="176"/>
      <c r="K53" s="165" t="s">
        <v>298</v>
      </c>
      <c r="L53" s="176"/>
      <c r="M53" s="176"/>
      <c r="N53" s="175">
        <v>-73.8</v>
      </c>
      <c r="O53" s="208">
        <f>Tabela9[[#This Row],[Swap]]+Tabela9[[#This Row],[Profit]]</f>
        <v>-73.8</v>
      </c>
    </row>
    <row r="54" spans="1:15">
      <c r="A54" s="179"/>
      <c r="B54" s="164"/>
      <c r="C54" s="165" t="s">
        <v>191</v>
      </c>
      <c r="D54" s="165"/>
      <c r="E54" s="165" t="s">
        <v>195</v>
      </c>
      <c r="F54" s="165"/>
      <c r="G54" s="165"/>
      <c r="H54" s="165"/>
      <c r="I54" s="164"/>
      <c r="J54" s="165"/>
      <c r="K54" s="165" t="s">
        <v>298</v>
      </c>
      <c r="L54" s="165"/>
      <c r="M54" s="165"/>
      <c r="N54" s="174">
        <v>-72</v>
      </c>
      <c r="O54" s="207">
        <f>Tabela9[[#This Row],[Swap]]+Tabela9[[#This Row],[Profit]]</f>
        <v>-72</v>
      </c>
    </row>
    <row r="55" spans="1:15">
      <c r="A55" s="169"/>
      <c r="B55" s="169"/>
      <c r="C55" s="169" t="s">
        <v>191</v>
      </c>
      <c r="D55" s="169"/>
      <c r="E55" s="169" t="s">
        <v>195</v>
      </c>
      <c r="F55" s="169"/>
      <c r="G55" s="169"/>
      <c r="H55" s="169"/>
      <c r="I55" s="169"/>
      <c r="J55" s="167"/>
      <c r="K55" s="165" t="s">
        <v>298</v>
      </c>
      <c r="L55" s="165"/>
      <c r="M55" s="165"/>
      <c r="N55" s="211">
        <v>-70.2</v>
      </c>
      <c r="O55" s="207">
        <f>Tabela9[[#This Row],[Swap]]+Tabela9[[#This Row],[Profit]]</f>
        <v>-70.2</v>
      </c>
    </row>
    <row r="56" spans="1:15">
      <c r="A56" s="161"/>
      <c r="B56" s="162"/>
      <c r="C56" s="163" t="s">
        <v>191</v>
      </c>
      <c r="D56" s="163"/>
      <c r="E56" s="163" t="s">
        <v>195</v>
      </c>
      <c r="F56" s="168"/>
      <c r="G56" s="168"/>
      <c r="H56" s="163"/>
      <c r="I56" s="162"/>
      <c r="J56" s="168"/>
      <c r="K56" s="165" t="s">
        <v>298</v>
      </c>
      <c r="L56" s="163"/>
      <c r="M56" s="163"/>
      <c r="N56" s="175">
        <v>-73.8</v>
      </c>
      <c r="O56" s="207">
        <f>Tabela9[[#This Row],[Swap]]+Tabela9[[#This Row],[Profit]]</f>
        <v>-73.8</v>
      </c>
    </row>
    <row r="57" spans="1:15">
      <c r="A57" s="161"/>
      <c r="B57" s="161"/>
      <c r="C57" s="161" t="s">
        <v>191</v>
      </c>
      <c r="D57" s="161"/>
      <c r="E57" s="161" t="s">
        <v>195</v>
      </c>
      <c r="F57" s="161"/>
      <c r="G57" s="161"/>
      <c r="H57" s="161"/>
      <c r="I57" s="161"/>
      <c r="J57" s="163"/>
      <c r="K57" s="165" t="s">
        <v>298</v>
      </c>
      <c r="L57" s="163"/>
      <c r="M57" s="163"/>
      <c r="N57" s="211">
        <v>-66.599999999999994</v>
      </c>
      <c r="O57" s="207">
        <f>Tabela9[[#This Row],[Swap]]+Tabela9[[#This Row],[Profit]]</f>
        <v>-66.599999999999994</v>
      </c>
    </row>
    <row r="58" spans="1:15">
      <c r="A58" s="179"/>
      <c r="B58" s="164"/>
      <c r="C58" s="165" t="s">
        <v>191</v>
      </c>
      <c r="D58" s="165"/>
      <c r="E58" s="165" t="s">
        <v>195</v>
      </c>
      <c r="F58" s="166"/>
      <c r="G58" s="166"/>
      <c r="H58" s="165"/>
      <c r="I58" s="164"/>
      <c r="J58" s="166"/>
      <c r="K58" s="165" t="s">
        <v>298</v>
      </c>
      <c r="L58" s="165"/>
      <c r="M58" s="165"/>
      <c r="N58" s="174">
        <v>-70.2</v>
      </c>
      <c r="O58" s="207">
        <f>Tabela9[[#This Row],[Swap]]+Tabela9[[#This Row],[Profit]]</f>
        <v>-70.2</v>
      </c>
    </row>
    <row r="59" spans="1:15">
      <c r="A59" s="169"/>
      <c r="B59" s="169"/>
      <c r="C59" s="169" t="s">
        <v>191</v>
      </c>
      <c r="D59" s="169"/>
      <c r="E59" s="169" t="s">
        <v>195</v>
      </c>
      <c r="F59" s="169"/>
      <c r="G59" s="169"/>
      <c r="H59" s="169"/>
      <c r="I59" s="169"/>
      <c r="J59" s="167"/>
      <c r="K59" s="165" t="s">
        <v>298</v>
      </c>
      <c r="L59" s="165"/>
      <c r="M59" s="165"/>
      <c r="N59" s="211">
        <v>-75.599999999999994</v>
      </c>
      <c r="O59" s="207">
        <f>Tabela9[[#This Row],[Swap]]+Tabela9[[#This Row],[Profit]]</f>
        <v>-75.599999999999994</v>
      </c>
    </row>
    <row r="60" spans="1:15">
      <c r="A60" s="161"/>
      <c r="B60" s="162"/>
      <c r="C60" s="163" t="s">
        <v>191</v>
      </c>
      <c r="D60" s="163"/>
      <c r="E60" s="163" t="s">
        <v>195</v>
      </c>
      <c r="F60" s="163"/>
      <c r="G60" s="163"/>
      <c r="H60" s="163"/>
      <c r="I60" s="162"/>
      <c r="J60" s="163"/>
      <c r="K60" s="165" t="s">
        <v>298</v>
      </c>
      <c r="L60" s="163"/>
      <c r="M60" s="163"/>
      <c r="N60" s="175">
        <v>-75.599999999999994</v>
      </c>
      <c r="O60" s="207">
        <f>Tabela9[[#This Row],[Swap]]+Tabela9[[#This Row],[Profit]]</f>
        <v>-75.599999999999994</v>
      </c>
    </row>
    <row r="61" spans="1:15">
      <c r="A61" s="161"/>
      <c r="B61" s="161"/>
      <c r="C61" s="161" t="s">
        <v>191</v>
      </c>
      <c r="D61" s="161"/>
      <c r="E61" s="161" t="s">
        <v>195</v>
      </c>
      <c r="F61" s="161"/>
      <c r="G61" s="161"/>
      <c r="H61" s="161"/>
      <c r="I61" s="161"/>
      <c r="J61" s="163"/>
      <c r="K61" s="165" t="s">
        <v>298</v>
      </c>
      <c r="L61" s="163"/>
      <c r="M61" s="163"/>
      <c r="N61" s="211">
        <v>-75.599999999999994</v>
      </c>
      <c r="O61" s="207">
        <f>Tabela9[[#This Row],[Swap]]+Tabela9[[#This Row],[Profit]]</f>
        <v>-75.599999999999994</v>
      </c>
    </row>
    <row r="62" spans="1:15">
      <c r="A62" s="179"/>
      <c r="B62" s="164"/>
      <c r="C62" s="165" t="s">
        <v>191</v>
      </c>
      <c r="D62" s="165"/>
      <c r="E62" s="165" t="s">
        <v>195</v>
      </c>
      <c r="F62" s="165"/>
      <c r="G62" s="165"/>
      <c r="H62" s="165"/>
      <c r="I62" s="164"/>
      <c r="J62" s="165"/>
      <c r="K62" s="165" t="s">
        <v>298</v>
      </c>
      <c r="L62" s="165"/>
      <c r="M62" s="165"/>
      <c r="N62" s="174">
        <v>-77.400000000000006</v>
      </c>
      <c r="O62" s="207">
        <f>Tabela9[[#This Row],[Swap]]+Tabela9[[#This Row],[Profit]]</f>
        <v>-77.400000000000006</v>
      </c>
    </row>
    <row r="63" spans="1:15">
      <c r="A63" s="169"/>
      <c r="B63" s="169"/>
      <c r="C63" s="169" t="s">
        <v>191</v>
      </c>
      <c r="D63" s="169"/>
      <c r="E63" s="169" t="s">
        <v>195</v>
      </c>
      <c r="F63" s="169"/>
      <c r="G63" s="169"/>
      <c r="H63" s="169"/>
      <c r="I63" s="169"/>
      <c r="J63" s="167"/>
      <c r="K63" s="165" t="s">
        <v>298</v>
      </c>
      <c r="L63" s="165"/>
      <c r="M63" s="165"/>
      <c r="N63" s="211">
        <v>-79.2</v>
      </c>
      <c r="O63" s="207">
        <f>Tabela9[[#This Row],[Swap]]+Tabela9[[#This Row],[Profit]]</f>
        <v>-79.2</v>
      </c>
    </row>
    <row r="64" spans="1:15">
      <c r="A64" s="206"/>
      <c r="B64" s="215"/>
      <c r="C64" s="176" t="s">
        <v>191</v>
      </c>
      <c r="D64" s="176"/>
      <c r="E64" s="176" t="s">
        <v>195</v>
      </c>
      <c r="F64" s="216"/>
      <c r="G64" s="216"/>
      <c r="H64" s="176"/>
      <c r="I64" s="215"/>
      <c r="J64" s="216"/>
      <c r="K64" s="165" t="s">
        <v>298</v>
      </c>
      <c r="L64" s="176"/>
      <c r="M64" s="176"/>
      <c r="N64" s="217">
        <v>-79.2</v>
      </c>
      <c r="O64" s="208">
        <f>Tabela9[[#This Row],[Swap]]+Tabela9[[#This Row],[Profit]]</f>
        <v>-79.2</v>
      </c>
    </row>
    <row r="65" spans="1:15">
      <c r="A65" s="206"/>
      <c r="B65" s="206"/>
      <c r="C65" s="206" t="s">
        <v>191</v>
      </c>
      <c r="D65" s="206"/>
      <c r="E65" s="206" t="s">
        <v>195</v>
      </c>
      <c r="F65" s="206"/>
      <c r="G65" s="206"/>
      <c r="H65" s="206"/>
      <c r="I65" s="206"/>
      <c r="J65" s="176"/>
      <c r="K65" s="165" t="s">
        <v>298</v>
      </c>
      <c r="L65" s="176"/>
      <c r="M65" s="176"/>
      <c r="N65" s="212">
        <v>-79.2</v>
      </c>
      <c r="O65" s="208">
        <f>Tabela9[[#This Row],[Swap]]+Tabela9[[#This Row],[Profit]]</f>
        <v>-79.2</v>
      </c>
    </row>
    <row r="66" spans="1:15">
      <c r="A66" s="191"/>
      <c r="B66" s="202"/>
      <c r="C66" s="190" t="s">
        <v>191</v>
      </c>
      <c r="D66" s="190"/>
      <c r="E66" s="190" t="s">
        <v>195</v>
      </c>
      <c r="F66" s="190"/>
      <c r="G66" s="190"/>
      <c r="H66" s="190"/>
      <c r="I66" s="202"/>
      <c r="J66" s="190"/>
      <c r="K66" s="165" t="s">
        <v>298</v>
      </c>
      <c r="L66" s="190"/>
      <c r="M66" s="190"/>
      <c r="N66" s="203">
        <v>-79.2</v>
      </c>
      <c r="O66" s="208">
        <f>Tabela9[[#This Row],[Swap]]+Tabela9[[#This Row],[Profit]]</f>
        <v>-79.2</v>
      </c>
    </row>
    <row r="67" spans="1:15">
      <c r="A67" s="178"/>
      <c r="B67" s="178"/>
      <c r="C67" s="178" t="s">
        <v>191</v>
      </c>
      <c r="D67" s="178"/>
      <c r="E67" s="178" t="s">
        <v>195</v>
      </c>
      <c r="F67" s="178"/>
      <c r="G67" s="178"/>
      <c r="H67" s="178"/>
      <c r="I67" s="178"/>
      <c r="J67" s="177"/>
      <c r="K67" s="165" t="s">
        <v>298</v>
      </c>
      <c r="L67" s="190"/>
      <c r="M67" s="190"/>
      <c r="N67" s="212">
        <v>-79.2</v>
      </c>
      <c r="O67" s="208">
        <f>Tabela9[[#This Row],[Swap]]+Tabela9[[#This Row],[Profit]]</f>
        <v>-79.2</v>
      </c>
    </row>
    <row r="68" spans="1:15">
      <c r="A68" s="161"/>
      <c r="B68" s="162"/>
      <c r="C68" s="163"/>
      <c r="D68" s="163"/>
      <c r="E68" s="163"/>
      <c r="F68" s="163"/>
      <c r="G68" s="163"/>
      <c r="H68" s="163"/>
      <c r="I68" s="162"/>
      <c r="J68" s="163"/>
      <c r="K68" s="163"/>
      <c r="L68" s="163"/>
      <c r="M68" s="163"/>
      <c r="N68" s="175"/>
    </row>
    <row r="69" spans="1:15">
      <c r="A69" s="161"/>
      <c r="B69" s="161"/>
      <c r="C69" s="161"/>
      <c r="D69" s="161"/>
      <c r="E69" s="161"/>
      <c r="F69" s="161"/>
      <c r="G69" s="161"/>
      <c r="H69" s="161"/>
      <c r="I69" s="161"/>
      <c r="J69" s="163"/>
      <c r="K69" s="165"/>
      <c r="L69" s="163"/>
      <c r="M69" s="163"/>
      <c r="N69" s="211"/>
    </row>
    <row r="70" spans="1:15">
      <c r="A70" s="179"/>
      <c r="B70" s="164"/>
      <c r="C70" s="165"/>
      <c r="D70" s="165"/>
      <c r="E70" s="165"/>
      <c r="F70" s="166"/>
      <c r="G70" s="166"/>
      <c r="H70" s="165"/>
      <c r="I70" s="164"/>
      <c r="J70" s="166"/>
      <c r="K70" s="165"/>
      <c r="L70" s="165"/>
      <c r="M70" s="165"/>
      <c r="N70" s="174"/>
    </row>
    <row r="71" spans="1:15">
      <c r="A71" s="169"/>
      <c r="B71" s="169"/>
      <c r="C71" s="169"/>
      <c r="D71" s="169"/>
      <c r="E71" s="169"/>
      <c r="F71" s="169"/>
      <c r="G71" s="169"/>
      <c r="H71" s="169"/>
      <c r="I71" s="169"/>
      <c r="J71" s="167"/>
      <c r="K71" s="163"/>
      <c r="L71" s="165"/>
      <c r="M71" s="165"/>
      <c r="N71" s="211"/>
    </row>
    <row r="72" spans="1:15">
      <c r="A72" s="161"/>
      <c r="B72" s="162"/>
      <c r="C72" s="163"/>
      <c r="D72" s="163"/>
      <c r="E72" s="163"/>
      <c r="F72" s="163"/>
      <c r="G72" s="163"/>
      <c r="H72" s="163"/>
      <c r="I72" s="162"/>
      <c r="J72" s="163"/>
      <c r="K72" s="163"/>
      <c r="L72" s="163"/>
      <c r="M72" s="163"/>
      <c r="N72" s="175"/>
    </row>
    <row r="73" spans="1:15">
      <c r="A73" s="161"/>
      <c r="B73" s="161"/>
      <c r="C73" s="161"/>
      <c r="D73" s="161"/>
      <c r="E73" s="161"/>
      <c r="F73" s="161"/>
      <c r="G73" s="161"/>
      <c r="H73" s="161"/>
      <c r="I73" s="161"/>
      <c r="J73" s="163"/>
      <c r="K73" s="165"/>
      <c r="L73" s="163"/>
      <c r="M73" s="163"/>
      <c r="N73" s="211"/>
    </row>
    <row r="74" spans="1:15">
      <c r="A74" s="179"/>
      <c r="B74" s="164"/>
      <c r="C74" s="165"/>
      <c r="D74" s="165"/>
      <c r="E74" s="165"/>
      <c r="F74" s="166"/>
      <c r="G74" s="166"/>
      <c r="H74" s="165"/>
      <c r="I74" s="164"/>
      <c r="J74" s="166"/>
      <c r="K74" s="165"/>
      <c r="L74" s="165"/>
      <c r="M74" s="165"/>
      <c r="N74" s="174"/>
    </row>
    <row r="75" spans="1:15">
      <c r="A75" s="169"/>
      <c r="B75" s="169"/>
      <c r="C75" s="169"/>
      <c r="D75" s="169"/>
      <c r="E75" s="169"/>
      <c r="F75" s="169"/>
      <c r="G75" s="169"/>
      <c r="H75" s="169"/>
      <c r="I75" s="169"/>
      <c r="J75" s="167"/>
      <c r="K75" s="163"/>
      <c r="L75" s="165"/>
      <c r="M75" s="165"/>
      <c r="N75" s="211"/>
    </row>
    <row r="76" spans="1:15">
      <c r="A76" s="161"/>
      <c r="B76" s="162"/>
      <c r="C76" s="163"/>
      <c r="D76" s="163"/>
      <c r="E76" s="163"/>
      <c r="F76" s="163"/>
      <c r="G76" s="163"/>
      <c r="H76" s="163"/>
      <c r="I76" s="162"/>
      <c r="J76" s="163"/>
      <c r="K76" s="163"/>
      <c r="L76" s="163"/>
      <c r="M76" s="163"/>
      <c r="N76" s="175"/>
    </row>
    <row r="77" spans="1:15">
      <c r="A77" s="161"/>
      <c r="B77" s="161"/>
      <c r="C77" s="161"/>
      <c r="D77" s="161"/>
      <c r="E77" s="161"/>
      <c r="F77" s="161"/>
      <c r="G77" s="161"/>
      <c r="H77" s="161"/>
      <c r="I77" s="161"/>
      <c r="J77" s="163"/>
      <c r="K77" s="165"/>
      <c r="L77" s="163"/>
      <c r="M77" s="163"/>
      <c r="N77" s="211"/>
    </row>
    <row r="78" spans="1:15">
      <c r="A78" s="179"/>
      <c r="B78" s="164"/>
      <c r="C78" s="165"/>
      <c r="D78" s="165"/>
      <c r="E78" s="165"/>
      <c r="F78" s="165"/>
      <c r="G78" s="165"/>
      <c r="H78" s="165"/>
      <c r="I78" s="164"/>
      <c r="J78" s="165"/>
      <c r="K78" s="165"/>
      <c r="L78" s="165"/>
      <c r="M78" s="165"/>
      <c r="N78" s="174"/>
    </row>
    <row r="79" spans="1:15">
      <c r="A79" s="169"/>
      <c r="B79" s="169"/>
      <c r="C79" s="169"/>
      <c r="D79" s="169"/>
      <c r="E79" s="169"/>
      <c r="F79" s="169"/>
      <c r="G79" s="169"/>
      <c r="H79" s="169"/>
      <c r="I79" s="169"/>
      <c r="J79" s="167"/>
      <c r="K79" s="163"/>
      <c r="L79" s="165"/>
      <c r="M79" s="165"/>
      <c r="N79" s="211"/>
    </row>
    <row r="80" spans="1:15">
      <c r="A80" s="161"/>
      <c r="B80" s="162"/>
      <c r="C80" s="163"/>
      <c r="D80" s="163"/>
      <c r="E80" s="163"/>
      <c r="F80" s="163"/>
      <c r="G80" s="163"/>
      <c r="H80" s="163"/>
      <c r="I80" s="162"/>
      <c r="J80" s="163"/>
      <c r="K80" s="163"/>
      <c r="L80" s="163"/>
      <c r="M80" s="163"/>
      <c r="N80" s="175"/>
    </row>
    <row r="81" spans="1:14">
      <c r="A81" s="161"/>
      <c r="B81" s="161"/>
      <c r="C81" s="161"/>
      <c r="D81" s="161"/>
      <c r="E81" s="161"/>
      <c r="F81" s="161"/>
      <c r="G81" s="161"/>
      <c r="H81" s="161"/>
      <c r="I81" s="161"/>
      <c r="J81" s="163"/>
      <c r="K81" s="165"/>
      <c r="L81" s="163"/>
      <c r="M81" s="163"/>
      <c r="N81" s="211"/>
    </row>
    <row r="82" spans="1:14">
      <c r="A82" s="179"/>
      <c r="B82" s="164"/>
      <c r="C82" s="165"/>
      <c r="D82" s="165"/>
      <c r="E82" s="165"/>
      <c r="F82" s="165"/>
      <c r="G82" s="165"/>
      <c r="H82" s="165"/>
      <c r="I82" s="164"/>
      <c r="J82" s="165"/>
      <c r="K82" s="165"/>
      <c r="L82" s="165"/>
      <c r="M82" s="165"/>
      <c r="N82" s="174"/>
    </row>
    <row r="83" spans="1:14">
      <c r="A83" s="169"/>
      <c r="B83" s="169"/>
      <c r="C83" s="169"/>
      <c r="D83" s="169"/>
      <c r="E83" s="169"/>
      <c r="F83" s="169"/>
      <c r="G83" s="169"/>
      <c r="H83" s="169"/>
      <c r="I83" s="169"/>
      <c r="J83" s="167"/>
      <c r="K83" s="163"/>
      <c r="L83" s="165"/>
      <c r="M83" s="165"/>
      <c r="N83" s="211"/>
    </row>
    <row r="84" spans="1:14">
      <c r="A84" s="161"/>
      <c r="B84" s="162"/>
      <c r="C84" s="163"/>
      <c r="D84" s="163"/>
      <c r="E84" s="163"/>
      <c r="F84" s="163"/>
      <c r="G84" s="163"/>
      <c r="H84" s="163"/>
      <c r="I84" s="162"/>
      <c r="J84" s="163"/>
      <c r="K84" s="163"/>
      <c r="L84" s="163"/>
      <c r="M84" s="163"/>
      <c r="N84" s="175"/>
    </row>
    <row r="85" spans="1:14">
      <c r="A85" s="161"/>
      <c r="B85" s="161"/>
      <c r="C85" s="161"/>
      <c r="D85" s="161"/>
      <c r="E85" s="161"/>
      <c r="F85" s="161"/>
      <c r="G85" s="161"/>
      <c r="H85" s="161"/>
      <c r="I85" s="161"/>
      <c r="J85" s="163"/>
      <c r="K85" s="165"/>
      <c r="L85" s="163"/>
      <c r="M85" s="163"/>
      <c r="N85" s="211"/>
    </row>
    <row r="86" spans="1:14">
      <c r="A86" s="179"/>
      <c r="B86" s="164"/>
      <c r="C86" s="165"/>
      <c r="D86" s="165"/>
      <c r="E86" s="165"/>
      <c r="F86" s="166"/>
      <c r="G86" s="166"/>
      <c r="H86" s="165"/>
      <c r="I86" s="164"/>
      <c r="J86" s="166"/>
      <c r="K86" s="165"/>
      <c r="L86" s="165"/>
      <c r="M86" s="165"/>
      <c r="N86" s="174"/>
    </row>
    <row r="87" spans="1:14">
      <c r="A87" s="169"/>
      <c r="B87" s="169"/>
      <c r="C87" s="169"/>
      <c r="D87" s="169"/>
      <c r="E87" s="169"/>
      <c r="F87" s="169"/>
      <c r="G87" s="169"/>
      <c r="H87" s="169"/>
      <c r="I87" s="169"/>
      <c r="J87" s="167"/>
      <c r="K87" s="163"/>
      <c r="L87" s="165"/>
      <c r="M87" s="165"/>
      <c r="N87" s="211"/>
    </row>
    <row r="88" spans="1:14">
      <c r="A88" s="161"/>
      <c r="B88" s="162"/>
      <c r="C88" s="163"/>
      <c r="D88" s="163"/>
      <c r="E88" s="163"/>
      <c r="F88" s="168"/>
      <c r="G88" s="168"/>
      <c r="H88" s="163"/>
      <c r="I88" s="162"/>
      <c r="J88" s="168"/>
      <c r="K88" s="163"/>
      <c r="L88" s="163"/>
      <c r="M88" s="163"/>
      <c r="N88" s="175"/>
    </row>
    <row r="89" spans="1:14">
      <c r="A89" s="161"/>
      <c r="B89" s="161"/>
      <c r="C89" s="161"/>
      <c r="D89" s="161"/>
      <c r="E89" s="161"/>
      <c r="F89" s="161"/>
      <c r="G89" s="161"/>
      <c r="H89" s="161"/>
      <c r="I89" s="161"/>
      <c r="J89" s="163"/>
      <c r="K89" s="165"/>
      <c r="L89" s="163"/>
      <c r="M89" s="163"/>
      <c r="N89" s="211"/>
    </row>
    <row r="90" spans="1:14">
      <c r="A90" s="179"/>
      <c r="B90" s="164"/>
      <c r="C90" s="165"/>
      <c r="D90" s="165"/>
      <c r="E90" s="165"/>
      <c r="F90" s="166"/>
      <c r="G90" s="166"/>
      <c r="H90" s="165"/>
      <c r="I90" s="164"/>
      <c r="J90" s="166"/>
      <c r="K90" s="165"/>
      <c r="L90" s="165"/>
      <c r="M90" s="165"/>
      <c r="N90" s="174"/>
    </row>
    <row r="91" spans="1:14">
      <c r="A91" s="169"/>
      <c r="B91" s="169"/>
      <c r="C91" s="169"/>
      <c r="D91" s="169"/>
      <c r="E91" s="169"/>
      <c r="F91" s="169"/>
      <c r="G91" s="169"/>
      <c r="H91" s="169"/>
      <c r="I91" s="169"/>
      <c r="J91" s="167"/>
      <c r="K91" s="163"/>
      <c r="L91" s="165"/>
      <c r="M91" s="165"/>
      <c r="N91" s="211"/>
    </row>
    <row r="92" spans="1:14">
      <c r="A92" s="161"/>
      <c r="B92" s="162"/>
      <c r="C92" s="163"/>
      <c r="D92" s="163"/>
      <c r="E92" s="163"/>
      <c r="F92" s="168"/>
      <c r="G92" s="168"/>
      <c r="H92" s="163"/>
      <c r="I92" s="162"/>
      <c r="J92" s="168"/>
      <c r="K92" s="163"/>
      <c r="L92" s="163"/>
      <c r="M92" s="163"/>
      <c r="N92" s="175"/>
    </row>
    <row r="93" spans="1:14">
      <c r="A93" s="161"/>
      <c r="B93" s="161"/>
      <c r="C93" s="161"/>
      <c r="D93" s="161"/>
      <c r="E93" s="161"/>
      <c r="F93" s="161"/>
      <c r="G93" s="161"/>
      <c r="H93" s="161"/>
      <c r="I93" s="161"/>
      <c r="J93" s="163"/>
      <c r="K93" s="165"/>
      <c r="L93" s="163"/>
      <c r="M93" s="163"/>
      <c r="N93" s="211"/>
    </row>
    <row r="94" spans="1:14">
      <c r="A94" s="179"/>
      <c r="B94" s="164"/>
      <c r="C94" s="165"/>
      <c r="D94" s="165"/>
      <c r="E94" s="165"/>
      <c r="F94" s="165"/>
      <c r="G94" s="165"/>
      <c r="H94" s="165"/>
      <c r="I94" s="164"/>
      <c r="J94" s="165"/>
      <c r="K94" s="165"/>
      <c r="L94" s="165"/>
      <c r="M94" s="165"/>
      <c r="N94" s="174"/>
    </row>
    <row r="95" spans="1:14">
      <c r="A95" s="169"/>
      <c r="B95" s="169"/>
      <c r="C95" s="169"/>
      <c r="D95" s="169"/>
      <c r="E95" s="169"/>
      <c r="F95" s="169"/>
      <c r="G95" s="169"/>
      <c r="H95" s="169"/>
      <c r="I95" s="169"/>
      <c r="J95" s="167"/>
      <c r="K95" s="163"/>
      <c r="L95" s="165"/>
      <c r="M95" s="165"/>
      <c r="N95" s="211"/>
    </row>
    <row r="96" spans="1:14">
      <c r="A96" s="161"/>
      <c r="B96" s="162"/>
      <c r="C96" s="163"/>
      <c r="D96" s="163"/>
      <c r="E96" s="163"/>
      <c r="F96" s="163"/>
      <c r="G96" s="163"/>
      <c r="H96" s="163"/>
      <c r="I96" s="162"/>
      <c r="J96" s="163"/>
      <c r="K96" s="163"/>
      <c r="L96" s="163"/>
      <c r="M96" s="163"/>
      <c r="N96" s="175"/>
    </row>
    <row r="97" spans="1:14">
      <c r="A97" s="161"/>
      <c r="B97" s="161"/>
      <c r="C97" s="161"/>
      <c r="D97" s="161"/>
      <c r="E97" s="161"/>
      <c r="F97" s="161"/>
      <c r="G97" s="161"/>
      <c r="H97" s="161"/>
      <c r="I97" s="161"/>
      <c r="J97" s="163"/>
      <c r="K97" s="165"/>
      <c r="L97" s="163"/>
      <c r="M97" s="163"/>
      <c r="N97" s="211"/>
    </row>
    <row r="98" spans="1:14">
      <c r="A98" s="179"/>
      <c r="B98" s="164"/>
      <c r="C98" s="165"/>
      <c r="D98" s="165"/>
      <c r="E98" s="165"/>
      <c r="F98" s="165"/>
      <c r="G98" s="165"/>
      <c r="H98" s="165"/>
      <c r="I98" s="164"/>
      <c r="J98" s="165"/>
      <c r="K98" s="165"/>
      <c r="L98" s="165"/>
      <c r="M98" s="165"/>
      <c r="N98" s="174"/>
    </row>
    <row r="99" spans="1:14">
      <c r="A99" s="169"/>
      <c r="B99" s="169"/>
      <c r="C99" s="169"/>
      <c r="D99" s="169"/>
      <c r="E99" s="169"/>
      <c r="F99" s="169"/>
      <c r="G99" s="169"/>
      <c r="H99" s="169"/>
      <c r="I99" s="169"/>
      <c r="J99" s="167"/>
      <c r="K99" s="163"/>
      <c r="L99" s="165"/>
      <c r="M99" s="165"/>
      <c r="N99" s="211"/>
    </row>
    <row r="100" spans="1:14">
      <c r="A100" s="161"/>
      <c r="B100" s="162"/>
      <c r="C100" s="163"/>
      <c r="D100" s="163"/>
      <c r="E100" s="163"/>
      <c r="F100" s="168"/>
      <c r="G100" s="168"/>
      <c r="H100" s="163"/>
      <c r="I100" s="162"/>
      <c r="J100" s="168"/>
      <c r="K100" s="163"/>
      <c r="L100" s="163"/>
      <c r="M100" s="163"/>
      <c r="N100" s="175"/>
    </row>
    <row r="101" spans="1:14">
      <c r="A101" s="161"/>
      <c r="B101" s="161"/>
      <c r="C101" s="161"/>
      <c r="D101" s="161"/>
      <c r="E101" s="161"/>
      <c r="F101" s="161"/>
      <c r="G101" s="161"/>
      <c r="H101" s="161"/>
      <c r="I101" s="161"/>
      <c r="J101" s="163"/>
      <c r="K101" s="165"/>
      <c r="L101" s="163"/>
      <c r="M101" s="163"/>
      <c r="N101" s="211"/>
    </row>
    <row r="102" spans="1:14">
      <c r="A102" s="179"/>
      <c r="B102" s="164"/>
      <c r="C102" s="165"/>
      <c r="D102" s="165"/>
      <c r="E102" s="165"/>
      <c r="F102" s="165"/>
      <c r="G102" s="165"/>
      <c r="H102" s="165"/>
      <c r="I102" s="164"/>
      <c r="J102" s="165"/>
      <c r="K102" s="165"/>
      <c r="L102" s="165"/>
      <c r="M102" s="165"/>
      <c r="N102" s="174"/>
    </row>
    <row r="103" spans="1:14">
      <c r="A103" s="169"/>
      <c r="B103" s="169"/>
      <c r="C103" s="169"/>
      <c r="D103" s="169"/>
      <c r="E103" s="169"/>
      <c r="F103" s="169"/>
      <c r="G103" s="169"/>
      <c r="H103" s="169"/>
      <c r="I103" s="169"/>
      <c r="J103" s="167"/>
      <c r="K103" s="163"/>
      <c r="L103" s="165"/>
      <c r="M103" s="165"/>
      <c r="N103" s="211"/>
    </row>
    <row r="104" spans="1:14">
      <c r="A104" s="161"/>
      <c r="B104" s="162"/>
      <c r="C104" s="163"/>
      <c r="D104" s="163"/>
      <c r="E104" s="163"/>
      <c r="F104" s="168"/>
      <c r="G104" s="168"/>
      <c r="H104" s="163"/>
      <c r="I104" s="162"/>
      <c r="J104" s="168"/>
      <c r="K104" s="163"/>
      <c r="L104" s="163"/>
      <c r="M104" s="163"/>
      <c r="N104" s="175"/>
    </row>
    <row r="105" spans="1:14">
      <c r="A105" s="161"/>
      <c r="B105" s="161"/>
      <c r="C105" s="161"/>
      <c r="D105" s="161"/>
      <c r="E105" s="161"/>
      <c r="F105" s="161"/>
      <c r="G105" s="161"/>
      <c r="H105" s="161"/>
      <c r="I105" s="161"/>
      <c r="J105" s="163"/>
      <c r="K105" s="165"/>
      <c r="L105" s="163"/>
      <c r="M105" s="163"/>
      <c r="N105" s="211"/>
    </row>
    <row r="106" spans="1:14">
      <c r="A106" s="179"/>
      <c r="B106" s="164"/>
      <c r="C106" s="165"/>
      <c r="D106" s="165"/>
      <c r="E106" s="165"/>
      <c r="F106" s="165"/>
      <c r="G106" s="165"/>
      <c r="H106" s="165"/>
      <c r="I106" s="164"/>
      <c r="J106" s="165"/>
      <c r="K106" s="165"/>
      <c r="L106" s="165"/>
      <c r="M106" s="165"/>
      <c r="N106" s="174"/>
    </row>
    <row r="107" spans="1:14">
      <c r="A107" s="169"/>
      <c r="B107" s="169"/>
      <c r="C107" s="169"/>
      <c r="D107" s="169"/>
      <c r="E107" s="169"/>
      <c r="F107" s="169"/>
      <c r="G107" s="169"/>
      <c r="H107" s="169"/>
      <c r="I107" s="169"/>
      <c r="J107" s="167"/>
      <c r="K107" s="163"/>
      <c r="L107" s="165"/>
      <c r="M107" s="165"/>
      <c r="N107" s="211"/>
    </row>
    <row r="108" spans="1:14">
      <c r="A108" s="161"/>
      <c r="B108" s="162"/>
      <c r="C108" s="163"/>
      <c r="D108" s="163"/>
      <c r="E108" s="163"/>
      <c r="F108" s="168"/>
      <c r="G108" s="168"/>
      <c r="H108" s="163"/>
      <c r="I108" s="162"/>
      <c r="J108" s="168"/>
      <c r="K108" s="163"/>
      <c r="L108" s="163"/>
      <c r="M108" s="163"/>
      <c r="N108" s="175"/>
    </row>
    <row r="109" spans="1:14">
      <c r="A109" s="161"/>
      <c r="B109" s="161"/>
      <c r="C109" s="161"/>
      <c r="D109" s="161"/>
      <c r="E109" s="161"/>
      <c r="F109" s="161"/>
      <c r="G109" s="161"/>
      <c r="H109" s="161"/>
      <c r="I109" s="161"/>
      <c r="J109" s="163"/>
      <c r="K109" s="165"/>
      <c r="L109" s="163"/>
      <c r="M109" s="163"/>
      <c r="N109" s="211"/>
    </row>
    <row r="110" spans="1:14">
      <c r="A110" s="179"/>
      <c r="B110" s="164"/>
      <c r="C110" s="165"/>
      <c r="D110" s="165"/>
      <c r="E110" s="165"/>
      <c r="F110" s="165"/>
      <c r="G110" s="165"/>
      <c r="H110" s="165"/>
      <c r="I110" s="164"/>
      <c r="J110" s="165"/>
      <c r="K110" s="165"/>
      <c r="L110" s="165"/>
      <c r="M110" s="165"/>
      <c r="N110" s="174"/>
    </row>
    <row r="111" spans="1:14">
      <c r="A111" s="169"/>
      <c r="B111" s="169"/>
      <c r="C111" s="169"/>
      <c r="D111" s="169"/>
      <c r="E111" s="169"/>
      <c r="F111" s="169"/>
      <c r="G111" s="169"/>
      <c r="H111" s="169"/>
      <c r="I111" s="169"/>
      <c r="J111" s="167"/>
      <c r="K111" s="163"/>
      <c r="L111" s="165"/>
      <c r="M111" s="165"/>
      <c r="N111" s="211"/>
    </row>
    <row r="112" spans="1:14">
      <c r="A112" s="161"/>
      <c r="B112" s="162"/>
      <c r="C112" s="163"/>
      <c r="D112" s="163"/>
      <c r="E112" s="163"/>
      <c r="F112" s="163"/>
      <c r="G112" s="163"/>
      <c r="H112" s="163"/>
      <c r="I112" s="162"/>
      <c r="J112" s="163"/>
      <c r="K112" s="163"/>
      <c r="L112" s="163"/>
      <c r="M112" s="163"/>
      <c r="N112" s="175"/>
    </row>
    <row r="113" spans="1:14">
      <c r="A113" s="161"/>
      <c r="B113" s="161"/>
      <c r="C113" s="161"/>
      <c r="D113" s="161"/>
      <c r="E113" s="161"/>
      <c r="F113" s="161"/>
      <c r="G113" s="161"/>
      <c r="H113" s="161"/>
      <c r="I113" s="161"/>
      <c r="J113" s="163"/>
      <c r="K113" s="165"/>
      <c r="L113" s="163"/>
      <c r="M113" s="163"/>
      <c r="N113" s="211"/>
    </row>
    <row r="114" spans="1:14">
      <c r="A114" s="179"/>
      <c r="B114" s="164"/>
      <c r="C114" s="165"/>
      <c r="D114" s="165"/>
      <c r="E114" s="165"/>
      <c r="F114" s="166"/>
      <c r="G114" s="166"/>
      <c r="H114" s="165"/>
      <c r="I114" s="164"/>
      <c r="J114" s="166"/>
      <c r="K114" s="165"/>
      <c r="L114" s="165"/>
      <c r="M114" s="165"/>
      <c r="N114" s="174"/>
    </row>
    <row r="115" spans="1:14">
      <c r="A115" s="169"/>
      <c r="B115" s="169"/>
      <c r="C115" s="169"/>
      <c r="D115" s="169"/>
      <c r="E115" s="169"/>
      <c r="F115" s="169"/>
      <c r="G115" s="169"/>
      <c r="H115" s="169"/>
      <c r="I115" s="169"/>
      <c r="J115" s="167"/>
      <c r="K115" s="163"/>
      <c r="L115" s="165"/>
      <c r="M115" s="165"/>
      <c r="N115" s="211"/>
    </row>
    <row r="116" spans="1:14">
      <c r="A116" s="161"/>
      <c r="B116" s="162"/>
      <c r="C116" s="163"/>
      <c r="D116" s="163"/>
      <c r="E116" s="163"/>
      <c r="F116" s="163"/>
      <c r="G116" s="163"/>
      <c r="H116" s="163"/>
      <c r="I116" s="162"/>
      <c r="J116" s="163"/>
      <c r="K116" s="163"/>
      <c r="L116" s="163"/>
      <c r="M116" s="163"/>
      <c r="N116" s="175"/>
    </row>
    <row r="117" spans="1:14">
      <c r="A117" s="161"/>
      <c r="B117" s="161"/>
      <c r="C117" s="161"/>
      <c r="D117" s="161"/>
      <c r="E117" s="161"/>
      <c r="F117" s="161"/>
      <c r="G117" s="161"/>
      <c r="H117" s="161"/>
      <c r="I117" s="161"/>
      <c r="J117" s="163"/>
      <c r="K117" s="165"/>
      <c r="L117" s="163"/>
      <c r="M117" s="163"/>
      <c r="N117" s="211"/>
    </row>
    <row r="118" spans="1:14">
      <c r="A118" s="179"/>
      <c r="B118" s="164"/>
      <c r="C118" s="165"/>
      <c r="D118" s="165"/>
      <c r="E118" s="165"/>
      <c r="F118" s="165"/>
      <c r="G118" s="165"/>
      <c r="H118" s="165"/>
      <c r="I118" s="164"/>
      <c r="J118" s="165"/>
      <c r="K118" s="165"/>
      <c r="L118" s="165"/>
      <c r="M118" s="165"/>
      <c r="N118" s="174"/>
    </row>
    <row r="119" spans="1:14">
      <c r="A119" s="169"/>
      <c r="B119" s="169"/>
      <c r="C119" s="169"/>
      <c r="D119" s="169"/>
      <c r="E119" s="169"/>
      <c r="F119" s="169"/>
      <c r="G119" s="169"/>
      <c r="H119" s="169"/>
      <c r="I119" s="169"/>
      <c r="J119" s="167"/>
      <c r="K119" s="163"/>
      <c r="L119" s="165"/>
      <c r="M119" s="165"/>
      <c r="N119" s="211"/>
    </row>
    <row r="120" spans="1:14">
      <c r="A120" s="161"/>
      <c r="B120" s="162"/>
      <c r="C120" s="163"/>
      <c r="D120" s="163"/>
      <c r="E120" s="163"/>
      <c r="F120" s="168"/>
      <c r="G120" s="168"/>
      <c r="H120" s="163"/>
      <c r="I120" s="162"/>
      <c r="J120" s="168"/>
      <c r="K120" s="163"/>
      <c r="L120" s="163"/>
      <c r="M120" s="163"/>
      <c r="N120" s="175"/>
    </row>
    <row r="121" spans="1:14">
      <c r="A121" s="161"/>
      <c r="B121" s="161"/>
      <c r="C121" s="161"/>
      <c r="D121" s="161"/>
      <c r="E121" s="161"/>
      <c r="F121" s="161"/>
      <c r="G121" s="161"/>
      <c r="H121" s="161"/>
      <c r="I121" s="161"/>
      <c r="J121" s="163"/>
      <c r="K121" s="165"/>
      <c r="L121" s="163"/>
      <c r="M121" s="163"/>
      <c r="N121" s="211"/>
    </row>
    <row r="122" spans="1:14">
      <c r="A122" s="179"/>
      <c r="B122" s="164"/>
      <c r="C122" s="165"/>
      <c r="D122" s="165"/>
      <c r="E122" s="165"/>
      <c r="F122" s="165"/>
      <c r="G122" s="165"/>
      <c r="H122" s="165"/>
      <c r="I122" s="164"/>
      <c r="J122" s="165"/>
      <c r="K122" s="165"/>
      <c r="L122" s="165"/>
      <c r="M122" s="165"/>
      <c r="N122" s="174"/>
    </row>
    <row r="123" spans="1:14">
      <c r="A123" s="169"/>
      <c r="B123" s="169"/>
      <c r="C123" s="169"/>
      <c r="D123" s="169"/>
      <c r="E123" s="169"/>
      <c r="F123" s="169"/>
      <c r="G123" s="169"/>
      <c r="H123" s="169"/>
      <c r="I123" s="169"/>
      <c r="J123" s="167"/>
      <c r="K123" s="163"/>
      <c r="L123" s="165"/>
      <c r="M123" s="165"/>
      <c r="N123" s="211"/>
    </row>
    <row r="124" spans="1:14">
      <c r="A124" s="161"/>
      <c r="B124" s="162"/>
      <c r="C124" s="163"/>
      <c r="D124" s="163"/>
      <c r="E124" s="163"/>
      <c r="F124" s="168"/>
      <c r="G124" s="168"/>
      <c r="H124" s="163"/>
      <c r="I124" s="162"/>
      <c r="J124" s="168"/>
      <c r="K124" s="163"/>
      <c r="L124" s="163"/>
      <c r="M124" s="163"/>
      <c r="N124" s="175"/>
    </row>
    <row r="125" spans="1:14">
      <c r="A125" s="161"/>
      <c r="B125" s="161"/>
      <c r="C125" s="161"/>
      <c r="D125" s="161"/>
      <c r="E125" s="161"/>
      <c r="F125" s="161"/>
      <c r="G125" s="161"/>
      <c r="H125" s="161"/>
      <c r="I125" s="161"/>
      <c r="J125" s="163"/>
      <c r="K125" s="165"/>
      <c r="L125" s="163"/>
      <c r="M125" s="163"/>
      <c r="N125" s="211"/>
    </row>
    <row r="126" spans="1:14">
      <c r="A126" s="179"/>
      <c r="B126" s="164"/>
      <c r="C126" s="165"/>
      <c r="D126" s="165"/>
      <c r="E126" s="165"/>
      <c r="F126" s="165"/>
      <c r="G126" s="165"/>
      <c r="H126" s="165"/>
      <c r="I126" s="164"/>
      <c r="J126" s="165"/>
      <c r="K126" s="165"/>
      <c r="L126" s="165"/>
      <c r="M126" s="165"/>
      <c r="N126" s="174"/>
    </row>
    <row r="127" spans="1:14">
      <c r="A127" s="169"/>
      <c r="B127" s="169"/>
      <c r="C127" s="169"/>
      <c r="D127" s="169"/>
      <c r="E127" s="169"/>
      <c r="F127" s="169"/>
      <c r="G127" s="169"/>
      <c r="H127" s="169"/>
      <c r="I127" s="169"/>
      <c r="J127" s="167"/>
      <c r="K127" s="163"/>
      <c r="L127" s="165"/>
      <c r="M127" s="165"/>
      <c r="N127" s="211"/>
    </row>
    <row r="128" spans="1:14">
      <c r="A128" s="161"/>
      <c r="B128" s="162"/>
      <c r="C128" s="163"/>
      <c r="D128" s="163"/>
      <c r="E128" s="163"/>
      <c r="F128" s="163"/>
      <c r="G128" s="163"/>
      <c r="H128" s="163"/>
      <c r="I128" s="162"/>
      <c r="J128" s="163"/>
      <c r="K128" s="163"/>
      <c r="L128" s="163"/>
      <c r="M128" s="163"/>
      <c r="N128" s="175"/>
    </row>
    <row r="129" spans="1:14">
      <c r="A129" s="161"/>
      <c r="B129" s="161"/>
      <c r="C129" s="161"/>
      <c r="D129" s="161"/>
      <c r="E129" s="161"/>
      <c r="F129" s="161"/>
      <c r="G129" s="161"/>
      <c r="H129" s="161"/>
      <c r="I129" s="161"/>
      <c r="J129" s="163"/>
      <c r="K129" s="165"/>
      <c r="L129" s="163"/>
      <c r="M129" s="163"/>
      <c r="N129" s="211"/>
    </row>
    <row r="130" spans="1:14">
      <c r="A130" s="179"/>
      <c r="B130" s="164"/>
      <c r="C130" s="165"/>
      <c r="D130" s="165"/>
      <c r="E130" s="165"/>
      <c r="F130" s="166"/>
      <c r="G130" s="166"/>
      <c r="H130" s="165"/>
      <c r="I130" s="164"/>
      <c r="J130" s="166"/>
      <c r="K130" s="165"/>
      <c r="L130" s="165"/>
      <c r="M130" s="165"/>
      <c r="N130" s="174"/>
    </row>
    <row r="131" spans="1:14">
      <c r="A131" s="169"/>
      <c r="B131" s="169"/>
      <c r="C131" s="169"/>
      <c r="D131" s="169"/>
      <c r="E131" s="169"/>
      <c r="F131" s="169"/>
      <c r="G131" s="169"/>
      <c r="H131" s="169"/>
      <c r="I131" s="169"/>
      <c r="J131" s="167"/>
      <c r="K131" s="163"/>
      <c r="L131" s="165"/>
      <c r="M131" s="165"/>
      <c r="N131" s="211"/>
    </row>
    <row r="132" spans="1:14">
      <c r="A132" s="161"/>
      <c r="B132" s="162"/>
      <c r="C132" s="163"/>
      <c r="D132" s="163"/>
      <c r="E132" s="163"/>
      <c r="F132" s="168"/>
      <c r="G132" s="168"/>
      <c r="H132" s="163"/>
      <c r="I132" s="162"/>
      <c r="J132" s="168"/>
      <c r="K132" s="163"/>
      <c r="L132" s="163"/>
      <c r="M132" s="163"/>
      <c r="N132" s="175"/>
    </row>
    <row r="133" spans="1:14">
      <c r="A133" s="161"/>
      <c r="B133" s="161"/>
      <c r="C133" s="161"/>
      <c r="D133" s="161"/>
      <c r="E133" s="161"/>
      <c r="F133" s="161"/>
      <c r="G133" s="161"/>
      <c r="H133" s="161"/>
      <c r="I133" s="161"/>
      <c r="J133" s="163"/>
      <c r="K133" s="165"/>
      <c r="L133" s="163"/>
      <c r="M133" s="163"/>
      <c r="N133" s="211"/>
    </row>
    <row r="134" spans="1:14">
      <c r="A134" s="179"/>
      <c r="B134" s="164"/>
      <c r="C134" s="165"/>
      <c r="D134" s="165"/>
      <c r="E134" s="165"/>
      <c r="F134" s="166"/>
      <c r="G134" s="166"/>
      <c r="H134" s="165"/>
      <c r="I134" s="164"/>
      <c r="J134" s="166"/>
      <c r="K134" s="165"/>
      <c r="L134" s="165"/>
      <c r="M134" s="165"/>
      <c r="N134" s="174"/>
    </row>
    <row r="135" spans="1:14">
      <c r="A135" s="169"/>
      <c r="B135" s="169"/>
      <c r="C135" s="169"/>
      <c r="D135" s="169"/>
      <c r="E135" s="169"/>
      <c r="F135" s="169"/>
      <c r="G135" s="169"/>
      <c r="H135" s="169"/>
      <c r="I135" s="169"/>
      <c r="J135" s="167"/>
      <c r="K135" s="163"/>
      <c r="L135" s="165"/>
      <c r="M135" s="165"/>
      <c r="N135" s="211"/>
    </row>
    <row r="136" spans="1:14">
      <c r="A136" s="161"/>
      <c r="B136" s="162"/>
      <c r="C136" s="163"/>
      <c r="D136" s="163"/>
      <c r="E136" s="163"/>
      <c r="F136" s="168"/>
      <c r="G136" s="168"/>
      <c r="H136" s="163"/>
      <c r="I136" s="162"/>
      <c r="J136" s="168"/>
      <c r="K136" s="163"/>
      <c r="L136" s="163"/>
      <c r="M136" s="163"/>
      <c r="N136" s="175"/>
    </row>
    <row r="137" spans="1:14">
      <c r="A137" s="161"/>
      <c r="B137" s="161"/>
      <c r="C137" s="161"/>
      <c r="D137" s="161"/>
      <c r="E137" s="161"/>
      <c r="F137" s="161"/>
      <c r="G137" s="161"/>
      <c r="H137" s="161"/>
      <c r="I137" s="161"/>
      <c r="J137" s="163"/>
      <c r="K137" s="165"/>
      <c r="L137" s="163"/>
      <c r="M137" s="163"/>
      <c r="N137" s="211"/>
    </row>
    <row r="138" spans="1:14">
      <c r="A138" s="179"/>
      <c r="B138" s="164"/>
      <c r="C138" s="165"/>
      <c r="D138" s="165"/>
      <c r="E138" s="165"/>
      <c r="F138" s="165"/>
      <c r="G138" s="165"/>
      <c r="H138" s="165"/>
      <c r="I138" s="164"/>
      <c r="J138" s="165"/>
      <c r="K138" s="165"/>
      <c r="L138" s="165"/>
      <c r="M138" s="165"/>
      <c r="N138" s="174"/>
    </row>
    <row r="139" spans="1:14">
      <c r="A139" s="169"/>
      <c r="B139" s="169"/>
      <c r="C139" s="169"/>
      <c r="D139" s="169"/>
      <c r="E139" s="169"/>
      <c r="F139" s="169"/>
      <c r="G139" s="169"/>
      <c r="H139" s="169"/>
      <c r="I139" s="169"/>
      <c r="J139" s="167"/>
      <c r="K139" s="163"/>
      <c r="L139" s="165"/>
      <c r="M139" s="165"/>
      <c r="N139" s="211"/>
    </row>
    <row r="140" spans="1:14">
      <c r="A140" s="161"/>
      <c r="B140" s="162"/>
      <c r="C140" s="163"/>
      <c r="D140" s="163"/>
      <c r="E140" s="163"/>
      <c r="F140" s="168"/>
      <c r="G140" s="168"/>
      <c r="H140" s="163"/>
      <c r="I140" s="162"/>
      <c r="J140" s="168"/>
      <c r="K140" s="163"/>
      <c r="L140" s="163"/>
      <c r="M140" s="163"/>
      <c r="N140" s="175"/>
    </row>
    <row r="141" spans="1:14">
      <c r="A141" s="161"/>
      <c r="B141" s="161"/>
      <c r="C141" s="161"/>
      <c r="D141" s="161"/>
      <c r="E141" s="161"/>
      <c r="F141" s="161"/>
      <c r="G141" s="161"/>
      <c r="H141" s="161"/>
      <c r="I141" s="161"/>
      <c r="J141" s="163"/>
      <c r="K141" s="165"/>
      <c r="L141" s="163"/>
      <c r="M141" s="163"/>
      <c r="N141" s="211"/>
    </row>
    <row r="142" spans="1:14">
      <c r="A142" s="179"/>
      <c r="B142" s="164"/>
      <c r="C142" s="165"/>
      <c r="D142" s="165"/>
      <c r="E142" s="165"/>
      <c r="F142" s="165"/>
      <c r="G142" s="165"/>
      <c r="H142" s="165"/>
      <c r="I142" s="164"/>
      <c r="J142" s="165"/>
      <c r="K142" s="165"/>
      <c r="L142" s="165"/>
      <c r="M142" s="165"/>
      <c r="N142" s="174"/>
    </row>
    <row r="143" spans="1:14">
      <c r="A143" s="169"/>
      <c r="B143" s="169"/>
      <c r="C143" s="169"/>
      <c r="D143" s="169"/>
      <c r="E143" s="169"/>
      <c r="F143" s="169"/>
      <c r="G143" s="169"/>
      <c r="H143" s="169"/>
      <c r="I143" s="169"/>
      <c r="J143" s="167"/>
      <c r="K143" s="163"/>
      <c r="L143" s="165"/>
      <c r="M143" s="165"/>
      <c r="N143" s="211"/>
    </row>
    <row r="144" spans="1:14">
      <c r="A144" s="161"/>
      <c r="B144" s="162"/>
      <c r="C144" s="163"/>
      <c r="D144" s="163"/>
      <c r="E144" s="163"/>
      <c r="F144" s="168"/>
      <c r="G144" s="168"/>
      <c r="H144" s="163"/>
      <c r="I144" s="162"/>
      <c r="J144" s="168"/>
      <c r="K144" s="163"/>
      <c r="L144" s="163"/>
      <c r="M144" s="163"/>
      <c r="N144" s="175"/>
    </row>
    <row r="145" spans="1:14">
      <c r="A145" s="161"/>
      <c r="B145" s="161"/>
      <c r="C145" s="161"/>
      <c r="D145" s="161"/>
      <c r="E145" s="161"/>
      <c r="F145" s="161"/>
      <c r="G145" s="161"/>
      <c r="H145" s="161"/>
      <c r="I145" s="161"/>
      <c r="J145" s="163"/>
      <c r="K145" s="165"/>
      <c r="L145" s="163"/>
      <c r="M145" s="163"/>
      <c r="N145" s="211"/>
    </row>
    <row r="146" spans="1:14">
      <c r="A146" s="179"/>
      <c r="B146" s="164"/>
      <c r="C146" s="165"/>
      <c r="D146" s="165"/>
      <c r="E146" s="165"/>
      <c r="F146" s="166"/>
      <c r="G146" s="166"/>
      <c r="H146" s="165"/>
      <c r="I146" s="164"/>
      <c r="J146" s="166"/>
      <c r="K146" s="165"/>
      <c r="L146" s="165"/>
      <c r="M146" s="165"/>
      <c r="N146" s="174"/>
    </row>
    <row r="147" spans="1:14">
      <c r="A147" s="169"/>
      <c r="B147" s="169"/>
      <c r="C147" s="169"/>
      <c r="D147" s="169"/>
      <c r="E147" s="169"/>
      <c r="F147" s="169"/>
      <c r="G147" s="169"/>
      <c r="H147" s="169"/>
      <c r="I147" s="169"/>
      <c r="J147" s="167"/>
      <c r="K147" s="163"/>
      <c r="L147" s="165"/>
      <c r="M147" s="165"/>
      <c r="N147" s="211"/>
    </row>
    <row r="148" spans="1:14">
      <c r="A148" s="161"/>
      <c r="B148" s="162"/>
      <c r="C148" s="163"/>
      <c r="D148" s="163"/>
      <c r="E148" s="163"/>
      <c r="F148" s="168"/>
      <c r="G148" s="168"/>
      <c r="H148" s="163"/>
      <c r="I148" s="162"/>
      <c r="J148" s="168"/>
      <c r="K148" s="163"/>
      <c r="L148" s="163"/>
      <c r="M148" s="163"/>
      <c r="N148" s="175"/>
    </row>
    <row r="149" spans="1:14">
      <c r="A149" s="161"/>
      <c r="B149" s="161"/>
      <c r="C149" s="161"/>
      <c r="D149" s="161"/>
      <c r="E149" s="161"/>
      <c r="F149" s="161"/>
      <c r="G149" s="161"/>
      <c r="H149" s="161"/>
      <c r="I149" s="161"/>
      <c r="J149" s="163"/>
      <c r="K149" s="165"/>
      <c r="L149" s="163"/>
      <c r="M149" s="163"/>
      <c r="N149" s="211"/>
    </row>
    <row r="150" spans="1:14">
      <c r="A150" s="179"/>
      <c r="B150" s="164"/>
      <c r="C150" s="165"/>
      <c r="D150" s="165"/>
      <c r="E150" s="165"/>
      <c r="F150" s="166"/>
      <c r="G150" s="166"/>
      <c r="H150" s="165"/>
      <c r="I150" s="164"/>
      <c r="J150" s="166"/>
      <c r="K150" s="165"/>
      <c r="L150" s="165"/>
      <c r="M150" s="165"/>
      <c r="N150" s="174"/>
    </row>
    <row r="151" spans="1:14">
      <c r="A151" s="169"/>
      <c r="B151" s="169"/>
      <c r="C151" s="169"/>
      <c r="D151" s="169"/>
      <c r="E151" s="169"/>
      <c r="F151" s="169"/>
      <c r="G151" s="169"/>
      <c r="H151" s="169"/>
      <c r="I151" s="169"/>
      <c r="J151" s="167"/>
      <c r="K151" s="163"/>
      <c r="L151" s="165"/>
      <c r="M151" s="165"/>
      <c r="N151" s="211"/>
    </row>
    <row r="152" spans="1:14">
      <c r="A152" s="161"/>
      <c r="B152" s="162"/>
      <c r="C152" s="163"/>
      <c r="D152" s="163"/>
      <c r="E152" s="163"/>
      <c r="F152" s="168"/>
      <c r="G152" s="168"/>
      <c r="H152" s="163"/>
      <c r="I152" s="162"/>
      <c r="J152" s="168"/>
      <c r="K152" s="163"/>
      <c r="L152" s="163"/>
      <c r="M152" s="163"/>
      <c r="N152" s="175"/>
    </row>
    <row r="153" spans="1:14">
      <c r="A153" s="161"/>
      <c r="B153" s="161"/>
      <c r="C153" s="161"/>
      <c r="D153" s="161"/>
      <c r="E153" s="161"/>
      <c r="F153" s="161"/>
      <c r="G153" s="161"/>
      <c r="H153" s="161"/>
      <c r="I153" s="161"/>
      <c r="J153" s="163"/>
      <c r="K153" s="165"/>
      <c r="L153" s="163"/>
      <c r="M153" s="163"/>
      <c r="N153" s="211"/>
    </row>
    <row r="154" spans="1:14">
      <c r="A154" s="179"/>
      <c r="B154" s="164"/>
      <c r="C154" s="165"/>
      <c r="D154" s="165"/>
      <c r="E154" s="165"/>
      <c r="F154" s="166"/>
      <c r="G154" s="166"/>
      <c r="H154" s="165"/>
      <c r="I154" s="164"/>
      <c r="J154" s="166"/>
      <c r="K154" s="165"/>
      <c r="L154" s="165"/>
      <c r="M154" s="165"/>
      <c r="N154" s="174"/>
    </row>
    <row r="155" spans="1:14">
      <c r="A155" s="169"/>
      <c r="B155" s="169"/>
      <c r="C155" s="169"/>
      <c r="D155" s="169"/>
      <c r="E155" s="169"/>
      <c r="F155" s="169"/>
      <c r="G155" s="169"/>
      <c r="H155" s="169"/>
      <c r="I155" s="169"/>
      <c r="J155" s="167"/>
      <c r="K155" s="163"/>
      <c r="L155" s="165"/>
      <c r="M155" s="165"/>
      <c r="N155" s="211"/>
    </row>
    <row r="156" spans="1:14">
      <c r="A156" s="161"/>
      <c r="B156" s="162"/>
      <c r="C156" s="163"/>
      <c r="D156" s="163"/>
      <c r="E156" s="163"/>
      <c r="F156" s="168"/>
      <c r="G156" s="168"/>
      <c r="H156" s="163"/>
      <c r="I156" s="162"/>
      <c r="J156" s="168"/>
      <c r="K156" s="213"/>
      <c r="L156" s="163"/>
      <c r="M156" s="163"/>
      <c r="N156" s="175"/>
    </row>
    <row r="157" spans="1:14">
      <c r="A157" s="161"/>
      <c r="B157" s="161"/>
      <c r="C157" s="161"/>
      <c r="D157" s="161"/>
      <c r="E157" s="161"/>
      <c r="F157" s="161"/>
      <c r="G157" s="161"/>
      <c r="H157" s="161"/>
      <c r="I157" s="161"/>
      <c r="J157" s="163"/>
      <c r="K157" s="210"/>
      <c r="L157" s="213"/>
      <c r="M157" s="213"/>
      <c r="N157" s="211"/>
    </row>
    <row r="158" spans="1:14">
      <c r="A158" s="179"/>
      <c r="B158" s="164"/>
      <c r="C158" s="165"/>
      <c r="D158" s="165"/>
      <c r="E158" s="165"/>
      <c r="F158" s="166"/>
      <c r="G158" s="166"/>
      <c r="H158" s="165"/>
      <c r="I158" s="164"/>
      <c r="J158" s="166"/>
      <c r="L158" s="210"/>
      <c r="M158" s="210"/>
      <c r="N158" s="174"/>
    </row>
    <row r="159" spans="1:14">
      <c r="A159" s="169"/>
      <c r="B159" s="169"/>
      <c r="C159" s="169"/>
      <c r="D159" s="169"/>
      <c r="E159" s="169"/>
      <c r="F159" s="169"/>
      <c r="G159" s="169"/>
      <c r="H159" s="169"/>
      <c r="I159" s="169"/>
      <c r="J159" s="167"/>
      <c r="N159" s="211"/>
    </row>
    <row r="160" spans="1:14">
      <c r="A160" s="161"/>
      <c r="B160" s="162"/>
      <c r="C160" s="163"/>
      <c r="D160" s="163"/>
      <c r="E160" s="163"/>
      <c r="F160" s="163"/>
      <c r="G160" s="163"/>
      <c r="H160" s="163"/>
      <c r="I160" s="162"/>
      <c r="J160" s="163"/>
      <c r="N160" s="175"/>
    </row>
    <row r="161" spans="1:14">
      <c r="A161" s="161"/>
      <c r="B161" s="161"/>
      <c r="C161" s="161"/>
      <c r="D161" s="161"/>
      <c r="E161" s="161"/>
      <c r="F161" s="161"/>
      <c r="G161" s="161"/>
      <c r="H161" s="161"/>
      <c r="I161" s="161"/>
      <c r="J161" s="163"/>
      <c r="N161" s="211"/>
    </row>
    <row r="162" spans="1:14">
      <c r="A162" s="183"/>
      <c r="B162" s="183"/>
      <c r="C162" s="183"/>
      <c r="D162" s="183"/>
      <c r="E162" s="183"/>
      <c r="F162" s="183"/>
      <c r="G162" s="183"/>
      <c r="H162" s="183"/>
      <c r="I162" s="183"/>
      <c r="J162" s="183"/>
      <c r="N162" s="214"/>
    </row>
  </sheetData>
  <mergeCells count="1">
    <mergeCell ref="A162:J162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U94"/>
  <sheetViews>
    <sheetView tabSelected="1" workbookViewId="0">
      <selection activeCell="K8" sqref="K8"/>
    </sheetView>
  </sheetViews>
  <sheetFormatPr defaultRowHeight="12"/>
  <cols>
    <col min="1" max="1" width="10.5703125" style="193" bestFit="1" customWidth="1"/>
    <col min="2" max="2" width="8.42578125" style="193" bestFit="1" customWidth="1"/>
    <col min="3" max="3" width="8.85546875" style="193" customWidth="1"/>
    <col min="4" max="5" width="11" style="193" customWidth="1"/>
    <col min="6" max="6" width="11.5703125" style="193" customWidth="1"/>
    <col min="7" max="7" width="13.42578125" style="193" customWidth="1"/>
    <col min="8" max="8" width="13.7109375" style="193" customWidth="1"/>
    <col min="9" max="9" width="3" style="193" bestFit="1" customWidth="1"/>
    <col min="10" max="10" width="11.28515625" style="194" bestFit="1" customWidth="1"/>
    <col min="11" max="11" width="6.140625" style="195" bestFit="1" customWidth="1"/>
    <col min="12" max="12" width="10.42578125" style="196" bestFit="1" customWidth="1"/>
    <col min="13" max="13" width="2.85546875" style="193" customWidth="1"/>
    <col min="14" max="14" width="9.140625" style="196" bestFit="1" customWidth="1"/>
    <col min="15" max="15" width="8" style="193" bestFit="1" customWidth="1"/>
    <col min="16" max="16" width="9.140625" style="193"/>
    <col min="17" max="17" width="6.42578125" style="193" bestFit="1" customWidth="1"/>
    <col min="18" max="19" width="16.5703125" style="193" bestFit="1" customWidth="1"/>
    <col min="20" max="20" width="12.28515625" style="193" bestFit="1" customWidth="1"/>
    <col min="21" max="21" width="11.28515625" style="193" bestFit="1" customWidth="1"/>
    <col min="22" max="16384" width="9.140625" style="193"/>
  </cols>
  <sheetData>
    <row r="1" spans="1:21">
      <c r="A1" s="192" t="s">
        <v>204</v>
      </c>
      <c r="B1" s="193" t="s">
        <v>298</v>
      </c>
    </row>
    <row r="2" spans="1:21">
      <c r="Q2" s="205" t="s">
        <v>293</v>
      </c>
      <c r="R2" s="205" t="s">
        <v>294</v>
      </c>
      <c r="S2" s="205" t="s">
        <v>295</v>
      </c>
      <c r="T2" s="205" t="s">
        <v>296</v>
      </c>
    </row>
    <row r="3" spans="1:21" ht="12.75">
      <c r="B3" s="192" t="s">
        <v>209</v>
      </c>
      <c r="H3"/>
      <c r="J3" s="194">
        <v>31300.06</v>
      </c>
      <c r="N3" s="194">
        <v>100</v>
      </c>
      <c r="O3" s="195"/>
      <c r="P3" s="196"/>
      <c r="Q3" s="204">
        <v>41760</v>
      </c>
      <c r="R3" s="194">
        <v>100</v>
      </c>
      <c r="S3" s="194">
        <v>118.43</v>
      </c>
      <c r="T3" s="195">
        <f>K8</f>
        <v>0.13774765926966273</v>
      </c>
      <c r="U3" s="196"/>
    </row>
    <row r="4" spans="1:21" ht="12.75">
      <c r="A4" s="192" t="s">
        <v>218</v>
      </c>
      <c r="B4" s="193" t="s">
        <v>214</v>
      </c>
      <c r="C4" s="193" t="s">
        <v>271</v>
      </c>
      <c r="D4" s="193" t="s">
        <v>215</v>
      </c>
      <c r="E4" s="193" t="s">
        <v>272</v>
      </c>
      <c r="F4" s="193" t="s">
        <v>273</v>
      </c>
      <c r="G4" s="193" t="s">
        <v>274</v>
      </c>
      <c r="H4"/>
      <c r="I4" s="193" t="s">
        <v>216</v>
      </c>
      <c r="J4" s="194">
        <v>3888.44</v>
      </c>
      <c r="K4" s="195">
        <f>J4/$J$3</f>
        <v>0.12423107176152377</v>
      </c>
      <c r="L4" s="196">
        <f>J4*40%</f>
        <v>1555.3760000000002</v>
      </c>
      <c r="N4" s="194">
        <f>$N$3*K4</f>
        <v>12.423107176152378</v>
      </c>
      <c r="O4" s="196">
        <f>N4*40%</f>
        <v>4.9692428704609517</v>
      </c>
      <c r="Q4" s="204">
        <v>41791</v>
      </c>
      <c r="R4" s="196">
        <f>S3+100</f>
        <v>218.43</v>
      </c>
      <c r="S4" s="196">
        <f>(1+$T$3)*R4</f>
        <v>248.51822121427244</v>
      </c>
      <c r="U4" s="196"/>
    </row>
    <row r="5" spans="1:21" ht="12.75">
      <c r="A5" s="197" t="s">
        <v>195</v>
      </c>
      <c r="B5" s="198">
        <v>17</v>
      </c>
      <c r="C5" s="196"/>
      <c r="D5" s="196">
        <v>-1276.1999999999998</v>
      </c>
      <c r="E5" s="196">
        <v>-1276.1999999999998</v>
      </c>
      <c r="F5" s="196">
        <v>-75.07058823529411</v>
      </c>
      <c r="G5" s="196">
        <v>3.7522934163461383</v>
      </c>
      <c r="H5"/>
      <c r="I5" s="193" t="s">
        <v>266</v>
      </c>
      <c r="J5" s="194">
        <v>3005.64</v>
      </c>
      <c r="K5" s="195">
        <f>J5/$J$3</f>
        <v>9.6026652984051775E-2</v>
      </c>
      <c r="L5" s="196">
        <f>J5*40%</f>
        <v>1202.2560000000001</v>
      </c>
      <c r="N5" s="194">
        <f>$N$3*K5</f>
        <v>9.6026652984051779</v>
      </c>
      <c r="O5" s="196">
        <f>N5*40%</f>
        <v>3.8410661193620714</v>
      </c>
      <c r="Q5" s="204">
        <v>41821</v>
      </c>
      <c r="R5" s="196">
        <f>S4+100</f>
        <v>348.51822121427244</v>
      </c>
      <c r="S5" s="196">
        <f t="shared" ref="S5:S68" si="0">(1+$T$3)*R5</f>
        <v>396.52579039936495</v>
      </c>
      <c r="U5" s="196"/>
    </row>
    <row r="6" spans="1:21" ht="12.75">
      <c r="A6" s="197" t="s">
        <v>208</v>
      </c>
      <c r="B6" s="198">
        <v>17</v>
      </c>
      <c r="C6" s="196"/>
      <c r="D6" s="196">
        <v>-1276.1999999999998</v>
      </c>
      <c r="E6" s="196">
        <v>-1276.1999999999998</v>
      </c>
      <c r="F6" s="196">
        <v>-75.07058823529411</v>
      </c>
      <c r="G6" s="196">
        <v>3.7522934163461383</v>
      </c>
      <c r="H6"/>
      <c r="I6" s="193" t="s">
        <v>267</v>
      </c>
      <c r="J6" s="194">
        <v>-1306.3699999999999</v>
      </c>
      <c r="K6" s="195">
        <f>J6/$J$3</f>
        <v>-4.1736980695883642E-2</v>
      </c>
      <c r="L6" s="196">
        <f>J6*40%</f>
        <v>-522.548</v>
      </c>
      <c r="N6" s="194">
        <f>$N$3*K6</f>
        <v>-4.1736980695883643</v>
      </c>
      <c r="O6" s="196">
        <f>N6*40%</f>
        <v>-1.6694792278353459</v>
      </c>
      <c r="Q6" s="204">
        <v>41852</v>
      </c>
      <c r="R6" s="196">
        <f>S5+100</f>
        <v>496.52579039936495</v>
      </c>
      <c r="S6" s="196">
        <f t="shared" si="0"/>
        <v>564.92105579389658</v>
      </c>
      <c r="U6" s="196"/>
    </row>
    <row r="7" spans="1:21" ht="12.75">
      <c r="A7"/>
      <c r="B7"/>
      <c r="C7"/>
      <c r="D7"/>
      <c r="E7"/>
      <c r="F7"/>
      <c r="G7"/>
      <c r="H7"/>
      <c r="J7" s="194">
        <v>-1276.2</v>
      </c>
      <c r="K7" s="195">
        <f>K4+K5+K6</f>
        <v>0.1785207440496919</v>
      </c>
      <c r="N7" s="194">
        <f>$N$3*K8</f>
        <v>13.774765926966273</v>
      </c>
      <c r="O7" s="194">
        <f>O4+O5+O6</f>
        <v>7.1408297619876766</v>
      </c>
      <c r="P7" s="196"/>
      <c r="Q7" s="204">
        <v>41883</v>
      </c>
      <c r="R7" s="196">
        <f>S6+100</f>
        <v>664.92105579389658</v>
      </c>
      <c r="S7" s="196">
        <f t="shared" si="0"/>
        <v>756.51237482861859</v>
      </c>
      <c r="U7" s="196"/>
    </row>
    <row r="8" spans="1:21" ht="12.75">
      <c r="A8"/>
      <c r="B8"/>
      <c r="C8"/>
      <c r="D8"/>
      <c r="E8"/>
      <c r="F8"/>
      <c r="G8"/>
      <c r="H8"/>
      <c r="J8" s="194">
        <f>J4+J5+J6+J7</f>
        <v>4311.51</v>
      </c>
      <c r="K8" s="195">
        <f>J8/$J$3</f>
        <v>0.13774765926966273</v>
      </c>
      <c r="N8" s="194">
        <f>N3+N7</f>
        <v>113.77476592696627</v>
      </c>
      <c r="Q8" s="204">
        <v>41913</v>
      </c>
      <c r="R8" s="196">
        <f>S7+100</f>
        <v>856.51237482861859</v>
      </c>
      <c r="S8" s="196">
        <f t="shared" si="0"/>
        <v>974.49494959676076</v>
      </c>
      <c r="U8" s="196"/>
    </row>
    <row r="9" spans="1:21" ht="12.75">
      <c r="A9"/>
      <c r="B9"/>
      <c r="C9"/>
      <c r="D9"/>
      <c r="E9"/>
      <c r="F9"/>
      <c r="G9"/>
      <c r="H9"/>
      <c r="J9" s="194">
        <f>J3+J8</f>
        <v>35611.57</v>
      </c>
      <c r="Q9" s="204">
        <v>41944</v>
      </c>
      <c r="R9" s="196">
        <f>S8+100</f>
        <v>1074.4949495967608</v>
      </c>
      <c r="S9" s="196">
        <f t="shared" si="0"/>
        <v>1222.5041138007887</v>
      </c>
      <c r="U9" s="196"/>
    </row>
    <row r="10" spans="1:21" ht="12.75">
      <c r="A10"/>
      <c r="B10"/>
      <c r="C10"/>
      <c r="D10"/>
      <c r="E10"/>
      <c r="F10"/>
      <c r="G10"/>
      <c r="H10"/>
      <c r="Q10" s="204">
        <v>41974</v>
      </c>
      <c r="R10" s="196">
        <f>S9+100</f>
        <v>1322.5041138007887</v>
      </c>
      <c r="S10" s="196">
        <f t="shared" si="0"/>
        <v>1504.675959851347</v>
      </c>
      <c r="U10" s="196"/>
    </row>
    <row r="11" spans="1:21" ht="12.75">
      <c r="A11"/>
      <c r="B11"/>
      <c r="C11"/>
      <c r="D11"/>
      <c r="E11"/>
      <c r="F11"/>
      <c r="G11"/>
      <c r="H11"/>
      <c r="Q11" s="204">
        <v>42005</v>
      </c>
      <c r="R11" s="196">
        <f>S10+100</f>
        <v>1604.675959851347</v>
      </c>
      <c r="S11" s="196">
        <f t="shared" si="0"/>
        <v>1825.7163172071694</v>
      </c>
      <c r="U11" s="196"/>
    </row>
    <row r="12" spans="1:21">
      <c r="A12"/>
      <c r="B12"/>
      <c r="C12"/>
      <c r="D12"/>
      <c r="E12"/>
      <c r="F12"/>
      <c r="G12"/>
      <c r="Q12" s="204">
        <v>42036</v>
      </c>
      <c r="R12" s="196">
        <f>S11+100</f>
        <v>1925.7163172071694</v>
      </c>
      <c r="S12" s="196">
        <f t="shared" si="0"/>
        <v>2190.9792323198521</v>
      </c>
      <c r="U12" s="196"/>
    </row>
    <row r="13" spans="1:21">
      <c r="A13"/>
      <c r="B13"/>
      <c r="C13"/>
      <c r="D13"/>
      <c r="E13"/>
      <c r="F13"/>
      <c r="G13"/>
      <c r="Q13" s="204">
        <v>42064</v>
      </c>
      <c r="R13" s="196">
        <f>S12+100</f>
        <v>2290.9792323198521</v>
      </c>
      <c r="S13" s="196">
        <f t="shared" si="0"/>
        <v>2606.5562590073205</v>
      </c>
      <c r="U13" s="196"/>
    </row>
    <row r="14" spans="1:21">
      <c r="Q14" s="204">
        <v>42095</v>
      </c>
      <c r="R14" s="196">
        <f>S13+100</f>
        <v>2706.5562590073205</v>
      </c>
      <c r="S14" s="196">
        <f t="shared" si="0"/>
        <v>3079.378048367234</v>
      </c>
      <c r="U14" s="196"/>
    </row>
    <row r="15" spans="1:21">
      <c r="Q15" s="204">
        <v>42125</v>
      </c>
      <c r="R15" s="196">
        <f t="shared" ref="R5:R68" si="1">S14</f>
        <v>3079.378048367234</v>
      </c>
      <c r="S15" s="196">
        <f t="shared" si="0"/>
        <v>3503.5551665362027</v>
      </c>
      <c r="U15" s="196"/>
    </row>
    <row r="16" spans="1:21">
      <c r="Q16" s="204">
        <v>42156</v>
      </c>
      <c r="R16" s="196">
        <f t="shared" si="1"/>
        <v>3503.5551665362027</v>
      </c>
      <c r="S16" s="196">
        <f t="shared" si="0"/>
        <v>3986.1616898486977</v>
      </c>
      <c r="U16" s="196"/>
    </row>
    <row r="17" spans="17:21">
      <c r="Q17" s="204">
        <v>42186</v>
      </c>
      <c r="R17" s="196">
        <f t="shared" si="1"/>
        <v>3986.1616898486977</v>
      </c>
      <c r="S17" s="196">
        <f t="shared" si="0"/>
        <v>4535.2461320957591</v>
      </c>
      <c r="U17" s="196"/>
    </row>
    <row r="18" spans="17:21">
      <c r="Q18" s="204">
        <v>42217</v>
      </c>
      <c r="R18" s="196">
        <f t="shared" si="1"/>
        <v>4535.2461320957591</v>
      </c>
      <c r="S18" s="196">
        <f t="shared" si="0"/>
        <v>5159.9656710037416</v>
      </c>
      <c r="U18" s="196"/>
    </row>
    <row r="19" spans="17:21">
      <c r="Q19" s="204">
        <v>42248</v>
      </c>
      <c r="R19" s="196">
        <f t="shared" si="1"/>
        <v>5159.9656710037416</v>
      </c>
      <c r="S19" s="196">
        <f t="shared" si="0"/>
        <v>5870.7388640963218</v>
      </c>
      <c r="U19" s="196"/>
    </row>
    <row r="20" spans="17:21">
      <c r="Q20" s="204">
        <v>42278</v>
      </c>
      <c r="R20" s="196">
        <f t="shared" si="1"/>
        <v>5870.7388640963218</v>
      </c>
      <c r="S20" s="196">
        <f t="shared" si="0"/>
        <v>6679.419400809029</v>
      </c>
      <c r="U20" s="196"/>
    </row>
    <row r="21" spans="17:21">
      <c r="Q21" s="204">
        <v>42309</v>
      </c>
      <c r="R21" s="196">
        <f t="shared" si="1"/>
        <v>6679.419400809029</v>
      </c>
      <c r="S21" s="196">
        <f t="shared" si="0"/>
        <v>7599.4937885508461</v>
      </c>
      <c r="U21" s="196"/>
    </row>
    <row r="22" spans="17:21">
      <c r="Q22" s="204">
        <v>42339</v>
      </c>
      <c r="R22" s="196">
        <f t="shared" si="1"/>
        <v>7599.4937885508461</v>
      </c>
      <c r="S22" s="196">
        <f t="shared" si="0"/>
        <v>8646.3062695580666</v>
      </c>
      <c r="U22" s="196"/>
    </row>
    <row r="23" spans="17:21">
      <c r="Q23" s="204">
        <v>42370</v>
      </c>
      <c r="R23" s="196">
        <f t="shared" si="1"/>
        <v>8646.3062695580666</v>
      </c>
      <c r="S23" s="196">
        <f t="shared" si="0"/>
        <v>9837.3147195182992</v>
      </c>
      <c r="U23" s="196"/>
    </row>
    <row r="24" spans="17:21">
      <c r="Q24" s="204">
        <v>42401</v>
      </c>
      <c r="R24" s="196">
        <f t="shared" si="1"/>
        <v>9837.3147195182992</v>
      </c>
      <c r="S24" s="196">
        <f t="shared" si="0"/>
        <v>11192.381795630943</v>
      </c>
      <c r="U24" s="196"/>
    </row>
    <row r="25" spans="17:21">
      <c r="Q25" s="204">
        <v>42430</v>
      </c>
      <c r="R25" s="196">
        <f t="shared" si="1"/>
        <v>11192.381795630943</v>
      </c>
      <c r="S25" s="196">
        <f t="shared" si="0"/>
        <v>12734.10618963149</v>
      </c>
      <c r="U25" s="196"/>
    </row>
    <row r="26" spans="17:21">
      <c r="Q26" s="204">
        <v>42461</v>
      </c>
      <c r="R26" s="196">
        <f t="shared" si="1"/>
        <v>12734.10618963149</v>
      </c>
      <c r="S26" s="196">
        <f t="shared" si="0"/>
        <v>14488.19951014455</v>
      </c>
      <c r="U26" s="196"/>
    </row>
    <row r="27" spans="17:21">
      <c r="Q27" s="204">
        <v>42491</v>
      </c>
      <c r="R27" s="196">
        <f t="shared" si="1"/>
        <v>14488.19951014455</v>
      </c>
      <c r="S27" s="196">
        <f t="shared" si="0"/>
        <v>16483.915079698836</v>
      </c>
      <c r="U27" s="196"/>
    </row>
    <row r="28" spans="17:21">
      <c r="Q28" s="204">
        <v>42522</v>
      </c>
      <c r="R28" s="196">
        <f t="shared" si="1"/>
        <v>16483.915079698836</v>
      </c>
      <c r="S28" s="196">
        <f t="shared" si="0"/>
        <v>18754.535797527245</v>
      </c>
      <c r="U28" s="196"/>
    </row>
    <row r="29" spans="17:21">
      <c r="Q29" s="204">
        <v>42552</v>
      </c>
      <c r="R29" s="196">
        <f t="shared" si="1"/>
        <v>18754.535797527245</v>
      </c>
      <c r="S29" s="196">
        <f t="shared" si="0"/>
        <v>21337.929204325719</v>
      </c>
      <c r="U29" s="196"/>
    </row>
    <row r="30" spans="17:21">
      <c r="Q30" s="204">
        <v>42583</v>
      </c>
      <c r="R30" s="196">
        <f t="shared" si="1"/>
        <v>21337.929204325719</v>
      </c>
      <c r="S30" s="196">
        <f t="shared" si="0"/>
        <v>24277.179005883365</v>
      </c>
      <c r="U30" s="196"/>
    </row>
    <row r="31" spans="17:21">
      <c r="Q31" s="204">
        <v>42614</v>
      </c>
      <c r="R31" s="196">
        <f t="shared" si="1"/>
        <v>24277.179005883365</v>
      </c>
      <c r="S31" s="196">
        <f t="shared" si="0"/>
        <v>27621.303587614395</v>
      </c>
      <c r="U31" s="196"/>
    </row>
    <row r="32" spans="17:21">
      <c r="Q32" s="204">
        <v>42644</v>
      </c>
      <c r="R32" s="196">
        <f t="shared" si="1"/>
        <v>27621.303587614395</v>
      </c>
      <c r="S32" s="196">
        <f t="shared" si="0"/>
        <v>31426.073502785013</v>
      </c>
      <c r="U32" s="196"/>
    </row>
    <row r="33" spans="17:21">
      <c r="Q33" s="204">
        <v>42675</v>
      </c>
      <c r="R33" s="196">
        <f t="shared" si="1"/>
        <v>31426.073502785013</v>
      </c>
      <c r="S33" s="196">
        <f t="shared" si="0"/>
        <v>35754.941567830021</v>
      </c>
      <c r="U33" s="196"/>
    </row>
    <row r="34" spans="17:21">
      <c r="Q34" s="204">
        <v>42705</v>
      </c>
      <c r="R34" s="196">
        <f t="shared" si="1"/>
        <v>35754.941567830021</v>
      </c>
      <c r="S34" s="196">
        <f t="shared" si="0"/>
        <v>40680.10107612217</v>
      </c>
      <c r="U34" s="196"/>
    </row>
    <row r="35" spans="17:21">
      <c r="Q35" s="204">
        <v>42736</v>
      </c>
      <c r="R35" s="196">
        <f t="shared" si="1"/>
        <v>40680.10107612217</v>
      </c>
      <c r="S35" s="196">
        <f t="shared" si="0"/>
        <v>46283.689778211286</v>
      </c>
      <c r="U35" s="196"/>
    </row>
    <row r="36" spans="17:21">
      <c r="Q36" s="204">
        <v>42767</v>
      </c>
      <c r="R36" s="196">
        <f t="shared" si="1"/>
        <v>46283.689778211286</v>
      </c>
      <c r="S36" s="196">
        <f t="shared" si="0"/>
        <v>52659.159707523104</v>
      </c>
      <c r="U36" s="196"/>
    </row>
    <row r="37" spans="17:21">
      <c r="Q37" s="204">
        <v>42795</v>
      </c>
      <c r="R37" s="196">
        <f t="shared" si="1"/>
        <v>52659.159707523104</v>
      </c>
      <c r="S37" s="196">
        <f t="shared" si="0"/>
        <v>59912.835696341746</v>
      </c>
      <c r="U37" s="196"/>
    </row>
    <row r="38" spans="17:21">
      <c r="Q38" s="204">
        <v>42826</v>
      </c>
      <c r="R38" s="196">
        <f t="shared" si="1"/>
        <v>59912.835696341746</v>
      </c>
      <c r="S38" s="196">
        <f t="shared" si="0"/>
        <v>68165.688573720719</v>
      </c>
      <c r="U38" s="196"/>
    </row>
    <row r="39" spans="17:21">
      <c r="Q39" s="204">
        <v>42856</v>
      </c>
      <c r="R39" s="196">
        <f t="shared" si="1"/>
        <v>68165.688573720719</v>
      </c>
      <c r="S39" s="196">
        <f t="shared" si="0"/>
        <v>77555.352617255543</v>
      </c>
      <c r="U39" s="196"/>
    </row>
    <row r="40" spans="17:21">
      <c r="Q40" s="204">
        <v>42887</v>
      </c>
      <c r="R40" s="196">
        <f t="shared" si="1"/>
        <v>77555.352617255543</v>
      </c>
      <c r="S40" s="196">
        <f t="shared" si="0"/>
        <v>88238.420904115803</v>
      </c>
    </row>
    <row r="41" spans="17:21">
      <c r="Q41" s="204">
        <v>42917</v>
      </c>
      <c r="R41" s="196">
        <f t="shared" si="1"/>
        <v>88238.420904115803</v>
      </c>
      <c r="S41" s="196">
        <f t="shared" si="0"/>
        <v>100393.05684130902</v>
      </c>
    </row>
    <row r="42" spans="17:21">
      <c r="Q42" s="204">
        <v>42948</v>
      </c>
      <c r="R42" s="196">
        <f t="shared" si="1"/>
        <v>100393.05684130902</v>
      </c>
      <c r="S42" s="196">
        <f t="shared" si="0"/>
        <v>114221.96542812554</v>
      </c>
    </row>
    <row r="43" spans="17:21">
      <c r="Q43" s="204">
        <v>42979</v>
      </c>
      <c r="R43" s="196">
        <f t="shared" si="1"/>
        <v>114221.96542812554</v>
      </c>
      <c r="S43" s="196">
        <f t="shared" si="0"/>
        <v>129955.77380303017</v>
      </c>
    </row>
    <row r="44" spans="17:21">
      <c r="Q44" s="204">
        <v>43009</v>
      </c>
      <c r="R44" s="196">
        <f t="shared" si="1"/>
        <v>129955.77380303017</v>
      </c>
      <c r="S44" s="196">
        <f t="shared" si="0"/>
        <v>147856.87745297531</v>
      </c>
    </row>
    <row r="45" spans="17:21">
      <c r="Q45" s="204">
        <v>43040</v>
      </c>
      <c r="R45" s="196">
        <f t="shared" si="1"/>
        <v>147856.87745297531</v>
      </c>
      <c r="S45" s="196">
        <f t="shared" si="0"/>
        <v>168223.81622904402</v>
      </c>
    </row>
    <row r="46" spans="17:21">
      <c r="Q46" s="204">
        <v>43070</v>
      </c>
      <c r="R46" s="196">
        <f t="shared" si="1"/>
        <v>168223.81622904402</v>
      </c>
      <c r="S46" s="196">
        <f t="shared" si="0"/>
        <v>191396.25314800473</v>
      </c>
    </row>
    <row r="47" spans="17:21">
      <c r="Q47" s="204">
        <v>43101</v>
      </c>
      <c r="R47" s="196">
        <f t="shared" si="1"/>
        <v>191396.25314800473</v>
      </c>
      <c r="S47" s="196">
        <f t="shared" si="0"/>
        <v>217760.63901212619</v>
      </c>
    </row>
    <row r="48" spans="17:21">
      <c r="Q48" s="204">
        <v>43132</v>
      </c>
      <c r="R48" s="196">
        <f t="shared" si="1"/>
        <v>217760.63901212619</v>
      </c>
      <c r="S48" s="196">
        <f t="shared" si="0"/>
        <v>247756.65731711258</v>
      </c>
    </row>
    <row r="49" spans="17:19">
      <c r="Q49" s="204">
        <v>43160</v>
      </c>
      <c r="R49" s="196">
        <f t="shared" si="1"/>
        <v>247756.65731711258</v>
      </c>
      <c r="S49" s="196">
        <f t="shared" si="0"/>
        <v>281884.55693102081</v>
      </c>
    </row>
    <row r="50" spans="17:19">
      <c r="Q50" s="204">
        <v>43191</v>
      </c>
      <c r="R50" s="196">
        <f t="shared" si="1"/>
        <v>281884.55693102081</v>
      </c>
      <c r="S50" s="196">
        <f t="shared" si="0"/>
        <v>320713.49483253493</v>
      </c>
    </row>
    <row r="51" spans="17:19">
      <c r="Q51" s="204">
        <v>43221</v>
      </c>
      <c r="R51" s="196">
        <f t="shared" si="1"/>
        <v>320713.49483253493</v>
      </c>
      <c r="S51" s="196">
        <f t="shared" si="0"/>
        <v>364891.02804190968</v>
      </c>
    </row>
    <row r="52" spans="17:19">
      <c r="Q52" s="204">
        <v>43252</v>
      </c>
      <c r="R52" s="196">
        <f t="shared" si="1"/>
        <v>364891.02804190968</v>
      </c>
      <c r="S52" s="196">
        <f t="shared" si="0"/>
        <v>415153.91304318362</v>
      </c>
    </row>
    <row r="53" spans="17:19">
      <c r="Q53" s="204">
        <v>43282</v>
      </c>
      <c r="R53" s="196">
        <f t="shared" si="1"/>
        <v>415153.91304318362</v>
      </c>
      <c r="S53" s="196">
        <f t="shared" si="0"/>
        <v>472340.39280152327</v>
      </c>
    </row>
    <row r="54" spans="17:19">
      <c r="Q54" s="204">
        <v>43313</v>
      </c>
      <c r="R54" s="196">
        <f t="shared" si="1"/>
        <v>472340.39280152327</v>
      </c>
      <c r="S54" s="196">
        <f t="shared" si="0"/>
        <v>537404.17628844618</v>
      </c>
    </row>
    <row r="55" spans="17:19">
      <c r="Q55" s="204">
        <v>43344</v>
      </c>
      <c r="R55" s="196">
        <f t="shared" si="1"/>
        <v>537404.17628844618</v>
      </c>
      <c r="S55" s="196">
        <f t="shared" si="0"/>
        <v>611430.34365392081</v>
      </c>
    </row>
    <row r="56" spans="17:19">
      <c r="Q56" s="204">
        <v>43374</v>
      </c>
      <c r="R56" s="196">
        <f t="shared" si="1"/>
        <v>611430.34365392081</v>
      </c>
      <c r="S56" s="196">
        <f t="shared" si="0"/>
        <v>695653.44229869382</v>
      </c>
    </row>
    <row r="57" spans="17:19">
      <c r="Q57" s="204">
        <v>43405</v>
      </c>
      <c r="R57" s="196">
        <f t="shared" si="1"/>
        <v>695653.44229869382</v>
      </c>
      <c r="S57" s="196">
        <f t="shared" si="0"/>
        <v>791478.07563822228</v>
      </c>
    </row>
    <row r="58" spans="17:19">
      <c r="Q58" s="204">
        <v>43435</v>
      </c>
      <c r="R58" s="196">
        <f t="shared" si="1"/>
        <v>791478.07563822228</v>
      </c>
      <c r="S58" s="196">
        <f t="shared" si="0"/>
        <v>900502.32792064443</v>
      </c>
    </row>
    <row r="59" spans="17:19">
      <c r="Q59" s="204">
        <v>43466</v>
      </c>
      <c r="R59" s="196">
        <f t="shared" si="1"/>
        <v>900502.32792064443</v>
      </c>
      <c r="S59" s="196">
        <f t="shared" si="0"/>
        <v>1024544.4157585955</v>
      </c>
    </row>
    <row r="60" spans="17:19">
      <c r="Q60" s="204">
        <v>43497</v>
      </c>
      <c r="R60" s="196">
        <f t="shared" si="1"/>
        <v>1024544.4157585955</v>
      </c>
      <c r="S60" s="196">
        <f t="shared" si="0"/>
        <v>1165673.0108471462</v>
      </c>
    </row>
    <row r="61" spans="17:19">
      <c r="Q61" s="204">
        <v>43525</v>
      </c>
      <c r="R61" s="196">
        <f t="shared" si="1"/>
        <v>1165673.0108471462</v>
      </c>
      <c r="S61" s="196">
        <f t="shared" si="0"/>
        <v>1326241.7395651606</v>
      </c>
    </row>
    <row r="62" spans="17:19">
      <c r="Q62" s="204">
        <v>43556</v>
      </c>
      <c r="R62" s="196">
        <f t="shared" si="1"/>
        <v>1326241.7395651606</v>
      </c>
      <c r="S62" s="196">
        <f t="shared" si="0"/>
        <v>1508928.434815987</v>
      </c>
    </row>
    <row r="63" spans="17:19">
      <c r="Q63" s="204">
        <v>43586</v>
      </c>
      <c r="R63" s="196">
        <f t="shared" si="1"/>
        <v>1508928.434815987</v>
      </c>
      <c r="S63" s="196">
        <f t="shared" si="0"/>
        <v>1716779.7947173251</v>
      </c>
    </row>
    <row r="64" spans="17:19">
      <c r="Q64" s="204">
        <v>43617</v>
      </c>
      <c r="R64" s="196">
        <f t="shared" si="1"/>
        <v>1716779.7947173251</v>
      </c>
      <c r="S64" s="196">
        <f t="shared" si="0"/>
        <v>1953262.1929210888</v>
      </c>
    </row>
    <row r="65" spans="17:19">
      <c r="Q65" s="204">
        <v>43647</v>
      </c>
      <c r="R65" s="196">
        <f t="shared" si="1"/>
        <v>1953262.1929210888</v>
      </c>
      <c r="S65" s="196">
        <f t="shared" si="0"/>
        <v>2222319.487935897</v>
      </c>
    </row>
    <row r="66" spans="17:19">
      <c r="Q66" s="204">
        <v>43678</v>
      </c>
      <c r="R66" s="196">
        <f t="shared" si="1"/>
        <v>2222319.487935897</v>
      </c>
      <c r="S66" s="196">
        <f t="shared" si="0"/>
        <v>2528438.7955484223</v>
      </c>
    </row>
    <row r="67" spans="17:19">
      <c r="Q67" s="204">
        <v>43709</v>
      </c>
      <c r="R67" s="196">
        <f t="shared" si="1"/>
        <v>2528438.7955484223</v>
      </c>
      <c r="S67" s="196">
        <f t="shared" si="0"/>
        <v>2876725.3212418226</v>
      </c>
    </row>
    <row r="68" spans="17:19">
      <c r="Q68" s="204">
        <v>43739</v>
      </c>
      <c r="R68" s="196">
        <f t="shared" si="1"/>
        <v>2876725.3212418226</v>
      </c>
      <c r="S68" s="196">
        <f t="shared" si="0"/>
        <v>3272987.5006046523</v>
      </c>
    </row>
    <row r="69" spans="17:19">
      <c r="Q69" s="204">
        <v>43770</v>
      </c>
      <c r="R69" s="196">
        <f t="shared" ref="R69:R94" si="2">S68</f>
        <v>3272987.5006046523</v>
      </c>
      <c r="S69" s="196">
        <f t="shared" ref="S69:S94" si="3">(1+$T$3)*R69</f>
        <v>3723833.867631807</v>
      </c>
    </row>
    <row r="70" spans="17:19">
      <c r="Q70" s="204">
        <v>43800</v>
      </c>
      <c r="R70" s="196">
        <f t="shared" si="2"/>
        <v>3723833.867631807</v>
      </c>
      <c r="S70" s="196">
        <f t="shared" si="3"/>
        <v>4236783.2664071834</v>
      </c>
    </row>
    <row r="71" spans="17:19">
      <c r="Q71" s="204">
        <v>43831</v>
      </c>
      <c r="R71" s="196">
        <f t="shared" si="2"/>
        <v>4236783.2664071834</v>
      </c>
      <c r="S71" s="196">
        <f t="shared" si="3"/>
        <v>4820390.2441876484</v>
      </c>
    </row>
    <row r="72" spans="17:19">
      <c r="Q72" s="204">
        <v>43862</v>
      </c>
      <c r="R72" s="196">
        <f t="shared" si="2"/>
        <v>4820390.2441876484</v>
      </c>
      <c r="S72" s="196">
        <f t="shared" si="3"/>
        <v>5484387.7170908144</v>
      </c>
    </row>
    <row r="73" spans="17:19">
      <c r="Q73" s="204">
        <v>43891</v>
      </c>
      <c r="R73" s="196">
        <f t="shared" si="2"/>
        <v>5484387.7170908144</v>
      </c>
      <c r="S73" s="196">
        <f t="shared" si="3"/>
        <v>6239849.2876473628</v>
      </c>
    </row>
    <row r="74" spans="17:19">
      <c r="Q74" s="204">
        <v>43922</v>
      </c>
      <c r="R74" s="196">
        <f t="shared" si="2"/>
        <v>6239849.2876473628</v>
      </c>
      <c r="S74" s="196">
        <f t="shared" si="3"/>
        <v>7099373.9212162597</v>
      </c>
    </row>
    <row r="75" spans="17:19">
      <c r="Q75" s="204">
        <v>43952</v>
      </c>
      <c r="R75" s="196">
        <f t="shared" si="2"/>
        <v>7099373.9212162597</v>
      </c>
      <c r="S75" s="196">
        <f t="shared" si="3"/>
        <v>8077296.0611438863</v>
      </c>
    </row>
    <row r="76" spans="17:19">
      <c r="Q76" s="204">
        <v>43983</v>
      </c>
      <c r="R76" s="196">
        <f t="shared" si="2"/>
        <v>8077296.0611438863</v>
      </c>
      <c r="S76" s="196">
        <f t="shared" si="3"/>
        <v>9189924.6867945231</v>
      </c>
    </row>
    <row r="77" spans="17:19">
      <c r="Q77" s="204">
        <v>44013</v>
      </c>
      <c r="R77" s="196">
        <f t="shared" si="2"/>
        <v>9189924.6867945231</v>
      </c>
      <c r="S77" s="196">
        <f t="shared" si="3"/>
        <v>10455815.301264957</v>
      </c>
    </row>
    <row r="78" spans="17:19">
      <c r="Q78" s="204">
        <v>44044</v>
      </c>
      <c r="R78" s="196">
        <f t="shared" si="2"/>
        <v>10455815.301264957</v>
      </c>
      <c r="S78" s="196">
        <f t="shared" si="3"/>
        <v>11896079.384770127</v>
      </c>
    </row>
    <row r="79" spans="17:19">
      <c r="Q79" s="204">
        <v>44075</v>
      </c>
      <c r="R79" s="196">
        <f t="shared" si="2"/>
        <v>11896079.384770127</v>
      </c>
      <c r="S79" s="196">
        <f t="shared" si="3"/>
        <v>13534736.4745083</v>
      </c>
    </row>
    <row r="80" spans="17:19">
      <c r="Q80" s="204">
        <v>44105</v>
      </c>
      <c r="R80" s="196">
        <f t="shared" si="2"/>
        <v>13534736.4745083</v>
      </c>
      <c r="S80" s="196">
        <f t="shared" si="3"/>
        <v>15399114.742703546</v>
      </c>
    </row>
    <row r="81" spans="17:19">
      <c r="Q81" s="204">
        <v>44136</v>
      </c>
      <c r="R81" s="196">
        <f t="shared" si="2"/>
        <v>15399114.742703546</v>
      </c>
      <c r="S81" s="196">
        <f t="shared" si="3"/>
        <v>17520306.753335912</v>
      </c>
    </row>
    <row r="82" spans="17:19">
      <c r="Q82" s="204">
        <v>44166</v>
      </c>
      <c r="R82" s="196">
        <f t="shared" si="2"/>
        <v>17520306.753335912</v>
      </c>
      <c r="S82" s="196">
        <f t="shared" si="3"/>
        <v>19933687.998294398</v>
      </c>
    </row>
    <row r="83" spans="17:19">
      <c r="Q83" s="204">
        <v>44197</v>
      </c>
      <c r="R83" s="196">
        <f t="shared" si="2"/>
        <v>19933687.998294398</v>
      </c>
      <c r="S83" s="196">
        <f t="shared" si="3"/>
        <v>22679506.860671218</v>
      </c>
    </row>
    <row r="84" spans="17:19">
      <c r="Q84" s="204">
        <v>44228</v>
      </c>
      <c r="R84" s="196">
        <f t="shared" si="2"/>
        <v>22679506.860671218</v>
      </c>
      <c r="S84" s="196">
        <f t="shared" si="3"/>
        <v>25803555.844118934</v>
      </c>
    </row>
    <row r="85" spans="17:19">
      <c r="Q85" s="204">
        <v>44256</v>
      </c>
      <c r="R85" s="196">
        <f t="shared" si="2"/>
        <v>25803555.844118934</v>
      </c>
      <c r="S85" s="196">
        <f t="shared" si="3"/>
        <v>29357935.262480345</v>
      </c>
    </row>
    <row r="86" spans="17:19">
      <c r="Q86" s="204">
        <v>44287</v>
      </c>
      <c r="R86" s="196">
        <f t="shared" si="2"/>
        <v>29357935.262480345</v>
      </c>
      <c r="S86" s="196">
        <f t="shared" si="3"/>
        <v>33401922.125877302</v>
      </c>
    </row>
    <row r="87" spans="17:19">
      <c r="Q87" s="204">
        <v>44317</v>
      </c>
      <c r="R87" s="196">
        <f t="shared" si="2"/>
        <v>33401922.125877302</v>
      </c>
      <c r="S87" s="196">
        <f t="shared" si="3"/>
        <v>38002958.713824458</v>
      </c>
    </row>
    <row r="88" spans="17:19">
      <c r="Q88" s="204">
        <v>44348</v>
      </c>
      <c r="R88" s="196">
        <f t="shared" si="2"/>
        <v>38002958.713824458</v>
      </c>
      <c r="S88" s="196">
        <f t="shared" si="3"/>
        <v>43237777.32197541</v>
      </c>
    </row>
    <row r="89" spans="17:19">
      <c r="Q89" s="204">
        <v>44378</v>
      </c>
      <c r="R89" s="196">
        <f t="shared" si="2"/>
        <v>43237777.32197541</v>
      </c>
      <c r="S89" s="196">
        <f t="shared" si="3"/>
        <v>49193679.940100431</v>
      </c>
    </row>
    <row r="90" spans="17:19">
      <c r="Q90" s="204">
        <v>44409</v>
      </c>
      <c r="R90" s="196">
        <f t="shared" si="2"/>
        <v>49193679.940100431</v>
      </c>
      <c r="S90" s="196">
        <f t="shared" si="3"/>
        <v>55969994.202710226</v>
      </c>
    </row>
    <row r="91" spans="17:19">
      <c r="Q91" s="204">
        <v>44440</v>
      </c>
      <c r="R91" s="196">
        <f t="shared" si="2"/>
        <v>55969994.202710226</v>
      </c>
      <c r="S91" s="196">
        <f t="shared" si="3"/>
        <v>63679729.893470153</v>
      </c>
    </row>
    <row r="92" spans="17:19">
      <c r="Q92" s="204">
        <v>44470</v>
      </c>
      <c r="R92" s="196">
        <f t="shared" si="2"/>
        <v>63679729.893470153</v>
      </c>
      <c r="S92" s="196">
        <f t="shared" si="3"/>
        <v>72451463.629220039</v>
      </c>
    </row>
    <row r="93" spans="17:19">
      <c r="Q93" s="204">
        <v>44501</v>
      </c>
      <c r="R93" s="196">
        <f t="shared" si="2"/>
        <v>72451463.629220039</v>
      </c>
      <c r="S93" s="196">
        <f t="shared" si="3"/>
        <v>82431483.154806197</v>
      </c>
    </row>
    <row r="94" spans="17:19">
      <c r="Q94" s="204">
        <v>44531</v>
      </c>
      <c r="R94" s="196">
        <f t="shared" si="2"/>
        <v>82431483.154806197</v>
      </c>
      <c r="S94" s="196">
        <f t="shared" si="3"/>
        <v>93786227.009507388</v>
      </c>
    </row>
  </sheetData>
  <pageMargins left="0.511811024" right="0.511811024" top="0.78740157499999996" bottom="0.78740157499999996" header="0.31496062000000002" footer="0.31496062000000002"/>
  <ignoredErrors>
    <ignoredError sqref="K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A60" sqref="A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7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7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7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7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7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7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8"/>
      <c r="I15" s="129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8"/>
      <c r="I17" s="129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7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7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8"/>
      <c r="I20" s="129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8"/>
      <c r="I21" s="129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7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8"/>
      <c r="I23" s="129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7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8"/>
      <c r="I25" s="129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7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8"/>
      <c r="I27" s="129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7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8"/>
      <c r="I29" s="129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7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8"/>
      <c r="I31" s="129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7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8"/>
      <c r="I33" s="129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7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8"/>
      <c r="I35" s="129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7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8"/>
      <c r="I37" s="129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7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8"/>
      <c r="I39" s="129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7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8"/>
      <c r="I41" s="129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7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8"/>
      <c r="I43" s="129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7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8"/>
      <c r="I45" s="129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7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8"/>
      <c r="I47" s="129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7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8"/>
      <c r="I49" s="129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7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8"/>
      <c r="I51" s="129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8"/>
      <c r="I52" s="129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7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8"/>
      <c r="I54" s="129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8"/>
      <c r="I55" s="129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7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7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4" t="s">
        <v>25</v>
      </c>
      <c r="E58" s="115">
        <v>41211</v>
      </c>
      <c r="F58" s="114">
        <v>2500</v>
      </c>
      <c r="G58" s="116">
        <v>0.02</v>
      </c>
      <c r="H58" s="128"/>
      <c r="I58" s="129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4" t="s">
        <v>25</v>
      </c>
      <c r="E59" s="115">
        <v>41212</v>
      </c>
      <c r="F59" s="114">
        <v>300</v>
      </c>
      <c r="G59" s="116">
        <v>0.12</v>
      </c>
      <c r="H59" s="128"/>
      <c r="I59" s="129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7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7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30">
        <f>SUBTOTAL(104,[ID])</f>
        <v>60</v>
      </c>
      <c r="B62" s="130"/>
      <c r="C62" s="130"/>
      <c r="D62" s="130"/>
      <c r="E62" s="130"/>
      <c r="F62" s="130"/>
      <c r="G62" s="130"/>
      <c r="H62" s="78"/>
      <c r="I62" s="15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5"/>
      <c r="Y62" s="130"/>
      <c r="Z62" s="15"/>
      <c r="AA62" s="15"/>
      <c r="AB62" s="130"/>
      <c r="AC62" s="15">
        <f>SUBTOTAL(109,[IRRF])</f>
        <v>0.72000000000000008</v>
      </c>
      <c r="AD62" s="15"/>
      <c r="AE62" s="130"/>
      <c r="AF62" s="130"/>
      <c r="AG62" s="15"/>
      <c r="AH62" s="15">
        <f>SUBTOTAL(109,[LUCRO P/ OP])</f>
        <v>1017.4900000000001</v>
      </c>
      <c r="AI62" s="15"/>
      <c r="AJ62" s="131"/>
      <c r="AK62" s="132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6" sqref="E6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3</v>
      </c>
      <c r="N1" s="27">
        <f>0.7%*M1</f>
        <v>2.0999999999999998E-2</v>
      </c>
    </row>
    <row r="2" spans="1:15">
      <c r="A2" s="7" t="s">
        <v>140</v>
      </c>
      <c r="B2" s="25">
        <f>1000</f>
        <v>1000</v>
      </c>
      <c r="C2" s="25">
        <v>18.55</v>
      </c>
      <c r="D2" s="25">
        <v>0.24</v>
      </c>
      <c r="E2" s="39">
        <v>18.010000000000002</v>
      </c>
      <c r="F2" s="28">
        <f>ROUNDDOWN([APLICAÇÃO]/[PREÇO OPÇÃO], 0)</f>
        <v>4166</v>
      </c>
      <c r="G2" s="28">
        <f>[QTDE TMP] - MOD([QTDE TMP], 100)</f>
        <v>4100</v>
      </c>
      <c r="H2" s="25">
        <f>[EXERCÍCIO] + ([PREÇO OPÇÃO] * 2)</f>
        <v>19.03</v>
      </c>
      <c r="I2" s="27">
        <f>[TARGET 100%] / [PREÇO AÇÃO] - 1</f>
        <v>5.6635202665185957E-2</v>
      </c>
      <c r="J2" s="25">
        <f>[PREÇO OPÇÃO] * [QTDE]</f>
        <v>984</v>
      </c>
      <c r="K2" s="25">
        <f>IF([PREÇO AÇÃO] &gt; [EXERCÍCIO], [PREÇO OPÇÃO] -([PREÇO AÇÃO] - [EXERCÍCIO]), [PREÇO OPÇÃO])</f>
        <v>0.24</v>
      </c>
    </row>
    <row r="3" spans="1:15">
      <c r="A3" s="7" t="s">
        <v>179</v>
      </c>
      <c r="B3" s="25">
        <f>1000</f>
        <v>1000</v>
      </c>
      <c r="C3" s="25">
        <v>17.16</v>
      </c>
      <c r="D3" s="25">
        <v>1.4</v>
      </c>
      <c r="E3" s="39">
        <v>18.010000000000002</v>
      </c>
      <c r="F3" s="28">
        <f>ROUNDDOWN([APLICAÇÃO]/[PREÇO OPÇÃO], 0)</f>
        <v>714</v>
      </c>
      <c r="G3" s="28">
        <f>[QTDE TMP] - MOD([QTDE TMP], 100)</f>
        <v>700</v>
      </c>
      <c r="H3" s="25">
        <f>[EXERCÍCIO] + ([PREÇO OPÇÃO] * 2)</f>
        <v>19.96</v>
      </c>
      <c r="I3" s="27">
        <f>[TARGET 100%] / [PREÇO AÇÃO] - 1</f>
        <v>0.10827318156579668</v>
      </c>
      <c r="J3" s="25">
        <f>[PREÇO OPÇÃO] * [QTDE]</f>
        <v>979.99999999999989</v>
      </c>
      <c r="K3" s="25">
        <f>IF([PREÇO AÇÃO] &gt; [EXERCÍCIO], [PREÇO OPÇÃO] -([PREÇO AÇÃO] - [EXERCÍCIO]), [PREÇO OPÇÃO])</f>
        <v>0.54999999999999849</v>
      </c>
    </row>
    <row r="4" spans="1:15">
      <c r="A4" s="7" t="s">
        <v>179</v>
      </c>
      <c r="B4" s="146">
        <f>1000</f>
        <v>1000</v>
      </c>
      <c r="C4" s="25">
        <v>27.17</v>
      </c>
      <c r="D4" s="25">
        <v>0.6</v>
      </c>
      <c r="E4" s="39">
        <v>27.09</v>
      </c>
      <c r="F4" s="147">
        <f>ROUNDDOWN([APLICAÇÃO]/[PREÇO OPÇÃO], 0)</f>
        <v>1666</v>
      </c>
      <c r="G4" s="147">
        <f>[QTDE TMP] - MOD([QTDE TMP], 100)</f>
        <v>1600</v>
      </c>
      <c r="H4" s="146">
        <f>[EXERCÍCIO] + ([PREÇO OPÇÃO] * 2)</f>
        <v>28.37</v>
      </c>
      <c r="I4" s="148">
        <f>[TARGET 100%] / [PREÇO AÇÃO] - 1</f>
        <v>4.7249907715024131E-2</v>
      </c>
      <c r="J4" s="149">
        <f>[PREÇO OPÇÃO] * [QTDE]</f>
        <v>960</v>
      </c>
      <c r="K4" s="149">
        <f>IF([PREÇO AÇÃO] &gt; [EXERCÍCIO], [PREÇO OPÇÃO] -([PREÇO AÇÃO] - [EXERCÍCIO]), [PREÇO OPÇÃO])</f>
        <v>0.6</v>
      </c>
      <c r="M4" s="7">
        <v>33.15</v>
      </c>
      <c r="N4" s="152">
        <f>M4*N7/M7</f>
        <v>4.9732104586369479</v>
      </c>
      <c r="O4" s="153">
        <f>N4/5*M1</f>
        <v>2.9839262751821689</v>
      </c>
    </row>
    <row r="5" spans="1:15">
      <c r="A5" s="145" t="s">
        <v>179</v>
      </c>
      <c r="B5" s="146">
        <f>1000</f>
        <v>1000</v>
      </c>
      <c r="C5" s="146">
        <v>11.87</v>
      </c>
      <c r="D5" s="146">
        <v>0.26</v>
      </c>
      <c r="E5" s="39">
        <v>11.84</v>
      </c>
      <c r="F5" s="147">
        <f>ROUNDDOWN([APLICAÇÃO]/[PREÇO OPÇÃO], 0)</f>
        <v>3846</v>
      </c>
      <c r="G5" s="147">
        <f>[QTDE TMP] - MOD([QTDE TMP], 100)</f>
        <v>3800</v>
      </c>
      <c r="H5" s="146">
        <f>[EXERCÍCIO] + ([PREÇO OPÇÃO] * 2)</f>
        <v>12.389999999999999</v>
      </c>
      <c r="I5" s="148">
        <f>[TARGET 100%] / [PREÇO AÇÃO] - 1</f>
        <v>4.6452702702702631E-2</v>
      </c>
      <c r="J5" s="149">
        <f>[PREÇO OPÇÃO] * [QTDE]</f>
        <v>988</v>
      </c>
      <c r="K5" s="149">
        <f>IF([PREÇO AÇÃO] &gt; [EXERCÍCIO], [PREÇO OPÇÃO] -([PREÇO AÇÃO] - [EXERCÍCIO]), [PREÇO OPÇÃO])</f>
        <v>0.26</v>
      </c>
      <c r="M5" s="7">
        <v>23.84</v>
      </c>
      <c r="N5" s="152">
        <f>M5*N7/M7</f>
        <v>3.5765109301328764</v>
      </c>
      <c r="O5" s="153">
        <f>N5/5*M1</f>
        <v>2.1459065580797256</v>
      </c>
    </row>
    <row r="7" spans="1:15"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7"/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E13" sqref="E13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112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OPÇÃO])-32</f>
        <v>86</v>
      </c>
      <c r="N2" s="25">
        <f>[QTDE]*[PERDA P/ OPÇÃO]-32</f>
        <v>-113.99999999999999</v>
      </c>
      <c r="O2" s="27">
        <f>[EXERC. VENDA]/[PREÇO AÇÃO]-1</f>
        <v>2.3226135783563029E-2</v>
      </c>
      <c r="P2" s="38">
        <f>[LUCRO*]/ABS([PERDA*])</f>
        <v>0.75438596491228083</v>
      </c>
    </row>
    <row r="3" spans="1:16">
      <c r="A3" s="7" t="s">
        <v>83</v>
      </c>
      <c r="B3" s="25">
        <v>1200</v>
      </c>
      <c r="C3" s="25">
        <v>26.64</v>
      </c>
      <c r="D3" s="25">
        <v>25.17</v>
      </c>
      <c r="E3" s="25">
        <v>1.62</v>
      </c>
      <c r="F3" s="25">
        <v>27.17</v>
      </c>
      <c r="G3" s="25">
        <v>0.59</v>
      </c>
      <c r="H3" s="25">
        <f>([QTDE] * [PREÇO COMPRA]) + ([QTDE] * [PREÇO VENDA])</f>
        <v>2652</v>
      </c>
      <c r="I3" s="25">
        <f>[PREÇO VENDA]-[PREÇO COMPRA]</f>
        <v>1.0300000000000002</v>
      </c>
      <c r="J3" s="25">
        <f>(0.01 - [PREÇO COMPRA]) + ([PREÇO VENDA] - ([EXERC. COMPRA]-[EXERC. VENDA]+0.01))</f>
        <v>-0.96999999999999964</v>
      </c>
      <c r="K3" s="28">
        <f>ROUNDDOWN([RISCO]/ABS([PERDA P/ OPÇÃO]), 0)</f>
        <v>1237</v>
      </c>
      <c r="L3" s="28">
        <f>[QTDE TMP] - MOD([QTDE TMP], 100)</f>
        <v>1200</v>
      </c>
      <c r="M3" s="25">
        <f>([QTDE]*[LUCRO P/ OPÇÃO])-32</f>
        <v>1204.0000000000002</v>
      </c>
      <c r="N3" s="25">
        <f>[QTDE]*[PERDA P/ OPÇÃO]-32</f>
        <v>-1195.9999999999995</v>
      </c>
      <c r="O3" s="27">
        <f>[EXERC. VENDA]/[PREÇO AÇÃO]-1</f>
        <v>-5.5180180180180116E-2</v>
      </c>
      <c r="P3" s="38">
        <f>[LUCRO*]/ABS([PERDA*])</f>
        <v>1.006688963210703</v>
      </c>
    </row>
    <row r="4" spans="1:16">
      <c r="A4" s="102" t="s">
        <v>69</v>
      </c>
      <c r="B4" s="25">
        <v>40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([QTDE] * [PREÇO COMPRA]) + ([QTDE] * [PREÇO VENDA])</f>
        <v>840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ROUNDDOWN([RISCO]/ABS([PERDA P/ OPÇÃO]), 0)</f>
        <v>400</v>
      </c>
      <c r="L4" s="103">
        <f>[QTDE TMP] - MOD([QTDE TMP], 100)</f>
        <v>400</v>
      </c>
      <c r="M4" s="81">
        <f>([QTDE]*[LUCRO P/ OPÇÃO])-32</f>
        <v>328</v>
      </c>
      <c r="N4" s="81">
        <f>[QTDE]*[PERDA P/ OPÇÃO]-32</f>
        <v>-72</v>
      </c>
      <c r="O4" s="82">
        <f>[EXERC. VENDA]/[PREÇO AÇÃO]-1</f>
        <v>-0.12280701754385959</v>
      </c>
      <c r="P4" s="83">
        <f>[LUCRO*]/ABS([PERDA*])</f>
        <v>4.5555555555555554</v>
      </c>
    </row>
    <row r="5" spans="1:16">
      <c r="A5" s="125" t="s">
        <v>15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5"/>
      <c r="P5" s="12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31" sqref="F31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1" width="11.140625" style="7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20</v>
      </c>
      <c r="C2" s="51">
        <v>27.98</v>
      </c>
      <c r="D2" s="51">
        <v>26</v>
      </c>
      <c r="E2" s="51">
        <v>27</v>
      </c>
      <c r="F2" s="51">
        <v>2.16</v>
      </c>
      <c r="G2" s="62">
        <v>200</v>
      </c>
      <c r="H2" s="52">
        <f>([RISCO])/[QTDE]</f>
        <v>0.1</v>
      </c>
      <c r="I2" s="52">
        <f>[PR Venda] * [QTDE]+[QTDE]*[PR Compra]</f>
        <v>684</v>
      </c>
      <c r="J2" s="63">
        <f>[PR Venda]-[PR Compra]</f>
        <v>0.89999999999999991</v>
      </c>
      <c r="K2" s="52">
        <f>(-[PERDA P/ OPÇÃO] + ([EX. COMPRA] - [EX. VENDA] + 0.01) - 0.01 -[PR Venda])*-1</f>
        <v>1.2600000000000002</v>
      </c>
      <c r="L2" s="52">
        <f>([QTDE]*[LUCRO UNI])-64</f>
        <v>115.99999999999997</v>
      </c>
      <c r="M2" s="52">
        <f>-[PERDA P/ OPÇÃO]*[QTDE]-64</f>
        <v>-84</v>
      </c>
      <c r="N2" s="53">
        <f>[EX. VENDA]/[PREÇO AÇÃO]-1</f>
        <v>-7.0764832022873536E-2</v>
      </c>
      <c r="O2" s="54">
        <f>[LUCRO]/ABS([PERDA])</f>
        <v>1.3809523809523807</v>
      </c>
    </row>
    <row r="3" spans="1:15">
      <c r="A3" s="145" t="s">
        <v>83</v>
      </c>
      <c r="B3" s="146">
        <v>185</v>
      </c>
      <c r="C3" s="51">
        <v>27.25</v>
      </c>
      <c r="D3" s="146">
        <v>27.18</v>
      </c>
      <c r="E3" s="146">
        <v>28.18</v>
      </c>
      <c r="F3" s="146">
        <v>1.21</v>
      </c>
      <c r="G3" s="150">
        <v>600</v>
      </c>
      <c r="H3" s="149">
        <f>([RISCO])/[QTDE]</f>
        <v>0.30833333333333335</v>
      </c>
      <c r="I3" s="149">
        <f>[PR Venda] * [QTDE]+[QTDE]*[PR Compra]</f>
        <v>1037</v>
      </c>
      <c r="J3" s="63">
        <f>[PR Venda]-[PR Compra]</f>
        <v>0.69166666666666665</v>
      </c>
      <c r="K3" s="149">
        <f>(-[PERDA P/ OPÇÃO] + ([EX. COMPRA] - [EX. VENDA] + 0.01) - 0.01 -[PR Venda])*-1</f>
        <v>0.51833333333333331</v>
      </c>
      <c r="L3" s="149">
        <f>([QTDE]*[LUCRO UNI])-64</f>
        <v>351</v>
      </c>
      <c r="M3" s="149">
        <f>-[PERDA P/ OPÇÃO]*[QTDE]-64</f>
        <v>-249</v>
      </c>
      <c r="N3" s="148">
        <f>[EX. VENDA]/[PREÇO AÇÃO]-1</f>
        <v>-2.5688073394495303E-3</v>
      </c>
      <c r="O3" s="151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82" t="s">
        <v>7</v>
      </c>
      <c r="B1" s="182"/>
      <c r="C1" s="182" t="s">
        <v>8</v>
      </c>
      <c r="D1" s="182"/>
      <c r="E1" s="181" t="s">
        <v>9</v>
      </c>
      <c r="F1" s="181" t="s">
        <v>4</v>
      </c>
      <c r="G1" s="181" t="s">
        <v>10</v>
      </c>
      <c r="H1" s="181" t="s">
        <v>11</v>
      </c>
      <c r="I1" s="181" t="s">
        <v>23</v>
      </c>
      <c r="K1" s="180" t="s">
        <v>147</v>
      </c>
      <c r="L1" s="180"/>
      <c r="M1" s="180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81"/>
      <c r="F2" s="181"/>
      <c r="G2" s="181"/>
      <c r="H2" s="181"/>
      <c r="I2" s="181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180" t="s">
        <v>26</v>
      </c>
      <c r="B4" s="180"/>
      <c r="C4" s="180"/>
      <c r="D4" s="180"/>
      <c r="E4" s="180"/>
      <c r="F4" s="180"/>
      <c r="K4" s="17">
        <v>498.62</v>
      </c>
      <c r="L4" s="17">
        <v>0</v>
      </c>
      <c r="M4" s="104">
        <v>0.02</v>
      </c>
    </row>
    <row r="5" spans="1:13">
      <c r="A5" s="180" t="s">
        <v>7</v>
      </c>
      <c r="B5" s="180"/>
      <c r="C5" s="180"/>
      <c r="D5" s="180" t="s">
        <v>8</v>
      </c>
      <c r="E5" s="180"/>
      <c r="F5" s="180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NOTAS</vt:lpstr>
      <vt:lpstr>NOTAS 80%</vt:lpstr>
      <vt:lpstr>IR</vt:lpstr>
      <vt:lpstr>VOLAT-TENDENCIA</vt:lpstr>
      <vt:lpstr>TRAVA BAIXA</vt:lpstr>
      <vt:lpstr>TRAVA BAIXA NEW</vt:lpstr>
      <vt:lpstr>BORBOLETA</vt:lpstr>
      <vt:lpstr>Plan1</vt:lpstr>
      <vt:lpstr>SETUP</vt:lpstr>
      <vt:lpstr>Plan2</vt:lpstr>
      <vt:lpstr>Plan4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2014-05-27T16:23:54Z</dcterms:modified>
</cp:coreProperties>
</file>