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I50" i="1" l="1"/>
  <c r="I51" i="1"/>
  <c r="J51" i="1" s="1"/>
  <c r="J50" i="1"/>
  <c r="L50" i="1"/>
  <c r="L51" i="1"/>
  <c r="Q50" i="1"/>
  <c r="R50" i="1" s="1"/>
  <c r="Q51" i="1"/>
  <c r="R51" i="1" s="1"/>
  <c r="W50" i="1"/>
  <c r="W51" i="1"/>
  <c r="X50" i="1"/>
  <c r="X51" i="1"/>
  <c r="AB50" i="1"/>
  <c r="AB51" i="1"/>
  <c r="I52" i="1"/>
  <c r="J52" i="1" s="1"/>
  <c r="L52" i="1"/>
  <c r="Q52" i="1"/>
  <c r="S52" i="1" s="1"/>
  <c r="W52" i="1"/>
  <c r="X52" i="1"/>
  <c r="AB52" i="1"/>
  <c r="I49" i="1"/>
  <c r="J49" i="1"/>
  <c r="L49" i="1"/>
  <c r="Q49" i="1"/>
  <c r="R49" i="1" s="1"/>
  <c r="W49" i="1"/>
  <c r="X49" i="1"/>
  <c r="AB49" i="1"/>
  <c r="I48" i="1"/>
  <c r="J48" i="1" s="1"/>
  <c r="L48" i="1"/>
  <c r="Q48" i="1"/>
  <c r="R48" i="1" s="1"/>
  <c r="W48" i="1"/>
  <c r="X48" i="1"/>
  <c r="AB48" i="1"/>
  <c r="I47" i="1"/>
  <c r="J47" i="1" s="1"/>
  <c r="L47" i="1"/>
  <c r="Q47" i="1"/>
  <c r="S47" i="1" s="1"/>
  <c r="W47" i="1"/>
  <c r="X47" i="1"/>
  <c r="AB47" i="1"/>
  <c r="I46" i="1"/>
  <c r="J46" i="1" s="1"/>
  <c r="L46" i="1"/>
  <c r="Q46" i="1"/>
  <c r="S46" i="1" s="1"/>
  <c r="W46" i="1"/>
  <c r="X46" i="1"/>
  <c r="AB46" i="1"/>
  <c r="I45" i="1"/>
  <c r="J45" i="1" s="1"/>
  <c r="L45" i="1"/>
  <c r="W45" i="1" s="1"/>
  <c r="Q45" i="1"/>
  <c r="R45" i="1" s="1"/>
  <c r="X45" i="1"/>
  <c r="AB45" i="1"/>
  <c r="I44" i="1"/>
  <c r="J44" i="1" s="1"/>
  <c r="L44" i="1"/>
  <c r="W44" i="1" s="1"/>
  <c r="Q44" i="1"/>
  <c r="R44" i="1" s="1"/>
  <c r="X44" i="1"/>
  <c r="AB44" i="1"/>
  <c r="I43" i="1"/>
  <c r="J43" i="1" s="1"/>
  <c r="L43" i="1"/>
  <c r="W43" i="1" s="1"/>
  <c r="Q43" i="1"/>
  <c r="S43" i="1" s="1"/>
  <c r="X43" i="1"/>
  <c r="Y43" i="1"/>
  <c r="AB43" i="1"/>
  <c r="AA5" i="1"/>
  <c r="AA37" i="1"/>
  <c r="AA41" i="1"/>
  <c r="I42" i="1"/>
  <c r="J42" i="1" s="1"/>
  <c r="L42" i="1"/>
  <c r="Q42" i="1"/>
  <c r="S42" i="1" s="1"/>
  <c r="W42" i="1"/>
  <c r="X42" i="1"/>
  <c r="AB42" i="1"/>
  <c r="I41" i="1"/>
  <c r="J41" i="1" s="1"/>
  <c r="L41" i="1"/>
  <c r="W41" i="1" s="1"/>
  <c r="Q41" i="1"/>
  <c r="R41" i="1" s="1"/>
  <c r="X41" i="1"/>
  <c r="Y41" i="1"/>
  <c r="AB41" i="1"/>
  <c r="R52" i="1" l="1"/>
  <c r="S50" i="1"/>
  <c r="S51" i="1"/>
  <c r="S48" i="1"/>
  <c r="R47" i="1"/>
  <c r="S49" i="1"/>
  <c r="S41" i="1"/>
  <c r="S44" i="1"/>
  <c r="R43" i="1"/>
  <c r="S45" i="1"/>
  <c r="R42" i="1"/>
  <c r="R46" i="1"/>
  <c r="I40" i="1"/>
  <c r="J40" i="1"/>
  <c r="L40" i="1"/>
  <c r="Q40" i="1"/>
  <c r="S40" i="1" s="1"/>
  <c r="W40" i="1"/>
  <c r="X40" i="1"/>
  <c r="AB40" i="1"/>
  <c r="I39" i="1"/>
  <c r="J39" i="1" s="1"/>
  <c r="L39" i="1"/>
  <c r="W39" i="1" s="1"/>
  <c r="Q39" i="1"/>
  <c r="S39" i="1" s="1"/>
  <c r="X39" i="1"/>
  <c r="Y39" i="1"/>
  <c r="AB39" i="1"/>
  <c r="R39" i="1" l="1"/>
  <c r="R40" i="1"/>
  <c r="I38" i="1"/>
  <c r="J38" i="1" s="1"/>
  <c r="L38" i="1"/>
  <c r="W38" i="1" s="1"/>
  <c r="Q38" i="1"/>
  <c r="R38" i="1" s="1"/>
  <c r="X38" i="1"/>
  <c r="AB38" i="1"/>
  <c r="I37" i="1"/>
  <c r="J37" i="1" s="1"/>
  <c r="L37" i="1"/>
  <c r="Q37" i="1"/>
  <c r="R37" i="1" s="1"/>
  <c r="W37" i="1"/>
  <c r="X37" i="1"/>
  <c r="Z37" i="1"/>
  <c r="AB37" i="1"/>
  <c r="S38" i="1" l="1"/>
  <c r="S37" i="1"/>
  <c r="I36" i="1"/>
  <c r="L36" i="1"/>
  <c r="W36" i="1" s="1"/>
  <c r="Q36" i="1"/>
  <c r="R36" i="1" s="1"/>
  <c r="X36" i="1"/>
  <c r="AB36" i="1"/>
  <c r="I35" i="1"/>
  <c r="L35" i="1"/>
  <c r="Q35" i="1"/>
  <c r="R35" i="1" s="1"/>
  <c r="W35" i="1"/>
  <c r="X35" i="1"/>
  <c r="AB35" i="1"/>
  <c r="S36" i="1" l="1"/>
  <c r="J35" i="1"/>
  <c r="J36" i="1"/>
  <c r="S35" i="1"/>
  <c r="I34" i="1" l="1"/>
  <c r="L34" i="1"/>
  <c r="W34" i="1" s="1"/>
  <c r="Q34" i="1"/>
  <c r="S34" i="1" s="1"/>
  <c r="X34" i="1"/>
  <c r="Y34" i="1"/>
  <c r="AB34" i="1"/>
  <c r="I33" i="1"/>
  <c r="L33" i="1"/>
  <c r="Q33" i="1"/>
  <c r="S33" i="1" s="1"/>
  <c r="W33" i="1"/>
  <c r="X33" i="1"/>
  <c r="AB33" i="1"/>
  <c r="J33" i="1" l="1"/>
  <c r="J34" i="1"/>
  <c r="R33" i="1"/>
  <c r="R3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J32" i="1" l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Z2" i="1"/>
  <c r="Z3" i="1"/>
  <c r="Z5" i="1"/>
  <c r="Z6" i="1"/>
  <c r="Z7" i="1"/>
  <c r="Z9" i="1"/>
  <c r="Z12" i="1"/>
  <c r="Z15" i="1"/>
  <c r="Z18" i="1"/>
  <c r="Z21" i="1"/>
  <c r="Z22" i="1"/>
  <c r="Z24" i="1"/>
  <c r="Z29" i="1"/>
  <c r="Z30" i="1"/>
  <c r="Y5" i="1"/>
  <c r="Y6" i="1"/>
  <c r="Y8" i="1"/>
  <c r="Y13" i="1"/>
  <c r="Y32" i="1"/>
  <c r="X2" i="1"/>
  <c r="W2" i="1"/>
  <c r="W3" i="1"/>
  <c r="W5" i="1"/>
  <c r="W7" i="1"/>
  <c r="W9" i="1"/>
  <c r="W12" i="1"/>
  <c r="W15" i="1"/>
  <c r="W17" i="1"/>
  <c r="W18" i="1"/>
  <c r="W19" i="1"/>
  <c r="W21" i="1"/>
  <c r="W22" i="1"/>
  <c r="W24" i="1"/>
  <c r="W29" i="1"/>
  <c r="W3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K50" i="1" l="1"/>
  <c r="K51" i="1"/>
  <c r="K52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2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L32" i="1"/>
  <c r="W32" i="1" s="1"/>
  <c r="Q32" i="1"/>
  <c r="R32" i="1" s="1"/>
  <c r="S32" i="1" l="1"/>
  <c r="L31" i="1"/>
  <c r="W31" i="1" s="1"/>
  <c r="Q31" i="1"/>
  <c r="R31" i="1" l="1"/>
  <c r="S31" i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L2" i="1"/>
  <c r="L3" i="1"/>
  <c r="L4" i="1"/>
  <c r="W4" i="1" s="1"/>
  <c r="L5" i="1"/>
  <c r="L6" i="1"/>
  <c r="W6" i="1" s="1"/>
  <c r="L7" i="1"/>
  <c r="L8" i="1"/>
  <c r="W8" i="1" s="1"/>
  <c r="L9" i="1"/>
  <c r="L10" i="1"/>
  <c r="W10" i="1" s="1"/>
  <c r="L11" i="1"/>
  <c r="W11" i="1" s="1"/>
  <c r="L12" i="1"/>
  <c r="L13" i="1"/>
  <c r="W13" i="1" s="1"/>
  <c r="L14" i="1"/>
  <c r="W14" i="1" s="1"/>
  <c r="L15" i="1"/>
  <c r="L16" i="1"/>
  <c r="W16" i="1" s="1"/>
  <c r="L17" i="1"/>
  <c r="L18" i="1"/>
  <c r="L19" i="1"/>
  <c r="L20" i="1"/>
  <c r="W20" i="1" s="1"/>
  <c r="L21" i="1"/>
  <c r="L22" i="1"/>
  <c r="L23" i="1"/>
  <c r="W23" i="1" s="1"/>
  <c r="L24" i="1"/>
  <c r="L25" i="1"/>
  <c r="W25" i="1" s="1"/>
  <c r="L26" i="1"/>
  <c r="W26" i="1" s="1"/>
  <c r="L27" i="1"/>
  <c r="W27" i="1" s="1"/>
  <c r="L28" i="1"/>
  <c r="W28" i="1" s="1"/>
  <c r="L29" i="1"/>
  <c r="L30" i="1"/>
  <c r="M50" i="1" l="1"/>
  <c r="O50" i="1"/>
  <c r="AG50" i="1"/>
  <c r="N50" i="1"/>
  <c r="P51" i="1"/>
  <c r="M51" i="1"/>
  <c r="O51" i="1"/>
  <c r="AG51" i="1"/>
  <c r="P50" i="1"/>
  <c r="N51" i="1"/>
  <c r="M52" i="1"/>
  <c r="N52" i="1"/>
  <c r="O52" i="1"/>
  <c r="P52" i="1"/>
  <c r="AG52" i="1"/>
  <c r="M49" i="1"/>
  <c r="N49" i="1"/>
  <c r="O49" i="1"/>
  <c r="P49" i="1"/>
  <c r="AG49" i="1"/>
  <c r="M48" i="1"/>
  <c r="N48" i="1"/>
  <c r="O48" i="1"/>
  <c r="P48" i="1"/>
  <c r="AG48" i="1"/>
  <c r="M47" i="1"/>
  <c r="N47" i="1"/>
  <c r="O47" i="1"/>
  <c r="P47" i="1"/>
  <c r="AG47" i="1"/>
  <c r="M46" i="1"/>
  <c r="N46" i="1"/>
  <c r="O46" i="1"/>
  <c r="P46" i="1"/>
  <c r="AG46" i="1"/>
  <c r="M45" i="1"/>
  <c r="N45" i="1"/>
  <c r="O45" i="1"/>
  <c r="P45" i="1"/>
  <c r="AG45" i="1"/>
  <c r="M44" i="1"/>
  <c r="N44" i="1"/>
  <c r="O44" i="1"/>
  <c r="P44" i="1"/>
  <c r="AG44" i="1"/>
  <c r="M43" i="1"/>
  <c r="N43" i="1"/>
  <c r="O43" i="1"/>
  <c r="P43" i="1"/>
  <c r="AG43" i="1"/>
  <c r="M42" i="1"/>
  <c r="N42" i="1"/>
  <c r="O42" i="1"/>
  <c r="P42" i="1"/>
  <c r="AG42" i="1"/>
  <c r="M41" i="1"/>
  <c r="N41" i="1"/>
  <c r="O41" i="1"/>
  <c r="P41" i="1"/>
  <c r="AG41" i="1"/>
  <c r="M40" i="1"/>
  <c r="N40" i="1"/>
  <c r="O40" i="1"/>
  <c r="P40" i="1"/>
  <c r="AG40" i="1"/>
  <c r="M39" i="1"/>
  <c r="N39" i="1"/>
  <c r="O39" i="1"/>
  <c r="P39" i="1"/>
  <c r="AG39" i="1"/>
  <c r="M38" i="1"/>
  <c r="N38" i="1"/>
  <c r="O38" i="1"/>
  <c r="P38" i="1"/>
  <c r="AG38" i="1"/>
  <c r="M37" i="1"/>
  <c r="N37" i="1"/>
  <c r="O37" i="1"/>
  <c r="P37" i="1"/>
  <c r="AG37" i="1"/>
  <c r="N36" i="1"/>
  <c r="O36" i="1"/>
  <c r="P36" i="1"/>
  <c r="M36" i="1"/>
  <c r="AG36" i="1"/>
  <c r="N35" i="1"/>
  <c r="O35" i="1"/>
  <c r="P35" i="1"/>
  <c r="M35" i="1"/>
  <c r="AG35" i="1"/>
  <c r="M34" i="1"/>
  <c r="N34" i="1"/>
  <c r="O34" i="1"/>
  <c r="P34" i="1"/>
  <c r="AG34" i="1"/>
  <c r="M33" i="1"/>
  <c r="N33" i="1"/>
  <c r="O33" i="1"/>
  <c r="P33" i="1"/>
  <c r="AG33" i="1"/>
  <c r="AG21" i="1"/>
  <c r="AG5" i="1"/>
  <c r="AG24" i="1"/>
  <c r="AG8" i="1"/>
  <c r="AG27" i="1"/>
  <c r="AG11" i="1"/>
  <c r="AG30" i="1"/>
  <c r="AG14" i="1"/>
  <c r="AG29" i="1"/>
  <c r="AG32" i="1"/>
  <c r="AG3" i="1"/>
  <c r="AG6" i="1"/>
  <c r="AG9" i="1"/>
  <c r="AG12" i="1"/>
  <c r="AG15" i="1"/>
  <c r="AG18" i="1"/>
  <c r="AG17" i="1"/>
  <c r="AG20" i="1"/>
  <c r="AG4" i="1"/>
  <c r="AG23" i="1"/>
  <c r="AG7" i="1"/>
  <c r="AG26" i="1"/>
  <c r="AG10" i="1"/>
  <c r="AG13" i="1"/>
  <c r="AG16" i="1"/>
  <c r="AG19" i="1"/>
  <c r="AG22" i="1"/>
  <c r="AG25" i="1"/>
  <c r="AG28" i="1"/>
  <c r="AG31" i="1"/>
  <c r="AG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R30" i="1"/>
  <c r="S30" i="1"/>
  <c r="R29" i="1"/>
  <c r="S29" i="1"/>
  <c r="R28" i="1"/>
  <c r="S28" i="1"/>
  <c r="R27" i="1"/>
  <c r="S27" i="1"/>
  <c r="R26" i="1"/>
  <c r="S26" i="1"/>
  <c r="R25" i="1"/>
  <c r="S25" i="1"/>
  <c r="R24" i="1"/>
  <c r="S24" i="1"/>
  <c r="R23" i="1"/>
  <c r="S23" i="1"/>
  <c r="R22" i="1"/>
  <c r="S22" i="1"/>
  <c r="R21" i="1"/>
  <c r="S21" i="1"/>
  <c r="R20" i="1"/>
  <c r="S20" i="1"/>
  <c r="R19" i="1"/>
  <c r="S19" i="1"/>
  <c r="R18" i="1"/>
  <c r="S18" i="1"/>
  <c r="R17" i="1"/>
  <c r="S17" i="1"/>
  <c r="R16" i="1"/>
  <c r="S16" i="1"/>
  <c r="R15" i="1"/>
  <c r="S15" i="1"/>
  <c r="R14" i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R2" i="1"/>
  <c r="S2" i="1"/>
  <c r="T51" i="1" l="1"/>
  <c r="T50" i="1"/>
  <c r="T52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2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W53" i="1"/>
  <c r="U50" i="1" l="1"/>
  <c r="U51" i="1"/>
  <c r="U52" i="1"/>
  <c r="U49" i="1"/>
  <c r="U48" i="1"/>
  <c r="U47" i="1"/>
  <c r="U46" i="1"/>
  <c r="U45" i="1"/>
  <c r="U44" i="1"/>
  <c r="AA6" i="1"/>
  <c r="AA38" i="1"/>
  <c r="AA42" i="1"/>
  <c r="U43" i="1"/>
  <c r="U42" i="1"/>
  <c r="U41" i="1"/>
  <c r="U40" i="1"/>
  <c r="U39" i="1"/>
  <c r="U38" i="1"/>
  <c r="U37" i="1"/>
  <c r="U36" i="1"/>
  <c r="U35" i="1"/>
  <c r="V35" i="1" s="1"/>
  <c r="Y35" i="1" s="1"/>
  <c r="U34" i="1"/>
  <c r="U33" i="1"/>
  <c r="U20" i="1"/>
  <c r="V20" i="1" s="1"/>
  <c r="Z20" i="1" s="1"/>
  <c r="U13" i="1"/>
  <c r="V13" i="1" s="1"/>
  <c r="U25" i="1"/>
  <c r="V25" i="1" s="1"/>
  <c r="Z25" i="1" s="1"/>
  <c r="U23" i="1"/>
  <c r="V23" i="1" s="1"/>
  <c r="Z23" i="1" s="1"/>
  <c r="U22" i="1"/>
  <c r="V22" i="1" s="1"/>
  <c r="U26" i="1"/>
  <c r="V26" i="1" s="1"/>
  <c r="Z26" i="1" s="1"/>
  <c r="U32" i="1"/>
  <c r="V32" i="1" s="1"/>
  <c r="U3" i="1"/>
  <c r="V3" i="1" s="1"/>
  <c r="U11" i="1"/>
  <c r="V11" i="1" s="1"/>
  <c r="Z11" i="1" s="1"/>
  <c r="U19" i="1"/>
  <c r="V19" i="1" s="1"/>
  <c r="Y19" i="1" s="1"/>
  <c r="U12" i="1"/>
  <c r="V12" i="1" s="1"/>
  <c r="U7" i="1"/>
  <c r="V7" i="1" s="1"/>
  <c r="U15" i="1"/>
  <c r="V15" i="1" s="1"/>
  <c r="U27" i="1"/>
  <c r="V27" i="1" s="1"/>
  <c r="Z27" i="1" s="1"/>
  <c r="U31" i="1"/>
  <c r="V31" i="1" s="1"/>
  <c r="Z31" i="1" s="1"/>
  <c r="U4" i="1"/>
  <c r="V4" i="1" s="1"/>
  <c r="Z4" i="1" s="1"/>
  <c r="U16" i="1"/>
  <c r="V16" i="1" s="1"/>
  <c r="Z16" i="1" s="1"/>
  <c r="U28" i="1"/>
  <c r="V28" i="1" s="1"/>
  <c r="Z28" i="1" s="1"/>
  <c r="U8" i="1"/>
  <c r="V8" i="1" s="1"/>
  <c r="U30" i="1"/>
  <c r="V30" i="1" s="1"/>
  <c r="U24" i="1"/>
  <c r="V24" i="1" s="1"/>
  <c r="U14" i="1"/>
  <c r="V14" i="1" s="1"/>
  <c r="Z14" i="1" s="1"/>
  <c r="U17" i="1"/>
  <c r="V17" i="1" s="1"/>
  <c r="Y17" i="1" s="1"/>
  <c r="U21" i="1"/>
  <c r="V21" i="1" s="1"/>
  <c r="U9" i="1"/>
  <c r="V9" i="1" s="1"/>
  <c r="U29" i="1"/>
  <c r="V29" i="1" s="1"/>
  <c r="U6" i="1"/>
  <c r="V6" i="1" s="1"/>
  <c r="U2" i="1"/>
  <c r="U18" i="1"/>
  <c r="V18" i="1" s="1"/>
  <c r="U5" i="1"/>
  <c r="U10" i="1"/>
  <c r="V10" i="1" s="1"/>
  <c r="Z10" i="1" s="1"/>
  <c r="Z51" i="1" l="1"/>
  <c r="Z52" i="1"/>
  <c r="Z50" i="1"/>
  <c r="V51" i="1"/>
  <c r="Y51" i="1" s="1"/>
  <c r="V50" i="1"/>
  <c r="Y50" i="1" s="1"/>
  <c r="V52" i="1"/>
  <c r="Y52" i="1" s="1"/>
  <c r="Z49" i="1"/>
  <c r="Z48" i="1"/>
  <c r="Z47" i="1"/>
  <c r="Z46" i="1"/>
  <c r="V49" i="1"/>
  <c r="Y49" i="1" s="1"/>
  <c r="V48" i="1"/>
  <c r="Y48" i="1" s="1"/>
  <c r="V47" i="1"/>
  <c r="Y47" i="1" s="1"/>
  <c r="V46" i="1"/>
  <c r="Y46" i="1" s="1"/>
  <c r="Z45" i="1"/>
  <c r="V45" i="1"/>
  <c r="Y45" i="1" s="1"/>
  <c r="Z44" i="1"/>
  <c r="V44" i="1"/>
  <c r="Y44" i="1" s="1"/>
  <c r="Z43" i="1"/>
  <c r="AA43" i="1" s="1"/>
  <c r="AC43" i="1" s="1"/>
  <c r="V43" i="1"/>
  <c r="Z42" i="1"/>
  <c r="V42" i="1"/>
  <c r="Y42" i="1" s="1"/>
  <c r="Z41" i="1"/>
  <c r="V41" i="1"/>
  <c r="AC41" i="1"/>
  <c r="Z39" i="1"/>
  <c r="AA39" i="1" s="1"/>
  <c r="AC39" i="1" s="1"/>
  <c r="V40" i="1"/>
  <c r="Z40" i="1" s="1"/>
  <c r="V39" i="1"/>
  <c r="Y38" i="1"/>
  <c r="V38" i="1"/>
  <c r="Z38" i="1" s="1"/>
  <c r="Y37" i="1"/>
  <c r="V37" i="1"/>
  <c r="AC37" i="1"/>
  <c r="Y36" i="1"/>
  <c r="V36" i="1"/>
  <c r="Z36" i="1" s="1"/>
  <c r="Z35" i="1"/>
  <c r="Z34" i="1"/>
  <c r="V34" i="1"/>
  <c r="V33" i="1"/>
  <c r="Z33" i="1" s="1"/>
  <c r="V2" i="1"/>
  <c r="Y16" i="1"/>
  <c r="Y30" i="1"/>
  <c r="Y11" i="1"/>
  <c r="AC5" i="1"/>
  <c r="Y26" i="1"/>
  <c r="Y4" i="1"/>
  <c r="V5" i="1"/>
  <c r="AC6" i="1"/>
  <c r="Y22" i="1"/>
  <c r="Z19" i="1"/>
  <c r="Z8" i="1"/>
  <c r="Y25" i="1"/>
  <c r="Y15" i="1"/>
  <c r="Y3" i="1"/>
  <c r="Y28" i="1"/>
  <c r="Y24" i="1"/>
  <c r="Y20" i="1"/>
  <c r="Y14" i="1"/>
  <c r="Y9" i="1"/>
  <c r="Y2" i="1"/>
  <c r="AA2" i="1" s="1"/>
  <c r="Z13" i="1"/>
  <c r="Y29" i="1"/>
  <c r="Y21" i="1"/>
  <c r="Y10" i="1"/>
  <c r="Z17" i="1"/>
  <c r="Y31" i="1"/>
  <c r="Y27" i="1"/>
  <c r="Y23" i="1"/>
  <c r="Y18" i="1"/>
  <c r="Y12" i="1"/>
  <c r="Y7" i="1"/>
  <c r="Z32" i="1"/>
  <c r="AA50" i="1" l="1"/>
  <c r="AC50" i="1" s="1"/>
  <c r="AA52" i="1"/>
  <c r="AC52" i="1" s="1"/>
  <c r="AA51" i="1"/>
  <c r="AC51" i="1" s="1"/>
  <c r="AA46" i="1"/>
  <c r="AC46" i="1" s="1"/>
  <c r="AA49" i="1"/>
  <c r="AC49" i="1" s="1"/>
  <c r="AA48" i="1"/>
  <c r="AC48" i="1" s="1"/>
  <c r="AA47" i="1"/>
  <c r="AC47" i="1" s="1"/>
  <c r="AA45" i="1"/>
  <c r="AC45" i="1" s="1"/>
  <c r="AA44" i="1"/>
  <c r="AC44" i="1" s="1"/>
  <c r="AA32" i="1"/>
  <c r="AC32" i="1" s="1"/>
  <c r="AA7" i="1"/>
  <c r="AC7" i="1" s="1"/>
  <c r="AA12" i="1"/>
  <c r="AC12" i="1" s="1"/>
  <c r="AA18" i="1"/>
  <c r="AC18" i="1" s="1"/>
  <c r="AA23" i="1"/>
  <c r="AC23" i="1" s="1"/>
  <c r="AA27" i="1"/>
  <c r="AC27" i="1" s="1"/>
  <c r="AA31" i="1"/>
  <c r="AC31" i="1" s="1"/>
  <c r="AA10" i="1"/>
  <c r="AC10" i="1" s="1"/>
  <c r="AA21" i="1"/>
  <c r="AC21" i="1" s="1"/>
  <c r="AA29" i="1"/>
  <c r="AC29" i="1" s="1"/>
  <c r="AA13" i="1"/>
  <c r="AC13" i="1" s="1"/>
  <c r="AA9" i="1"/>
  <c r="AC9" i="1" s="1"/>
  <c r="AA14" i="1"/>
  <c r="AC14" i="1" s="1"/>
  <c r="AA20" i="1"/>
  <c r="AC20" i="1" s="1"/>
  <c r="AA24" i="1"/>
  <c r="AC24" i="1" s="1"/>
  <c r="AA28" i="1"/>
  <c r="AC28" i="1" s="1"/>
  <c r="AA3" i="1"/>
  <c r="AA15" i="1"/>
  <c r="AC15" i="1" s="1"/>
  <c r="AA25" i="1"/>
  <c r="AC25" i="1" s="1"/>
  <c r="AA8" i="1"/>
  <c r="AC8" i="1" s="1"/>
  <c r="AA22" i="1"/>
  <c r="AC22" i="1" s="1"/>
  <c r="AA4" i="1"/>
  <c r="AC4" i="1" s="1"/>
  <c r="AA26" i="1"/>
  <c r="AC26" i="1" s="1"/>
  <c r="AA11" i="1"/>
  <c r="AC11" i="1" s="1"/>
  <c r="AA30" i="1"/>
  <c r="AC30" i="1" s="1"/>
  <c r="AA16" i="1"/>
  <c r="AC16" i="1" s="1"/>
  <c r="AA34" i="1"/>
  <c r="AC34" i="1" s="1"/>
  <c r="AA36" i="1"/>
  <c r="AC36" i="1" s="1"/>
  <c r="AA35" i="1"/>
  <c r="AC35" i="1" s="1"/>
  <c r="AA19" i="1"/>
  <c r="AC19" i="1" s="1"/>
  <c r="AA17" i="1"/>
  <c r="AC17" i="1" s="1"/>
  <c r="AC42" i="1"/>
  <c r="Y40" i="1"/>
  <c r="AC38" i="1"/>
  <c r="Y33" i="1"/>
  <c r="AC2" i="1"/>
  <c r="AA33" i="1" l="1"/>
  <c r="AA40" i="1"/>
  <c r="AC40" i="1" s="1"/>
  <c r="AC3" i="1"/>
  <c r="AB53" i="1"/>
  <c r="AE7" i="1" l="1"/>
  <c r="AE20" i="1"/>
  <c r="AE38" i="1"/>
  <c r="AE9" i="1"/>
  <c r="AD51" i="1"/>
  <c r="AE5" i="1"/>
  <c r="AE8" i="1"/>
  <c r="AE41" i="1"/>
  <c r="AE51" i="1"/>
  <c r="AE31" i="1"/>
  <c r="AE19" i="1"/>
  <c r="AE34" i="1"/>
  <c r="AE35" i="1"/>
  <c r="AD50" i="1"/>
  <c r="AE4" i="1"/>
  <c r="AE18" i="1"/>
  <c r="AC33" i="1"/>
  <c r="AE50" i="1"/>
  <c r="AE23" i="1"/>
  <c r="AE32" i="1"/>
  <c r="AE11" i="1"/>
  <c r="AE24" i="1"/>
  <c r="AE21" i="1"/>
  <c r="AE42" i="1"/>
  <c r="AE26" i="1"/>
  <c r="AA53" i="1"/>
  <c r="AG53" i="1" s="1"/>
  <c r="AE29" i="1"/>
  <c r="AE3" i="1"/>
  <c r="AE13" i="1"/>
  <c r="AE16" i="1"/>
  <c r="AE12" i="1"/>
  <c r="AE6" i="1"/>
  <c r="AE14" i="1"/>
  <c r="AE27" i="1"/>
  <c r="AE37" i="1"/>
  <c r="AE22" i="1"/>
  <c r="AE2" i="1"/>
  <c r="AE39" i="1"/>
  <c r="AE52" i="1"/>
  <c r="AE28" i="1"/>
  <c r="AE10" i="1"/>
  <c r="AE17" i="1"/>
  <c r="AE25" i="1"/>
  <c r="AE30" i="1"/>
  <c r="AE15" i="1"/>
  <c r="AE33" i="1"/>
  <c r="AE36" i="1"/>
  <c r="AE40" i="1"/>
  <c r="AE43" i="1"/>
  <c r="AD52" i="1"/>
  <c r="AD49" i="1"/>
  <c r="AE49" i="1"/>
  <c r="AD48" i="1"/>
  <c r="AE48" i="1"/>
  <c r="AD46" i="1"/>
  <c r="AE47" i="1"/>
  <c r="AD47" i="1"/>
  <c r="AE46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45" i="1"/>
  <c r="AE45" i="1"/>
  <c r="AD2" i="1"/>
  <c r="AD41" i="1"/>
  <c r="AD42" i="1"/>
  <c r="AD43" i="1"/>
  <c r="AD44" i="1"/>
  <c r="AD39" i="1"/>
  <c r="AD40" i="1"/>
  <c r="AD37" i="1"/>
  <c r="AD38" i="1"/>
  <c r="AF38" i="1" s="1"/>
  <c r="AD35" i="1"/>
  <c r="AD36" i="1"/>
  <c r="AD34" i="1"/>
  <c r="AD33" i="1"/>
  <c r="AE44" i="1"/>
  <c r="AF51" i="1" l="1"/>
  <c r="AF7" i="1"/>
  <c r="AF20" i="1"/>
  <c r="AF36" i="1"/>
  <c r="AF23" i="1"/>
  <c r="AF27" i="1"/>
  <c r="AF31" i="1"/>
  <c r="AF39" i="1"/>
  <c r="AF2" i="1"/>
  <c r="AF34" i="1"/>
  <c r="AF9" i="1"/>
  <c r="AF35" i="1"/>
  <c r="AF13" i="1"/>
  <c r="AF37" i="1"/>
  <c r="AF5" i="1"/>
  <c r="AF17" i="1"/>
  <c r="AF21" i="1"/>
  <c r="AF25" i="1"/>
  <c r="AF29" i="1"/>
  <c r="AF30" i="1"/>
  <c r="AF22" i="1"/>
  <c r="AF6" i="1"/>
  <c r="AF53" i="1"/>
  <c r="AF33" i="1"/>
  <c r="AF16" i="1"/>
  <c r="AF24" i="1"/>
  <c r="AF41" i="1"/>
  <c r="AF19" i="1"/>
  <c r="AF52" i="1"/>
  <c r="AF50" i="1"/>
  <c r="AF18" i="1"/>
  <c r="AF4" i="1"/>
  <c r="AF8" i="1"/>
  <c r="AF12" i="1"/>
  <c r="AF28" i="1"/>
  <c r="AF32" i="1"/>
  <c r="AF3" i="1"/>
  <c r="AF11" i="1"/>
  <c r="AF15" i="1"/>
  <c r="AF43" i="1"/>
  <c r="AF40" i="1"/>
  <c r="AF42" i="1"/>
  <c r="AF10" i="1"/>
  <c r="AF14" i="1"/>
  <c r="AF26" i="1"/>
  <c r="AF47" i="1"/>
  <c r="AF46" i="1"/>
  <c r="AF48" i="1"/>
  <c r="AF44" i="1"/>
  <c r="AF49" i="1"/>
  <c r="AF45" i="1"/>
</calcChain>
</file>

<file path=xl/comments1.xml><?xml version="1.0" encoding="utf-8"?>
<comments xmlns="http://schemas.openxmlformats.org/spreadsheetml/2006/main">
  <authors>
    <author>Engelbert</author>
    <author>Bruno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A=AÇÃO
O=OPÇÃO</t>
        </r>
      </text>
    </comment>
    <comment ref="T53" authorId="1">
      <text>
        <r>
          <rPr>
            <b/>
            <sz val="9"/>
            <color indexed="81"/>
            <rFont val="Tahoma"/>
            <family val="2"/>
          </rPr>
          <t>COLOCAR O TOTAL APLICADO</t>
        </r>
      </text>
    </comment>
  </commentList>
</comments>
</file>

<file path=xl/sharedStrings.xml><?xml version="1.0" encoding="utf-8"?>
<sst xmlns="http://schemas.openxmlformats.org/spreadsheetml/2006/main" count="274" uniqueCount="69">
  <si>
    <t>ATIVO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</si>
  <si>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</si>
  <si>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</si>
  <si>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</si>
  <si>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</si>
  <si>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</si>
  <si>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</si>
  <si>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</si>
  <si>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</si>
  <si>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</si>
  <si>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</si>
  <si>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</si>
  <si>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</si>
  <si>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</si>
  <si>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</si>
  <si>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</si>
  <si>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</si>
  <si>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</si>
  <si>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</si>
  <si>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</si>
  <si>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</si>
  <si>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</si>
  <si>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</si>
  <si>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</si>
  <si>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</si>
  <si>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</si>
  <si>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</si>
  <si>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</si>
  <si>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</si>
  <si>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</si>
  <si>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</si>
  <si>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</si>
  <si>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</si>
  <si>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</si>
  <si>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</si>
  <si>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</si>
  <si>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</si>
  <si>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</si>
  <si>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</si>
  <si>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</si>
  <si>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</si>
  <si>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</si>
  <si>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</si>
  <si>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</si>
  <si>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LUCRO MÊS</t>
  </si>
  <si>
    <t>SALDO</t>
  </si>
  <si>
    <t>VOLUME</t>
  </si>
  <si>
    <t>LUCRO D</t>
  </si>
  <si>
    <t>LUCRO OP</t>
  </si>
  <si>
    <t>D BASE</t>
  </si>
  <si>
    <t>TOTAL APLIC</t>
  </si>
  <si>
    <t xml:space="preserve"> R$ 6.765,77 </t>
  </si>
  <si>
    <t>BEEF3</t>
  </si>
  <si>
    <t>OPER/TIPO</t>
  </si>
  <si>
    <t>CC</t>
  </si>
  <si>
    <t>CV</t>
  </si>
  <si>
    <t>VV</t>
  </si>
  <si>
    <t>VC</t>
  </si>
  <si>
    <t>OPÇÕES</t>
  </si>
  <si>
    <t>REGISTRO</t>
  </si>
  <si>
    <t>[A/O]</t>
  </si>
  <si>
    <t>A</t>
  </si>
  <si>
    <t>% LUCRO</t>
  </si>
  <si>
    <t>IRRF OPÇÃO</t>
  </si>
  <si>
    <t>D LIQUID</t>
  </si>
  <si>
    <t>LUCRO N [A]</t>
  </si>
  <si>
    <t>PDGR3</t>
  </si>
  <si>
    <t>BBAS3</t>
  </si>
  <si>
    <t>BRKM5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</si>
</sst>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[$R$-416]\ #,##0.00;[Red]\-[$R$-416]\ #,##0.00"/>
    <numFmt numFmtId="165" formatCode="0.000%"/>
    <numFmt numFmtId="166" formatCode="0.0000%"/>
    <numFmt numFmtId="167" formatCode="d/m/yy;@"/>
    <numFmt numFmtId="168" formatCode="0.000"/>
  </numFmts>
  <fonts count="11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7" fontId="3" fillId="0" borderId="0" xfId="0" applyNumberFormat="1" applyFont="1" applyAlignment="1"/>
    <xf numFmtId="44" fontId="3" fillId="0" borderId="0" xfId="0" applyNumberFormat="1" applyFont="1" applyAlignment="1"/>
    <xf numFmtId="168" fontId="3" fillId="0" borderId="0" xfId="0" applyNumberFormat="1" applyFont="1" applyAlignment="1"/>
    <xf numFmtId="44" fontId="1" fillId="0" borderId="0" xfId="1" applyFont="1"/>
    <xf numFmtId="0" fontId="2" fillId="0" borderId="0" xfId="0" applyFont="1"/>
    <xf numFmtId="14" fontId="3" fillId="0" borderId="0" xfId="0" applyNumberFormat="1" applyFont="1"/>
    <xf numFmtId="10" fontId="3" fillId="0" borderId="0" xfId="2" applyNumberFormat="1" applyFont="1" applyAlignment="1"/>
    <xf numFmtId="44" fontId="3" fillId="0" borderId="0" xfId="1" applyFont="1" applyAlignment="1"/>
    <xf numFmtId="0" fontId="8" fillId="0" borderId="0" xfId="0" applyNumberFormat="1" applyFont="1" applyAlignment="1"/>
    <xf numFmtId="167" fontId="8" fillId="0" borderId="0" xfId="0" applyNumberFormat="1" applyFont="1" applyAlignment="1"/>
    <xf numFmtId="44" fontId="8" fillId="0" borderId="0" xfId="0" applyNumberFormat="1" applyFont="1" applyAlignment="1"/>
    <xf numFmtId="168" fontId="8" fillId="0" borderId="0" xfId="0" applyNumberFormat="1" applyFont="1" applyAlignment="1"/>
    <xf numFmtId="44" fontId="8" fillId="0" borderId="0" xfId="1" applyNumberFormat="1" applyFont="1" applyAlignment="1"/>
    <xf numFmtId="10" fontId="8" fillId="0" borderId="0" xfId="2" applyNumberFormat="1" applyFont="1" applyAlignment="1"/>
    <xf numFmtId="44" fontId="3" fillId="0" borderId="0" xfId="1" applyNumberFormat="1" applyFont="1" applyAlignment="1"/>
    <xf numFmtId="0" fontId="9" fillId="0" borderId="0" xfId="0" applyNumberFormat="1" applyFont="1" applyAlignment="1"/>
    <xf numFmtId="167" fontId="9" fillId="0" borderId="0" xfId="0" applyNumberFormat="1" applyFont="1" applyAlignment="1"/>
    <xf numFmtId="44" fontId="9" fillId="0" borderId="0" xfId="0" applyNumberFormat="1" applyFont="1" applyAlignment="1"/>
    <xf numFmtId="168" fontId="9" fillId="0" borderId="0" xfId="0" applyNumberFormat="1" applyFont="1" applyAlignment="1"/>
    <xf numFmtId="44" fontId="9" fillId="0" borderId="0" xfId="1" applyNumberFormat="1" applyFont="1" applyAlignment="1"/>
    <xf numFmtId="10" fontId="9" fillId="0" borderId="0" xfId="2" applyNumberFormat="1" applyFont="1" applyAlignment="1"/>
    <xf numFmtId="10" fontId="10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/>
    <xf numFmtId="10" fontId="3" fillId="0" borderId="0" xfId="0" applyNumberFormat="1" applyFont="1" applyAlignment="1"/>
  </cellXfs>
  <cellStyles count="3">
    <cellStyle name="Moeda" xfId="1" builtinId="4"/>
    <cellStyle name="Normal" xfId="0" builtinId="0"/>
    <cellStyle name="Porcentagem" xfId="2" builtinId="5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B050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R65558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G53" totalsRowCount="1" headerRowDxfId="68" dataDxfId="67" totalsRowDxfId="66">
  <autoFilter ref="A1:AG52"/>
  <sortState ref="A2:AG47">
    <sortCondition ref="D1:D47"/>
  </sortState>
  <tableColumns count="33">
    <tableColumn id="19" name="ID" totalsRowLabel="Total" dataDxfId="65" totalsRowDxfId="32"/>
    <tableColumn id="2" name="ATIVO" dataDxfId="64" totalsRowDxfId="31"/>
    <tableColumn id="3" name="OPER/TIPO" dataDxfId="63" totalsRowDxfId="30"/>
    <tableColumn id="4" name="DATA" dataDxfId="62" totalsRowDxfId="29"/>
    <tableColumn id="5" name="QTDE" dataDxfId="61" totalsRowDxfId="28"/>
    <tableColumn id="6" name="PREÇO" dataDxfId="60" totalsRowDxfId="27"/>
    <tableColumn id="27" name="[A/O]" dataDxfId="59" totalsRowDxfId="26"/>
    <tableColumn id="7" name="[D/N]" dataDxfId="58" totalsRowDxfId="25"/>
    <tableColumn id="34" name="D LIQUID" dataDxfId="57" totalsRowDxfId="24">
      <calculatedColumnFormula>WORKDAY(NC[[#This Row],[DATA]],IF(NC['[A/O']]="A",3,1))</calculatedColumnFormula>
    </tableColumn>
    <tableColumn id="31" name="D BASE" dataDxfId="56" totalsRowDxfId="23">
      <calculatedColumnFormula>EOMONTH(NC[[#This Row],[D LIQUID]],0)</calculatedColumnFormula>
    </tableColumn>
    <tableColumn id="21" name="PAR" dataDxfId="55" totalsRowDxfId="22">
      <calculatedColumnFormula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calculatedColumnFormula>
    </tableColumn>
    <tableColumn id="8" name="VALOR" dataDxfId="54" totalsRowDxfId="21">
      <calculatedColumnFormula>NC[QTDE]*NC[PREÇO]</calculatedColumnFormula>
    </tableColumn>
    <tableColumn id="9" name="VL LIQUID" dataDxfId="53" totalsRowDxfId="20">
      <calculatedColumnFormula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calculatedColumnFormula>
    </tableColumn>
    <tableColumn id="10" name="TX LIQUID" dataDxfId="52" totalsRowDxfId="19">
      <calculatedColumnFormula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calculatedColumnFormula>
    </tableColumn>
    <tableColumn id="11" name="EMOL" dataDxfId="51" totalsRowDxfId="18">
      <calculatedColumnFormula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calculatedColumnFormula>
    </tableColumn>
    <tableColumn id="28" name="REGISTRO" dataDxfId="50" totalsRowDxfId="17">
      <calculatedColumnFormula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calculatedColumnFormula>
    </tableColumn>
    <tableColumn id="12" name="CORR. BASE" dataDxfId="49" totalsRowDxfId="16">
      <calculatedColumnFormula>SETUP!$E$3*SUMPRODUCT(N(NC[DATA]=NC[[#This Row],[DATA]]),N(NC[ID]&lt;=NC[[#This Row],[ID]]))</calculatedColumnFormula>
    </tableColumn>
    <tableColumn id="13" name="ISS" dataDxfId="48" totalsRowDxfId="15">
      <calculatedColumnFormula>TRUNC(NC[CORR. BASE]*SETUP!$F$3,2)</calculatedColumnFormula>
    </tableColumn>
    <tableColumn id="15" name="OUTRAS" dataDxfId="47" totalsRowDxfId="14">
      <calculatedColumnFormula>TRUNC(NC[CORR. BASE]*SETUP!$G$3,2)</calculatedColumnFormula>
    </tableColumn>
    <tableColumn id="16" name="LÍQUIDO" totalsRowLabel=" R$ 6.765,77 " dataDxfId="46" totalsRowDxfId="13">
      <calculatedColumnFormula>NC[VL LIQUID]-NC[TX LIQUID]-NC[EMOL]-NC[REGISTRO]-NC[CORR. BASE]-NC[ISS]-NC[OUTRAS]</calculatedColumnFormula>
    </tableColumn>
    <tableColumn id="17" name="VALOR P/ OP" dataDxfId="45" totalsRowDxfId="12">
      <calculatedColumnFormula>NC[LÍQUIDO]-SUMPRODUCT(N(NC[DATA]=NC[[#This Row],[DATA]]),N(NC[ID]=(NC[[#This Row],[ID]]-1)),NC[LÍQUIDO])</calculatedColumnFormula>
    </tableColumn>
    <tableColumn id="18" name="MEDIO" dataDxfId="44" totalsRowDxfId="11">
      <calculatedColumnFormula>ABS(U2)/E2</calculatedColumnFormula>
    </tableColumn>
    <tableColumn id="20" name="IRRF" totalsRowFunction="sum" dataDxfId="43" totalsRowDxfId="10">
      <calculatedColumnFormula>TRUNC(IF(OR(NC[OPER/TIPO]="CV",NC[OPER/TIPO]="VV"),     L2*SETUP!$H$3,     0),2)</calculatedColumnFormula>
    </tableColumn>
    <tableColumn id="24" name="SALDO" dataDxfId="42" totalsRowDxfId="9">
      <calculatedColumnFormula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calculatedColumnFormula>
    </tableColumn>
    <tableColumn id="22" name="MED CP" dataDxfId="41" totalsRowDxfId="8">
      <calculatedColumnFormula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calculatedColumnFormula>
    </tableColumn>
    <tableColumn id="23" name="MED VD" dataDxfId="40" totalsRowDxfId="7">
      <calculatedColumnFormula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calculatedColumnFormula>
    </tableColumn>
    <tableColumn id="25" name="LUCRO OP" totalsRowFunction="custom" dataDxfId="39" totalsRowDxfId="6">
      <calculatedColumnFormula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calculatedColumnFormula>
      <totalsRowFormula>SUBTOTAL(109,NC[LUCRO OP])-NC[[#Totals],[IRRF OPÇÃO]]</totalsRowFormula>
    </tableColumn>
    <tableColumn id="32" name="IRRF OPÇÃO" totalsRowFunction="sum" dataDxfId="38" totalsRowDxfId="5" dataCellStyle="Moeda">
      <calculatedColumnFormula>IF(NC['[A/O']]="O",NC[LUCRO OP]*0.15,0)</calculatedColumnFormula>
    </tableColumn>
    <tableColumn id="30" name="% LUCRO" dataDxfId="37" totalsRowDxfId="4" dataCellStyle="Porcentagem">
      <calculatedColumnFormula>NC[LUCRO OP]/ABS(NC[VALOR P/ OP])</calculatedColumnFormula>
    </tableColumn>
    <tableColumn id="26" name="LUCRO N [A]" dataDxfId="36" totalsRowDxfId="3">
      <calculatedColumnFormula>SUMPRODUCT(N(YEAR(NC[D LIQUID])=YEAR(NC[[#This Row],[D LIQUID]])),N(MONTH(NC[D LIQUID])=MONTH(NC[[#This Row],[D LIQUID]])),N(NC['[D/N']]="N"),NC[LUCRO OP])</calculatedColumnFormula>
    </tableColumn>
    <tableColumn id="14" name="LUCRO D" dataDxfId="35" totalsRowDxfId="2">
      <calculatedColumnFormula>SUMPRODUCT(N(YEAR(NC[D LIQUID])=YEAR(NC[[#This Row],[D LIQUID]])),N(MONTH(NC[D LIQUID])=MONTH(NC[[#This Row],[D LIQUID]])),N(NC['[D/N']]="D"),NC[LUCRO OP])</calculatedColumnFormula>
    </tableColumn>
    <tableColumn id="29" name="LUCRO MÊS" totalsRowFunction="custom" dataDxfId="34" totalsRowDxfId="1">
      <calculatedColumnFormula>NC[LUCRO N '[A']]+NC[LUCRO D]</calculatedColumnFormula>
      <totalsRowFormula>NC[[#Totals],[LUCRO OP]]/NC[[#Totals],[LÍQUIDO]]</totalsRowFormula>
    </tableColumn>
    <tableColumn id="1" name="VOLUME" totalsRowFunction="custom" dataDxfId="33" totalsRowDxfId="0">
      <calculatedColumnFormula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calculatedColumnFormula>
      <totalsRowFormula>IF(NC[[#Totals],[LUCRO OP]]&lt;0,ABS(NC[[#Totals],[LUCRO OP]]/(NC[[#Totals],[LUCRO OP]]+NC[[#Totals],[LÍQUIDO]])),-NC[[#Totals],[LUCRO OP]]/(NC[[#Totals],[LUCRO OP]]+NC[[#Totals],[LÍQUIDO]]))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3:B16"/>
  <sheetViews>
    <sheetView workbookViewId="0">
      <selection activeCell="A14" sqref="A14"/>
    </sheetView>
  </sheetViews>
  <sheetFormatPr defaultRowHeight="12.75" x14ac:dyDescent="0.2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 x14ac:dyDescent="0.2">
      <c r="A3" s="8" t="s">
        <v>33</v>
      </c>
      <c r="B3" s="11"/>
    </row>
    <row r="4" spans="1:2" x14ac:dyDescent="0.2">
      <c r="A4" s="8" t="s">
        <v>0</v>
      </c>
      <c r="B4" s="11" t="s">
        <v>32</v>
      </c>
    </row>
    <row r="5" spans="1:2" x14ac:dyDescent="0.2">
      <c r="A5" s="7" t="s">
        <v>28</v>
      </c>
      <c r="B5" s="12">
        <v>-862.45000000000027</v>
      </c>
    </row>
    <row r="6" spans="1:2" x14ac:dyDescent="0.2">
      <c r="A6" s="9" t="s">
        <v>25</v>
      </c>
      <c r="B6" s="13">
        <v>-130.13999999999999</v>
      </c>
    </row>
    <row r="7" spans="1:2" x14ac:dyDescent="0.2">
      <c r="A7" s="9" t="s">
        <v>22</v>
      </c>
      <c r="B7" s="13">
        <v>205.45000000000027</v>
      </c>
    </row>
    <row r="8" spans="1:2" x14ac:dyDescent="0.2">
      <c r="A8" s="9" t="s">
        <v>29</v>
      </c>
      <c r="B8" s="13">
        <v>-1201.19</v>
      </c>
    </row>
    <row r="9" spans="1:2" x14ac:dyDescent="0.2">
      <c r="A9" s="9" t="s">
        <v>13</v>
      </c>
      <c r="B9" s="13">
        <v>-121.93</v>
      </c>
    </row>
    <row r="10" spans="1:2" x14ac:dyDescent="0.2">
      <c r="A10" s="9" t="s">
        <v>24</v>
      </c>
      <c r="B10" s="13">
        <v>-21.560000000000855</v>
      </c>
    </row>
    <row r="11" spans="1:2" x14ac:dyDescent="0.2">
      <c r="A11" s="9" t="s">
        <v>26</v>
      </c>
      <c r="B11" s="13">
        <v>-81.129999999999654</v>
      </c>
    </row>
    <row r="12" spans="1:2" x14ac:dyDescent="0.2">
      <c r="A12" s="9" t="s">
        <v>11</v>
      </c>
      <c r="B12" s="13">
        <v>-255.90999999999991</v>
      </c>
    </row>
    <row r="13" spans="1:2" x14ac:dyDescent="0.2">
      <c r="A13" s="9" t="s">
        <v>23</v>
      </c>
      <c r="B13" s="13">
        <v>-88.079999999999814</v>
      </c>
    </row>
    <row r="14" spans="1:2" x14ac:dyDescent="0.2">
      <c r="A14" s="9" t="s">
        <v>27</v>
      </c>
      <c r="B14" s="13">
        <v>-150.42000000000007</v>
      </c>
    </row>
    <row r="15" spans="1:2" x14ac:dyDescent="0.2">
      <c r="A15" s="9" t="s">
        <v>30</v>
      </c>
      <c r="B15" s="13"/>
    </row>
    <row r="16" spans="1:2" x14ac:dyDescent="0.2">
      <c r="A16" s="10" t="s">
        <v>31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AG54"/>
  <sheetViews>
    <sheetView tabSelected="1" workbookViewId="0">
      <pane xSplit="8" ySplit="1" topLeftCell="I29" activePane="bottomRight" state="frozen"/>
      <selection pane="topRight" activeCell="I1" sqref="I1"/>
      <selection pane="bottomLeft" activeCell="A2" sqref="A2"/>
      <selection pane="bottomRight" activeCell="E39" sqref="E39"/>
    </sheetView>
  </sheetViews>
  <sheetFormatPr defaultColWidth="11.5703125" defaultRowHeight="11.25" x14ac:dyDescent="0.2"/>
  <cols>
    <col min="1" max="1" width="4.7109375" style="15" bestFit="1" customWidth="1"/>
    <col min="2" max="2" width="7.42578125" style="15" bestFit="1" customWidth="1"/>
    <col min="3" max="3" width="10.28515625" style="15" bestFit="1" customWidth="1"/>
    <col min="4" max="4" width="8.140625" style="15" bestFit="1" customWidth="1"/>
    <col min="5" max="5" width="6.85546875" style="15" bestFit="1" customWidth="1"/>
    <col min="6" max="6" width="7.7109375" style="15" bestFit="1" customWidth="1"/>
    <col min="7" max="7" width="7.7109375" style="15" customWidth="1"/>
    <col min="8" max="8" width="7" style="15" bestFit="1" customWidth="1"/>
    <col min="9" max="9" width="9.140625" style="15" customWidth="1"/>
    <col min="10" max="10" width="7.85546875" style="15" hidden="1" customWidth="1"/>
    <col min="11" max="11" width="5.85546875" style="16" hidden="1" customWidth="1"/>
    <col min="12" max="12" width="9.85546875" style="15" hidden="1" customWidth="1"/>
    <col min="13" max="13" width="9.85546875" style="17" hidden="1" customWidth="1"/>
    <col min="14" max="14" width="10.85546875" style="15" hidden="1" customWidth="1"/>
    <col min="15" max="15" width="7" style="16" hidden="1" customWidth="1"/>
    <col min="16" max="16" width="9.42578125" style="16" hidden="1" customWidth="1"/>
    <col min="17" max="17" width="10.7109375" style="15" hidden="1" customWidth="1"/>
    <col min="18" max="18" width="6.85546875" style="15" hidden="1" customWidth="1"/>
    <col min="19" max="19" width="9.85546875" style="15" hidden="1" customWidth="1"/>
    <col min="20" max="20" width="10.7109375" style="15" bestFit="1" customWidth="1"/>
    <col min="21" max="21" width="11.85546875" style="15" bestFit="1" customWidth="1"/>
    <col min="22" max="22" width="7.85546875" style="15" bestFit="1" customWidth="1"/>
    <col min="23" max="23" width="6.85546875" style="15" bestFit="1" customWidth="1"/>
    <col min="24" max="24" width="7.5703125" style="15" bestFit="1" customWidth="1"/>
    <col min="25" max="25" width="8.28515625" style="15" bestFit="1" customWidth="1"/>
    <col min="26" max="26" width="8.5703125" style="15" bestFit="1" customWidth="1"/>
    <col min="27" max="27" width="10.7109375" style="15" bestFit="1" customWidth="1"/>
    <col min="28" max="28" width="11.140625" style="15" hidden="1" customWidth="1"/>
    <col min="29" max="29" width="9" style="15" bestFit="1" customWidth="1"/>
    <col min="30" max="30" width="10.85546875" style="15" bestFit="1" customWidth="1"/>
    <col min="31" max="31" width="9.85546875" style="15" bestFit="1" customWidth="1"/>
    <col min="32" max="32" width="11" style="15" bestFit="1" customWidth="1"/>
    <col min="33" max="16384" width="11.5703125" style="15"/>
  </cols>
  <sheetData>
    <row r="1" spans="1:33" s="18" customFormat="1" x14ac:dyDescent="0.2">
      <c r="A1" s="18" t="s">
        <v>36</v>
      </c>
      <c r="B1" s="18" t="s">
        <v>0</v>
      </c>
      <c r="C1" s="18" t="s">
        <v>53</v>
      </c>
      <c r="D1" s="18" t="s">
        <v>34</v>
      </c>
      <c r="E1" s="18" t="s">
        <v>1</v>
      </c>
      <c r="F1" s="18" t="s">
        <v>2</v>
      </c>
      <c r="G1" s="18" t="s">
        <v>60</v>
      </c>
      <c r="H1" s="18" t="s">
        <v>3</v>
      </c>
      <c r="I1" s="18" t="s">
        <v>64</v>
      </c>
      <c r="J1" s="18" t="s">
        <v>49</v>
      </c>
      <c r="K1" s="18" t="s">
        <v>43</v>
      </c>
      <c r="L1" s="18" t="s">
        <v>4</v>
      </c>
      <c r="M1" s="18" t="s">
        <v>35</v>
      </c>
      <c r="N1" s="19" t="s">
        <v>5</v>
      </c>
      <c r="O1" s="18" t="s">
        <v>6</v>
      </c>
      <c r="P1" s="18" t="s">
        <v>59</v>
      </c>
      <c r="Q1" s="20" t="s">
        <v>7</v>
      </c>
      <c r="R1" s="18" t="s">
        <v>8</v>
      </c>
      <c r="S1" s="20" t="s">
        <v>9</v>
      </c>
      <c r="T1" s="18" t="s">
        <v>10</v>
      </c>
      <c r="U1" s="18" t="s">
        <v>37</v>
      </c>
      <c r="V1" s="18" t="s">
        <v>38</v>
      </c>
      <c r="W1" s="18" t="s">
        <v>40</v>
      </c>
      <c r="X1" s="18" t="s">
        <v>45</v>
      </c>
      <c r="Y1" s="18" t="s">
        <v>41</v>
      </c>
      <c r="Z1" s="18" t="s">
        <v>42</v>
      </c>
      <c r="AA1" s="18" t="s">
        <v>48</v>
      </c>
      <c r="AB1" s="18" t="s">
        <v>63</v>
      </c>
      <c r="AC1" s="18" t="s">
        <v>62</v>
      </c>
      <c r="AD1" s="18" t="s">
        <v>65</v>
      </c>
      <c r="AE1" s="18" t="s">
        <v>47</v>
      </c>
      <c r="AF1" s="18" t="s">
        <v>44</v>
      </c>
      <c r="AG1" s="18" t="s">
        <v>46</v>
      </c>
    </row>
    <row r="2" spans="1:33" s="21" customFormat="1" x14ac:dyDescent="0.2">
      <c r="A2" s="21">
        <v>1</v>
      </c>
      <c r="B2" s="21" t="s">
        <v>22</v>
      </c>
      <c r="C2" s="21" t="s">
        <v>54</v>
      </c>
      <c r="D2" s="22">
        <v>40877</v>
      </c>
      <c r="E2" s="21">
        <v>100</v>
      </c>
      <c r="F2" s="23">
        <v>13.62</v>
      </c>
      <c r="G2" s="23" t="s">
        <v>61</v>
      </c>
      <c r="H2" s="21" t="s">
        <v>12</v>
      </c>
      <c r="I2" s="22">
        <f>WORKDAY(NC[[#This Row],[DATA]],IF(NC['[A/O']]="A",3,1))</f>
        <v>40882</v>
      </c>
      <c r="J2" s="21">
        <f>EOMONTH(NC[[#This Row],[D LIQUID]],0)</f>
        <v>40908</v>
      </c>
      <c r="K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" s="23">
        <f>NC[QTDE]*NC[PREÇO]</f>
        <v>1362</v>
      </c>
      <c r="M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-1362</v>
      </c>
      <c r="N2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0.37</v>
      </c>
      <c r="O2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0.09</v>
      </c>
      <c r="P2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" s="23">
        <f>SETUP!$E$3*SUMPRODUCT(N(NC[DATA]=NC[[#This Row],[DATA]]),N(NC[ID]&lt;=NC[[#This Row],[ID]]))</f>
        <v>14.9</v>
      </c>
      <c r="R2" s="23">
        <f>TRUNC(NC[CORR. BASE]*SETUP!$F$3,2)</f>
        <v>0.28999999999999998</v>
      </c>
      <c r="S2" s="23">
        <f>TRUNC(NC[CORR. BASE]*SETUP!$G$3,2)</f>
        <v>0.57999999999999996</v>
      </c>
      <c r="T2" s="23">
        <f>NC[VL LIQUID]-NC[TX LIQUID]-NC[EMOL]-NC[REGISTRO]-NC[CORR. BASE]-NC[ISS]-NC[OUTRAS]</f>
        <v>-1378.2299999999998</v>
      </c>
      <c r="U2" s="23">
        <f>NC[LÍQUIDO]-SUMPRODUCT(N(NC[DATA]=NC[[#This Row],[DATA]]),N(NC[ID]=(NC[[#This Row],[ID]]-1)),NC[LÍQUIDO])</f>
        <v>-1378.2299999999998</v>
      </c>
      <c r="V2" s="23">
        <f t="shared" ref="V2:V49" si="0">ABS(U2)/E2</f>
        <v>13.782299999999998</v>
      </c>
      <c r="W2" s="23">
        <f>TRUNC(IF(OR(NC[OPER/TIPO]="CV",NC[OPER/TIPO]="VV"),     L2*SETUP!$H$3,     0),2)</f>
        <v>0</v>
      </c>
      <c r="X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100</v>
      </c>
      <c r="Y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13.782299999999998</v>
      </c>
      <c r="Z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2" s="29">
        <f>IF(NC['[A/O']]="O",NC[LUCRO OP]*0.15,0)</f>
        <v>0</v>
      </c>
      <c r="AC2" s="28">
        <f>NC[LUCRO OP]/ABS(NC[VALOR P/ OP])</f>
        <v>0</v>
      </c>
      <c r="AD2" s="23">
        <f>SUMPRODUCT(N(YEAR(NC[D LIQUID])=YEAR(NC[[#This Row],[D LIQUID]])),N(MONTH(NC[D LIQUID])=MONTH(NC[[#This Row],[D LIQUID]])),N(NC['[D/N']]="N"),NC[LUCRO OP])</f>
        <v>306.37500000000023</v>
      </c>
      <c r="AE2" s="23">
        <f>SUMPRODUCT(N(YEAR(NC[D LIQUID])=YEAR(NC[[#This Row],[D LIQUID]])),N(MONTH(NC[D LIQUID])=MONTH(NC[[#This Row],[D LIQUID]])),N(NC['[D/N']]="D"),NC[LUCRO OP])</f>
        <v>-36.1</v>
      </c>
      <c r="AF2" s="23">
        <f>NC[LUCRO N '[A']]+NC[LUCRO D]</f>
        <v>270.2750000000002</v>
      </c>
      <c r="AG2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3" spans="1:33" s="21" customFormat="1" x14ac:dyDescent="0.2">
      <c r="A3" s="21">
        <v>2</v>
      </c>
      <c r="B3" s="21" t="s">
        <v>23</v>
      </c>
      <c r="C3" s="21" t="s">
        <v>54</v>
      </c>
      <c r="D3" s="22">
        <v>40883</v>
      </c>
      <c r="E3" s="21">
        <v>100</v>
      </c>
      <c r="F3" s="23">
        <v>8.4499999999999993</v>
      </c>
      <c r="G3" s="23" t="s">
        <v>61</v>
      </c>
      <c r="H3" s="21" t="s">
        <v>12</v>
      </c>
      <c r="I3" s="22">
        <f>WORKDAY(NC[[#This Row],[DATA]],IF(NC['[A/O']]="A",3,1))</f>
        <v>40886</v>
      </c>
      <c r="J3" s="21">
        <f>EOMONTH(NC[[#This Row],[D LIQUID]],0)</f>
        <v>40908</v>
      </c>
      <c r="K3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3" s="23">
        <f>NC[QTDE]*NC[PREÇO]</f>
        <v>844.99999999999989</v>
      </c>
      <c r="M3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-844.99999999999989</v>
      </c>
      <c r="N3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0.23</v>
      </c>
      <c r="O3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0.05</v>
      </c>
      <c r="P3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" s="23">
        <f>SETUP!$E$3*SUMPRODUCT(N(NC[DATA]=NC[[#This Row],[DATA]]),N(NC[ID]&lt;=NC[[#This Row],[ID]]))</f>
        <v>14.9</v>
      </c>
      <c r="R3" s="23">
        <f>TRUNC(NC[CORR. BASE]*SETUP!$F$3,2)</f>
        <v>0.28999999999999998</v>
      </c>
      <c r="S3" s="23">
        <f>TRUNC(NC[CORR. BASE]*SETUP!$G$3,2)</f>
        <v>0.57999999999999996</v>
      </c>
      <c r="T3" s="23">
        <f>NC[VL LIQUID]-NC[TX LIQUID]-NC[EMOL]-NC[REGISTRO]-NC[CORR. BASE]-NC[ISS]-NC[OUTRAS]</f>
        <v>-861.04999999999984</v>
      </c>
      <c r="U3" s="23">
        <f>NC[LÍQUIDO]-SUMPRODUCT(N(NC[DATA]=NC[[#This Row],[DATA]]),N(NC[ID]=(NC[[#This Row],[ID]]-1)),NC[LÍQUIDO])</f>
        <v>-861.04999999999984</v>
      </c>
      <c r="V3" s="23">
        <f t="shared" si="0"/>
        <v>8.6104999999999983</v>
      </c>
      <c r="W3" s="23">
        <f>TRUNC(IF(OR(NC[OPER/TIPO]="CV",NC[OPER/TIPO]="VV"),     L3*SETUP!$H$3,     0),2)</f>
        <v>0</v>
      </c>
      <c r="X3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100</v>
      </c>
      <c r="Y3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8.6104999999999983</v>
      </c>
      <c r="Z3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3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3" s="29">
        <f>IF(NC['[A/O']]="O",NC[LUCRO OP]*0.15,0)</f>
        <v>0</v>
      </c>
      <c r="AC3" s="28">
        <f>NC[LUCRO OP]/ABS(NC[VALOR P/ OP])</f>
        <v>0</v>
      </c>
      <c r="AD3" s="23">
        <f>SUMPRODUCT(N(YEAR(NC[D LIQUID])=YEAR(NC[[#This Row],[D LIQUID]])),N(MONTH(NC[D LIQUID])=MONTH(NC[[#This Row],[D LIQUID]])),N(NC['[D/N']]="N"),NC[LUCRO OP])</f>
        <v>306.37500000000023</v>
      </c>
      <c r="AE3" s="23">
        <f>SUMPRODUCT(N(YEAR(NC[D LIQUID])=YEAR(NC[[#This Row],[D LIQUID]])),N(MONTH(NC[D LIQUID])=MONTH(NC[[#This Row],[D LIQUID]])),N(NC['[D/N']]="D"),NC[LUCRO OP])</f>
        <v>-36.1</v>
      </c>
      <c r="AF3" s="23">
        <f>NC[LUCRO N '[A']]+NC[LUCRO D]</f>
        <v>270.2750000000002</v>
      </c>
      <c r="AG3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4" spans="1:33" s="21" customFormat="1" x14ac:dyDescent="0.2">
      <c r="A4" s="21">
        <v>3</v>
      </c>
      <c r="B4" s="21" t="s">
        <v>22</v>
      </c>
      <c r="C4" s="21" t="s">
        <v>55</v>
      </c>
      <c r="D4" s="22">
        <v>40884</v>
      </c>
      <c r="E4" s="21">
        <v>100</v>
      </c>
      <c r="F4" s="23">
        <v>16</v>
      </c>
      <c r="G4" s="23" t="s">
        <v>61</v>
      </c>
      <c r="H4" s="21" t="s">
        <v>12</v>
      </c>
      <c r="I4" s="22">
        <f>WORKDAY(NC[[#This Row],[DATA]],IF(NC['[A/O']]="A",3,1))</f>
        <v>40889</v>
      </c>
      <c r="J4" s="21">
        <f>EOMONTH(NC[[#This Row],[D LIQUID]],0)</f>
        <v>40908</v>
      </c>
      <c r="K4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4" s="23">
        <f>NC[QTDE]*NC[PREÇO]</f>
        <v>1600</v>
      </c>
      <c r="M4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1600</v>
      </c>
      <c r="N4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0.44</v>
      </c>
      <c r="O4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0.11</v>
      </c>
      <c r="P4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4" s="23">
        <f>SETUP!$E$3*SUMPRODUCT(N(NC[DATA]=NC[[#This Row],[DATA]]),N(NC[ID]&lt;=NC[[#This Row],[ID]]))</f>
        <v>14.9</v>
      </c>
      <c r="R4" s="23">
        <f>TRUNC(NC[CORR. BASE]*SETUP!$F$3,2)</f>
        <v>0.28999999999999998</v>
      </c>
      <c r="S4" s="23">
        <f>TRUNC(NC[CORR. BASE]*SETUP!$G$3,2)</f>
        <v>0.57999999999999996</v>
      </c>
      <c r="T4" s="23">
        <f>NC[VL LIQUID]-NC[TX LIQUID]-NC[EMOL]-NC[REGISTRO]-NC[CORR. BASE]-NC[ISS]-NC[OUTRAS]</f>
        <v>1583.68</v>
      </c>
      <c r="U4" s="23">
        <f>NC[LÍQUIDO]-SUMPRODUCT(N(NC[DATA]=NC[[#This Row],[DATA]]),N(NC[ID]=(NC[[#This Row],[ID]]-1)),NC[LÍQUIDO])</f>
        <v>1583.68</v>
      </c>
      <c r="V4" s="23">
        <f t="shared" si="0"/>
        <v>15.8368</v>
      </c>
      <c r="W4" s="23">
        <f>TRUNC(IF(OR(NC[OPER/TIPO]="CV",NC[OPER/TIPO]="VV"),     L4*SETUP!$H$3,     0),2)</f>
        <v>0.08</v>
      </c>
      <c r="X4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4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13.782299999999998</v>
      </c>
      <c r="Z4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15.8368</v>
      </c>
      <c r="AA4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205.45000000000027</v>
      </c>
      <c r="AB4" s="29">
        <f>IF(NC['[A/O']]="O",NC[LUCRO OP]*0.15,0)</f>
        <v>0</v>
      </c>
      <c r="AC4" s="28">
        <f>NC[LUCRO OP]/ABS(NC[VALOR P/ OP])</f>
        <v>0.12972949080622365</v>
      </c>
      <c r="AD4" s="23">
        <f>SUMPRODUCT(N(YEAR(NC[D LIQUID])=YEAR(NC[[#This Row],[D LIQUID]])),N(MONTH(NC[D LIQUID])=MONTH(NC[[#This Row],[D LIQUID]])),N(NC['[D/N']]="N"),NC[LUCRO OP])</f>
        <v>306.37500000000023</v>
      </c>
      <c r="AE4" s="23">
        <f>SUMPRODUCT(N(YEAR(NC[D LIQUID])=YEAR(NC[[#This Row],[D LIQUID]])),N(MONTH(NC[D LIQUID])=MONTH(NC[[#This Row],[D LIQUID]])),N(NC['[D/N']]="D"),NC[LUCRO OP])</f>
        <v>-36.1</v>
      </c>
      <c r="AF4" s="23">
        <f>NC[LUCRO N '[A']]+NC[LUCRO D]</f>
        <v>270.2750000000002</v>
      </c>
      <c r="AG4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5" spans="1:33" s="21" customFormat="1" x14ac:dyDescent="0.2">
      <c r="A5" s="21">
        <v>4</v>
      </c>
      <c r="B5" s="21" t="s">
        <v>24</v>
      </c>
      <c r="C5" s="21" t="s">
        <v>54</v>
      </c>
      <c r="D5" s="22">
        <v>40890</v>
      </c>
      <c r="E5" s="21">
        <v>200</v>
      </c>
      <c r="F5" s="23">
        <v>5.66</v>
      </c>
      <c r="G5" s="23" t="s">
        <v>61</v>
      </c>
      <c r="H5" s="21" t="s">
        <v>21</v>
      </c>
      <c r="I5" s="22">
        <f>WORKDAY(NC[[#This Row],[DATA]],IF(NC['[A/O']]="A",3,1))</f>
        <v>40893</v>
      </c>
      <c r="J5" s="21">
        <f>EOMONTH(NC[[#This Row],[D LIQUID]],0)</f>
        <v>40908</v>
      </c>
      <c r="K5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5" s="23">
        <f>NC[QTDE]*NC[PREÇO]</f>
        <v>1132</v>
      </c>
      <c r="M5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-1132</v>
      </c>
      <c r="N5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</v>
      </c>
      <c r="O5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7.0000000000000007E-2</v>
      </c>
      <c r="P5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5" s="23">
        <f>SETUP!$E$3*SUMPRODUCT(N(NC[DATA]=NC[[#This Row],[DATA]]),N(NC[ID]&lt;=NC[[#This Row],[ID]]))</f>
        <v>14.9</v>
      </c>
      <c r="R5" s="23">
        <f>TRUNC(NC[CORR. BASE]*SETUP!$F$3,2)</f>
        <v>0.28999999999999998</v>
      </c>
      <c r="S5" s="23">
        <f>TRUNC(NC[CORR. BASE]*SETUP!$G$3,2)</f>
        <v>0.57999999999999996</v>
      </c>
      <c r="T5" s="23">
        <f>NC[VL LIQUID]-NC[TX LIQUID]-NC[EMOL]-NC[REGISTRO]-NC[CORR. BASE]-NC[ISS]-NC[OUTRAS]</f>
        <v>-1148.04</v>
      </c>
      <c r="U5" s="23">
        <f>NC[LÍQUIDO]-SUMPRODUCT(N(NC[DATA]=NC[[#This Row],[DATA]]),N(NC[ID]=(NC[[#This Row],[ID]]-1)),NC[LÍQUIDO])</f>
        <v>-1148.04</v>
      </c>
      <c r="V5" s="23">
        <f t="shared" si="0"/>
        <v>5.7401999999999997</v>
      </c>
      <c r="W5" s="23">
        <f>TRUNC(IF(OR(NC[OPER/TIPO]="CV",NC[OPER/TIPO]="VV"),     L5*SETUP!$H$3,     0),2)</f>
        <v>0</v>
      </c>
      <c r="X5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5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5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5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5" s="29">
        <f>IF(NC['[A/O']]="O",NC[LUCRO OP]*0.15,0)</f>
        <v>0</v>
      </c>
      <c r="AC5" s="28">
        <f>NC[LUCRO OP]/ABS(NC[VALOR P/ OP])</f>
        <v>0</v>
      </c>
      <c r="AD5" s="23">
        <f>SUMPRODUCT(N(YEAR(NC[D LIQUID])=YEAR(NC[[#This Row],[D LIQUID]])),N(MONTH(NC[D LIQUID])=MONTH(NC[[#This Row],[D LIQUID]])),N(NC['[D/N']]="N"),NC[LUCRO OP])</f>
        <v>306.37500000000023</v>
      </c>
      <c r="AE5" s="23">
        <f>SUMPRODUCT(N(YEAR(NC[D LIQUID])=YEAR(NC[[#This Row],[D LIQUID]])),N(MONTH(NC[D LIQUID])=MONTH(NC[[#This Row],[D LIQUID]])),N(NC['[D/N']]="D"),NC[LUCRO OP])</f>
        <v>-36.1</v>
      </c>
      <c r="AF5" s="23">
        <f>NC[LUCRO N '[A']]+NC[LUCRO D]</f>
        <v>270.2750000000002</v>
      </c>
      <c r="AG5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6" spans="1:33" s="21" customFormat="1" x14ac:dyDescent="0.2">
      <c r="A6" s="21">
        <v>5</v>
      </c>
      <c r="B6" s="21" t="s">
        <v>24</v>
      </c>
      <c r="C6" s="21" t="s">
        <v>55</v>
      </c>
      <c r="D6" s="22">
        <v>40890</v>
      </c>
      <c r="E6" s="21">
        <v>200</v>
      </c>
      <c r="F6" s="23">
        <v>5.64</v>
      </c>
      <c r="G6" s="23" t="s">
        <v>61</v>
      </c>
      <c r="H6" s="21" t="s">
        <v>21</v>
      </c>
      <c r="I6" s="22">
        <f>WORKDAY(NC[[#This Row],[DATA]],IF(NC['[A/O']]="A",3,1))</f>
        <v>40893</v>
      </c>
      <c r="J6" s="21">
        <f>EOMONTH(NC[[#This Row],[D LIQUID]],0)</f>
        <v>40908</v>
      </c>
      <c r="K6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6" s="23">
        <f>NC[QTDE]*NC[PREÇO]</f>
        <v>1128</v>
      </c>
      <c r="M6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-4</v>
      </c>
      <c r="N6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0.4</v>
      </c>
      <c r="O6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0.15</v>
      </c>
      <c r="P6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6" s="23">
        <f>SETUP!$E$3*SUMPRODUCT(N(NC[DATA]=NC[[#This Row],[DATA]]),N(NC[ID]&lt;=NC[[#This Row],[ID]]))</f>
        <v>29.8</v>
      </c>
      <c r="R6" s="23">
        <f>TRUNC(NC[CORR. BASE]*SETUP!$F$3,2)</f>
        <v>0.59</v>
      </c>
      <c r="S6" s="23">
        <f>TRUNC(NC[CORR. BASE]*SETUP!$G$3,2)</f>
        <v>1.1599999999999999</v>
      </c>
      <c r="T6" s="23">
        <f>NC[VL LIQUID]-NC[TX LIQUID]-NC[EMOL]-NC[REGISTRO]-NC[CORR. BASE]-NC[ISS]-NC[OUTRAS]</f>
        <v>-36.1</v>
      </c>
      <c r="U6" s="23">
        <f>NC[LÍQUIDO]-SUMPRODUCT(N(NC[DATA]=NC[[#This Row],[DATA]]),N(NC[ID]=(NC[[#This Row],[ID]]-1)),NC[LÍQUIDO])</f>
        <v>1111.94</v>
      </c>
      <c r="V6" s="23">
        <f t="shared" si="0"/>
        <v>5.5597000000000003</v>
      </c>
      <c r="W6" s="23">
        <f>TRUNC(IF(OR(NC[OPER/TIPO]="CV",NC[OPER/TIPO]="VV"),     L6*SETUP!$H$3,     0),2)</f>
        <v>0.05</v>
      </c>
      <c r="X6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6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6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6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-36.1</v>
      </c>
      <c r="AB6" s="29">
        <f>IF(NC['[A/O']]="O",NC[LUCRO OP]*0.15,0)</f>
        <v>0</v>
      </c>
      <c r="AC6" s="28">
        <f>NC[LUCRO OP]/ABS(NC[VALOR P/ OP])</f>
        <v>-3.2465780527726314E-2</v>
      </c>
      <c r="AD6" s="23">
        <f>SUMPRODUCT(N(YEAR(NC[D LIQUID])=YEAR(NC[[#This Row],[D LIQUID]])),N(MONTH(NC[D LIQUID])=MONTH(NC[[#This Row],[D LIQUID]])),N(NC['[D/N']]="N"),NC[LUCRO OP])</f>
        <v>306.37500000000023</v>
      </c>
      <c r="AE6" s="23">
        <f>SUMPRODUCT(N(YEAR(NC[D LIQUID])=YEAR(NC[[#This Row],[D LIQUID]])),N(MONTH(NC[D LIQUID])=MONTH(NC[[#This Row],[D LIQUID]])),N(NC['[D/N']]="D"),NC[LUCRO OP])</f>
        <v>-36.1</v>
      </c>
      <c r="AF6" s="23">
        <f>NC[LUCRO N '[A']]+NC[LUCRO D]</f>
        <v>270.2750000000002</v>
      </c>
      <c r="AG6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7" spans="1:33" s="21" customFormat="1" x14ac:dyDescent="0.2">
      <c r="A7" s="21">
        <v>6</v>
      </c>
      <c r="B7" s="21" t="s">
        <v>24</v>
      </c>
      <c r="C7" s="21" t="s">
        <v>54</v>
      </c>
      <c r="D7" s="22">
        <v>40890</v>
      </c>
      <c r="E7" s="21">
        <v>200</v>
      </c>
      <c r="F7" s="23">
        <v>5.65</v>
      </c>
      <c r="G7" s="23" t="s">
        <v>61</v>
      </c>
      <c r="H7" s="21" t="s">
        <v>12</v>
      </c>
      <c r="I7" s="22">
        <f>WORKDAY(NC[[#This Row],[DATA]],IF(NC['[A/O']]="A",3,1))</f>
        <v>40893</v>
      </c>
      <c r="J7" s="21">
        <f>EOMONTH(NC[[#This Row],[D LIQUID]],0)</f>
        <v>40908</v>
      </c>
      <c r="K7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7" s="23">
        <f>NC[QTDE]*NC[PREÇO]</f>
        <v>1130</v>
      </c>
      <c r="M7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-1134</v>
      </c>
      <c r="N7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0.71</v>
      </c>
      <c r="O7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0.23</v>
      </c>
      <c r="P7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7" s="23">
        <f>SETUP!$E$3*SUMPRODUCT(N(NC[DATA]=NC[[#This Row],[DATA]]),N(NC[ID]&lt;=NC[[#This Row],[ID]]))</f>
        <v>44.7</v>
      </c>
      <c r="R7" s="23">
        <f>TRUNC(NC[CORR. BASE]*SETUP!$F$3,2)</f>
        <v>0.89</v>
      </c>
      <c r="S7" s="23">
        <f>TRUNC(NC[CORR. BASE]*SETUP!$G$3,2)</f>
        <v>1.74</v>
      </c>
      <c r="T7" s="23">
        <f>NC[VL LIQUID]-NC[TX LIQUID]-NC[EMOL]-NC[REGISTRO]-NC[CORR. BASE]-NC[ISS]-NC[OUTRAS]</f>
        <v>-1182.2700000000002</v>
      </c>
      <c r="U7" s="23">
        <f>NC[LÍQUIDO]-SUMPRODUCT(N(NC[DATA]=NC[[#This Row],[DATA]]),N(NC[ID]=(NC[[#This Row],[ID]]-1)),NC[LÍQUIDO])</f>
        <v>-1146.1700000000003</v>
      </c>
      <c r="V7" s="23">
        <f t="shared" si="0"/>
        <v>5.7308500000000011</v>
      </c>
      <c r="W7" s="23">
        <f>TRUNC(IF(OR(NC[OPER/TIPO]="CV",NC[OPER/TIPO]="VV"),     L7*SETUP!$H$3,     0),2)</f>
        <v>0</v>
      </c>
      <c r="X7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</v>
      </c>
      <c r="Y7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5.7308500000000011</v>
      </c>
      <c r="Z7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7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7" s="29">
        <f>IF(NC['[A/O']]="O",NC[LUCRO OP]*0.15,0)</f>
        <v>0</v>
      </c>
      <c r="AC7" s="28">
        <f>NC[LUCRO OP]/ABS(NC[VALOR P/ OP])</f>
        <v>0</v>
      </c>
      <c r="AD7" s="23">
        <f>SUMPRODUCT(N(YEAR(NC[D LIQUID])=YEAR(NC[[#This Row],[D LIQUID]])),N(MONTH(NC[D LIQUID])=MONTH(NC[[#This Row],[D LIQUID]])),N(NC['[D/N']]="N"),NC[LUCRO OP])</f>
        <v>306.37500000000023</v>
      </c>
      <c r="AE7" s="23">
        <f>SUMPRODUCT(N(YEAR(NC[D LIQUID])=YEAR(NC[[#This Row],[D LIQUID]])),N(MONTH(NC[D LIQUID])=MONTH(NC[[#This Row],[D LIQUID]])),N(NC['[D/N']]="D"),NC[LUCRO OP])</f>
        <v>-36.1</v>
      </c>
      <c r="AF7" s="23">
        <f>NC[LUCRO N '[A']]+NC[LUCRO D]</f>
        <v>270.2750000000002</v>
      </c>
      <c r="AG7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8" spans="1:33" s="21" customFormat="1" x14ac:dyDescent="0.2">
      <c r="A8" s="21">
        <v>7</v>
      </c>
      <c r="B8" s="21" t="s">
        <v>25</v>
      </c>
      <c r="C8" s="21" t="s">
        <v>56</v>
      </c>
      <c r="D8" s="22">
        <v>40897</v>
      </c>
      <c r="E8" s="21">
        <v>200</v>
      </c>
      <c r="F8" s="23">
        <v>4.2699999999999996</v>
      </c>
      <c r="G8" s="23" t="s">
        <v>61</v>
      </c>
      <c r="H8" s="21" t="s">
        <v>12</v>
      </c>
      <c r="I8" s="22">
        <f>WORKDAY(NC[[#This Row],[DATA]],IF(NC['[A/O']]="A",3,1))</f>
        <v>40900</v>
      </c>
      <c r="J8" s="21">
        <f>EOMONTH(NC[[#This Row],[D LIQUID]],0)</f>
        <v>40908</v>
      </c>
      <c r="K8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8" s="23">
        <f>NC[QTDE]*NC[PREÇO]</f>
        <v>853.99999999999989</v>
      </c>
      <c r="M8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853.99999999999989</v>
      </c>
      <c r="N8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0.23</v>
      </c>
      <c r="O8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0.05</v>
      </c>
      <c r="P8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8" s="23">
        <f>SETUP!$E$3*SUMPRODUCT(N(NC[DATA]=NC[[#This Row],[DATA]]),N(NC[ID]&lt;=NC[[#This Row],[ID]]))</f>
        <v>14.9</v>
      </c>
      <c r="R8" s="23">
        <f>TRUNC(NC[CORR. BASE]*SETUP!$F$3,2)</f>
        <v>0.28999999999999998</v>
      </c>
      <c r="S8" s="23">
        <f>TRUNC(NC[CORR. BASE]*SETUP!$G$3,2)</f>
        <v>0.57999999999999996</v>
      </c>
      <c r="T8" s="23">
        <f>NC[VL LIQUID]-NC[TX LIQUID]-NC[EMOL]-NC[REGISTRO]-NC[CORR. BASE]-NC[ISS]-NC[OUTRAS]</f>
        <v>837.94999999999993</v>
      </c>
      <c r="U8" s="23">
        <f>NC[LÍQUIDO]-SUMPRODUCT(N(NC[DATA]=NC[[#This Row],[DATA]]),N(NC[ID]=(NC[[#This Row],[ID]]-1)),NC[LÍQUIDO])</f>
        <v>837.94999999999993</v>
      </c>
      <c r="V8" s="23">
        <f t="shared" si="0"/>
        <v>4.1897500000000001</v>
      </c>
      <c r="W8" s="23">
        <f>TRUNC(IF(OR(NC[OPER/TIPO]="CV",NC[OPER/TIPO]="VV"),     L8*SETUP!$H$3,     0),2)</f>
        <v>0.04</v>
      </c>
      <c r="X8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-200</v>
      </c>
      <c r="Y8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8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4.1897500000000001</v>
      </c>
      <c r="AA8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8" s="29">
        <f>IF(NC['[A/O']]="O",NC[LUCRO OP]*0.15,0)</f>
        <v>0</v>
      </c>
      <c r="AC8" s="28">
        <f>NC[LUCRO OP]/ABS(NC[VALOR P/ OP])</f>
        <v>0</v>
      </c>
      <c r="AD8" s="23">
        <f>SUMPRODUCT(N(YEAR(NC[D LIQUID])=YEAR(NC[[#This Row],[D LIQUID]])),N(MONTH(NC[D LIQUID])=MONTH(NC[[#This Row],[D LIQUID]])),N(NC['[D/N']]="N"),NC[LUCRO OP])</f>
        <v>306.37500000000023</v>
      </c>
      <c r="AE8" s="23">
        <f>SUMPRODUCT(N(YEAR(NC[D LIQUID])=YEAR(NC[[#This Row],[D LIQUID]])),N(MONTH(NC[D LIQUID])=MONTH(NC[[#This Row],[D LIQUID]])),N(NC['[D/N']]="D"),NC[LUCRO OP])</f>
        <v>-36.1</v>
      </c>
      <c r="AF8" s="23">
        <f>NC[LUCRO N '[A']]+NC[LUCRO D]</f>
        <v>270.2750000000002</v>
      </c>
      <c r="AG8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9" spans="1:33" s="21" customFormat="1" x14ac:dyDescent="0.2">
      <c r="A9" s="21">
        <v>8</v>
      </c>
      <c r="B9" s="21" t="s">
        <v>26</v>
      </c>
      <c r="C9" s="21" t="s">
        <v>54</v>
      </c>
      <c r="D9" s="22">
        <v>40900</v>
      </c>
      <c r="E9" s="21">
        <v>300</v>
      </c>
      <c r="F9" s="23">
        <v>7.86</v>
      </c>
      <c r="G9" s="23" t="s">
        <v>61</v>
      </c>
      <c r="H9" s="21" t="s">
        <v>12</v>
      </c>
      <c r="I9" s="22">
        <f>WORKDAY(NC[[#This Row],[DATA]],IF(NC['[A/O']]="A",3,1))</f>
        <v>40905</v>
      </c>
      <c r="J9" s="21">
        <f>EOMONTH(NC[[#This Row],[D LIQUID]],0)</f>
        <v>40908</v>
      </c>
      <c r="K9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9" s="23">
        <f>NC[QTDE]*NC[PREÇO]</f>
        <v>2358</v>
      </c>
      <c r="M9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-2358</v>
      </c>
      <c r="N9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0.64</v>
      </c>
      <c r="O9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0.16</v>
      </c>
      <c r="P9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9" s="23">
        <f>SETUP!$E$3*SUMPRODUCT(N(NC[DATA]=NC[[#This Row],[DATA]]),N(NC[ID]&lt;=NC[[#This Row],[ID]]))</f>
        <v>14.9</v>
      </c>
      <c r="R9" s="23">
        <f>TRUNC(NC[CORR. BASE]*SETUP!$F$3,2)</f>
        <v>0.28999999999999998</v>
      </c>
      <c r="S9" s="23">
        <f>TRUNC(NC[CORR. BASE]*SETUP!$G$3,2)</f>
        <v>0.57999999999999996</v>
      </c>
      <c r="T9" s="23">
        <f>NC[VL LIQUID]-NC[TX LIQUID]-NC[EMOL]-NC[REGISTRO]-NC[CORR. BASE]-NC[ISS]-NC[OUTRAS]</f>
        <v>-2374.5699999999997</v>
      </c>
      <c r="U9" s="23">
        <f>NC[LÍQUIDO]-SUMPRODUCT(N(NC[DATA]=NC[[#This Row],[DATA]]),N(NC[ID]=(NC[[#This Row],[ID]]-1)),NC[LÍQUIDO])</f>
        <v>-2374.5699999999997</v>
      </c>
      <c r="V9" s="23">
        <f t="shared" si="0"/>
        <v>7.9152333333333322</v>
      </c>
      <c r="W9" s="23">
        <f>TRUNC(IF(OR(NC[OPER/TIPO]="CV",NC[OPER/TIPO]="VV"),     L9*SETUP!$H$3,     0),2)</f>
        <v>0</v>
      </c>
      <c r="X9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300</v>
      </c>
      <c r="Y9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7.9152333333333322</v>
      </c>
      <c r="Z9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9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9" s="29">
        <f>IF(NC['[A/O']]="O",NC[LUCRO OP]*0.15,0)</f>
        <v>0</v>
      </c>
      <c r="AC9" s="28">
        <f>NC[LUCRO OP]/ABS(NC[VALOR P/ OP])</f>
        <v>0</v>
      </c>
      <c r="AD9" s="23">
        <f>SUMPRODUCT(N(YEAR(NC[D LIQUID])=YEAR(NC[[#This Row],[D LIQUID]])),N(MONTH(NC[D LIQUID])=MONTH(NC[[#This Row],[D LIQUID]])),N(NC['[D/N']]="N"),NC[LUCRO OP])</f>
        <v>306.37500000000023</v>
      </c>
      <c r="AE9" s="23">
        <f>SUMPRODUCT(N(YEAR(NC[D LIQUID])=YEAR(NC[[#This Row],[D LIQUID]])),N(MONTH(NC[D LIQUID])=MONTH(NC[[#This Row],[D LIQUID]])),N(NC['[D/N']]="D"),NC[LUCRO OP])</f>
        <v>-36.1</v>
      </c>
      <c r="AF9" s="23">
        <f>NC[LUCRO N '[A']]+NC[LUCRO D]</f>
        <v>270.2750000000002</v>
      </c>
      <c r="AG9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10" spans="1:33" s="21" customFormat="1" x14ac:dyDescent="0.2">
      <c r="A10" s="21">
        <v>9</v>
      </c>
      <c r="B10" s="21" t="s">
        <v>24</v>
      </c>
      <c r="C10" s="21" t="s">
        <v>55</v>
      </c>
      <c r="D10" s="22">
        <v>40903</v>
      </c>
      <c r="E10" s="21">
        <v>100</v>
      </c>
      <c r="F10" s="23">
        <v>6.9</v>
      </c>
      <c r="G10" s="23" t="s">
        <v>61</v>
      </c>
      <c r="H10" s="21" t="s">
        <v>12</v>
      </c>
      <c r="I10" s="22">
        <f>WORKDAY(NC[[#This Row],[DATA]],IF(NC['[A/O']]="A",3,1))</f>
        <v>40906</v>
      </c>
      <c r="J10" s="21">
        <f>EOMONTH(NC[[#This Row],[D LIQUID]],0)</f>
        <v>40908</v>
      </c>
      <c r="K10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10" s="23">
        <f>NC[QTDE]*NC[PREÇO]</f>
        <v>690</v>
      </c>
      <c r="M10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690</v>
      </c>
      <c r="N10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0.18</v>
      </c>
      <c r="O10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0.04</v>
      </c>
      <c r="P10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0" s="23">
        <f>SETUP!$E$3*SUMPRODUCT(N(NC[DATA]=NC[[#This Row],[DATA]]),N(NC[ID]&lt;=NC[[#This Row],[ID]]))</f>
        <v>14.9</v>
      </c>
      <c r="R10" s="23">
        <f>TRUNC(NC[CORR. BASE]*SETUP!$F$3,2)</f>
        <v>0.28999999999999998</v>
      </c>
      <c r="S10" s="23">
        <f>TRUNC(NC[CORR. BASE]*SETUP!$G$3,2)</f>
        <v>0.57999999999999996</v>
      </c>
      <c r="T10" s="23">
        <f>NC[VL LIQUID]-NC[TX LIQUID]-NC[EMOL]-NC[REGISTRO]-NC[CORR. BASE]-NC[ISS]-NC[OUTRAS]</f>
        <v>674.0100000000001</v>
      </c>
      <c r="U10" s="23">
        <f>NC[LÍQUIDO]-SUMPRODUCT(N(NC[DATA]=NC[[#This Row],[DATA]]),N(NC[ID]=(NC[[#This Row],[ID]]-1)),NC[LÍQUIDO])</f>
        <v>674.0100000000001</v>
      </c>
      <c r="V10" s="23">
        <f t="shared" si="0"/>
        <v>6.7401000000000009</v>
      </c>
      <c r="W10" s="23">
        <f>TRUNC(IF(OR(NC[OPER/TIPO]="CV",NC[OPER/TIPO]="VV"),     L10*SETUP!$H$3,     0),2)</f>
        <v>0.03</v>
      </c>
      <c r="X10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100</v>
      </c>
      <c r="Y10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5.7308500000000011</v>
      </c>
      <c r="Z10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6.7401000000000009</v>
      </c>
      <c r="AA10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100.92499999999998</v>
      </c>
      <c r="AB10" s="29">
        <f>IF(NC['[A/O']]="O",NC[LUCRO OP]*0.15,0)</f>
        <v>0</v>
      </c>
      <c r="AC10" s="28">
        <f>NC[LUCRO OP]/ABS(NC[VALOR P/ OP])</f>
        <v>0.14973813444904374</v>
      </c>
      <c r="AD10" s="23">
        <f>SUMPRODUCT(N(YEAR(NC[D LIQUID])=YEAR(NC[[#This Row],[D LIQUID]])),N(MONTH(NC[D LIQUID])=MONTH(NC[[#This Row],[D LIQUID]])),N(NC['[D/N']]="N"),NC[LUCRO OP])</f>
        <v>306.37500000000023</v>
      </c>
      <c r="AE10" s="23">
        <f>SUMPRODUCT(N(YEAR(NC[D LIQUID])=YEAR(NC[[#This Row],[D LIQUID]])),N(MONTH(NC[D LIQUID])=MONTH(NC[[#This Row],[D LIQUID]])),N(NC['[D/N']]="D"),NC[LUCRO OP])</f>
        <v>-36.1</v>
      </c>
      <c r="AF10" s="23">
        <f>NC[LUCRO N '[A']]+NC[LUCRO D]</f>
        <v>270.2750000000002</v>
      </c>
      <c r="AG10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11" spans="1:33" s="21" customFormat="1" x14ac:dyDescent="0.2">
      <c r="A11" s="21">
        <v>10</v>
      </c>
      <c r="B11" s="21" t="s">
        <v>24</v>
      </c>
      <c r="C11" s="21" t="s">
        <v>55</v>
      </c>
      <c r="D11" s="22">
        <v>40910</v>
      </c>
      <c r="E11" s="21">
        <v>100</v>
      </c>
      <c r="F11" s="23">
        <v>5.83</v>
      </c>
      <c r="G11" s="23" t="s">
        <v>61</v>
      </c>
      <c r="H11" s="21" t="s">
        <v>12</v>
      </c>
      <c r="I11" s="22">
        <f>WORKDAY(NC[[#This Row],[DATA]],IF(NC['[A/O']]="A",3,1))</f>
        <v>40913</v>
      </c>
      <c r="J11" s="21">
        <f>EOMONTH(NC[[#This Row],[D LIQUID]],0)</f>
        <v>40939</v>
      </c>
      <c r="K11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11" s="23">
        <f>NC[QTDE]*NC[PREÇO]</f>
        <v>583</v>
      </c>
      <c r="M11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583</v>
      </c>
      <c r="N11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0.16</v>
      </c>
      <c r="O11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0.04</v>
      </c>
      <c r="P11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1" s="23">
        <f>SETUP!$E$3*SUMPRODUCT(N(NC[DATA]=NC[[#This Row],[DATA]]),N(NC[ID]&lt;=NC[[#This Row],[ID]]))</f>
        <v>14.9</v>
      </c>
      <c r="R11" s="23">
        <f>TRUNC(NC[CORR. BASE]*SETUP!$F$3,2)</f>
        <v>0.28999999999999998</v>
      </c>
      <c r="S11" s="23">
        <f>TRUNC(NC[CORR. BASE]*SETUP!$G$3,2)</f>
        <v>0.57999999999999996</v>
      </c>
      <c r="T11" s="23">
        <f>NC[VL LIQUID]-NC[TX LIQUID]-NC[EMOL]-NC[REGISTRO]-NC[CORR. BASE]-NC[ISS]-NC[OUTRAS]</f>
        <v>567.03000000000009</v>
      </c>
      <c r="U11" s="23">
        <f>NC[LÍQUIDO]-SUMPRODUCT(N(NC[DATA]=NC[[#This Row],[DATA]]),N(NC[ID]=(NC[[#This Row],[ID]]-1)),NC[LÍQUIDO])</f>
        <v>567.03000000000009</v>
      </c>
      <c r="V11" s="23">
        <f t="shared" si="0"/>
        <v>5.670300000000001</v>
      </c>
      <c r="W11" s="23">
        <f>TRUNC(IF(OR(NC[OPER/TIPO]="CV",NC[OPER/TIPO]="VV"),     L11*SETUP!$H$3,     0),2)</f>
        <v>0.02</v>
      </c>
      <c r="X11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1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5.7308500000000011</v>
      </c>
      <c r="Z11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5.670300000000001</v>
      </c>
      <c r="AA11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-6.0550000000000104</v>
      </c>
      <c r="AB11" s="29">
        <f>IF(NC['[A/O']]="O",NC[LUCRO OP]*0.15,0)</f>
        <v>0</v>
      </c>
      <c r="AC11" s="28">
        <f>NC[LUCRO OP]/ABS(NC[VALOR P/ OP])</f>
        <v>-1.0678447348464825E-2</v>
      </c>
      <c r="AD11" s="23">
        <f>SUMPRODUCT(N(YEAR(NC[D LIQUID])=YEAR(NC[[#This Row],[D LIQUID]])),N(MONTH(NC[D LIQUID])=MONTH(NC[[#This Row],[D LIQUID]])),N(NC['[D/N']]="N"),NC[LUCRO OP])</f>
        <v>-324.88500000000062</v>
      </c>
      <c r="AE11" s="23">
        <f>SUMPRODUCT(N(YEAR(NC[D LIQUID])=YEAR(NC[[#This Row],[D LIQUID]])),N(MONTH(NC[D LIQUID])=MONTH(NC[[#This Row],[D LIQUID]])),N(NC['[D/N']]="D"),NC[LUCRO OP])</f>
        <v>0</v>
      </c>
      <c r="AF11" s="23">
        <f>NC[LUCRO N '[A']]+NC[LUCRO D]</f>
        <v>-324.88500000000062</v>
      </c>
      <c r="AG11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2" spans="1:33" s="21" customFormat="1" x14ac:dyDescent="0.2">
      <c r="A12" s="21">
        <v>11</v>
      </c>
      <c r="B12" s="21" t="s">
        <v>24</v>
      </c>
      <c r="C12" s="21" t="s">
        <v>54</v>
      </c>
      <c r="D12" s="22">
        <v>40911</v>
      </c>
      <c r="E12" s="21">
        <v>200</v>
      </c>
      <c r="F12" s="23">
        <v>5.8</v>
      </c>
      <c r="G12" s="23" t="s">
        <v>61</v>
      </c>
      <c r="H12" s="21" t="s">
        <v>12</v>
      </c>
      <c r="I12" s="22">
        <f>WORKDAY(NC[[#This Row],[DATA]],IF(NC['[A/O']]="A",3,1))</f>
        <v>40914</v>
      </c>
      <c r="J12" s="21">
        <f>EOMONTH(NC[[#This Row],[D LIQUID]],0)</f>
        <v>40939</v>
      </c>
      <c r="K1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3</v>
      </c>
      <c r="L12" s="23">
        <f>NC[QTDE]*NC[PREÇO]</f>
        <v>1160</v>
      </c>
      <c r="M1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-1160</v>
      </c>
      <c r="N12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0.31</v>
      </c>
      <c r="O12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0.08</v>
      </c>
      <c r="P12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2" s="23">
        <f>SETUP!$E$3*SUMPRODUCT(N(NC[DATA]=NC[[#This Row],[DATA]]),N(NC[ID]&lt;=NC[[#This Row],[ID]]))</f>
        <v>14.9</v>
      </c>
      <c r="R12" s="23">
        <f>TRUNC(NC[CORR. BASE]*SETUP!$F$3,2)</f>
        <v>0.28999999999999998</v>
      </c>
      <c r="S12" s="23">
        <f>TRUNC(NC[CORR. BASE]*SETUP!$G$3,2)</f>
        <v>0.57999999999999996</v>
      </c>
      <c r="T12" s="23">
        <f>NC[VL LIQUID]-NC[TX LIQUID]-NC[EMOL]-NC[REGISTRO]-NC[CORR. BASE]-NC[ISS]-NC[OUTRAS]</f>
        <v>-1176.1599999999999</v>
      </c>
      <c r="U12" s="23">
        <f>NC[LÍQUIDO]-SUMPRODUCT(N(NC[DATA]=NC[[#This Row],[DATA]]),N(NC[ID]=(NC[[#This Row],[ID]]-1)),NC[LÍQUIDO])</f>
        <v>-1176.1599999999999</v>
      </c>
      <c r="V12" s="23">
        <f t="shared" si="0"/>
        <v>5.8807999999999989</v>
      </c>
      <c r="W12" s="23">
        <f>TRUNC(IF(OR(NC[OPER/TIPO]="CV",NC[OPER/TIPO]="VV"),     L12*SETUP!$H$3,     0),2)</f>
        <v>0</v>
      </c>
      <c r="X1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</v>
      </c>
      <c r="Y1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5.8807999999999989</v>
      </c>
      <c r="Z1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12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12" s="29">
        <f>IF(NC['[A/O']]="O",NC[LUCRO OP]*0.15,0)</f>
        <v>0</v>
      </c>
      <c r="AC12" s="28">
        <f>NC[LUCRO OP]/ABS(NC[VALOR P/ OP])</f>
        <v>0</v>
      </c>
      <c r="AD12" s="23">
        <f>SUMPRODUCT(N(YEAR(NC[D LIQUID])=YEAR(NC[[#This Row],[D LIQUID]])),N(MONTH(NC[D LIQUID])=MONTH(NC[[#This Row],[D LIQUID]])),N(NC['[D/N']]="N"),NC[LUCRO OP])</f>
        <v>-324.88500000000062</v>
      </c>
      <c r="AE12" s="23">
        <f>SUMPRODUCT(N(YEAR(NC[D LIQUID])=YEAR(NC[[#This Row],[D LIQUID]])),N(MONTH(NC[D LIQUID])=MONTH(NC[[#This Row],[D LIQUID]])),N(NC['[D/N']]="D"),NC[LUCRO OP])</f>
        <v>0</v>
      </c>
      <c r="AF12" s="23">
        <f>NC[LUCRO N '[A']]+NC[LUCRO D]</f>
        <v>-324.88500000000062</v>
      </c>
      <c r="AG12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3" spans="1:33" s="21" customFormat="1" x14ac:dyDescent="0.2">
      <c r="A13" s="21">
        <v>12</v>
      </c>
      <c r="B13" s="21" t="s">
        <v>27</v>
      </c>
      <c r="C13" s="21" t="s">
        <v>56</v>
      </c>
      <c r="D13" s="22">
        <v>40920</v>
      </c>
      <c r="E13" s="21">
        <v>300</v>
      </c>
      <c r="F13" s="23">
        <v>9.0399999999999991</v>
      </c>
      <c r="G13" s="23" t="s">
        <v>61</v>
      </c>
      <c r="H13" s="21" t="s">
        <v>12</v>
      </c>
      <c r="I13" s="22">
        <f>WORKDAY(NC[[#This Row],[DATA]],IF(NC['[A/O']]="A",3,1))</f>
        <v>40925</v>
      </c>
      <c r="J13" s="21">
        <f>EOMONTH(NC[[#This Row],[D LIQUID]],0)</f>
        <v>40939</v>
      </c>
      <c r="K13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3" s="23">
        <f>NC[QTDE]*NC[PREÇO]</f>
        <v>2711.9999999999995</v>
      </c>
      <c r="M13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2711.9999999999995</v>
      </c>
      <c r="N13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0.74</v>
      </c>
      <c r="O13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0.18</v>
      </c>
      <c r="P13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3" s="23">
        <f>SETUP!$E$3*SUMPRODUCT(N(NC[DATA]=NC[[#This Row],[DATA]]),N(NC[ID]&lt;=NC[[#This Row],[ID]]))</f>
        <v>14.9</v>
      </c>
      <c r="R13" s="23">
        <f>TRUNC(NC[CORR. BASE]*SETUP!$F$3,2)</f>
        <v>0.28999999999999998</v>
      </c>
      <c r="S13" s="23">
        <f>TRUNC(NC[CORR. BASE]*SETUP!$G$3,2)</f>
        <v>0.57999999999999996</v>
      </c>
      <c r="T13" s="23">
        <f>NC[VL LIQUID]-NC[TX LIQUID]-NC[EMOL]-NC[REGISTRO]-NC[CORR. BASE]-NC[ISS]-NC[OUTRAS]</f>
        <v>2695.31</v>
      </c>
      <c r="U13" s="23">
        <f>NC[LÍQUIDO]-SUMPRODUCT(N(NC[DATA]=NC[[#This Row],[DATA]]),N(NC[ID]=(NC[[#This Row],[ID]]-1)),NC[LÍQUIDO])</f>
        <v>2695.31</v>
      </c>
      <c r="V13" s="23">
        <f t="shared" si="0"/>
        <v>8.9843666666666664</v>
      </c>
      <c r="W13" s="23">
        <f>TRUNC(IF(OR(NC[OPER/TIPO]="CV",NC[OPER/TIPO]="VV"),     L13*SETUP!$H$3,     0),2)</f>
        <v>0.13</v>
      </c>
      <c r="X13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-300</v>
      </c>
      <c r="Y13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13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8.9843666666666664</v>
      </c>
      <c r="AA13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13" s="29">
        <f>IF(NC['[A/O']]="O",NC[LUCRO OP]*0.15,0)</f>
        <v>0</v>
      </c>
      <c r="AC13" s="28">
        <f>NC[LUCRO OP]/ABS(NC[VALOR P/ OP])</f>
        <v>0</v>
      </c>
      <c r="AD13" s="23">
        <f>SUMPRODUCT(N(YEAR(NC[D LIQUID])=YEAR(NC[[#This Row],[D LIQUID]])),N(MONTH(NC[D LIQUID])=MONTH(NC[[#This Row],[D LIQUID]])),N(NC['[D/N']]="N"),NC[LUCRO OP])</f>
        <v>-324.88500000000062</v>
      </c>
      <c r="AE13" s="23">
        <f>SUMPRODUCT(N(YEAR(NC[D LIQUID])=YEAR(NC[[#This Row],[D LIQUID]])),N(MONTH(NC[D LIQUID])=MONTH(NC[[#This Row],[D LIQUID]])),N(NC['[D/N']]="D"),NC[LUCRO OP])</f>
        <v>0</v>
      </c>
      <c r="AF13" s="23">
        <f>NC[LUCRO N '[A']]+NC[LUCRO D]</f>
        <v>-324.88500000000062</v>
      </c>
      <c r="AG13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4" spans="1:33" s="21" customFormat="1" x14ac:dyDescent="0.2">
      <c r="A14" s="21">
        <v>13</v>
      </c>
      <c r="B14" s="21" t="s">
        <v>24</v>
      </c>
      <c r="C14" s="21" t="s">
        <v>55</v>
      </c>
      <c r="D14" s="22">
        <v>40920</v>
      </c>
      <c r="E14" s="21">
        <v>200</v>
      </c>
      <c r="F14" s="23">
        <v>5.56</v>
      </c>
      <c r="G14" s="23" t="s">
        <v>61</v>
      </c>
      <c r="H14" s="21" t="s">
        <v>12</v>
      </c>
      <c r="I14" s="22">
        <f>WORKDAY(NC[[#This Row],[DATA]],IF(NC['[A/O']]="A",3,1))</f>
        <v>40925</v>
      </c>
      <c r="J14" s="21">
        <f>EOMONTH(NC[[#This Row],[D LIQUID]],0)</f>
        <v>40939</v>
      </c>
      <c r="K14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3</v>
      </c>
      <c r="L14" s="23">
        <f>NC[QTDE]*NC[PREÇO]</f>
        <v>1112</v>
      </c>
      <c r="M14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3823.9999999999995</v>
      </c>
      <c r="N14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1.05</v>
      </c>
      <c r="O14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0.26</v>
      </c>
      <c r="P14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4" s="23">
        <f>SETUP!$E$3*SUMPRODUCT(N(NC[DATA]=NC[[#This Row],[DATA]]),N(NC[ID]&lt;=NC[[#This Row],[ID]]))</f>
        <v>29.8</v>
      </c>
      <c r="R14" s="23">
        <f>TRUNC(NC[CORR. BASE]*SETUP!$F$3,2)</f>
        <v>0.59</v>
      </c>
      <c r="S14" s="23">
        <f>TRUNC(NC[CORR. BASE]*SETUP!$G$3,2)</f>
        <v>1.1599999999999999</v>
      </c>
      <c r="T14" s="23">
        <f>NC[VL LIQUID]-NC[TX LIQUID]-NC[EMOL]-NC[REGISTRO]-NC[CORR. BASE]-NC[ISS]-NC[OUTRAS]</f>
        <v>3791.139999999999</v>
      </c>
      <c r="U14" s="23">
        <f>NC[LÍQUIDO]-SUMPRODUCT(N(NC[DATA]=NC[[#This Row],[DATA]]),N(NC[ID]=(NC[[#This Row],[ID]]-1)),NC[LÍQUIDO])</f>
        <v>1095.829999999999</v>
      </c>
      <c r="V14" s="23">
        <f t="shared" si="0"/>
        <v>5.4791499999999953</v>
      </c>
      <c r="W14" s="23">
        <f>TRUNC(IF(OR(NC[OPER/TIPO]="CV",NC[OPER/TIPO]="VV"),     L14*SETUP!$H$3,     0),2)</f>
        <v>0.05</v>
      </c>
      <c r="X14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4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5.8807999999999989</v>
      </c>
      <c r="Z14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5.4791499999999953</v>
      </c>
      <c r="AA14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-80.330000000000723</v>
      </c>
      <c r="AB14" s="29">
        <f>IF(NC['[A/O']]="O",NC[LUCRO OP]*0.15,0)</f>
        <v>0</v>
      </c>
      <c r="AC14" s="28">
        <f>NC[LUCRO OP]/ABS(NC[VALOR P/ OP])</f>
        <v>-7.3305165947273571E-2</v>
      </c>
      <c r="AD14" s="23">
        <f>SUMPRODUCT(N(YEAR(NC[D LIQUID])=YEAR(NC[[#This Row],[D LIQUID]])),N(MONTH(NC[D LIQUID])=MONTH(NC[[#This Row],[D LIQUID]])),N(NC['[D/N']]="N"),NC[LUCRO OP])</f>
        <v>-324.88500000000062</v>
      </c>
      <c r="AE14" s="23">
        <f>SUMPRODUCT(N(YEAR(NC[D LIQUID])=YEAR(NC[[#This Row],[D LIQUID]])),N(MONTH(NC[D LIQUID])=MONTH(NC[[#This Row],[D LIQUID]])),N(NC['[D/N']]="D"),NC[LUCRO OP])</f>
        <v>0</v>
      </c>
      <c r="AF14" s="23">
        <f>NC[LUCRO N '[A']]+NC[LUCRO D]</f>
        <v>-324.88500000000062</v>
      </c>
      <c r="AG14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5" spans="1:33" s="21" customFormat="1" x14ac:dyDescent="0.2">
      <c r="A15" s="21">
        <v>14</v>
      </c>
      <c r="B15" s="21" t="s">
        <v>11</v>
      </c>
      <c r="C15" s="21" t="s">
        <v>54</v>
      </c>
      <c r="D15" s="22">
        <v>40927</v>
      </c>
      <c r="E15" s="21">
        <v>2000</v>
      </c>
      <c r="F15" s="23">
        <v>0.5</v>
      </c>
      <c r="G15" s="23" t="s">
        <v>61</v>
      </c>
      <c r="H15" s="21" t="s">
        <v>12</v>
      </c>
      <c r="I15" s="22">
        <f>WORKDAY(NC[[#This Row],[DATA]],IF(NC['[A/O']]="A",3,1))</f>
        <v>40932</v>
      </c>
      <c r="J15" s="21">
        <f>EOMONTH(NC[[#This Row],[D LIQUID]],0)</f>
        <v>40939</v>
      </c>
      <c r="K15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5" s="23">
        <f>NC[QTDE]*NC[PREÇO]</f>
        <v>1000</v>
      </c>
      <c r="M15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-1000</v>
      </c>
      <c r="N15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0.27</v>
      </c>
      <c r="O15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7.0000000000000007E-2</v>
      </c>
      <c r="P15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5" s="23">
        <f>SETUP!$E$3*SUMPRODUCT(N(NC[DATA]=NC[[#This Row],[DATA]]),N(NC[ID]&lt;=NC[[#This Row],[ID]]))</f>
        <v>14.9</v>
      </c>
      <c r="R15" s="23">
        <f>TRUNC(NC[CORR. BASE]*SETUP!$F$3,2)</f>
        <v>0.28999999999999998</v>
      </c>
      <c r="S15" s="23">
        <f>TRUNC(NC[CORR. BASE]*SETUP!$G$3,2)</f>
        <v>0.57999999999999996</v>
      </c>
      <c r="T15" s="23">
        <f>NC[VL LIQUID]-NC[TX LIQUID]-NC[EMOL]-NC[REGISTRO]-NC[CORR. BASE]-NC[ISS]-NC[OUTRAS]</f>
        <v>-1016.11</v>
      </c>
      <c r="U15" s="23">
        <f>NC[LÍQUIDO]-SUMPRODUCT(N(NC[DATA]=NC[[#This Row],[DATA]]),N(NC[ID]=(NC[[#This Row],[ID]]-1)),NC[LÍQUIDO])</f>
        <v>-1016.11</v>
      </c>
      <c r="V15" s="23">
        <f t="shared" si="0"/>
        <v>0.50805500000000003</v>
      </c>
      <c r="W15" s="23">
        <f>TRUNC(IF(OR(NC[OPER/TIPO]="CV",NC[OPER/TIPO]="VV"),     L15*SETUP!$H$3,     0),2)</f>
        <v>0</v>
      </c>
      <c r="X15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2000</v>
      </c>
      <c r="Y15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0.50805500000000003</v>
      </c>
      <c r="Z15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15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15" s="29">
        <f>IF(NC['[A/O']]="O",NC[LUCRO OP]*0.15,0)</f>
        <v>0</v>
      </c>
      <c r="AC15" s="28">
        <f>NC[LUCRO OP]/ABS(NC[VALOR P/ OP])</f>
        <v>0</v>
      </c>
      <c r="AD15" s="23">
        <f>SUMPRODUCT(N(YEAR(NC[D LIQUID])=YEAR(NC[[#This Row],[D LIQUID]])),N(MONTH(NC[D LIQUID])=MONTH(NC[[#This Row],[D LIQUID]])),N(NC['[D/N']]="N"),NC[LUCRO OP])</f>
        <v>-324.88500000000062</v>
      </c>
      <c r="AE15" s="23">
        <f>SUMPRODUCT(N(YEAR(NC[D LIQUID])=YEAR(NC[[#This Row],[D LIQUID]])),N(MONTH(NC[D LIQUID])=MONTH(NC[[#This Row],[D LIQUID]])),N(NC['[D/N']]="D"),NC[LUCRO OP])</f>
        <v>0</v>
      </c>
      <c r="AF15" s="23">
        <f>NC[LUCRO N '[A']]+NC[LUCRO D]</f>
        <v>-324.88500000000062</v>
      </c>
      <c r="AG15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6" spans="1:33" s="21" customFormat="1" x14ac:dyDescent="0.2">
      <c r="A16" s="21">
        <v>15</v>
      </c>
      <c r="B16" s="21" t="s">
        <v>23</v>
      </c>
      <c r="C16" s="21" t="s">
        <v>55</v>
      </c>
      <c r="D16" s="22">
        <v>40932</v>
      </c>
      <c r="E16" s="21">
        <v>100</v>
      </c>
      <c r="F16" s="23">
        <v>7.89</v>
      </c>
      <c r="G16" s="23" t="s">
        <v>61</v>
      </c>
      <c r="H16" s="21" t="s">
        <v>12</v>
      </c>
      <c r="I16" s="22">
        <f>WORKDAY(NC[[#This Row],[DATA]],IF(NC['[A/O']]="A",3,1))</f>
        <v>40935</v>
      </c>
      <c r="J16" s="21">
        <f>EOMONTH(NC[[#This Row],[D LIQUID]],0)</f>
        <v>40939</v>
      </c>
      <c r="K16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6" s="23">
        <f>NC[QTDE]*NC[PREÇO]</f>
        <v>789</v>
      </c>
      <c r="M16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789</v>
      </c>
      <c r="N16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0.21</v>
      </c>
      <c r="O16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0.05</v>
      </c>
      <c r="P16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6" s="23">
        <f>SETUP!$E$3*SUMPRODUCT(N(NC[DATA]=NC[[#This Row],[DATA]]),N(NC[ID]&lt;=NC[[#This Row],[ID]]))</f>
        <v>14.9</v>
      </c>
      <c r="R16" s="23">
        <f>TRUNC(NC[CORR. BASE]*SETUP!$F$3,2)</f>
        <v>0.28999999999999998</v>
      </c>
      <c r="S16" s="23">
        <f>TRUNC(NC[CORR. BASE]*SETUP!$G$3,2)</f>
        <v>0.57999999999999996</v>
      </c>
      <c r="T16" s="23">
        <f>NC[VL LIQUID]-NC[TX LIQUID]-NC[EMOL]-NC[REGISTRO]-NC[CORR. BASE]-NC[ISS]-NC[OUTRAS]</f>
        <v>772.97</v>
      </c>
      <c r="U16" s="23">
        <f>NC[LÍQUIDO]-SUMPRODUCT(N(NC[DATA]=NC[[#This Row],[DATA]]),N(NC[ID]=(NC[[#This Row],[ID]]-1)),NC[LÍQUIDO])</f>
        <v>772.97</v>
      </c>
      <c r="V16" s="23">
        <f t="shared" si="0"/>
        <v>7.7297000000000002</v>
      </c>
      <c r="W16" s="23">
        <f>TRUNC(IF(OR(NC[OPER/TIPO]="CV",NC[OPER/TIPO]="VV"),     L16*SETUP!$H$3,     0),2)</f>
        <v>0.03</v>
      </c>
      <c r="X16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6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8.6104999999999983</v>
      </c>
      <c r="Z16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7.7297000000000002</v>
      </c>
      <c r="AA16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-88.079999999999799</v>
      </c>
      <c r="AB16" s="29">
        <f>IF(NC['[A/O']]="O",NC[LUCRO OP]*0.15,0)</f>
        <v>0</v>
      </c>
      <c r="AC16" s="28">
        <f>NC[LUCRO OP]/ABS(NC[VALOR P/ OP])</f>
        <v>-0.11395008861922169</v>
      </c>
      <c r="AD16" s="23">
        <f>SUMPRODUCT(N(YEAR(NC[D LIQUID])=YEAR(NC[[#This Row],[D LIQUID]])),N(MONTH(NC[D LIQUID])=MONTH(NC[[#This Row],[D LIQUID]])),N(NC['[D/N']]="N"),NC[LUCRO OP])</f>
        <v>-324.88500000000062</v>
      </c>
      <c r="AE16" s="23">
        <f>SUMPRODUCT(N(YEAR(NC[D LIQUID])=YEAR(NC[[#This Row],[D LIQUID]])),N(MONTH(NC[D LIQUID])=MONTH(NC[[#This Row],[D LIQUID]])),N(NC['[D/N']]="D"),NC[LUCRO OP])</f>
        <v>0</v>
      </c>
      <c r="AF16" s="23">
        <f>NC[LUCRO N '[A']]+NC[LUCRO D]</f>
        <v>-324.88500000000062</v>
      </c>
      <c r="AG16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7" spans="1:33" s="21" customFormat="1" x14ac:dyDescent="0.2">
      <c r="A17" s="21">
        <v>16</v>
      </c>
      <c r="B17" s="21" t="s">
        <v>27</v>
      </c>
      <c r="C17" s="21" t="s">
        <v>57</v>
      </c>
      <c r="D17" s="22">
        <v>40934</v>
      </c>
      <c r="E17" s="21">
        <v>300</v>
      </c>
      <c r="F17" s="23">
        <v>9.43</v>
      </c>
      <c r="G17" s="23" t="s">
        <v>61</v>
      </c>
      <c r="H17" s="21" t="s">
        <v>12</v>
      </c>
      <c r="I17" s="22">
        <f>WORKDAY(NC[[#This Row],[DATA]],IF(NC['[A/O']]="A",3,1))</f>
        <v>40939</v>
      </c>
      <c r="J17" s="21">
        <f>EOMONTH(NC[[#This Row],[D LIQUID]],0)</f>
        <v>40939</v>
      </c>
      <c r="K17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7" s="23">
        <f>NC[QTDE]*NC[PREÇO]</f>
        <v>2829</v>
      </c>
      <c r="M17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-2829</v>
      </c>
      <c r="N17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0.77</v>
      </c>
      <c r="O17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0.19</v>
      </c>
      <c r="P17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7" s="23">
        <f>SETUP!$E$3*SUMPRODUCT(N(NC[DATA]=NC[[#This Row],[DATA]]),N(NC[ID]&lt;=NC[[#This Row],[ID]]))</f>
        <v>14.9</v>
      </c>
      <c r="R17" s="23">
        <f>TRUNC(NC[CORR. BASE]*SETUP!$F$3,2)</f>
        <v>0.28999999999999998</v>
      </c>
      <c r="S17" s="23">
        <f>TRUNC(NC[CORR. BASE]*SETUP!$G$3,2)</f>
        <v>0.57999999999999996</v>
      </c>
      <c r="T17" s="23">
        <f>NC[VL LIQUID]-NC[TX LIQUID]-NC[EMOL]-NC[REGISTRO]-NC[CORR. BASE]-NC[ISS]-NC[OUTRAS]</f>
        <v>-2845.73</v>
      </c>
      <c r="U17" s="23">
        <f>NC[LÍQUIDO]-SUMPRODUCT(N(NC[DATA]=NC[[#This Row],[DATA]]),N(NC[ID]=(NC[[#This Row],[ID]]-1)),NC[LÍQUIDO])</f>
        <v>-2845.73</v>
      </c>
      <c r="V17" s="23">
        <f t="shared" si="0"/>
        <v>9.4857666666666667</v>
      </c>
      <c r="W17" s="23">
        <f>TRUNC(IF(OR(NC[OPER/TIPO]="CV",NC[OPER/TIPO]="VV"),     L17*SETUP!$H$3,     0),2)</f>
        <v>0</v>
      </c>
      <c r="X17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7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9.4857666666666667</v>
      </c>
      <c r="Z17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8.9843666666666664</v>
      </c>
      <c r="AA17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-150.42000000000007</v>
      </c>
      <c r="AB17" s="29">
        <f>IF(NC['[A/O']]="O",NC[LUCRO OP]*0.15,0)</f>
        <v>0</v>
      </c>
      <c r="AC17" s="28">
        <f>NC[LUCRO OP]/ABS(NC[VALOR P/ OP])</f>
        <v>-5.2858141847610306E-2</v>
      </c>
      <c r="AD17" s="23">
        <f>SUMPRODUCT(N(YEAR(NC[D LIQUID])=YEAR(NC[[#This Row],[D LIQUID]])),N(MONTH(NC[D LIQUID])=MONTH(NC[[#This Row],[D LIQUID]])),N(NC['[D/N']]="N"),NC[LUCRO OP])</f>
        <v>-324.88500000000062</v>
      </c>
      <c r="AE17" s="23">
        <f>SUMPRODUCT(N(YEAR(NC[D LIQUID])=YEAR(NC[[#This Row],[D LIQUID]])),N(MONTH(NC[D LIQUID])=MONTH(NC[[#This Row],[D LIQUID]])),N(NC['[D/N']]="D"),NC[LUCRO OP])</f>
        <v>0</v>
      </c>
      <c r="AF17" s="23">
        <f>NC[LUCRO N '[A']]+NC[LUCRO D]</f>
        <v>-324.88500000000062</v>
      </c>
      <c r="AG17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8" spans="1:33" s="21" customFormat="1" x14ac:dyDescent="0.2">
      <c r="A18" s="21">
        <v>17</v>
      </c>
      <c r="B18" s="21" t="s">
        <v>28</v>
      </c>
      <c r="C18" s="21" t="s">
        <v>54</v>
      </c>
      <c r="D18" s="22">
        <v>40934</v>
      </c>
      <c r="E18" s="21">
        <v>2300</v>
      </c>
      <c r="F18" s="23">
        <v>0.43</v>
      </c>
      <c r="G18" s="23" t="s">
        <v>61</v>
      </c>
      <c r="H18" s="21" t="s">
        <v>12</v>
      </c>
      <c r="I18" s="22">
        <f>WORKDAY(NC[[#This Row],[DATA]],IF(NC['[A/O']]="A",3,1))</f>
        <v>40939</v>
      </c>
      <c r="J18" s="21">
        <f>EOMONTH(NC[[#This Row],[D LIQUID]],0)</f>
        <v>40939</v>
      </c>
      <c r="K18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18" s="23">
        <f>NC[QTDE]*NC[PREÇO]</f>
        <v>989</v>
      </c>
      <c r="M18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-3818</v>
      </c>
      <c r="N18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1.04</v>
      </c>
      <c r="O18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0.26</v>
      </c>
      <c r="P18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8" s="23">
        <f>SETUP!$E$3*SUMPRODUCT(N(NC[DATA]=NC[[#This Row],[DATA]]),N(NC[ID]&lt;=NC[[#This Row],[ID]]))</f>
        <v>29.8</v>
      </c>
      <c r="R18" s="23">
        <f>TRUNC(NC[CORR. BASE]*SETUP!$F$3,2)</f>
        <v>0.59</v>
      </c>
      <c r="S18" s="23">
        <f>TRUNC(NC[CORR. BASE]*SETUP!$G$3,2)</f>
        <v>1.1599999999999999</v>
      </c>
      <c r="T18" s="23">
        <f>NC[VL LIQUID]-NC[TX LIQUID]-NC[EMOL]-NC[REGISTRO]-NC[CORR. BASE]-NC[ISS]-NC[OUTRAS]</f>
        <v>-3850.8500000000004</v>
      </c>
      <c r="U18" s="23">
        <f>NC[LÍQUIDO]-SUMPRODUCT(N(NC[DATA]=NC[[#This Row],[DATA]]),N(NC[ID]=(NC[[#This Row],[ID]]-1)),NC[LÍQUIDO])</f>
        <v>-1005.1200000000003</v>
      </c>
      <c r="V18" s="23">
        <f t="shared" si="0"/>
        <v>0.43700869565217404</v>
      </c>
      <c r="W18" s="23">
        <f>TRUNC(IF(OR(NC[OPER/TIPO]="CV",NC[OPER/TIPO]="VV"),     L18*SETUP!$H$3,     0),2)</f>
        <v>0</v>
      </c>
      <c r="X18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2300</v>
      </c>
      <c r="Y18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0.43700869565217404</v>
      </c>
      <c r="Z18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18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18" s="29">
        <f>IF(NC['[A/O']]="O",NC[LUCRO OP]*0.15,0)</f>
        <v>0</v>
      </c>
      <c r="AC18" s="28">
        <f>NC[LUCRO OP]/ABS(NC[VALOR P/ OP])</f>
        <v>0</v>
      </c>
      <c r="AD18" s="23">
        <f>SUMPRODUCT(N(YEAR(NC[D LIQUID])=YEAR(NC[[#This Row],[D LIQUID]])),N(MONTH(NC[D LIQUID])=MONTH(NC[[#This Row],[D LIQUID]])),N(NC['[D/N']]="N"),NC[LUCRO OP])</f>
        <v>-324.88500000000062</v>
      </c>
      <c r="AE18" s="23">
        <f>SUMPRODUCT(N(YEAR(NC[D LIQUID])=YEAR(NC[[#This Row],[D LIQUID]])),N(MONTH(NC[D LIQUID])=MONTH(NC[[#This Row],[D LIQUID]])),N(NC['[D/N']]="D"),NC[LUCRO OP])</f>
        <v>0</v>
      </c>
      <c r="AF18" s="23">
        <f>NC[LUCRO N '[A']]+NC[LUCRO D]</f>
        <v>-324.88500000000062</v>
      </c>
      <c r="AG18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9" spans="1:33" s="21" customFormat="1" x14ac:dyDescent="0.2">
      <c r="A19" s="21">
        <v>18</v>
      </c>
      <c r="B19" s="21" t="s">
        <v>25</v>
      </c>
      <c r="C19" s="21" t="s">
        <v>57</v>
      </c>
      <c r="D19" s="22">
        <v>40939</v>
      </c>
      <c r="E19" s="21">
        <v>200</v>
      </c>
      <c r="F19" s="23">
        <v>4.76</v>
      </c>
      <c r="G19" s="23" t="s">
        <v>61</v>
      </c>
      <c r="H19" s="21" t="s">
        <v>12</v>
      </c>
      <c r="I19" s="22">
        <f>WORKDAY(NC[[#This Row],[DATA]],IF(NC['[A/O']]="A",3,1))</f>
        <v>40942</v>
      </c>
      <c r="J19" s="21">
        <f>EOMONTH(NC[[#This Row],[D LIQUID]],0)</f>
        <v>40968</v>
      </c>
      <c r="K19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19" s="23">
        <f>NC[QTDE]*NC[PREÇO]</f>
        <v>952</v>
      </c>
      <c r="M19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-952</v>
      </c>
      <c r="N19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0.26</v>
      </c>
      <c r="O19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0.06</v>
      </c>
      <c r="P19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9" s="23">
        <f>SETUP!$E$3*SUMPRODUCT(N(NC[DATA]=NC[[#This Row],[DATA]]),N(NC[ID]&lt;=NC[[#This Row],[ID]]))</f>
        <v>14.9</v>
      </c>
      <c r="R19" s="23">
        <f>TRUNC(NC[CORR. BASE]*SETUP!$F$3,2)</f>
        <v>0.28999999999999998</v>
      </c>
      <c r="S19" s="23">
        <f>TRUNC(NC[CORR. BASE]*SETUP!$G$3,2)</f>
        <v>0.57999999999999996</v>
      </c>
      <c r="T19" s="23">
        <f>NC[VL LIQUID]-NC[TX LIQUID]-NC[EMOL]-NC[REGISTRO]-NC[CORR. BASE]-NC[ISS]-NC[OUTRAS]</f>
        <v>-968.08999999999992</v>
      </c>
      <c r="U19" s="23">
        <f>NC[LÍQUIDO]-SUMPRODUCT(N(NC[DATA]=NC[[#This Row],[DATA]]),N(NC[ID]=(NC[[#This Row],[ID]]-1)),NC[LÍQUIDO])</f>
        <v>-968.08999999999992</v>
      </c>
      <c r="V19" s="23">
        <f t="shared" si="0"/>
        <v>4.8404499999999997</v>
      </c>
      <c r="W19" s="23">
        <f>TRUNC(IF(OR(NC[OPER/TIPO]="CV",NC[OPER/TIPO]="VV"),     L19*SETUP!$H$3,     0),2)</f>
        <v>0</v>
      </c>
      <c r="X19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9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4.8404499999999997</v>
      </c>
      <c r="Z19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4.1897500000000001</v>
      </c>
      <c r="AA19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-130.13999999999993</v>
      </c>
      <c r="AB19" s="29">
        <f>IF(NC['[A/O']]="O",NC[LUCRO OP]*0.15,0)</f>
        <v>0</v>
      </c>
      <c r="AC19" s="28">
        <f>NC[LUCRO OP]/ABS(NC[VALOR P/ OP])</f>
        <v>-0.13442965013583441</v>
      </c>
      <c r="AD19" s="23">
        <f>SUMPRODUCT(N(YEAR(NC[D LIQUID])=YEAR(NC[[#This Row],[D LIQUID]])),N(MONTH(NC[D LIQUID])=MONTH(NC[[#This Row],[D LIQUID]])),N(NC['[D/N']]="N"),NC[LUCRO OP])</f>
        <v>-467.17999999999961</v>
      </c>
      <c r="AE19" s="23">
        <f>SUMPRODUCT(N(YEAR(NC[D LIQUID])=YEAR(NC[[#This Row],[D LIQUID]])),N(MONTH(NC[D LIQUID])=MONTH(NC[[#This Row],[D LIQUID]])),N(NC['[D/N']]="D"),NC[LUCRO OP])</f>
        <v>0</v>
      </c>
      <c r="AF19" s="23">
        <f>NC[LUCRO N '[A']]+NC[LUCRO D]</f>
        <v>-467.17999999999961</v>
      </c>
      <c r="AG19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0" spans="1:33" s="21" customFormat="1" x14ac:dyDescent="0.2">
      <c r="A20" s="21">
        <v>19</v>
      </c>
      <c r="B20" s="21" t="s">
        <v>26</v>
      </c>
      <c r="C20" s="21" t="s">
        <v>55</v>
      </c>
      <c r="D20" s="22">
        <v>40945</v>
      </c>
      <c r="E20" s="21">
        <v>300</v>
      </c>
      <c r="F20" s="23">
        <v>7.7</v>
      </c>
      <c r="G20" s="23" t="s">
        <v>61</v>
      </c>
      <c r="H20" s="21" t="s">
        <v>12</v>
      </c>
      <c r="I20" s="22">
        <f>WORKDAY(NC[[#This Row],[DATA]],IF(NC['[A/O']]="A",3,1))</f>
        <v>40948</v>
      </c>
      <c r="J20" s="21">
        <f>EOMONTH(NC[[#This Row],[D LIQUID]],0)</f>
        <v>40968</v>
      </c>
      <c r="K20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0" s="23">
        <f>NC[QTDE]*NC[PREÇO]</f>
        <v>2310</v>
      </c>
      <c r="M20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2310</v>
      </c>
      <c r="N20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0.63</v>
      </c>
      <c r="O20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0.16</v>
      </c>
      <c r="P20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0" s="23">
        <f>SETUP!$E$3*SUMPRODUCT(N(NC[DATA]=NC[[#This Row],[DATA]]),N(NC[ID]&lt;=NC[[#This Row],[ID]]))</f>
        <v>14.9</v>
      </c>
      <c r="R20" s="23">
        <f>TRUNC(NC[CORR. BASE]*SETUP!$F$3,2)</f>
        <v>0.28999999999999998</v>
      </c>
      <c r="S20" s="23">
        <f>TRUNC(NC[CORR. BASE]*SETUP!$G$3,2)</f>
        <v>0.57999999999999996</v>
      </c>
      <c r="T20" s="23">
        <f>NC[VL LIQUID]-NC[TX LIQUID]-NC[EMOL]-NC[REGISTRO]-NC[CORR. BASE]-NC[ISS]-NC[OUTRAS]</f>
        <v>2293.44</v>
      </c>
      <c r="U20" s="23">
        <f>NC[LÍQUIDO]-SUMPRODUCT(N(NC[DATA]=NC[[#This Row],[DATA]]),N(NC[ID]=(NC[[#This Row],[ID]]-1)),NC[LÍQUIDO])</f>
        <v>2293.44</v>
      </c>
      <c r="V20" s="23">
        <f t="shared" si="0"/>
        <v>7.6448</v>
      </c>
      <c r="W20" s="23">
        <f>TRUNC(IF(OR(NC[OPER/TIPO]="CV",NC[OPER/TIPO]="VV"),     L20*SETUP!$H$3,     0),2)</f>
        <v>0.11</v>
      </c>
      <c r="X20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20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7.9152333333333322</v>
      </c>
      <c r="Z20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7.6448</v>
      </c>
      <c r="AA20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-81.129999999999654</v>
      </c>
      <c r="AB20" s="29">
        <f>IF(NC['[A/O']]="O",NC[LUCRO OP]*0.15,0)</f>
        <v>0</v>
      </c>
      <c r="AC20" s="28">
        <f>NC[LUCRO OP]/ABS(NC[VALOR P/ OP])</f>
        <v>-3.5374808148458059E-2</v>
      </c>
      <c r="AD20" s="23">
        <f>SUMPRODUCT(N(YEAR(NC[D LIQUID])=YEAR(NC[[#This Row],[D LIQUID]])),N(MONTH(NC[D LIQUID])=MONTH(NC[[#This Row],[D LIQUID]])),N(NC['[D/N']]="N"),NC[LUCRO OP])</f>
        <v>-467.17999999999961</v>
      </c>
      <c r="AE20" s="23">
        <f>SUMPRODUCT(N(YEAR(NC[D LIQUID])=YEAR(NC[[#This Row],[D LIQUID]])),N(MONTH(NC[D LIQUID])=MONTH(NC[[#This Row],[D LIQUID]])),N(NC['[D/N']]="D"),NC[LUCRO OP])</f>
        <v>0</v>
      </c>
      <c r="AF20" s="23">
        <f>NC[LUCRO N '[A']]+NC[LUCRO D]</f>
        <v>-467.17999999999961</v>
      </c>
      <c r="AG20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1" spans="1:33" s="21" customFormat="1" x14ac:dyDescent="0.2">
      <c r="A21" s="21">
        <v>20</v>
      </c>
      <c r="B21" s="21" t="s">
        <v>28</v>
      </c>
      <c r="C21" s="21" t="s">
        <v>54</v>
      </c>
      <c r="D21" s="22">
        <v>40945</v>
      </c>
      <c r="E21" s="21">
        <v>3700</v>
      </c>
      <c r="F21" s="23">
        <v>0.37</v>
      </c>
      <c r="G21" s="23" t="s">
        <v>61</v>
      </c>
      <c r="H21" s="21" t="s">
        <v>12</v>
      </c>
      <c r="I21" s="22">
        <f>WORKDAY(NC[[#This Row],[DATA]],IF(NC['[A/O']]="A",3,1))</f>
        <v>40948</v>
      </c>
      <c r="J21" s="21">
        <f>EOMONTH(NC[[#This Row],[D LIQUID]],0)</f>
        <v>40968</v>
      </c>
      <c r="K21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21" s="23">
        <f>NC[QTDE]*NC[PREÇO]</f>
        <v>1369</v>
      </c>
      <c r="M21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941</v>
      </c>
      <c r="N21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1.01</v>
      </c>
      <c r="O21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0.25</v>
      </c>
      <c r="P21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1" s="23">
        <f>SETUP!$E$3*SUMPRODUCT(N(NC[DATA]=NC[[#This Row],[DATA]]),N(NC[ID]&lt;=NC[[#This Row],[ID]]))</f>
        <v>29.8</v>
      </c>
      <c r="R21" s="23">
        <f>TRUNC(NC[CORR. BASE]*SETUP!$F$3,2)</f>
        <v>0.59</v>
      </c>
      <c r="S21" s="23">
        <f>TRUNC(NC[CORR. BASE]*SETUP!$G$3,2)</f>
        <v>1.1599999999999999</v>
      </c>
      <c r="T21" s="23">
        <f>NC[VL LIQUID]-NC[TX LIQUID]-NC[EMOL]-NC[REGISTRO]-NC[CORR. BASE]-NC[ISS]-NC[OUTRAS]</f>
        <v>908.19</v>
      </c>
      <c r="U21" s="23">
        <f>NC[LÍQUIDO]-SUMPRODUCT(N(NC[DATA]=NC[[#This Row],[DATA]]),N(NC[ID]=(NC[[#This Row],[ID]]-1)),NC[LÍQUIDO])</f>
        <v>-1385.25</v>
      </c>
      <c r="V21" s="23">
        <f t="shared" si="0"/>
        <v>0.37439189189189187</v>
      </c>
      <c r="W21" s="23">
        <f>TRUNC(IF(OR(NC[OPER/TIPO]="CV",NC[OPER/TIPO]="VV"),     L21*SETUP!$H$3,     0),2)</f>
        <v>0</v>
      </c>
      <c r="X21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6000</v>
      </c>
      <c r="Y21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0.39839500000000005</v>
      </c>
      <c r="Z21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1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21" s="29">
        <f>IF(NC['[A/O']]="O",NC[LUCRO OP]*0.15,0)</f>
        <v>0</v>
      </c>
      <c r="AC21" s="28">
        <f>NC[LUCRO OP]/ABS(NC[VALOR P/ OP])</f>
        <v>0</v>
      </c>
      <c r="AD21" s="23">
        <f>SUMPRODUCT(N(YEAR(NC[D LIQUID])=YEAR(NC[[#This Row],[D LIQUID]])),N(MONTH(NC[D LIQUID])=MONTH(NC[[#This Row],[D LIQUID]])),N(NC['[D/N']]="N"),NC[LUCRO OP])</f>
        <v>-467.17999999999961</v>
      </c>
      <c r="AE21" s="23">
        <f>SUMPRODUCT(N(YEAR(NC[D LIQUID])=YEAR(NC[[#This Row],[D LIQUID]])),N(MONTH(NC[D LIQUID])=MONTH(NC[[#This Row],[D LIQUID]])),N(NC['[D/N']]="D"),NC[LUCRO OP])</f>
        <v>0</v>
      </c>
      <c r="AF21" s="23">
        <f>NC[LUCRO N '[A']]+NC[LUCRO D]</f>
        <v>-467.17999999999961</v>
      </c>
      <c r="AG21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2" spans="1:33" s="21" customFormat="1" x14ac:dyDescent="0.2">
      <c r="A22" s="21">
        <v>21</v>
      </c>
      <c r="B22" s="21" t="s">
        <v>29</v>
      </c>
      <c r="C22" s="21" t="s">
        <v>54</v>
      </c>
      <c r="D22" s="22">
        <v>40945</v>
      </c>
      <c r="E22" s="21">
        <v>500</v>
      </c>
      <c r="F22" s="23">
        <v>2.37</v>
      </c>
      <c r="G22" s="23" t="s">
        <v>61</v>
      </c>
      <c r="H22" s="21" t="s">
        <v>12</v>
      </c>
      <c r="I22" s="22">
        <f>WORKDAY(NC[[#This Row],[DATA]],IF(NC['[A/O']]="A",3,1))</f>
        <v>40948</v>
      </c>
      <c r="J22" s="21">
        <f>EOMONTH(NC[[#This Row],[D LIQUID]],0)</f>
        <v>40968</v>
      </c>
      <c r="K2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2" s="23">
        <f>NC[QTDE]*NC[PREÇO]</f>
        <v>1185</v>
      </c>
      <c r="M2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-244</v>
      </c>
      <c r="N22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1.33</v>
      </c>
      <c r="O22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0.34</v>
      </c>
      <c r="P22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2" s="23">
        <f>SETUP!$E$3*SUMPRODUCT(N(NC[DATA]=NC[[#This Row],[DATA]]),N(NC[ID]&lt;=NC[[#This Row],[ID]]))</f>
        <v>44.7</v>
      </c>
      <c r="R22" s="23">
        <f>TRUNC(NC[CORR. BASE]*SETUP!$F$3,2)</f>
        <v>0.89</v>
      </c>
      <c r="S22" s="23">
        <f>TRUNC(NC[CORR. BASE]*SETUP!$G$3,2)</f>
        <v>1.74</v>
      </c>
      <c r="T22" s="23">
        <f>NC[VL LIQUID]-NC[TX LIQUID]-NC[EMOL]-NC[REGISTRO]-NC[CORR. BASE]-NC[ISS]-NC[OUTRAS]</f>
        <v>-293</v>
      </c>
      <c r="U22" s="23">
        <f>NC[LÍQUIDO]-SUMPRODUCT(N(NC[DATA]=NC[[#This Row],[DATA]]),N(NC[ID]=(NC[[#This Row],[ID]]-1)),NC[LÍQUIDO])</f>
        <v>-1201.19</v>
      </c>
      <c r="V22" s="23">
        <f t="shared" si="0"/>
        <v>2.40238</v>
      </c>
      <c r="W22" s="23">
        <f>TRUNC(IF(OR(NC[OPER/TIPO]="CV",NC[OPER/TIPO]="VV"),     L22*SETUP!$H$3,     0),2)</f>
        <v>0</v>
      </c>
      <c r="X2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500</v>
      </c>
      <c r="Y2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2.40238</v>
      </c>
      <c r="Z2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2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22" s="29">
        <f>IF(NC['[A/O']]="O",NC[LUCRO OP]*0.15,0)</f>
        <v>0</v>
      </c>
      <c r="AC22" s="28">
        <f>NC[LUCRO OP]/ABS(NC[VALOR P/ OP])</f>
        <v>0</v>
      </c>
      <c r="AD22" s="23">
        <f>SUMPRODUCT(N(YEAR(NC[D LIQUID])=YEAR(NC[[#This Row],[D LIQUID]])),N(MONTH(NC[D LIQUID])=MONTH(NC[[#This Row],[D LIQUID]])),N(NC['[D/N']]="N"),NC[LUCRO OP])</f>
        <v>-467.17999999999961</v>
      </c>
      <c r="AE22" s="23">
        <f>SUMPRODUCT(N(YEAR(NC[D LIQUID])=YEAR(NC[[#This Row],[D LIQUID]])),N(MONTH(NC[D LIQUID])=MONTH(NC[[#This Row],[D LIQUID]])),N(NC['[D/N']]="D"),NC[LUCRO OP])</f>
        <v>0</v>
      </c>
      <c r="AF22" s="23">
        <f>NC[LUCRO N '[A']]+NC[LUCRO D]</f>
        <v>-467.17999999999961</v>
      </c>
      <c r="AG22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3" spans="1:33" s="21" customFormat="1" x14ac:dyDescent="0.2">
      <c r="A23" s="21">
        <v>22</v>
      </c>
      <c r="B23" s="21" t="s">
        <v>11</v>
      </c>
      <c r="C23" s="21" t="s">
        <v>55</v>
      </c>
      <c r="D23" s="22">
        <v>40948</v>
      </c>
      <c r="E23" s="21">
        <v>1600</v>
      </c>
      <c r="F23" s="23">
        <v>0.4</v>
      </c>
      <c r="G23" s="23" t="s">
        <v>61</v>
      </c>
      <c r="H23" s="21" t="s">
        <v>12</v>
      </c>
      <c r="I23" s="22">
        <f>WORKDAY(NC[[#This Row],[DATA]],IF(NC['[A/O']]="A",3,1))</f>
        <v>40953</v>
      </c>
      <c r="J23" s="21">
        <f>EOMONTH(NC[[#This Row],[D LIQUID]],0)</f>
        <v>40968</v>
      </c>
      <c r="K23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3" s="23">
        <f>NC[QTDE]*NC[PREÇO]</f>
        <v>640</v>
      </c>
      <c r="M23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640</v>
      </c>
      <c r="N23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0.17</v>
      </c>
      <c r="O23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0.04</v>
      </c>
      <c r="P23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3" s="23">
        <f>SETUP!$E$3*SUMPRODUCT(N(NC[DATA]=NC[[#This Row],[DATA]]),N(NC[ID]&lt;=NC[[#This Row],[ID]]))</f>
        <v>14.9</v>
      </c>
      <c r="R23" s="23">
        <f>TRUNC(NC[CORR. BASE]*SETUP!$F$3,2)</f>
        <v>0.28999999999999998</v>
      </c>
      <c r="S23" s="23">
        <f>TRUNC(NC[CORR. BASE]*SETUP!$G$3,2)</f>
        <v>0.57999999999999996</v>
      </c>
      <c r="T23" s="23">
        <f>NC[VL LIQUID]-NC[TX LIQUID]-NC[EMOL]-NC[REGISTRO]-NC[CORR. BASE]-NC[ISS]-NC[OUTRAS]</f>
        <v>624.0200000000001</v>
      </c>
      <c r="U23" s="23">
        <f>NC[LÍQUIDO]-SUMPRODUCT(N(NC[DATA]=NC[[#This Row],[DATA]]),N(NC[ID]=(NC[[#This Row],[ID]]-1)),NC[LÍQUIDO])</f>
        <v>624.0200000000001</v>
      </c>
      <c r="V23" s="23">
        <f t="shared" si="0"/>
        <v>0.39001250000000004</v>
      </c>
      <c r="W23" s="23">
        <f>TRUNC(IF(OR(NC[OPER/TIPO]="CV",NC[OPER/TIPO]="VV"),     L23*SETUP!$H$3,     0),2)</f>
        <v>0.03</v>
      </c>
      <c r="X23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400</v>
      </c>
      <c r="Y23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0.50805500000000003</v>
      </c>
      <c r="Z23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0.39001250000000004</v>
      </c>
      <c r="AA23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-188.86799999999999</v>
      </c>
      <c r="AB23" s="29">
        <f>IF(NC['[A/O']]="O",NC[LUCRO OP]*0.15,0)</f>
        <v>0</v>
      </c>
      <c r="AC23" s="28">
        <f>NC[LUCRO OP]/ABS(NC[VALOR P/ OP])</f>
        <v>-0.30266337617384054</v>
      </c>
      <c r="AD23" s="23">
        <f>SUMPRODUCT(N(YEAR(NC[D LIQUID])=YEAR(NC[[#This Row],[D LIQUID]])),N(MONTH(NC[D LIQUID])=MONTH(NC[[#This Row],[D LIQUID]])),N(NC['[D/N']]="N"),NC[LUCRO OP])</f>
        <v>-467.17999999999961</v>
      </c>
      <c r="AE23" s="23">
        <f>SUMPRODUCT(N(YEAR(NC[D LIQUID])=YEAR(NC[[#This Row],[D LIQUID]])),N(MONTH(NC[D LIQUID])=MONTH(NC[[#This Row],[D LIQUID]])),N(NC['[D/N']]="D"),NC[LUCRO OP])</f>
        <v>0</v>
      </c>
      <c r="AF23" s="23">
        <f>NC[LUCRO N '[A']]+NC[LUCRO D]</f>
        <v>-467.17999999999961</v>
      </c>
      <c r="AG23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4" spans="1:33" s="21" customFormat="1" x14ac:dyDescent="0.2">
      <c r="A24" s="21">
        <v>23</v>
      </c>
      <c r="B24" s="21" t="s">
        <v>13</v>
      </c>
      <c r="C24" s="21" t="s">
        <v>54</v>
      </c>
      <c r="D24" s="22">
        <v>40948</v>
      </c>
      <c r="E24" s="21">
        <v>3000</v>
      </c>
      <c r="F24" s="23">
        <v>0.2</v>
      </c>
      <c r="G24" s="23" t="s">
        <v>61</v>
      </c>
      <c r="H24" s="21" t="s">
        <v>12</v>
      </c>
      <c r="I24" s="22">
        <f>WORKDAY(NC[[#This Row],[DATA]],IF(NC['[A/O']]="A",3,1))</f>
        <v>40953</v>
      </c>
      <c r="J24" s="21">
        <f>EOMONTH(NC[[#This Row],[D LIQUID]],0)</f>
        <v>40968</v>
      </c>
      <c r="K24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4" s="23">
        <f>NC[QTDE]*NC[PREÇO]</f>
        <v>600</v>
      </c>
      <c r="M24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40</v>
      </c>
      <c r="N24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0.34</v>
      </c>
      <c r="O24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0.08</v>
      </c>
      <c r="P24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4" s="23">
        <f>SETUP!$E$3*SUMPRODUCT(N(NC[DATA]=NC[[#This Row],[DATA]]),N(NC[ID]&lt;=NC[[#This Row],[ID]]))</f>
        <v>29.8</v>
      </c>
      <c r="R24" s="23">
        <f>TRUNC(NC[CORR. BASE]*SETUP!$F$3,2)</f>
        <v>0.59</v>
      </c>
      <c r="S24" s="23">
        <f>TRUNC(NC[CORR. BASE]*SETUP!$G$3,2)</f>
        <v>1.1599999999999999</v>
      </c>
      <c r="T24" s="23">
        <f>NC[VL LIQUID]-NC[TX LIQUID]-NC[EMOL]-NC[REGISTRO]-NC[CORR. BASE]-NC[ISS]-NC[OUTRAS]</f>
        <v>8.0299999999999976</v>
      </c>
      <c r="U24" s="23">
        <f>NC[LÍQUIDO]-SUMPRODUCT(N(NC[DATA]=NC[[#This Row],[DATA]]),N(NC[ID]=(NC[[#This Row],[ID]]-1)),NC[LÍQUIDO])</f>
        <v>-615.99000000000012</v>
      </c>
      <c r="V24" s="23">
        <f t="shared" si="0"/>
        <v>0.20533000000000004</v>
      </c>
      <c r="W24" s="23">
        <f>TRUNC(IF(OR(NC[OPER/TIPO]="CV",NC[OPER/TIPO]="VV"),     L24*SETUP!$H$3,     0),2)</f>
        <v>0</v>
      </c>
      <c r="X24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3000</v>
      </c>
      <c r="Y24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0.20533000000000004</v>
      </c>
      <c r="Z24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4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24" s="29">
        <f>IF(NC['[A/O']]="O",NC[LUCRO OP]*0.15,0)</f>
        <v>0</v>
      </c>
      <c r="AC24" s="28">
        <f>NC[LUCRO OP]/ABS(NC[VALOR P/ OP])</f>
        <v>0</v>
      </c>
      <c r="AD24" s="23">
        <f>SUMPRODUCT(N(YEAR(NC[D LIQUID])=YEAR(NC[[#This Row],[D LIQUID]])),N(MONTH(NC[D LIQUID])=MONTH(NC[[#This Row],[D LIQUID]])),N(NC['[D/N']]="N"),NC[LUCRO OP])</f>
        <v>-467.17999999999961</v>
      </c>
      <c r="AE24" s="23">
        <f>SUMPRODUCT(N(YEAR(NC[D LIQUID])=YEAR(NC[[#This Row],[D LIQUID]])),N(MONTH(NC[D LIQUID])=MONTH(NC[[#This Row],[D LIQUID]])),N(NC['[D/N']]="D"),NC[LUCRO OP])</f>
        <v>0</v>
      </c>
      <c r="AF24" s="23">
        <f>NC[LUCRO N '[A']]+NC[LUCRO D]</f>
        <v>-467.17999999999961</v>
      </c>
      <c r="AG24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5" spans="1:33" s="21" customFormat="1" x14ac:dyDescent="0.2">
      <c r="A25" s="21">
        <v>24</v>
      </c>
      <c r="B25" s="21" t="s">
        <v>11</v>
      </c>
      <c r="C25" s="21" t="s">
        <v>55</v>
      </c>
      <c r="D25" s="22">
        <v>40962</v>
      </c>
      <c r="E25" s="21">
        <v>400</v>
      </c>
      <c r="F25" s="23">
        <v>0.38</v>
      </c>
      <c r="G25" s="23" t="s">
        <v>61</v>
      </c>
      <c r="H25" s="21" t="s">
        <v>12</v>
      </c>
      <c r="I25" s="22">
        <f>WORKDAY(NC[[#This Row],[DATA]],IF(NC['[A/O']]="A",3,1))</f>
        <v>40967</v>
      </c>
      <c r="J25" s="21">
        <f>EOMONTH(NC[[#This Row],[D LIQUID]],0)</f>
        <v>40968</v>
      </c>
      <c r="K25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5" s="23">
        <f>NC[QTDE]*NC[PREÇO]</f>
        <v>152</v>
      </c>
      <c r="M25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152</v>
      </c>
      <c r="N25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0.04</v>
      </c>
      <c r="O25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0.01</v>
      </c>
      <c r="P25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5" s="23">
        <f>SETUP!$E$3*SUMPRODUCT(N(NC[DATA]=NC[[#This Row],[DATA]]),N(NC[ID]&lt;=NC[[#This Row],[ID]]))</f>
        <v>14.9</v>
      </c>
      <c r="R25" s="23">
        <f>TRUNC(NC[CORR. BASE]*SETUP!$F$3,2)</f>
        <v>0.28999999999999998</v>
      </c>
      <c r="S25" s="23">
        <f>TRUNC(NC[CORR. BASE]*SETUP!$G$3,2)</f>
        <v>0.57999999999999996</v>
      </c>
      <c r="T25" s="23">
        <f>NC[VL LIQUID]-NC[TX LIQUID]-NC[EMOL]-NC[REGISTRO]-NC[CORR. BASE]-NC[ISS]-NC[OUTRAS]</f>
        <v>136.18</v>
      </c>
      <c r="U25" s="23">
        <f>NC[LÍQUIDO]-SUMPRODUCT(N(NC[DATA]=NC[[#This Row],[DATA]]),N(NC[ID]=(NC[[#This Row],[ID]]-1)),NC[LÍQUIDO])</f>
        <v>136.18</v>
      </c>
      <c r="V25" s="23">
        <f t="shared" si="0"/>
        <v>0.34045000000000003</v>
      </c>
      <c r="W25" s="23">
        <f>TRUNC(IF(OR(NC[OPER/TIPO]="CV",NC[OPER/TIPO]="VV"),     L25*SETUP!$H$3,     0),2)</f>
        <v>0</v>
      </c>
      <c r="X25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25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0.50805500000000003</v>
      </c>
      <c r="Z25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0.34045000000000003</v>
      </c>
      <c r="AA25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-67.042000000000002</v>
      </c>
      <c r="AB25" s="29">
        <f>IF(NC['[A/O']]="O",NC[LUCRO OP]*0.15,0)</f>
        <v>0</v>
      </c>
      <c r="AC25" s="28">
        <f>NC[LUCRO OP]/ABS(NC[VALOR P/ OP])</f>
        <v>-0.49230430312821266</v>
      </c>
      <c r="AD25" s="23">
        <f>SUMPRODUCT(N(YEAR(NC[D LIQUID])=YEAR(NC[[#This Row],[D LIQUID]])),N(MONTH(NC[D LIQUID])=MONTH(NC[[#This Row],[D LIQUID]])),N(NC['[D/N']]="N"),NC[LUCRO OP])</f>
        <v>-467.17999999999961</v>
      </c>
      <c r="AE25" s="23">
        <f>SUMPRODUCT(N(YEAR(NC[D LIQUID])=YEAR(NC[[#This Row],[D LIQUID]])),N(MONTH(NC[D LIQUID])=MONTH(NC[[#This Row],[D LIQUID]])),N(NC['[D/N']]="D"),NC[LUCRO OP])</f>
        <v>0</v>
      </c>
      <c r="AF25" s="23">
        <f>NC[LUCRO N '[A']]+NC[LUCRO D]</f>
        <v>-467.17999999999961</v>
      </c>
      <c r="AG25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6" spans="1:33" s="21" customFormat="1" x14ac:dyDescent="0.2">
      <c r="A26" s="21">
        <v>25</v>
      </c>
      <c r="B26" s="21" t="s">
        <v>13</v>
      </c>
      <c r="C26" s="21" t="s">
        <v>55</v>
      </c>
      <c r="D26" s="22">
        <v>40967</v>
      </c>
      <c r="E26" s="21">
        <v>3000</v>
      </c>
      <c r="F26" s="23">
        <v>0.17</v>
      </c>
      <c r="G26" s="23" t="s">
        <v>61</v>
      </c>
      <c r="H26" s="21" t="s">
        <v>12</v>
      </c>
      <c r="I26" s="22">
        <f>WORKDAY(NC[[#This Row],[DATA]],IF(NC['[A/O']]="A",3,1))</f>
        <v>40970</v>
      </c>
      <c r="J26" s="21">
        <f>EOMONTH(NC[[#This Row],[D LIQUID]],0)</f>
        <v>40999</v>
      </c>
      <c r="K26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6" s="23">
        <f>NC[QTDE]*NC[PREÇO]</f>
        <v>510.00000000000006</v>
      </c>
      <c r="M26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510.00000000000006</v>
      </c>
      <c r="N26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0.14000000000000001</v>
      </c>
      <c r="O26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0.03</v>
      </c>
      <c r="P26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6" s="23">
        <f>SETUP!$E$3*SUMPRODUCT(N(NC[DATA]=NC[[#This Row],[DATA]]),N(NC[ID]&lt;=NC[[#This Row],[ID]]))</f>
        <v>14.9</v>
      </c>
      <c r="R26" s="23">
        <f>TRUNC(NC[CORR. BASE]*SETUP!$F$3,2)</f>
        <v>0.28999999999999998</v>
      </c>
      <c r="S26" s="23">
        <f>TRUNC(NC[CORR. BASE]*SETUP!$G$3,2)</f>
        <v>0.57999999999999996</v>
      </c>
      <c r="T26" s="23">
        <f>NC[VL LIQUID]-NC[TX LIQUID]-NC[EMOL]-NC[REGISTRO]-NC[CORR. BASE]-NC[ISS]-NC[OUTRAS]</f>
        <v>494.06000000000012</v>
      </c>
      <c r="U26" s="23">
        <f>NC[LÍQUIDO]-SUMPRODUCT(N(NC[DATA]=NC[[#This Row],[DATA]]),N(NC[ID]=(NC[[#This Row],[ID]]-1)),NC[LÍQUIDO])</f>
        <v>494.06000000000012</v>
      </c>
      <c r="V26" s="23">
        <f t="shared" si="0"/>
        <v>0.1646866666666667</v>
      </c>
      <c r="W26" s="23">
        <f>TRUNC(IF(OR(NC[OPER/TIPO]="CV",NC[OPER/TIPO]="VV"),     L26*SETUP!$H$3,     0),2)</f>
        <v>0.02</v>
      </c>
      <c r="X26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26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0.20533000000000004</v>
      </c>
      <c r="Z26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0.1646866666666667</v>
      </c>
      <c r="AA26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-121.93</v>
      </c>
      <c r="AB26" s="29">
        <f>IF(NC['[A/O']]="O",NC[LUCRO OP]*0.15,0)</f>
        <v>0</v>
      </c>
      <c r="AC26" s="28">
        <f>NC[LUCRO OP]/ABS(NC[VALOR P/ OP])</f>
        <v>-0.24679188762498477</v>
      </c>
      <c r="AD26" s="23">
        <f>SUMPRODUCT(N(YEAR(NC[D LIQUID])=YEAR(NC[[#This Row],[D LIQUID]])),N(MONTH(NC[D LIQUID])=MONTH(NC[[#This Row],[D LIQUID]])),N(NC['[D/N']]="N"),NC[LUCRO OP])</f>
        <v>-1347.6999999999994</v>
      </c>
      <c r="AE26" s="23">
        <f>SUMPRODUCT(N(YEAR(NC[D LIQUID])=YEAR(NC[[#This Row],[D LIQUID]])),N(MONTH(NC[D LIQUID])=MONTH(NC[[#This Row],[D LIQUID]])),N(NC['[D/N']]="D"),NC[LUCRO OP])</f>
        <v>0</v>
      </c>
      <c r="AF26" s="23">
        <f>NC[LUCRO N '[A']]+NC[LUCRO D]</f>
        <v>-1347.6999999999994</v>
      </c>
      <c r="AG26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27" spans="1:33" s="21" customFormat="1" x14ac:dyDescent="0.2">
      <c r="A27" s="21">
        <v>26</v>
      </c>
      <c r="B27" s="21" t="s">
        <v>28</v>
      </c>
      <c r="C27" s="21" t="s">
        <v>55</v>
      </c>
      <c r="D27" s="22">
        <v>40967</v>
      </c>
      <c r="E27" s="21">
        <v>3000</v>
      </c>
      <c r="F27" s="23">
        <v>0.27</v>
      </c>
      <c r="G27" s="23" t="s">
        <v>61</v>
      </c>
      <c r="H27" s="21" t="s">
        <v>12</v>
      </c>
      <c r="I27" s="22">
        <f>WORKDAY(NC[[#This Row],[DATA]],IF(NC['[A/O']]="A",3,1))</f>
        <v>40970</v>
      </c>
      <c r="J27" s="21">
        <f>EOMONTH(NC[[#This Row],[D LIQUID]],0)</f>
        <v>40999</v>
      </c>
      <c r="K27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27" s="23">
        <f>NC[QTDE]*NC[PREÇO]</f>
        <v>810</v>
      </c>
      <c r="M27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1320</v>
      </c>
      <c r="N27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0.36</v>
      </c>
      <c r="O27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0.09</v>
      </c>
      <c r="P27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7" s="23">
        <f>SETUP!$E$3*SUMPRODUCT(N(NC[DATA]=NC[[#This Row],[DATA]]),N(NC[ID]&lt;=NC[[#This Row],[ID]]))</f>
        <v>29.8</v>
      </c>
      <c r="R27" s="23">
        <f>TRUNC(NC[CORR. BASE]*SETUP!$F$3,2)</f>
        <v>0.59</v>
      </c>
      <c r="S27" s="23">
        <f>TRUNC(NC[CORR. BASE]*SETUP!$G$3,2)</f>
        <v>1.1599999999999999</v>
      </c>
      <c r="T27" s="23">
        <f>NC[VL LIQUID]-NC[TX LIQUID]-NC[EMOL]-NC[REGISTRO]-NC[CORR. BASE]-NC[ISS]-NC[OUTRAS]</f>
        <v>1288.0000000000002</v>
      </c>
      <c r="U27" s="23">
        <f>NC[LÍQUIDO]-SUMPRODUCT(N(NC[DATA]=NC[[#This Row],[DATA]]),N(NC[ID]=(NC[[#This Row],[ID]]-1)),NC[LÍQUIDO])</f>
        <v>793.94</v>
      </c>
      <c r="V27" s="23">
        <f t="shared" si="0"/>
        <v>0.2646466666666667</v>
      </c>
      <c r="W27" s="23">
        <f>TRUNC(IF(OR(NC[OPER/TIPO]="CV",NC[OPER/TIPO]="VV"),     L27*SETUP!$H$3,     0),2)</f>
        <v>0.04</v>
      </c>
      <c r="X27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3000</v>
      </c>
      <c r="Y27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0.39839500000000005</v>
      </c>
      <c r="Z27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0.2646466666666667</v>
      </c>
      <c r="AA27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-401.24500000000006</v>
      </c>
      <c r="AB27" s="29">
        <f>IF(NC['[A/O']]="O",NC[LUCRO OP]*0.15,0)</f>
        <v>0</v>
      </c>
      <c r="AC27" s="28">
        <f>NC[LUCRO OP]/ABS(NC[VALOR P/ OP])</f>
        <v>-0.50538453787439863</v>
      </c>
      <c r="AD27" s="23">
        <f>SUMPRODUCT(N(YEAR(NC[D LIQUID])=YEAR(NC[[#This Row],[D LIQUID]])),N(MONTH(NC[D LIQUID])=MONTH(NC[[#This Row],[D LIQUID]])),N(NC['[D/N']]="N"),NC[LUCRO OP])</f>
        <v>-1347.6999999999994</v>
      </c>
      <c r="AE27" s="23">
        <f>SUMPRODUCT(N(YEAR(NC[D LIQUID])=YEAR(NC[[#This Row],[D LIQUID]])),N(MONTH(NC[D LIQUID])=MONTH(NC[[#This Row],[D LIQUID]])),N(NC['[D/N']]="D"),NC[LUCRO OP])</f>
        <v>0</v>
      </c>
      <c r="AF27" s="23">
        <f>NC[LUCRO N '[A']]+NC[LUCRO D]</f>
        <v>-1347.6999999999994</v>
      </c>
      <c r="AG27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28" spans="1:33" x14ac:dyDescent="0.2">
      <c r="A28" s="21">
        <v>27</v>
      </c>
      <c r="B28" s="21" t="s">
        <v>28</v>
      </c>
      <c r="C28" s="21" t="s">
        <v>55</v>
      </c>
      <c r="D28" s="22">
        <v>40968</v>
      </c>
      <c r="E28" s="21">
        <v>3000</v>
      </c>
      <c r="F28" s="23">
        <v>0.25</v>
      </c>
      <c r="G28" s="23" t="s">
        <v>61</v>
      </c>
      <c r="H28" s="21" t="s">
        <v>12</v>
      </c>
      <c r="I28" s="22">
        <f>WORKDAY(NC[[#This Row],[DATA]],IF(NC['[A/O']]="A",3,1))</f>
        <v>40973</v>
      </c>
      <c r="J28" s="21">
        <f>EOMONTH(NC[[#This Row],[D LIQUID]],0)</f>
        <v>40999</v>
      </c>
      <c r="K28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28" s="23">
        <f>NC[QTDE]*NC[PREÇO]</f>
        <v>750</v>
      </c>
      <c r="M28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750</v>
      </c>
      <c r="N28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</v>
      </c>
      <c r="O28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0.05</v>
      </c>
      <c r="P28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8" s="23">
        <f>SETUP!$E$3*SUMPRODUCT(N(NC[DATA]=NC[[#This Row],[DATA]]),N(NC[ID]&lt;=NC[[#This Row],[ID]]))</f>
        <v>14.9</v>
      </c>
      <c r="R28" s="23">
        <f>TRUNC(NC[CORR. BASE]*SETUP!$F$3,2)</f>
        <v>0.28999999999999998</v>
      </c>
      <c r="S28" s="23">
        <f>TRUNC(NC[CORR. BASE]*SETUP!$G$3,2)</f>
        <v>0.57999999999999996</v>
      </c>
      <c r="T28" s="23">
        <f>NC[VL LIQUID]-NC[TX LIQUID]-NC[EMOL]-NC[REGISTRO]-NC[CORR. BASE]-NC[ISS]-NC[OUTRAS]</f>
        <v>733.98</v>
      </c>
      <c r="U28" s="23">
        <f>NC[LÍQUIDO]-SUMPRODUCT(N(NC[DATA]=NC[[#This Row],[DATA]]),N(NC[ID]=(NC[[#This Row],[ID]]-1)),NC[LÍQUIDO])</f>
        <v>733.98</v>
      </c>
      <c r="V28" s="23">
        <f t="shared" si="0"/>
        <v>0.24466000000000002</v>
      </c>
      <c r="W28" s="23">
        <f>TRUNC(IF(OR(NC[OPER/TIPO]="CV",NC[OPER/TIPO]="VV"),     L28*SETUP!$H$3,     0),2)</f>
        <v>0.03</v>
      </c>
      <c r="X28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28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0.39839500000000005</v>
      </c>
      <c r="Z28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0.24466000000000002</v>
      </c>
      <c r="AA28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-461.2050000000001</v>
      </c>
      <c r="AB28" s="29">
        <f>IF(NC['[A/O']]="O",NC[LUCRO OP]*0.15,0)</f>
        <v>0</v>
      </c>
      <c r="AC28" s="28">
        <f>NC[LUCRO OP]/ABS(NC[VALOR P/ OP])</f>
        <v>-0.62836180822365739</v>
      </c>
      <c r="AD28" s="23">
        <f>SUMPRODUCT(N(YEAR(NC[D LIQUID])=YEAR(NC[[#This Row],[D LIQUID]])),N(MONTH(NC[D LIQUID])=MONTH(NC[[#This Row],[D LIQUID]])),N(NC['[D/N']]="N"),NC[LUCRO OP])</f>
        <v>-1347.6999999999994</v>
      </c>
      <c r="AE28" s="23">
        <f>SUMPRODUCT(N(YEAR(NC[D LIQUID])=YEAR(NC[[#This Row],[D LIQUID]])),N(MONTH(NC[D LIQUID])=MONTH(NC[[#This Row],[D LIQUID]])),N(NC['[D/N']]="D"),NC[LUCRO OP])</f>
        <v>0</v>
      </c>
      <c r="AF28" s="23">
        <f>NC[LUCRO N '[A']]+NC[LUCRO D]</f>
        <v>-1347.6999999999994</v>
      </c>
      <c r="AG28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29" spans="1:33" x14ac:dyDescent="0.2">
      <c r="A29" s="21">
        <v>28</v>
      </c>
      <c r="B29" s="21" t="s">
        <v>39</v>
      </c>
      <c r="C29" s="21" t="s">
        <v>54</v>
      </c>
      <c r="D29" s="22">
        <v>40970</v>
      </c>
      <c r="E29" s="21">
        <v>500</v>
      </c>
      <c r="F29" s="23">
        <v>2.12</v>
      </c>
      <c r="G29" s="23" t="s">
        <v>61</v>
      </c>
      <c r="H29" s="21" t="s">
        <v>12</v>
      </c>
      <c r="I29" s="22">
        <f>WORKDAY(NC[[#This Row],[DATA]],IF(NC['[A/O']]="A",3,1))</f>
        <v>40975</v>
      </c>
      <c r="J29" s="21">
        <f>EOMONTH(NC[[#This Row],[D LIQUID]],0)</f>
        <v>40999</v>
      </c>
      <c r="K29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9" s="23">
        <f>NC[QTDE]*NC[PREÇO]</f>
        <v>1060</v>
      </c>
      <c r="M29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-1060</v>
      </c>
      <c r="N29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0.28999999999999998</v>
      </c>
      <c r="O29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7.0000000000000007E-2</v>
      </c>
      <c r="P29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9" s="23">
        <f>SETUP!$E$3*SUMPRODUCT(N(NC[DATA]=NC[[#This Row],[DATA]]),N(NC[ID]&lt;=NC[[#This Row],[ID]]))</f>
        <v>14.9</v>
      </c>
      <c r="R29" s="23">
        <f>TRUNC(NC[CORR. BASE]*SETUP!$F$3,2)</f>
        <v>0.28999999999999998</v>
      </c>
      <c r="S29" s="23">
        <f>TRUNC(NC[CORR. BASE]*SETUP!$G$3,2)</f>
        <v>0.57999999999999996</v>
      </c>
      <c r="T29" s="23">
        <f>NC[VL LIQUID]-NC[TX LIQUID]-NC[EMOL]-NC[REGISTRO]-NC[CORR. BASE]-NC[ISS]-NC[OUTRAS]</f>
        <v>-1076.1299999999999</v>
      </c>
      <c r="U29" s="23">
        <f>NC[LÍQUIDO]-SUMPRODUCT(N(NC[DATA]=NC[[#This Row],[DATA]]),N(NC[ID]=(NC[[#This Row],[ID]]-1)),NC[LÍQUIDO])</f>
        <v>-1076.1299999999999</v>
      </c>
      <c r="V29" s="23">
        <f t="shared" si="0"/>
        <v>2.1522599999999996</v>
      </c>
      <c r="W29" s="23">
        <f>TRUNC(IF(OR(NC[OPER/TIPO]="CV",NC[OPER/TIPO]="VV"),     L29*SETUP!$H$3,     0),2)</f>
        <v>0</v>
      </c>
      <c r="X29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500</v>
      </c>
      <c r="Y29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2.1522599999999996</v>
      </c>
      <c r="Z29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9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29" s="29">
        <f>IF(NC['[A/O']]="O",NC[LUCRO OP]*0.15,0)</f>
        <v>0</v>
      </c>
      <c r="AC29" s="28">
        <f>NC[LUCRO OP]/ABS(NC[VALOR P/ OP])</f>
        <v>0</v>
      </c>
      <c r="AD29" s="23">
        <f>SUMPRODUCT(N(YEAR(NC[D LIQUID])=YEAR(NC[[#This Row],[D LIQUID]])),N(MONTH(NC[D LIQUID])=MONTH(NC[[#This Row],[D LIQUID]])),N(NC['[D/N']]="N"),NC[LUCRO OP])</f>
        <v>-1347.6999999999994</v>
      </c>
      <c r="AE29" s="23">
        <f>SUMPRODUCT(N(YEAR(NC[D LIQUID])=YEAR(NC[[#This Row],[D LIQUID]])),N(MONTH(NC[D LIQUID])=MONTH(NC[[#This Row],[D LIQUID]])),N(NC['[D/N']]="D"),NC[LUCRO OP])</f>
        <v>0</v>
      </c>
      <c r="AF29" s="23">
        <f>NC[LUCRO N '[A']]+NC[LUCRO D]</f>
        <v>-1347.6999999999994</v>
      </c>
      <c r="AG29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0" spans="1:33" x14ac:dyDescent="0.2">
      <c r="A30" s="21">
        <v>29</v>
      </c>
      <c r="B30" s="21" t="s">
        <v>25</v>
      </c>
      <c r="C30" s="21" t="s">
        <v>54</v>
      </c>
      <c r="D30" s="22">
        <v>40970</v>
      </c>
      <c r="E30" s="21">
        <v>200</v>
      </c>
      <c r="F30" s="23">
        <v>4.95</v>
      </c>
      <c r="G30" s="23" t="s">
        <v>61</v>
      </c>
      <c r="H30" s="21" t="s">
        <v>12</v>
      </c>
      <c r="I30" s="22">
        <f>WORKDAY(NC[[#This Row],[DATA]],IF(NC['[A/O']]="A",3,1))</f>
        <v>40975</v>
      </c>
      <c r="J30" s="21">
        <f>EOMONTH(NC[[#This Row],[D LIQUID]],0)</f>
        <v>40999</v>
      </c>
      <c r="K30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30" s="23">
        <f>NC[QTDE]*NC[PREÇO]</f>
        <v>990</v>
      </c>
      <c r="M30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-2050</v>
      </c>
      <c r="N30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0.56000000000000005</v>
      </c>
      <c r="O30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0.14000000000000001</v>
      </c>
      <c r="P30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0" s="23">
        <f>SETUP!$E$3*SUMPRODUCT(N(NC[DATA]=NC[[#This Row],[DATA]]),N(NC[ID]&lt;=NC[[#This Row],[ID]]))</f>
        <v>29.8</v>
      </c>
      <c r="R30" s="23">
        <f>TRUNC(NC[CORR. BASE]*SETUP!$F$3,2)</f>
        <v>0.59</v>
      </c>
      <c r="S30" s="23">
        <f>TRUNC(NC[CORR. BASE]*SETUP!$G$3,2)</f>
        <v>1.1599999999999999</v>
      </c>
      <c r="T30" s="23">
        <f>NC[VL LIQUID]-NC[TX LIQUID]-NC[EMOL]-NC[REGISTRO]-NC[CORR. BASE]-NC[ISS]-NC[OUTRAS]</f>
        <v>-2082.25</v>
      </c>
      <c r="U30" s="23">
        <f>NC[LÍQUIDO]-SUMPRODUCT(N(NC[DATA]=NC[[#This Row],[DATA]]),N(NC[ID]=(NC[[#This Row],[ID]]-1)),NC[LÍQUIDO])</f>
        <v>-1006.1200000000001</v>
      </c>
      <c r="V30" s="23">
        <f t="shared" si="0"/>
        <v>5.0306000000000006</v>
      </c>
      <c r="W30" s="23">
        <f>TRUNC(IF(OR(NC[OPER/TIPO]="CV",NC[OPER/TIPO]="VV"),     L30*SETUP!$H$3,     0),2)</f>
        <v>0</v>
      </c>
      <c r="X30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</v>
      </c>
      <c r="Y30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5.0306000000000006</v>
      </c>
      <c r="Z30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30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30" s="29">
        <f>IF(NC['[A/O']]="O",NC[LUCRO OP]*0.15,0)</f>
        <v>0</v>
      </c>
      <c r="AC30" s="28">
        <f>NC[LUCRO OP]/ABS(NC[VALOR P/ OP])</f>
        <v>0</v>
      </c>
      <c r="AD30" s="23">
        <f>SUMPRODUCT(N(YEAR(NC[D LIQUID])=YEAR(NC[[#This Row],[D LIQUID]])),N(MONTH(NC[D LIQUID])=MONTH(NC[[#This Row],[D LIQUID]])),N(NC['[D/N']]="N"),NC[LUCRO OP])</f>
        <v>-1347.6999999999994</v>
      </c>
      <c r="AE30" s="23">
        <f>SUMPRODUCT(N(YEAR(NC[D LIQUID])=YEAR(NC[[#This Row],[D LIQUID]])),N(MONTH(NC[D LIQUID])=MONTH(NC[[#This Row],[D LIQUID]])),N(NC['[D/N']]="D"),NC[LUCRO OP])</f>
        <v>0</v>
      </c>
      <c r="AF30" s="23">
        <f>NC[LUCRO N '[A']]+NC[LUCRO D]</f>
        <v>-1347.6999999999994</v>
      </c>
      <c r="AG30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1" spans="1:33" x14ac:dyDescent="0.2">
      <c r="A31" s="21">
        <v>30</v>
      </c>
      <c r="B31" s="21" t="s">
        <v>39</v>
      </c>
      <c r="C31" s="21" t="s">
        <v>55</v>
      </c>
      <c r="D31" s="22">
        <v>40974</v>
      </c>
      <c r="E31" s="21">
        <v>500</v>
      </c>
      <c r="F31" s="23">
        <v>2.04</v>
      </c>
      <c r="G31" s="23" t="s">
        <v>61</v>
      </c>
      <c r="H31" s="21" t="s">
        <v>12</v>
      </c>
      <c r="I31" s="22">
        <f>WORKDAY(NC[[#This Row],[DATA]],IF(NC['[A/O']]="A",3,1))</f>
        <v>40977</v>
      </c>
      <c r="J31" s="21">
        <f>EOMONTH(NC[[#This Row],[D LIQUID]],0)</f>
        <v>40999</v>
      </c>
      <c r="K31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31" s="23">
        <f>NC[QTDE]*NC[PREÇO]</f>
        <v>1020</v>
      </c>
      <c r="M31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1020</v>
      </c>
      <c r="N31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0.28000000000000003</v>
      </c>
      <c r="O31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7.0000000000000007E-2</v>
      </c>
      <c r="P31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1" s="23">
        <f>SETUP!$E$3*SUMPRODUCT(N(NC[DATA]=NC[[#This Row],[DATA]]),N(NC[ID]&lt;=NC[[#This Row],[ID]]))</f>
        <v>14.9</v>
      </c>
      <c r="R31" s="23">
        <f>TRUNC(NC[CORR. BASE]*SETUP!$F$3,2)</f>
        <v>0.28999999999999998</v>
      </c>
      <c r="S31" s="23">
        <f>TRUNC(NC[CORR. BASE]*SETUP!$G$3,2)</f>
        <v>0.57999999999999996</v>
      </c>
      <c r="T31" s="23">
        <f>NC[VL LIQUID]-NC[TX LIQUID]-NC[EMOL]-NC[REGISTRO]-NC[CORR. BASE]-NC[ISS]-NC[OUTRAS]</f>
        <v>1003.88</v>
      </c>
      <c r="U31" s="23">
        <f>NC[LÍQUIDO]-SUMPRODUCT(N(NC[DATA]=NC[[#This Row],[DATA]]),N(NC[ID]=(NC[[#This Row],[ID]]-1)),NC[LÍQUIDO])</f>
        <v>1003.88</v>
      </c>
      <c r="V31" s="23">
        <f t="shared" si="0"/>
        <v>2.0077600000000002</v>
      </c>
      <c r="W31" s="23">
        <f>TRUNC(IF(OR(NC[OPER/TIPO]="CV",NC[OPER/TIPO]="VV"),     L31*SETUP!$H$3,     0),2)</f>
        <v>0.05</v>
      </c>
      <c r="X31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31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2.1522599999999996</v>
      </c>
      <c r="Z31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2.0077600000000002</v>
      </c>
      <c r="AA31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-72.249999999999702</v>
      </c>
      <c r="AB31" s="29">
        <f>IF(NC['[A/O']]="O",NC[LUCRO OP]*0.15,0)</f>
        <v>0</v>
      </c>
      <c r="AC31" s="28">
        <f>NC[LUCRO OP]/ABS(NC[VALOR P/ OP])</f>
        <v>-7.1970753476510843E-2</v>
      </c>
      <c r="AD31" s="23">
        <f>SUMPRODUCT(N(YEAR(NC[D LIQUID])=YEAR(NC[[#This Row],[D LIQUID]])),N(MONTH(NC[D LIQUID])=MONTH(NC[[#This Row],[D LIQUID]])),N(NC['[D/N']]="N"),NC[LUCRO OP])</f>
        <v>-1347.6999999999994</v>
      </c>
      <c r="AE31" s="23">
        <f>SUMPRODUCT(N(YEAR(NC[D LIQUID])=YEAR(NC[[#This Row],[D LIQUID]])),N(MONTH(NC[D LIQUID])=MONTH(NC[[#This Row],[D LIQUID]])),N(NC['[D/N']]="D"),NC[LUCRO OP])</f>
        <v>0</v>
      </c>
      <c r="AF31" s="23">
        <f>NC[LUCRO N '[A']]+NC[LUCRO D]</f>
        <v>-1347.6999999999994</v>
      </c>
      <c r="AG31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2" spans="1:33" x14ac:dyDescent="0.2">
      <c r="A32" s="21">
        <v>31</v>
      </c>
      <c r="B32" s="21" t="s">
        <v>52</v>
      </c>
      <c r="C32" s="21" t="s">
        <v>56</v>
      </c>
      <c r="D32" s="22">
        <v>40976</v>
      </c>
      <c r="E32" s="21">
        <v>200</v>
      </c>
      <c r="F32" s="23">
        <v>6.37</v>
      </c>
      <c r="G32" s="23" t="s">
        <v>61</v>
      </c>
      <c r="H32" s="21" t="s">
        <v>12</v>
      </c>
      <c r="I32" s="22">
        <f>WORKDAY(NC[[#This Row],[DATA]],IF(NC['[A/O']]="A",3,1))</f>
        <v>40981</v>
      </c>
      <c r="J32" s="21">
        <f>EOMONTH(NC[[#This Row],[D LIQUID]],0)</f>
        <v>40999</v>
      </c>
      <c r="K3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32" s="23">
        <f>NC[QTDE]*NC[PREÇO]</f>
        <v>1274</v>
      </c>
      <c r="M3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1274</v>
      </c>
      <c r="N32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0.35</v>
      </c>
      <c r="O32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0.08</v>
      </c>
      <c r="P32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2" s="23">
        <f>SETUP!$E$3*SUMPRODUCT(N(NC[DATA]=NC[[#This Row],[DATA]]),N(NC[ID]&lt;=NC[[#This Row],[ID]]))</f>
        <v>14.9</v>
      </c>
      <c r="R32" s="23">
        <f>TRUNC(NC[CORR. BASE]*SETUP!$F$3,2)</f>
        <v>0.28999999999999998</v>
      </c>
      <c r="S32" s="23">
        <f>TRUNC(NC[CORR. BASE]*SETUP!$G$3,2)</f>
        <v>0.57999999999999996</v>
      </c>
      <c r="T32" s="23">
        <f>NC[VL LIQUID]-NC[TX LIQUID]-NC[EMOL]-NC[REGISTRO]-NC[CORR. BASE]-NC[ISS]-NC[OUTRAS]</f>
        <v>1257.8000000000002</v>
      </c>
      <c r="U32" s="23">
        <f>NC[LÍQUIDO]-SUMPRODUCT(N(NC[DATA]=NC[[#This Row],[DATA]]),N(NC[ID]=(NC[[#This Row],[ID]]-1)),NC[LÍQUIDO])</f>
        <v>1257.8000000000002</v>
      </c>
      <c r="V32" s="23">
        <f t="shared" si="0"/>
        <v>6.2890000000000006</v>
      </c>
      <c r="W32" s="23">
        <f>TRUNC(IF(OR(NC[OPER/TIPO]="CV",NC[OPER/TIPO]="VV"),     L32*SETUP!$H$3,     0),2)</f>
        <v>0.06</v>
      </c>
      <c r="X3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-200</v>
      </c>
      <c r="Y3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3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6.2890000000000006</v>
      </c>
      <c r="AA32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32" s="29">
        <f>IF(NC['[A/O']]="O",NC[LUCRO OP]*0.15,0)</f>
        <v>0</v>
      </c>
      <c r="AC32" s="28">
        <f>NC[LUCRO OP]/ABS(NC[VALOR P/ OP])</f>
        <v>0</v>
      </c>
      <c r="AD32" s="23">
        <f>SUMPRODUCT(N(YEAR(NC[D LIQUID])=YEAR(NC[[#This Row],[D LIQUID]])),N(MONTH(NC[D LIQUID])=MONTH(NC[[#This Row],[D LIQUID]])),N(NC['[D/N']]="N"),NC[LUCRO OP])</f>
        <v>-1347.6999999999994</v>
      </c>
      <c r="AE32" s="23">
        <f>SUMPRODUCT(N(YEAR(NC[D LIQUID])=YEAR(NC[[#This Row],[D LIQUID]])),N(MONTH(NC[D LIQUID])=MONTH(NC[[#This Row],[D LIQUID]])),N(NC['[D/N']]="D"),NC[LUCRO OP])</f>
        <v>0</v>
      </c>
      <c r="AF32" s="23">
        <f>NC[LUCRO N '[A']]+NC[LUCRO D]</f>
        <v>-1347.6999999999994</v>
      </c>
      <c r="AG32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3" spans="1:33" x14ac:dyDescent="0.2">
      <c r="A33" s="30">
        <v>32</v>
      </c>
      <c r="B33" s="30" t="s">
        <v>52</v>
      </c>
      <c r="C33" s="30" t="s">
        <v>57</v>
      </c>
      <c r="D33" s="31">
        <v>40982</v>
      </c>
      <c r="E33" s="30">
        <v>200</v>
      </c>
      <c r="F33" s="32">
        <v>6.55</v>
      </c>
      <c r="G33" s="32" t="s">
        <v>61</v>
      </c>
      <c r="H33" s="30" t="s">
        <v>12</v>
      </c>
      <c r="I33" s="31">
        <f>WORKDAY(NC[[#This Row],[DATA]],IF(NC['[A/O']]="A",3,1))</f>
        <v>40987</v>
      </c>
      <c r="J33" s="30">
        <f>EOMONTH(NC[[#This Row],[D LIQUID]],0)</f>
        <v>40999</v>
      </c>
      <c r="K33" s="30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33" s="32">
        <f>NC[QTDE]*NC[PREÇO]</f>
        <v>1310</v>
      </c>
      <c r="M33" s="32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-1310</v>
      </c>
      <c r="N33" s="32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0.36</v>
      </c>
      <c r="O33" s="32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0.09</v>
      </c>
      <c r="P33" s="32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3" s="32">
        <f>SETUP!$E$3*SUMPRODUCT(N(NC[DATA]=NC[[#This Row],[DATA]]),N(NC[ID]&lt;=NC[[#This Row],[ID]]))</f>
        <v>14.9</v>
      </c>
      <c r="R33" s="32">
        <f>TRUNC(NC[CORR. BASE]*SETUP!$F$3,2)</f>
        <v>0.28999999999999998</v>
      </c>
      <c r="S33" s="32">
        <f>TRUNC(NC[CORR. BASE]*SETUP!$G$3,2)</f>
        <v>0.57999999999999996</v>
      </c>
      <c r="T33" s="32">
        <f>NC[VL LIQUID]-NC[TX LIQUID]-NC[EMOL]-NC[REGISTRO]-NC[CORR. BASE]-NC[ISS]-NC[OUTRAS]</f>
        <v>-1326.2199999999998</v>
      </c>
      <c r="U33" s="32">
        <f>NC[LÍQUIDO]-SUMPRODUCT(N(NC[DATA]=NC[[#This Row],[DATA]]),N(NC[ID]=(NC[[#This Row],[ID]]-1)),NC[LÍQUIDO])</f>
        <v>-1326.2199999999998</v>
      </c>
      <c r="V33" s="32">
        <f t="shared" si="0"/>
        <v>6.6310999999999991</v>
      </c>
      <c r="W33" s="32">
        <f>TRUNC(IF(OR(NC[OPER/TIPO]="CV",NC[OPER/TIPO]="VV"),     L33*SETUP!$H$3,     0),2)</f>
        <v>0</v>
      </c>
      <c r="X33" s="30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33" s="33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6.6310999999999991</v>
      </c>
      <c r="Z33" s="33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6.2890000000000006</v>
      </c>
      <c r="AA33" s="32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-68.419999999999703</v>
      </c>
      <c r="AB33" s="34">
        <f>IF(NC['[A/O']]="O",NC[LUCRO OP]*0.15,0)</f>
        <v>0</v>
      </c>
      <c r="AC33" s="35">
        <f>NC[LUCRO OP]/ABS(NC[VALOR P/ OP])</f>
        <v>-5.1590233897844784E-2</v>
      </c>
      <c r="AD33" s="32">
        <f>SUMPRODUCT(N(YEAR(NC[D LIQUID])=YEAR(NC[[#This Row],[D LIQUID]])),N(MONTH(NC[D LIQUID])=MONTH(NC[[#This Row],[D LIQUID]])),N(NC['[D/N']]="N"),NC[LUCRO OP])</f>
        <v>-1347.6999999999994</v>
      </c>
      <c r="AE33" s="32">
        <f>SUMPRODUCT(N(YEAR(NC[D LIQUID])=YEAR(NC[[#This Row],[D LIQUID]])),N(MONTH(NC[D LIQUID])=MONTH(NC[[#This Row],[D LIQUID]])),N(NC['[D/N']]="D"),NC[LUCRO OP])</f>
        <v>0</v>
      </c>
      <c r="AF33" s="32">
        <f>NC[LUCRO N '[A']]+NC[LUCRO D]</f>
        <v>-1347.6999999999994</v>
      </c>
      <c r="AG33" s="32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4" spans="1:33" x14ac:dyDescent="0.2">
      <c r="A34" s="30">
        <v>33</v>
      </c>
      <c r="B34" s="30" t="s">
        <v>52</v>
      </c>
      <c r="C34" s="30" t="s">
        <v>56</v>
      </c>
      <c r="D34" s="31">
        <v>40983</v>
      </c>
      <c r="E34" s="30">
        <v>200</v>
      </c>
      <c r="F34" s="32">
        <v>6.37</v>
      </c>
      <c r="G34" s="32" t="s">
        <v>61</v>
      </c>
      <c r="H34" s="30" t="s">
        <v>12</v>
      </c>
      <c r="I34" s="31">
        <f>WORKDAY(NC[[#This Row],[DATA]],IF(NC['[A/O']]="A",3,1))</f>
        <v>40988</v>
      </c>
      <c r="J34" s="30">
        <f>EOMONTH(NC[[#This Row],[D LIQUID]],0)</f>
        <v>40999</v>
      </c>
      <c r="K34" s="30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3</v>
      </c>
      <c r="L34" s="32">
        <f>NC[QTDE]*NC[PREÇO]</f>
        <v>1274</v>
      </c>
      <c r="M34" s="32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1274</v>
      </c>
      <c r="N34" s="32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0.35</v>
      </c>
      <c r="O34" s="32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0.08</v>
      </c>
      <c r="P34" s="32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4" s="32">
        <f>SETUP!$E$3*SUMPRODUCT(N(NC[DATA]=NC[[#This Row],[DATA]]),N(NC[ID]&lt;=NC[[#This Row],[ID]]))</f>
        <v>14.9</v>
      </c>
      <c r="R34" s="32">
        <f>TRUNC(NC[CORR. BASE]*SETUP!$F$3,2)</f>
        <v>0.28999999999999998</v>
      </c>
      <c r="S34" s="32">
        <f>TRUNC(NC[CORR. BASE]*SETUP!$G$3,2)</f>
        <v>0.57999999999999996</v>
      </c>
      <c r="T34" s="32">
        <f>NC[VL LIQUID]-NC[TX LIQUID]-NC[EMOL]-NC[REGISTRO]-NC[CORR. BASE]-NC[ISS]-NC[OUTRAS]</f>
        <v>1257.8000000000002</v>
      </c>
      <c r="U34" s="32">
        <f>NC[LÍQUIDO]-SUMPRODUCT(N(NC[DATA]=NC[[#This Row],[DATA]]),N(NC[ID]=(NC[[#This Row],[ID]]-1)),NC[LÍQUIDO])</f>
        <v>1257.8000000000002</v>
      </c>
      <c r="V34" s="32">
        <f t="shared" si="0"/>
        <v>6.2890000000000006</v>
      </c>
      <c r="W34" s="32">
        <f>TRUNC(IF(OR(NC[OPER/TIPO]="CV",NC[OPER/TIPO]="VV"),     L34*SETUP!$H$3,     0),2)</f>
        <v>0.06</v>
      </c>
      <c r="X34" s="30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-200</v>
      </c>
      <c r="Y34" s="33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34" s="33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6.2890000000000006</v>
      </c>
      <c r="AA34" s="32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34" s="34">
        <f>IF(NC['[A/O']]="O",NC[LUCRO OP]*0.15,0)</f>
        <v>0</v>
      </c>
      <c r="AC34" s="35">
        <f>NC[LUCRO OP]/ABS(NC[VALOR P/ OP])</f>
        <v>0</v>
      </c>
      <c r="AD34" s="32">
        <f>SUMPRODUCT(N(YEAR(NC[D LIQUID])=YEAR(NC[[#This Row],[D LIQUID]])),N(MONTH(NC[D LIQUID])=MONTH(NC[[#This Row],[D LIQUID]])),N(NC['[D/N']]="N"),NC[LUCRO OP])</f>
        <v>-1347.6999999999994</v>
      </c>
      <c r="AE34" s="32">
        <f>SUMPRODUCT(N(YEAR(NC[D LIQUID])=YEAR(NC[[#This Row],[D LIQUID]])),N(MONTH(NC[D LIQUID])=MONTH(NC[[#This Row],[D LIQUID]])),N(NC['[D/N']]="D"),NC[LUCRO OP])</f>
        <v>0</v>
      </c>
      <c r="AF34" s="32">
        <f>NC[LUCRO N '[A']]+NC[LUCRO D]</f>
        <v>-1347.6999999999994</v>
      </c>
      <c r="AG34" s="32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5" spans="1:33" x14ac:dyDescent="0.2">
      <c r="A35" s="21">
        <v>34</v>
      </c>
      <c r="B35" s="21" t="s">
        <v>52</v>
      </c>
      <c r="C35" s="21" t="s">
        <v>57</v>
      </c>
      <c r="D35" s="22">
        <v>40989</v>
      </c>
      <c r="E35" s="21">
        <v>200</v>
      </c>
      <c r="F35" s="23">
        <v>6.95</v>
      </c>
      <c r="G35" s="23" t="s">
        <v>61</v>
      </c>
      <c r="H35" s="21" t="s">
        <v>12</v>
      </c>
      <c r="I35" s="22">
        <f>WORKDAY(NC[[#This Row],[DATA]],IF(NC['[A/O']]="A",3,1))</f>
        <v>40994</v>
      </c>
      <c r="J35" s="21">
        <f>EOMONTH(NC[[#This Row],[D LIQUID]],0)</f>
        <v>40999</v>
      </c>
      <c r="K35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3</v>
      </c>
      <c r="L35" s="23">
        <f>NC[QTDE]*NC[PREÇO]</f>
        <v>1390</v>
      </c>
      <c r="M35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-1390</v>
      </c>
      <c r="N35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0.38</v>
      </c>
      <c r="O35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0.09</v>
      </c>
      <c r="P35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5" s="23">
        <f>SETUP!$E$3*SUMPRODUCT(N(NC[DATA]=NC[[#This Row],[DATA]]),N(NC[ID]&lt;=NC[[#This Row],[ID]]))</f>
        <v>14.9</v>
      </c>
      <c r="R35" s="23">
        <f>TRUNC(NC[CORR. BASE]*SETUP!$F$3,2)</f>
        <v>0.28999999999999998</v>
      </c>
      <c r="S35" s="23">
        <f>TRUNC(NC[CORR. BASE]*SETUP!$G$3,2)</f>
        <v>0.57999999999999996</v>
      </c>
      <c r="T35" s="23">
        <f>NC[VL LIQUID]-NC[TX LIQUID]-NC[EMOL]-NC[REGISTRO]-NC[CORR. BASE]-NC[ISS]-NC[OUTRAS]</f>
        <v>-1406.24</v>
      </c>
      <c r="U35" s="23">
        <f>NC[LÍQUIDO]-SUMPRODUCT(N(NC[DATA]=NC[[#This Row],[DATA]]),N(NC[ID]=(NC[[#This Row],[ID]]-1)),NC[LÍQUIDO])</f>
        <v>-1406.24</v>
      </c>
      <c r="V35" s="23">
        <f t="shared" si="0"/>
        <v>7.0312000000000001</v>
      </c>
      <c r="W35" s="23">
        <f>TRUNC(IF(OR(NC[OPER/TIPO]="CV",NC[OPER/TIPO]="VV"),     L35*SETUP!$H$3,     0),2)</f>
        <v>0</v>
      </c>
      <c r="X35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35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7.0312000000000001</v>
      </c>
      <c r="Z35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6.2890000000000006</v>
      </c>
      <c r="AA35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-148.43999999999991</v>
      </c>
      <c r="AB35" s="36">
        <f>IF(NC['[A/O']]="O",NC[LUCRO OP]*0.15,0)</f>
        <v>0</v>
      </c>
      <c r="AC35" s="28">
        <f>NC[LUCRO OP]/ABS(NC[VALOR P/ OP])</f>
        <v>-0.10555808396859705</v>
      </c>
      <c r="AD35" s="23">
        <f>SUMPRODUCT(N(YEAR(NC[D LIQUID])=YEAR(NC[[#This Row],[D LIQUID]])),N(MONTH(NC[D LIQUID])=MONTH(NC[[#This Row],[D LIQUID]])),N(NC['[D/N']]="N"),NC[LUCRO OP])</f>
        <v>-1347.6999999999994</v>
      </c>
      <c r="AE35" s="23">
        <f>SUMPRODUCT(N(YEAR(NC[D LIQUID])=YEAR(NC[[#This Row],[D LIQUID]])),N(MONTH(NC[D LIQUID])=MONTH(NC[[#This Row],[D LIQUID]])),N(NC['[D/N']]="D"),NC[LUCRO OP])</f>
        <v>0</v>
      </c>
      <c r="AF35" s="23">
        <f>NC[LUCRO N '[A']]+NC[LUCRO D]</f>
        <v>-1347.6999999999994</v>
      </c>
      <c r="AG35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6" spans="1:33" x14ac:dyDescent="0.2">
      <c r="A36" s="21">
        <v>35</v>
      </c>
      <c r="B36" s="21" t="s">
        <v>25</v>
      </c>
      <c r="C36" s="21" t="s">
        <v>55</v>
      </c>
      <c r="D36" s="22">
        <v>40990</v>
      </c>
      <c r="E36" s="21">
        <v>200</v>
      </c>
      <c r="F36" s="23">
        <v>4.74</v>
      </c>
      <c r="G36" s="23" t="s">
        <v>61</v>
      </c>
      <c r="H36" s="21" t="s">
        <v>12</v>
      </c>
      <c r="I36" s="22">
        <f>WORKDAY(NC[[#This Row],[DATA]],IF(NC['[A/O']]="A",3,1))</f>
        <v>40995</v>
      </c>
      <c r="J36" s="21">
        <f>EOMONTH(NC[[#This Row],[D LIQUID]],0)</f>
        <v>40999</v>
      </c>
      <c r="K36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36" s="23">
        <f>NC[QTDE]*NC[PREÇO]</f>
        <v>948</v>
      </c>
      <c r="M36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948</v>
      </c>
      <c r="N36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0.26</v>
      </c>
      <c r="O36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0.06</v>
      </c>
      <c r="P36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6" s="23">
        <f>SETUP!$E$3*SUMPRODUCT(N(NC[DATA]=NC[[#This Row],[DATA]]),N(NC[ID]&lt;=NC[[#This Row],[ID]]))</f>
        <v>14.9</v>
      </c>
      <c r="R36" s="23">
        <f>TRUNC(NC[CORR. BASE]*SETUP!$F$3,2)</f>
        <v>0.28999999999999998</v>
      </c>
      <c r="S36" s="23">
        <f>TRUNC(NC[CORR. BASE]*SETUP!$G$3,2)</f>
        <v>0.57999999999999996</v>
      </c>
      <c r="T36" s="23">
        <f>NC[VL LIQUID]-NC[TX LIQUID]-NC[EMOL]-NC[REGISTRO]-NC[CORR. BASE]-NC[ISS]-NC[OUTRAS]</f>
        <v>931.91000000000008</v>
      </c>
      <c r="U36" s="23">
        <f>NC[LÍQUIDO]-SUMPRODUCT(N(NC[DATA]=NC[[#This Row],[DATA]]),N(NC[ID]=(NC[[#This Row],[ID]]-1)),NC[LÍQUIDO])</f>
        <v>931.91000000000008</v>
      </c>
      <c r="V36" s="23">
        <f t="shared" si="0"/>
        <v>4.6595500000000003</v>
      </c>
      <c r="W36" s="23">
        <f>TRUNC(IF(OR(NC[OPER/TIPO]="CV",NC[OPER/TIPO]="VV"),     L36*SETUP!$H$3,     0),2)</f>
        <v>0.04</v>
      </c>
      <c r="X36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36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5.0306000000000006</v>
      </c>
      <c r="Z36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4.6595500000000003</v>
      </c>
      <c r="AA36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-74.210000000000065</v>
      </c>
      <c r="AB36" s="36">
        <f>IF(NC['[A/O']]="O",NC[LUCRO OP]*0.15,0)</f>
        <v>0</v>
      </c>
      <c r="AC36" s="28">
        <f>NC[LUCRO OP]/ABS(NC[VALOR P/ OP])</f>
        <v>-7.9632153319526625E-2</v>
      </c>
      <c r="AD36" s="23">
        <f>SUMPRODUCT(N(YEAR(NC[D LIQUID])=YEAR(NC[[#This Row],[D LIQUID]])),N(MONTH(NC[D LIQUID])=MONTH(NC[[#This Row],[D LIQUID]])),N(NC['[D/N']]="N"),NC[LUCRO OP])</f>
        <v>-1347.6999999999994</v>
      </c>
      <c r="AE36" s="23">
        <f>SUMPRODUCT(N(YEAR(NC[D LIQUID])=YEAR(NC[[#This Row],[D LIQUID]])),N(MONTH(NC[D LIQUID])=MONTH(NC[[#This Row],[D LIQUID]])),N(NC['[D/N']]="D"),NC[LUCRO OP])</f>
        <v>0</v>
      </c>
      <c r="AF36" s="23">
        <f>NC[LUCRO N '[A']]+NC[LUCRO D]</f>
        <v>-1347.6999999999994</v>
      </c>
      <c r="AG36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7" spans="1:33" x14ac:dyDescent="0.2">
      <c r="A37" s="30">
        <v>36</v>
      </c>
      <c r="B37" s="37" t="s">
        <v>66</v>
      </c>
      <c r="C37" s="37" t="s">
        <v>54</v>
      </c>
      <c r="D37" s="38">
        <v>41053</v>
      </c>
      <c r="E37" s="37">
        <v>400</v>
      </c>
      <c r="F37" s="39">
        <v>3.15</v>
      </c>
      <c r="G37" s="39" t="s">
        <v>61</v>
      </c>
      <c r="H37" s="37" t="s">
        <v>21</v>
      </c>
      <c r="I37" s="38">
        <f>WORKDAY(NC[[#This Row],[DATA]],IF(NC['[A/O']]="A",3,1))</f>
        <v>41058</v>
      </c>
      <c r="J37" s="37">
        <f>EOMONTH(NC[[#This Row],[D LIQUID]],0)</f>
        <v>41060</v>
      </c>
      <c r="K37" s="37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0</v>
      </c>
      <c r="L37" s="39">
        <f>NC[QTDE]*NC[PREÇO]</f>
        <v>1260</v>
      </c>
      <c r="M37" s="39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-1260</v>
      </c>
      <c r="N37" s="39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0.22</v>
      </c>
      <c r="O37" s="39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0.08</v>
      </c>
      <c r="P37" s="39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7" s="39">
        <f>SETUP!$E$3*SUMPRODUCT(N(NC[DATA]=NC[[#This Row],[DATA]]),N(NC[ID]&lt;=NC[[#This Row],[ID]]))</f>
        <v>14.9</v>
      </c>
      <c r="R37" s="39">
        <f>TRUNC(NC[CORR. BASE]*SETUP!$F$3,2)</f>
        <v>0.28999999999999998</v>
      </c>
      <c r="S37" s="39">
        <f>TRUNC(NC[CORR. BASE]*SETUP!$G$3,2)</f>
        <v>0.57999999999999996</v>
      </c>
      <c r="T37" s="39">
        <f>NC[VL LIQUID]-NC[TX LIQUID]-NC[EMOL]-NC[REGISTRO]-NC[CORR. BASE]-NC[ISS]-NC[OUTRAS]</f>
        <v>-1276.07</v>
      </c>
      <c r="U37" s="39">
        <f>NC[LÍQUIDO]-SUMPRODUCT(N(NC[DATA]=NC[[#This Row],[DATA]]),N(NC[ID]=(NC[[#This Row],[ID]]-1)),NC[LÍQUIDO])</f>
        <v>-1276.07</v>
      </c>
      <c r="V37" s="39">
        <f t="shared" si="0"/>
        <v>3.190175</v>
      </c>
      <c r="W37" s="39">
        <f>TRUNC(IF(OR(NC[OPER/TIPO]="CV",NC[OPER/TIPO]="VV"),     L37*SETUP!$H$3,     0),2)</f>
        <v>0</v>
      </c>
      <c r="X37" s="37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37" s="40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37" s="40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37" s="39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37" s="41">
        <f>IF(NC['[A/O']]="O",NC[LUCRO OP]*0.15,0)</f>
        <v>0</v>
      </c>
      <c r="AC37" s="42">
        <f>NC[LUCRO OP]/ABS(NC[VALOR P/ OP])</f>
        <v>0</v>
      </c>
      <c r="AD37" s="39">
        <f>SUMPRODUCT(N(YEAR(NC[D LIQUID])=YEAR(NC[[#This Row],[D LIQUID]])),N(MONTH(NC[D LIQUID])=MONTH(NC[[#This Row],[D LIQUID]])),N(NC['[D/N']]="N"),NC[LUCRO OP])</f>
        <v>0</v>
      </c>
      <c r="AE37" s="39">
        <f>SUMPRODUCT(N(YEAR(NC[D LIQUID])=YEAR(NC[[#This Row],[D LIQUID]])),N(MONTH(NC[D LIQUID])=MONTH(NC[[#This Row],[D LIQUID]])),N(NC['[D/N']]="D"),NC[LUCRO OP])</f>
        <v>71.8</v>
      </c>
      <c r="AF37" s="39">
        <f>NC[LUCRO N '[A']]+NC[LUCRO D]</f>
        <v>71.8</v>
      </c>
      <c r="AG37" s="39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5424</v>
      </c>
    </row>
    <row r="38" spans="1:33" x14ac:dyDescent="0.2">
      <c r="A38" s="21">
        <v>37</v>
      </c>
      <c r="B38" s="37" t="s">
        <v>66</v>
      </c>
      <c r="C38" s="37" t="s">
        <v>55</v>
      </c>
      <c r="D38" s="38">
        <v>41053</v>
      </c>
      <c r="E38" s="37">
        <v>400</v>
      </c>
      <c r="F38" s="39">
        <v>3.41</v>
      </c>
      <c r="G38" s="39" t="s">
        <v>61</v>
      </c>
      <c r="H38" s="37" t="s">
        <v>21</v>
      </c>
      <c r="I38" s="38">
        <f>WORKDAY(NC[[#This Row],[DATA]],IF(NC['[A/O']]="A",3,1))</f>
        <v>41058</v>
      </c>
      <c r="J38" s="37">
        <f>EOMONTH(NC[[#This Row],[D LIQUID]],0)</f>
        <v>41060</v>
      </c>
      <c r="K38" s="37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0</v>
      </c>
      <c r="L38" s="39">
        <f>NC[QTDE]*NC[PREÇO]</f>
        <v>1364</v>
      </c>
      <c r="M38" s="39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104</v>
      </c>
      <c r="N38" s="39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0.47</v>
      </c>
      <c r="O38" s="39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0.18</v>
      </c>
      <c r="P38" s="39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8" s="39">
        <f>SETUP!$E$3*SUMPRODUCT(N(NC[DATA]=NC[[#This Row],[DATA]]),N(NC[ID]&lt;=NC[[#This Row],[ID]]))</f>
        <v>29.8</v>
      </c>
      <c r="R38" s="39">
        <f>TRUNC(NC[CORR. BASE]*SETUP!$F$3,2)</f>
        <v>0.59</v>
      </c>
      <c r="S38" s="39">
        <f>TRUNC(NC[CORR. BASE]*SETUP!$G$3,2)</f>
        <v>1.1599999999999999</v>
      </c>
      <c r="T38" s="39">
        <f>NC[VL LIQUID]-NC[TX LIQUID]-NC[EMOL]-NC[REGISTRO]-NC[CORR. BASE]-NC[ISS]-NC[OUTRAS]</f>
        <v>71.8</v>
      </c>
      <c r="U38" s="39">
        <f>NC[LÍQUIDO]-SUMPRODUCT(N(NC[DATA]=NC[[#This Row],[DATA]]),N(NC[ID]=(NC[[#This Row],[ID]]-1)),NC[LÍQUIDO])</f>
        <v>1347.87</v>
      </c>
      <c r="V38" s="39">
        <f t="shared" si="0"/>
        <v>3.3696749999999995</v>
      </c>
      <c r="W38" s="39">
        <f>TRUNC(IF(OR(NC[OPER/TIPO]="CV",NC[OPER/TIPO]="VV"),     L38*SETUP!$H$3,     0),2)</f>
        <v>0.06</v>
      </c>
      <c r="X38" s="37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38" s="40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38" s="40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38" s="39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71.8</v>
      </c>
      <c r="AB38" s="41">
        <f>IF(NC['[A/O']]="O",NC[LUCRO OP]*0.15,0)</f>
        <v>0</v>
      </c>
      <c r="AC38" s="42">
        <f>NC[LUCRO OP]/ABS(NC[VALOR P/ OP])</f>
        <v>5.3269232195983292E-2</v>
      </c>
      <c r="AD38" s="39">
        <f>SUMPRODUCT(N(YEAR(NC[D LIQUID])=YEAR(NC[[#This Row],[D LIQUID]])),N(MONTH(NC[D LIQUID])=MONTH(NC[[#This Row],[D LIQUID]])),N(NC['[D/N']]="N"),NC[LUCRO OP])</f>
        <v>0</v>
      </c>
      <c r="AE38" s="39">
        <f>SUMPRODUCT(N(YEAR(NC[D LIQUID])=YEAR(NC[[#This Row],[D LIQUID]])),N(MONTH(NC[D LIQUID])=MONTH(NC[[#This Row],[D LIQUID]])),N(NC['[D/N']]="D"),NC[LUCRO OP])</f>
        <v>71.8</v>
      </c>
      <c r="AF38" s="39">
        <f>NC[LUCRO N '[A']]+NC[LUCRO D]</f>
        <v>71.8</v>
      </c>
      <c r="AG38" s="39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5424</v>
      </c>
    </row>
    <row r="39" spans="1:33" x14ac:dyDescent="0.2">
      <c r="A39" s="21">
        <v>38</v>
      </c>
      <c r="B39" s="37" t="s">
        <v>66</v>
      </c>
      <c r="C39" s="21" t="s">
        <v>56</v>
      </c>
      <c r="D39" s="38">
        <v>41057</v>
      </c>
      <c r="E39" s="37">
        <v>1000</v>
      </c>
      <c r="F39" s="39">
        <v>4.0599999999999996</v>
      </c>
      <c r="G39" s="39" t="s">
        <v>61</v>
      </c>
      <c r="H39" s="21" t="s">
        <v>12</v>
      </c>
      <c r="I39" s="22">
        <f>WORKDAY(NC[[#This Row],[DATA]],IF(NC['[A/O']]="A",3,1))</f>
        <v>41060</v>
      </c>
      <c r="J39" s="21">
        <f>EOMONTH(NC[[#This Row],[D LIQUID]],0)</f>
        <v>41060</v>
      </c>
      <c r="K39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39" s="23">
        <f>NC[QTDE]*NC[PREÇO]</f>
        <v>4059.9999999999995</v>
      </c>
      <c r="M39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4059.9999999999995</v>
      </c>
      <c r="N39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1.1100000000000001</v>
      </c>
      <c r="O39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0.28000000000000003</v>
      </c>
      <c r="P39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9" s="23">
        <f>SETUP!$E$3*SUMPRODUCT(N(NC[DATA]=NC[[#This Row],[DATA]]),N(NC[ID]&lt;=NC[[#This Row],[ID]]))</f>
        <v>14.9</v>
      </c>
      <c r="R39" s="23">
        <f>TRUNC(NC[CORR. BASE]*SETUP!$F$3,2)</f>
        <v>0.28999999999999998</v>
      </c>
      <c r="S39" s="23">
        <f>TRUNC(NC[CORR. BASE]*SETUP!$G$3,2)</f>
        <v>0.57999999999999996</v>
      </c>
      <c r="T39" s="23">
        <f>NC[VL LIQUID]-NC[TX LIQUID]-NC[EMOL]-NC[REGISTRO]-NC[CORR. BASE]-NC[ISS]-NC[OUTRAS]</f>
        <v>4042.8399999999992</v>
      </c>
      <c r="U39" s="23">
        <f>NC[LÍQUIDO]-SUMPRODUCT(N(NC[DATA]=NC[[#This Row],[DATA]]),N(NC[ID]=(NC[[#This Row],[ID]]-1)),NC[LÍQUIDO])</f>
        <v>4042.8399999999992</v>
      </c>
      <c r="V39" s="23">
        <f t="shared" si="0"/>
        <v>4.0428399999999991</v>
      </c>
      <c r="W39" s="23">
        <f>TRUNC(IF(OR(NC[OPER/TIPO]="CV",NC[OPER/TIPO]="VV"),     L39*SETUP!$H$3,     0),2)</f>
        <v>0.2</v>
      </c>
      <c r="X39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-1000</v>
      </c>
      <c r="Y39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39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4.0428399999999991</v>
      </c>
      <c r="AA39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39" s="36">
        <f>IF(NC['[A/O']]="O",NC[LUCRO OP]*0.15,0)</f>
        <v>0</v>
      </c>
      <c r="AC39" s="28">
        <f>NC[LUCRO OP]/ABS(NC[VALOR P/ OP])</f>
        <v>0</v>
      </c>
      <c r="AD39" s="23">
        <f>SUMPRODUCT(N(YEAR(NC[D LIQUID])=YEAR(NC[[#This Row],[D LIQUID]])),N(MONTH(NC[D LIQUID])=MONTH(NC[[#This Row],[D LIQUID]])),N(NC['[D/N']]="N"),NC[LUCRO OP])</f>
        <v>0</v>
      </c>
      <c r="AE39" s="23">
        <f>SUMPRODUCT(N(YEAR(NC[D LIQUID])=YEAR(NC[[#This Row],[D LIQUID]])),N(MONTH(NC[D LIQUID])=MONTH(NC[[#This Row],[D LIQUID]])),N(NC['[D/N']]="D"),NC[LUCRO OP])</f>
        <v>71.8</v>
      </c>
      <c r="AF39" s="23">
        <f>NC[LUCRO N '[A']]+NC[LUCRO D]</f>
        <v>71.8</v>
      </c>
      <c r="AG39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5424</v>
      </c>
    </row>
    <row r="40" spans="1:33" x14ac:dyDescent="0.2">
      <c r="A40" s="30">
        <v>39</v>
      </c>
      <c r="B40" s="37" t="s">
        <v>66</v>
      </c>
      <c r="C40" s="21" t="s">
        <v>57</v>
      </c>
      <c r="D40" s="38">
        <v>41058</v>
      </c>
      <c r="E40" s="37">
        <v>500</v>
      </c>
      <c r="F40" s="39">
        <v>3.47</v>
      </c>
      <c r="G40" s="39" t="s">
        <v>61</v>
      </c>
      <c r="H40" s="21" t="s">
        <v>12</v>
      </c>
      <c r="I40" s="22">
        <f>WORKDAY(NC[[#This Row],[DATA]],IF(NC['[A/O']]="A",3,1))</f>
        <v>41061</v>
      </c>
      <c r="J40" s="21">
        <f>EOMONTH(NC[[#This Row],[D LIQUID]],0)</f>
        <v>41090</v>
      </c>
      <c r="K40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40" s="23">
        <f>NC[QTDE]*NC[PREÇO]</f>
        <v>1735</v>
      </c>
      <c r="M40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-1735</v>
      </c>
      <c r="N40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0.47</v>
      </c>
      <c r="O40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0.12</v>
      </c>
      <c r="P40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40" s="23">
        <f>SETUP!$E$3*SUMPRODUCT(N(NC[DATA]=NC[[#This Row],[DATA]]),N(NC[ID]&lt;=NC[[#This Row],[ID]]))</f>
        <v>14.9</v>
      </c>
      <c r="R40" s="23">
        <f>TRUNC(NC[CORR. BASE]*SETUP!$F$3,2)</f>
        <v>0.28999999999999998</v>
      </c>
      <c r="S40" s="23">
        <f>TRUNC(NC[CORR. BASE]*SETUP!$G$3,2)</f>
        <v>0.57999999999999996</v>
      </c>
      <c r="T40" s="23">
        <f>NC[VL LIQUID]-NC[TX LIQUID]-NC[EMOL]-NC[REGISTRO]-NC[CORR. BASE]-NC[ISS]-NC[OUTRAS]</f>
        <v>-1751.36</v>
      </c>
      <c r="U40" s="23">
        <f>NC[LÍQUIDO]-SUMPRODUCT(N(NC[DATA]=NC[[#This Row],[DATA]]),N(NC[ID]=(NC[[#This Row],[ID]]-1)),NC[LÍQUIDO])</f>
        <v>-1751.36</v>
      </c>
      <c r="V40" s="23">
        <f t="shared" si="0"/>
        <v>3.5027199999999996</v>
      </c>
      <c r="W40" s="23">
        <f>TRUNC(IF(OR(NC[OPER/TIPO]="CV",NC[OPER/TIPO]="VV"),     L40*SETUP!$H$3,     0),2)</f>
        <v>0</v>
      </c>
      <c r="X40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-500</v>
      </c>
      <c r="Y40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3.5027199999999996</v>
      </c>
      <c r="Z40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4.0428399999999991</v>
      </c>
      <c r="AA40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270.05999999999972</v>
      </c>
      <c r="AB40" s="36">
        <f>IF(NC['[A/O']]="O",NC[LUCRO OP]*0.15,0)</f>
        <v>0</v>
      </c>
      <c r="AC40" s="28">
        <f>NC[LUCRO OP]/ABS(NC[VALOR P/ OP])</f>
        <v>0.15420016444363221</v>
      </c>
      <c r="AD40" s="23">
        <f>SUMPRODUCT(N(YEAR(NC[D LIQUID])=YEAR(NC[[#This Row],[D LIQUID]])),N(MONTH(NC[D LIQUID])=MONTH(NC[[#This Row],[D LIQUID]])),N(NC['[D/N']]="N"),NC[LUCRO OP])</f>
        <v>3654.2800000000011</v>
      </c>
      <c r="AE40" s="23">
        <f>SUMPRODUCT(N(YEAR(NC[D LIQUID])=YEAR(NC[[#This Row],[D LIQUID]])),N(MONTH(NC[D LIQUID])=MONTH(NC[[#This Row],[D LIQUID]])),N(NC['[D/N']]="D"),NC[LUCRO OP])</f>
        <v>-136.55000000000001</v>
      </c>
      <c r="AF40" s="23">
        <f>NC[LUCRO N '[A']]+NC[LUCRO D]</f>
        <v>3517.7300000000009</v>
      </c>
      <c r="AG40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18040</v>
      </c>
    </row>
    <row r="41" spans="1:33" x14ac:dyDescent="0.2">
      <c r="A41" s="21">
        <v>40</v>
      </c>
      <c r="B41" s="37" t="s">
        <v>25</v>
      </c>
      <c r="C41" s="21" t="s">
        <v>56</v>
      </c>
      <c r="D41" s="38">
        <v>41060</v>
      </c>
      <c r="E41" s="37">
        <v>800</v>
      </c>
      <c r="F41" s="39">
        <v>2.46</v>
      </c>
      <c r="G41" s="39" t="s">
        <v>61</v>
      </c>
      <c r="H41" s="21" t="s">
        <v>21</v>
      </c>
      <c r="I41" s="38">
        <f>WORKDAY(NC[[#This Row],[DATA]],IF(NC['[A/O']]="A",3,1))</f>
        <v>41065</v>
      </c>
      <c r="J41" s="37">
        <f>EOMONTH(NC[[#This Row],[D LIQUID]],0)</f>
        <v>41090</v>
      </c>
      <c r="K41" s="37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4</v>
      </c>
      <c r="L41" s="39">
        <f>NC[QTDE]*NC[PREÇO]</f>
        <v>1968</v>
      </c>
      <c r="M41" s="39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1968</v>
      </c>
      <c r="N41" s="39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0.35</v>
      </c>
      <c r="O41" s="39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0.13</v>
      </c>
      <c r="P41" s="39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41" s="39">
        <f>SETUP!$E$3*SUMPRODUCT(N(NC[DATA]=NC[[#This Row],[DATA]]),N(NC[ID]&lt;=NC[[#This Row],[ID]]))</f>
        <v>14.9</v>
      </c>
      <c r="R41" s="39">
        <f>TRUNC(NC[CORR. BASE]*SETUP!$F$3,2)</f>
        <v>0.28999999999999998</v>
      </c>
      <c r="S41" s="39">
        <f>TRUNC(NC[CORR. BASE]*SETUP!$G$3,2)</f>
        <v>0.57999999999999996</v>
      </c>
      <c r="T41" s="39">
        <f>NC[VL LIQUID]-NC[TX LIQUID]-NC[EMOL]-NC[REGISTRO]-NC[CORR. BASE]-NC[ISS]-NC[OUTRAS]</f>
        <v>1951.75</v>
      </c>
      <c r="U41" s="39">
        <f>NC[LÍQUIDO]-SUMPRODUCT(N(NC[DATA]=NC[[#This Row],[DATA]]),N(NC[ID]=(NC[[#This Row],[ID]]-1)),NC[LÍQUIDO])</f>
        <v>1951.75</v>
      </c>
      <c r="V41" s="39">
        <f t="shared" si="0"/>
        <v>2.4396874999999998</v>
      </c>
      <c r="W41" s="39">
        <f>TRUNC(IF(OR(NC[OPER/TIPO]="CV",NC[OPER/TIPO]="VV"),     L41*SETUP!$H$3,     0),2)</f>
        <v>0.09</v>
      </c>
      <c r="X41" s="37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41" s="40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41" s="40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41" s="39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41" s="41">
        <f>IF(NC['[A/O']]="O",NC[LUCRO OP]*0.15,0)</f>
        <v>0</v>
      </c>
      <c r="AC41" s="42">
        <f>NC[LUCRO OP]/ABS(NC[VALOR P/ OP])</f>
        <v>0</v>
      </c>
      <c r="AD41" s="39">
        <f>SUMPRODUCT(N(YEAR(NC[D LIQUID])=YEAR(NC[[#This Row],[D LIQUID]])),N(MONTH(NC[D LIQUID])=MONTH(NC[[#This Row],[D LIQUID]])),N(NC['[D/N']]="N"),NC[LUCRO OP])</f>
        <v>3654.2800000000011</v>
      </c>
      <c r="AE41" s="39">
        <f>SUMPRODUCT(N(YEAR(NC[D LIQUID])=YEAR(NC[[#This Row],[D LIQUID]])),N(MONTH(NC[D LIQUID])=MONTH(NC[[#This Row],[D LIQUID]])),N(NC['[D/N']]="D"),NC[LUCRO OP])</f>
        <v>-136.55000000000001</v>
      </c>
      <c r="AF41" s="39">
        <f>NC[LUCRO N '[A']]+NC[LUCRO D]</f>
        <v>3517.7300000000009</v>
      </c>
      <c r="AG41" s="39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18040</v>
      </c>
    </row>
    <row r="42" spans="1:33" x14ac:dyDescent="0.2">
      <c r="A42" s="30">
        <v>41</v>
      </c>
      <c r="B42" s="37" t="s">
        <v>25</v>
      </c>
      <c r="C42" s="21" t="s">
        <v>57</v>
      </c>
      <c r="D42" s="38">
        <v>41060</v>
      </c>
      <c r="E42" s="37">
        <v>800</v>
      </c>
      <c r="F42" s="39">
        <v>2.59</v>
      </c>
      <c r="G42" s="39" t="s">
        <v>61</v>
      </c>
      <c r="H42" s="21" t="s">
        <v>21</v>
      </c>
      <c r="I42" s="38">
        <f>WORKDAY(NC[[#This Row],[DATA]],IF(NC['[A/O']]="A",3,1))</f>
        <v>41065</v>
      </c>
      <c r="J42" s="37">
        <f>EOMONTH(NC[[#This Row],[D LIQUID]],0)</f>
        <v>41090</v>
      </c>
      <c r="K42" s="37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4</v>
      </c>
      <c r="L42" s="39">
        <f>NC[QTDE]*NC[PREÇO]</f>
        <v>2072</v>
      </c>
      <c r="M42" s="39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-104</v>
      </c>
      <c r="N42" s="39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0.72</v>
      </c>
      <c r="O42" s="39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0.28000000000000003</v>
      </c>
      <c r="P42" s="39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42" s="39">
        <f>SETUP!$E$3*SUMPRODUCT(N(NC[DATA]=NC[[#This Row],[DATA]]),N(NC[ID]&lt;=NC[[#This Row],[ID]]))</f>
        <v>29.8</v>
      </c>
      <c r="R42" s="39">
        <f>TRUNC(NC[CORR. BASE]*SETUP!$F$3,2)</f>
        <v>0.59</v>
      </c>
      <c r="S42" s="39">
        <f>TRUNC(NC[CORR. BASE]*SETUP!$G$3,2)</f>
        <v>1.1599999999999999</v>
      </c>
      <c r="T42" s="39">
        <f>NC[VL LIQUID]-NC[TX LIQUID]-NC[EMOL]-NC[REGISTRO]-NC[CORR. BASE]-NC[ISS]-NC[OUTRAS]</f>
        <v>-136.55000000000001</v>
      </c>
      <c r="U42" s="39">
        <f>NC[LÍQUIDO]-SUMPRODUCT(N(NC[DATA]=NC[[#This Row],[DATA]]),N(NC[ID]=(NC[[#This Row],[ID]]-1)),NC[LÍQUIDO])</f>
        <v>-2088.3000000000002</v>
      </c>
      <c r="V42" s="39">
        <f t="shared" si="0"/>
        <v>2.6103750000000003</v>
      </c>
      <c r="W42" s="39">
        <f>TRUNC(IF(OR(NC[OPER/TIPO]="CV",NC[OPER/TIPO]="VV"),     L42*SETUP!$H$3,     0),2)</f>
        <v>0</v>
      </c>
      <c r="X42" s="37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42" s="40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42" s="40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42" s="39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-136.55000000000001</v>
      </c>
      <c r="AB42" s="41">
        <f>IF(NC['[A/O']]="O",NC[LUCRO OP]*0.15,0)</f>
        <v>0</v>
      </c>
      <c r="AC42" s="42">
        <f>NC[LUCRO OP]/ABS(NC[VALOR P/ OP])</f>
        <v>-6.5388114734473021E-2</v>
      </c>
      <c r="AD42" s="39">
        <f>SUMPRODUCT(N(YEAR(NC[D LIQUID])=YEAR(NC[[#This Row],[D LIQUID]])),N(MONTH(NC[D LIQUID])=MONTH(NC[[#This Row],[D LIQUID]])),N(NC['[D/N']]="N"),NC[LUCRO OP])</f>
        <v>3654.2800000000011</v>
      </c>
      <c r="AE42" s="39">
        <f>SUMPRODUCT(N(YEAR(NC[D LIQUID])=YEAR(NC[[#This Row],[D LIQUID]])),N(MONTH(NC[D LIQUID])=MONTH(NC[[#This Row],[D LIQUID]])),N(NC['[D/N']]="D"),NC[LUCRO OP])</f>
        <v>-136.55000000000001</v>
      </c>
      <c r="AF42" s="39">
        <f>NC[LUCRO N '[A']]+NC[LUCRO D]</f>
        <v>3517.7300000000009</v>
      </c>
      <c r="AG42" s="39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18040</v>
      </c>
    </row>
    <row r="43" spans="1:33" x14ac:dyDescent="0.2">
      <c r="A43" s="21">
        <v>42</v>
      </c>
      <c r="B43" s="37" t="s">
        <v>25</v>
      </c>
      <c r="C43" s="37" t="s">
        <v>56</v>
      </c>
      <c r="D43" s="38">
        <v>41064</v>
      </c>
      <c r="E43" s="37">
        <v>800</v>
      </c>
      <c r="F43" s="39">
        <v>2.4</v>
      </c>
      <c r="G43" s="39" t="s">
        <v>61</v>
      </c>
      <c r="H43" s="37" t="s">
        <v>12</v>
      </c>
      <c r="I43" s="38">
        <f>WORKDAY(NC[[#This Row],[DATA]],IF(NC['[A/O']]="A",3,1))</f>
        <v>41067</v>
      </c>
      <c r="J43" s="37">
        <f>EOMONTH(NC[[#This Row],[D LIQUID]],0)</f>
        <v>41090</v>
      </c>
      <c r="K43" s="37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4</v>
      </c>
      <c r="L43" s="39">
        <f>NC[QTDE]*NC[PREÇO]</f>
        <v>1920</v>
      </c>
      <c r="M43" s="39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1920</v>
      </c>
      <c r="N43" s="39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0.52</v>
      </c>
      <c r="O43" s="39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0.13</v>
      </c>
      <c r="P43" s="39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43" s="39">
        <f>SETUP!$E$3*SUMPRODUCT(N(NC[DATA]=NC[[#This Row],[DATA]]),N(NC[ID]&lt;=NC[[#This Row],[ID]]))</f>
        <v>14.9</v>
      </c>
      <c r="R43" s="39">
        <f>TRUNC(NC[CORR. BASE]*SETUP!$F$3,2)</f>
        <v>0.28999999999999998</v>
      </c>
      <c r="S43" s="39">
        <f>TRUNC(NC[CORR. BASE]*SETUP!$G$3,2)</f>
        <v>0.57999999999999996</v>
      </c>
      <c r="T43" s="39">
        <f>NC[VL LIQUID]-NC[TX LIQUID]-NC[EMOL]-NC[REGISTRO]-NC[CORR. BASE]-NC[ISS]-NC[OUTRAS]</f>
        <v>1903.58</v>
      </c>
      <c r="U43" s="39">
        <f>NC[LÍQUIDO]-SUMPRODUCT(N(NC[DATA]=NC[[#This Row],[DATA]]),N(NC[ID]=(NC[[#This Row],[ID]]-1)),NC[LÍQUIDO])</f>
        <v>1903.58</v>
      </c>
      <c r="V43" s="39">
        <f t="shared" si="0"/>
        <v>2.3794749999999998</v>
      </c>
      <c r="W43" s="39">
        <f>TRUNC(IF(OR(NC[OPER/TIPO]="CV",NC[OPER/TIPO]="VV"),     L43*SETUP!$H$3,     0),2)</f>
        <v>0.09</v>
      </c>
      <c r="X43" s="37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-800</v>
      </c>
      <c r="Y43" s="40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43" s="40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2.3794749999999998</v>
      </c>
      <c r="AA43" s="39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43" s="41">
        <f>IF(NC['[A/O']]="O",NC[LUCRO OP]*0.15,0)</f>
        <v>0</v>
      </c>
      <c r="AC43" s="42">
        <f>NC[LUCRO OP]/ABS(NC[VALOR P/ OP])</f>
        <v>0</v>
      </c>
      <c r="AD43" s="39">
        <f>SUMPRODUCT(N(YEAR(NC[D LIQUID])=YEAR(NC[[#This Row],[D LIQUID]])),N(MONTH(NC[D LIQUID])=MONTH(NC[[#This Row],[D LIQUID]])),N(NC['[D/N']]="N"),NC[LUCRO OP])</f>
        <v>3654.2800000000011</v>
      </c>
      <c r="AE43" s="39">
        <f>SUMPRODUCT(N(YEAR(NC[D LIQUID])=YEAR(NC[[#This Row],[D LIQUID]])),N(MONTH(NC[D LIQUID])=MONTH(NC[[#This Row],[D LIQUID]])),N(NC['[D/N']]="D"),NC[LUCRO OP])</f>
        <v>-136.55000000000001</v>
      </c>
      <c r="AF43" s="39">
        <f>NC[LUCRO N '[A']]+NC[LUCRO D]</f>
        <v>3517.7300000000009</v>
      </c>
      <c r="AG43" s="39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18040</v>
      </c>
    </row>
    <row r="44" spans="1:33" x14ac:dyDescent="0.2">
      <c r="A44" s="30">
        <v>43</v>
      </c>
      <c r="B44" s="37" t="s">
        <v>67</v>
      </c>
      <c r="C44" s="37" t="s">
        <v>56</v>
      </c>
      <c r="D44" s="38">
        <v>41065</v>
      </c>
      <c r="E44" s="37">
        <v>400</v>
      </c>
      <c r="F44" s="39">
        <v>19.27</v>
      </c>
      <c r="G44" s="39" t="s">
        <v>61</v>
      </c>
      <c r="H44" s="37" t="s">
        <v>12</v>
      </c>
      <c r="I44" s="38">
        <f>WORKDAY(NC[[#This Row],[DATA]],IF(NC['[A/O']]="A",3,1))</f>
        <v>41068</v>
      </c>
      <c r="J44" s="37">
        <f>EOMONTH(NC[[#This Row],[D LIQUID]],0)</f>
        <v>41090</v>
      </c>
      <c r="K44" s="37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44" s="39">
        <f>NC[QTDE]*NC[PREÇO]</f>
        <v>7708</v>
      </c>
      <c r="M44" s="39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7708</v>
      </c>
      <c r="N44" s="39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2.11</v>
      </c>
      <c r="O44" s="39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0.53</v>
      </c>
      <c r="P44" s="39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44" s="39">
        <f>SETUP!$E$3*SUMPRODUCT(N(NC[DATA]=NC[[#This Row],[DATA]]),N(NC[ID]&lt;=NC[[#This Row],[ID]]))</f>
        <v>14.9</v>
      </c>
      <c r="R44" s="39">
        <f>TRUNC(NC[CORR. BASE]*SETUP!$F$3,2)</f>
        <v>0.28999999999999998</v>
      </c>
      <c r="S44" s="39">
        <f>TRUNC(NC[CORR. BASE]*SETUP!$G$3,2)</f>
        <v>0.57999999999999996</v>
      </c>
      <c r="T44" s="39">
        <f>NC[VL LIQUID]-NC[TX LIQUID]-NC[EMOL]-NC[REGISTRO]-NC[CORR. BASE]-NC[ISS]-NC[OUTRAS]</f>
        <v>7689.5900000000011</v>
      </c>
      <c r="U44" s="39">
        <f>NC[LÍQUIDO]-SUMPRODUCT(N(NC[DATA]=NC[[#This Row],[DATA]]),N(NC[ID]=(NC[[#This Row],[ID]]-1)),NC[LÍQUIDO])</f>
        <v>7689.5900000000011</v>
      </c>
      <c r="V44" s="39">
        <f t="shared" si="0"/>
        <v>19.223975000000003</v>
      </c>
      <c r="W44" s="39">
        <f>TRUNC(IF(OR(NC[OPER/TIPO]="CV",NC[OPER/TIPO]="VV"),     L44*SETUP!$H$3,     0),2)</f>
        <v>0.38</v>
      </c>
      <c r="X44" s="37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-400</v>
      </c>
      <c r="Y44" s="40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44" s="40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19.223975000000003</v>
      </c>
      <c r="AA44" s="39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44" s="41">
        <f>IF(NC['[A/O']]="O",NC[LUCRO OP]*0.15,0)</f>
        <v>0</v>
      </c>
      <c r="AC44" s="42">
        <f>NC[LUCRO OP]/ABS(NC[VALOR P/ OP])</f>
        <v>0</v>
      </c>
      <c r="AD44" s="39">
        <f>SUMPRODUCT(N(YEAR(NC[D LIQUID])=YEAR(NC[[#This Row],[D LIQUID]])),N(MONTH(NC[D LIQUID])=MONTH(NC[[#This Row],[D LIQUID]])),N(NC['[D/N']]="N"),NC[LUCRO OP])</f>
        <v>3654.2800000000011</v>
      </c>
      <c r="AE44" s="39">
        <f>SUMPRODUCT(N(YEAR(NC[D LIQUID])=YEAR(NC[[#This Row],[D LIQUID]])),N(MONTH(NC[D LIQUID])=MONTH(NC[[#This Row],[D LIQUID]])),N(NC['[D/N']]="D"),NC[LUCRO OP])</f>
        <v>-136.55000000000001</v>
      </c>
      <c r="AF44" s="39">
        <f>NC[LUCRO N '[A']]+NC[LUCRO D]</f>
        <v>3517.7300000000009</v>
      </c>
      <c r="AG44" s="39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18040</v>
      </c>
    </row>
    <row r="45" spans="1:33" x14ac:dyDescent="0.2">
      <c r="A45" s="21">
        <v>44</v>
      </c>
      <c r="B45" s="37" t="s">
        <v>68</v>
      </c>
      <c r="C45" s="37" t="s">
        <v>56</v>
      </c>
      <c r="D45" s="38">
        <v>41065</v>
      </c>
      <c r="E45" s="37">
        <v>600</v>
      </c>
      <c r="F45" s="39">
        <v>10.74</v>
      </c>
      <c r="G45" s="39" t="s">
        <v>61</v>
      </c>
      <c r="H45" s="37" t="s">
        <v>12</v>
      </c>
      <c r="I45" s="38">
        <f>WORKDAY(NC[[#This Row],[DATA]],IF(NC['[A/O']]="A",3,1))</f>
        <v>41068</v>
      </c>
      <c r="J45" s="37">
        <f>EOMONTH(NC[[#This Row],[D LIQUID]],0)</f>
        <v>41090</v>
      </c>
      <c r="K45" s="37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45" s="39">
        <f>NC[QTDE]*NC[PREÇO]</f>
        <v>6444</v>
      </c>
      <c r="M45" s="39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14152</v>
      </c>
      <c r="N45" s="39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3.89</v>
      </c>
      <c r="O45" s="39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0.99</v>
      </c>
      <c r="P45" s="39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45" s="39">
        <f>SETUP!$E$3*SUMPRODUCT(N(NC[DATA]=NC[[#This Row],[DATA]]),N(NC[ID]&lt;=NC[[#This Row],[ID]]))</f>
        <v>29.8</v>
      </c>
      <c r="R45" s="39">
        <f>TRUNC(NC[CORR. BASE]*SETUP!$F$3,2)</f>
        <v>0.59</v>
      </c>
      <c r="S45" s="39">
        <f>TRUNC(NC[CORR. BASE]*SETUP!$G$3,2)</f>
        <v>1.1599999999999999</v>
      </c>
      <c r="T45" s="39">
        <f>NC[VL LIQUID]-NC[TX LIQUID]-NC[EMOL]-NC[REGISTRO]-NC[CORR. BASE]-NC[ISS]-NC[OUTRAS]</f>
        <v>14115.570000000002</v>
      </c>
      <c r="U45" s="39">
        <f>NC[LÍQUIDO]-SUMPRODUCT(N(NC[DATA]=NC[[#This Row],[DATA]]),N(NC[ID]=(NC[[#This Row],[ID]]-1)),NC[LÍQUIDO])</f>
        <v>6425.9800000000005</v>
      </c>
      <c r="V45" s="39">
        <f t="shared" si="0"/>
        <v>10.709966666666668</v>
      </c>
      <c r="W45" s="39">
        <f>TRUNC(IF(OR(NC[OPER/TIPO]="CV",NC[OPER/TIPO]="VV"),     L45*SETUP!$H$3,     0),2)</f>
        <v>0.32</v>
      </c>
      <c r="X45" s="37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-600</v>
      </c>
      <c r="Y45" s="40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45" s="40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10.709966666666668</v>
      </c>
      <c r="AA45" s="39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0</v>
      </c>
      <c r="AB45" s="41">
        <f>IF(NC['[A/O']]="O",NC[LUCRO OP]*0.15,0)</f>
        <v>0</v>
      </c>
      <c r="AC45" s="42">
        <f>NC[LUCRO OP]/ABS(NC[VALOR P/ OP])</f>
        <v>0</v>
      </c>
      <c r="AD45" s="39">
        <f>SUMPRODUCT(N(YEAR(NC[D LIQUID])=YEAR(NC[[#This Row],[D LIQUID]])),N(MONTH(NC[D LIQUID])=MONTH(NC[[#This Row],[D LIQUID]])),N(NC['[D/N']]="N"),NC[LUCRO OP])</f>
        <v>3654.2800000000011</v>
      </c>
      <c r="AE45" s="39">
        <f>SUMPRODUCT(N(YEAR(NC[D LIQUID])=YEAR(NC[[#This Row],[D LIQUID]])),N(MONTH(NC[D LIQUID])=MONTH(NC[[#This Row],[D LIQUID]])),N(NC['[D/N']]="D"),NC[LUCRO OP])</f>
        <v>-136.55000000000001</v>
      </c>
      <c r="AF45" s="39">
        <f>NC[LUCRO N '[A']]+NC[LUCRO D]</f>
        <v>3517.7300000000009</v>
      </c>
      <c r="AG45" s="39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18040</v>
      </c>
    </row>
    <row r="46" spans="1:33" x14ac:dyDescent="0.2">
      <c r="A46" s="30">
        <v>45</v>
      </c>
      <c r="B46" s="37" t="s">
        <v>25</v>
      </c>
      <c r="C46" s="21" t="s">
        <v>57</v>
      </c>
      <c r="D46" s="38">
        <v>41070</v>
      </c>
      <c r="E46" s="37">
        <v>400</v>
      </c>
      <c r="F46" s="39">
        <v>2.16</v>
      </c>
      <c r="G46" s="39" t="s">
        <v>61</v>
      </c>
      <c r="H46" s="21" t="s">
        <v>12</v>
      </c>
      <c r="I46" s="38">
        <f>WORKDAY(NC[[#This Row],[DATA]],IF(NC['[A/O']]="A",3,1))</f>
        <v>41073</v>
      </c>
      <c r="J46" s="37">
        <f>EOMONTH(NC[[#This Row],[D LIQUID]],0)</f>
        <v>41090</v>
      </c>
      <c r="K46" s="37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4</v>
      </c>
      <c r="L46" s="39">
        <f>NC[QTDE]*NC[PREÇO]</f>
        <v>864</v>
      </c>
      <c r="M46" s="39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-864</v>
      </c>
      <c r="N46" s="39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0.23</v>
      </c>
      <c r="O46" s="39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0.06</v>
      </c>
      <c r="P46" s="39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46" s="39">
        <f>SETUP!$E$3*SUMPRODUCT(N(NC[DATA]=NC[[#This Row],[DATA]]),N(NC[ID]&lt;=NC[[#This Row],[ID]]))</f>
        <v>14.9</v>
      </c>
      <c r="R46" s="39">
        <f>TRUNC(NC[CORR. BASE]*SETUP!$F$3,2)</f>
        <v>0.28999999999999998</v>
      </c>
      <c r="S46" s="39">
        <f>TRUNC(NC[CORR. BASE]*SETUP!$G$3,2)</f>
        <v>0.57999999999999996</v>
      </c>
      <c r="T46" s="39">
        <f>NC[VL LIQUID]-NC[TX LIQUID]-NC[EMOL]-NC[REGISTRO]-NC[CORR. BASE]-NC[ISS]-NC[OUTRAS]</f>
        <v>-880.06</v>
      </c>
      <c r="U46" s="39">
        <f>NC[LÍQUIDO]-SUMPRODUCT(N(NC[DATA]=NC[[#This Row],[DATA]]),N(NC[ID]=(NC[[#This Row],[ID]]-1)),NC[LÍQUIDO])</f>
        <v>-880.06</v>
      </c>
      <c r="V46" s="39">
        <f t="shared" si="0"/>
        <v>2.2001499999999998</v>
      </c>
      <c r="W46" s="39">
        <f>TRUNC(IF(OR(NC[OPER/TIPO]="CV",NC[OPER/TIPO]="VV"),     L46*SETUP!$H$3,     0),2)</f>
        <v>0</v>
      </c>
      <c r="X46" s="37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-400</v>
      </c>
      <c r="Y46" s="40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2.2001499999999998</v>
      </c>
      <c r="Z46" s="40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2.3794749999999998</v>
      </c>
      <c r="AA46" s="39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71.72999999999999</v>
      </c>
      <c r="AB46" s="41">
        <f>IF(NC['[A/O']]="O",NC[LUCRO OP]*0.15,0)</f>
        <v>0</v>
      </c>
      <c r="AC46" s="42">
        <f>NC[LUCRO OP]/ABS(NC[VALOR P/ OP])</f>
        <v>8.1505806422289384E-2</v>
      </c>
      <c r="AD46" s="39">
        <f>SUMPRODUCT(N(YEAR(NC[D LIQUID])=YEAR(NC[[#This Row],[D LIQUID]])),N(MONTH(NC[D LIQUID])=MONTH(NC[[#This Row],[D LIQUID]])),N(NC['[D/N']]="N"),NC[LUCRO OP])</f>
        <v>3654.2800000000011</v>
      </c>
      <c r="AE46" s="39">
        <f>SUMPRODUCT(N(YEAR(NC[D LIQUID])=YEAR(NC[[#This Row],[D LIQUID]])),N(MONTH(NC[D LIQUID])=MONTH(NC[[#This Row],[D LIQUID]])),N(NC['[D/N']]="D"),NC[LUCRO OP])</f>
        <v>-136.55000000000001</v>
      </c>
      <c r="AF46" s="39">
        <f>NC[LUCRO N '[A']]+NC[LUCRO D]</f>
        <v>3517.7300000000009</v>
      </c>
      <c r="AG46" s="39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18040</v>
      </c>
    </row>
    <row r="47" spans="1:33" x14ac:dyDescent="0.2">
      <c r="A47" s="21">
        <v>46</v>
      </c>
      <c r="B47" s="37" t="s">
        <v>67</v>
      </c>
      <c r="C47" s="21" t="s">
        <v>57</v>
      </c>
      <c r="D47" s="38">
        <v>41071</v>
      </c>
      <c r="E47" s="37">
        <v>200</v>
      </c>
      <c r="F47" s="39">
        <v>18.03</v>
      </c>
      <c r="G47" s="39" t="s">
        <v>61</v>
      </c>
      <c r="H47" s="21" t="s">
        <v>12</v>
      </c>
      <c r="I47" s="38">
        <f>WORKDAY(NC[[#This Row],[DATA]],IF(NC['[A/O']]="A",3,1))</f>
        <v>41074</v>
      </c>
      <c r="J47" s="37">
        <f>EOMONTH(NC[[#This Row],[D LIQUID]],0)</f>
        <v>41090</v>
      </c>
      <c r="K47" s="37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47" s="39">
        <f>NC[QTDE]*NC[PREÇO]</f>
        <v>3606</v>
      </c>
      <c r="M47" s="39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-3606</v>
      </c>
      <c r="N47" s="39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0.99</v>
      </c>
      <c r="O47" s="39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0.25</v>
      </c>
      <c r="P47" s="39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47" s="39">
        <f>SETUP!$E$3*SUMPRODUCT(N(NC[DATA]=NC[[#This Row],[DATA]]),N(NC[ID]&lt;=NC[[#This Row],[ID]]))</f>
        <v>14.9</v>
      </c>
      <c r="R47" s="39">
        <f>TRUNC(NC[CORR. BASE]*SETUP!$F$3,2)</f>
        <v>0.28999999999999998</v>
      </c>
      <c r="S47" s="39">
        <f>TRUNC(NC[CORR. BASE]*SETUP!$G$3,2)</f>
        <v>0.57999999999999996</v>
      </c>
      <c r="T47" s="39">
        <f>NC[VL LIQUID]-NC[TX LIQUID]-NC[EMOL]-NC[REGISTRO]-NC[CORR. BASE]-NC[ISS]-NC[OUTRAS]</f>
        <v>-3623.0099999999998</v>
      </c>
      <c r="U47" s="39">
        <f>NC[LÍQUIDO]-SUMPRODUCT(N(NC[DATA]=NC[[#This Row],[DATA]]),N(NC[ID]=(NC[[#This Row],[ID]]-1)),NC[LÍQUIDO])</f>
        <v>-3623.0099999999998</v>
      </c>
      <c r="V47" s="39">
        <f t="shared" si="0"/>
        <v>18.11505</v>
      </c>
      <c r="W47" s="39">
        <f>TRUNC(IF(OR(NC[OPER/TIPO]="CV",NC[OPER/TIPO]="VV"),     L47*SETUP!$H$3,     0),2)</f>
        <v>0</v>
      </c>
      <c r="X47" s="37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-200</v>
      </c>
      <c r="Y47" s="40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18.11505</v>
      </c>
      <c r="Z47" s="40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19.223975000000003</v>
      </c>
      <c r="AA47" s="39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221.78500000000057</v>
      </c>
      <c r="AB47" s="41">
        <f>IF(NC['[A/O']]="O",NC[LUCRO OP]*0.15,0)</f>
        <v>0</v>
      </c>
      <c r="AC47" s="42">
        <f>NC[LUCRO OP]/ABS(NC[VALOR P/ OP])</f>
        <v>6.1215674259800713E-2</v>
      </c>
      <c r="AD47" s="39">
        <f>SUMPRODUCT(N(YEAR(NC[D LIQUID])=YEAR(NC[[#This Row],[D LIQUID]])),N(MONTH(NC[D LIQUID])=MONTH(NC[[#This Row],[D LIQUID]])),N(NC['[D/N']]="N"),NC[LUCRO OP])</f>
        <v>3654.2800000000011</v>
      </c>
      <c r="AE47" s="39">
        <f>SUMPRODUCT(N(YEAR(NC[D LIQUID])=YEAR(NC[[#This Row],[D LIQUID]])),N(MONTH(NC[D LIQUID])=MONTH(NC[[#This Row],[D LIQUID]])),N(NC['[D/N']]="D"),NC[LUCRO OP])</f>
        <v>-136.55000000000001</v>
      </c>
      <c r="AF47" s="39">
        <f>NC[LUCRO N '[A']]+NC[LUCRO D]</f>
        <v>3517.7300000000009</v>
      </c>
      <c r="AG47" s="39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18040</v>
      </c>
    </row>
    <row r="48" spans="1:33" x14ac:dyDescent="0.2">
      <c r="A48" s="30">
        <v>47</v>
      </c>
      <c r="B48" s="37" t="s">
        <v>68</v>
      </c>
      <c r="C48" s="21" t="s">
        <v>57</v>
      </c>
      <c r="D48" s="38">
        <v>41072</v>
      </c>
      <c r="E48" s="37">
        <v>300</v>
      </c>
      <c r="F48" s="39">
        <v>10.19</v>
      </c>
      <c r="G48" s="39" t="s">
        <v>61</v>
      </c>
      <c r="H48" s="21" t="s">
        <v>12</v>
      </c>
      <c r="I48" s="38">
        <f>WORKDAY(NC[[#This Row],[DATA]],IF(NC['[A/O']]="A",3,1))</f>
        <v>41075</v>
      </c>
      <c r="J48" s="37">
        <f>EOMONTH(NC[[#This Row],[D LIQUID]],0)</f>
        <v>41090</v>
      </c>
      <c r="K48" s="37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48" s="39">
        <f>NC[QTDE]*NC[PREÇO]</f>
        <v>3057</v>
      </c>
      <c r="M48" s="39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-3057</v>
      </c>
      <c r="N48" s="39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0.84</v>
      </c>
      <c r="O48" s="39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0.21</v>
      </c>
      <c r="P48" s="39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48" s="39">
        <f>SETUP!$E$3*SUMPRODUCT(N(NC[DATA]=NC[[#This Row],[DATA]]),N(NC[ID]&lt;=NC[[#This Row],[ID]]))</f>
        <v>14.9</v>
      </c>
      <c r="R48" s="39">
        <f>TRUNC(NC[CORR. BASE]*SETUP!$F$3,2)</f>
        <v>0.28999999999999998</v>
      </c>
      <c r="S48" s="39">
        <f>TRUNC(NC[CORR. BASE]*SETUP!$G$3,2)</f>
        <v>0.57999999999999996</v>
      </c>
      <c r="T48" s="39">
        <f>NC[VL LIQUID]-NC[TX LIQUID]-NC[EMOL]-NC[REGISTRO]-NC[CORR. BASE]-NC[ISS]-NC[OUTRAS]</f>
        <v>-3073.82</v>
      </c>
      <c r="U48" s="39">
        <f>NC[LÍQUIDO]-SUMPRODUCT(N(NC[DATA]=NC[[#This Row],[DATA]]),N(NC[ID]=(NC[[#This Row],[ID]]-1)),NC[LÍQUIDO])</f>
        <v>-3073.82</v>
      </c>
      <c r="V48" s="39">
        <f t="shared" si="0"/>
        <v>10.246066666666668</v>
      </c>
      <c r="W48" s="39">
        <f>TRUNC(IF(OR(NC[OPER/TIPO]="CV",NC[OPER/TIPO]="VV"),     L48*SETUP!$H$3,     0),2)</f>
        <v>0</v>
      </c>
      <c r="X48" s="37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-300</v>
      </c>
      <c r="Y48" s="40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10.246066666666668</v>
      </c>
      <c r="Z48" s="40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10.709966666666668</v>
      </c>
      <c r="AA48" s="39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139.17000000000019</v>
      </c>
      <c r="AB48" s="41">
        <f>IF(NC['[A/O']]="O",NC[LUCRO OP]*0.15,0)</f>
        <v>0</v>
      </c>
      <c r="AC48" s="42">
        <f>NC[LUCRO OP]/ABS(NC[VALOR P/ OP])</f>
        <v>4.5275910755997482E-2</v>
      </c>
      <c r="AD48" s="39">
        <f>SUMPRODUCT(N(YEAR(NC[D LIQUID])=YEAR(NC[[#This Row],[D LIQUID]])),N(MONTH(NC[D LIQUID])=MONTH(NC[[#This Row],[D LIQUID]])),N(NC['[D/N']]="N"),NC[LUCRO OP])</f>
        <v>3654.2800000000011</v>
      </c>
      <c r="AE48" s="39">
        <f>SUMPRODUCT(N(YEAR(NC[D LIQUID])=YEAR(NC[[#This Row],[D LIQUID]])),N(MONTH(NC[D LIQUID])=MONTH(NC[[#This Row],[D LIQUID]])),N(NC['[D/N']]="D"),NC[LUCRO OP])</f>
        <v>-136.55000000000001</v>
      </c>
      <c r="AF48" s="39">
        <f>NC[LUCRO N '[A']]+NC[LUCRO D]</f>
        <v>3517.7300000000009</v>
      </c>
      <c r="AG48" s="39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18040</v>
      </c>
    </row>
    <row r="49" spans="1:33" x14ac:dyDescent="0.2">
      <c r="A49" s="21">
        <v>48</v>
      </c>
      <c r="B49" s="37" t="s">
        <v>66</v>
      </c>
      <c r="C49" s="21" t="s">
        <v>57</v>
      </c>
      <c r="D49" s="38">
        <v>41073</v>
      </c>
      <c r="E49" s="37">
        <v>500</v>
      </c>
      <c r="F49" s="39">
        <v>1.84</v>
      </c>
      <c r="G49" s="39" t="s">
        <v>61</v>
      </c>
      <c r="H49" s="21" t="s">
        <v>12</v>
      </c>
      <c r="I49" s="38">
        <f>WORKDAY(NC[[#This Row],[DATA]],IF(NC['[A/O']]="A",3,1))</f>
        <v>41078</v>
      </c>
      <c r="J49" s="37">
        <f>EOMONTH(NC[[#This Row],[D LIQUID]],0)</f>
        <v>41090</v>
      </c>
      <c r="K49" s="37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49" s="39">
        <f>NC[QTDE]*NC[PREÇO]</f>
        <v>920</v>
      </c>
      <c r="M49" s="39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-920</v>
      </c>
      <c r="N49" s="39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0.25</v>
      </c>
      <c r="O49" s="39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0.06</v>
      </c>
      <c r="P49" s="39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49" s="39">
        <f>SETUP!$E$3*SUMPRODUCT(N(NC[DATA]=NC[[#This Row],[DATA]]),N(NC[ID]&lt;=NC[[#This Row],[ID]]))</f>
        <v>14.9</v>
      </c>
      <c r="R49" s="39">
        <f>TRUNC(NC[CORR. BASE]*SETUP!$F$3,2)</f>
        <v>0.28999999999999998</v>
      </c>
      <c r="S49" s="39">
        <f>TRUNC(NC[CORR. BASE]*SETUP!$G$3,2)</f>
        <v>0.57999999999999996</v>
      </c>
      <c r="T49" s="39">
        <f>NC[VL LIQUID]-NC[TX LIQUID]-NC[EMOL]-NC[REGISTRO]-NC[CORR. BASE]-NC[ISS]-NC[OUTRAS]</f>
        <v>-936.07999999999993</v>
      </c>
      <c r="U49" s="39">
        <f>NC[LÍQUIDO]-SUMPRODUCT(N(NC[DATA]=NC[[#This Row],[DATA]]),N(NC[ID]=(NC[[#This Row],[ID]]-1)),NC[LÍQUIDO])</f>
        <v>-936.07999999999993</v>
      </c>
      <c r="V49" s="39">
        <f t="shared" si="0"/>
        <v>1.8721599999999998</v>
      </c>
      <c r="W49" s="39">
        <f>TRUNC(IF(OR(NC[OPER/TIPO]="CV",NC[OPER/TIPO]="VV"),     L49*SETUP!$H$3,     0),2)</f>
        <v>0</v>
      </c>
      <c r="X49" s="37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49" s="40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1.8721599999999998</v>
      </c>
      <c r="Z49" s="40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4.0428399999999991</v>
      </c>
      <c r="AA49" s="39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1085.3399999999995</v>
      </c>
      <c r="AB49" s="41">
        <f>IF(NC['[A/O']]="O",NC[LUCRO OP]*0.15,0)</f>
        <v>0</v>
      </c>
      <c r="AC49" s="42">
        <f>NC[LUCRO OP]/ABS(NC[VALOR P/ OP])</f>
        <v>1.159452183574053</v>
      </c>
      <c r="AD49" s="39">
        <f>SUMPRODUCT(N(YEAR(NC[D LIQUID])=YEAR(NC[[#This Row],[D LIQUID]])),N(MONTH(NC[D LIQUID])=MONTH(NC[[#This Row],[D LIQUID]])),N(NC['[D/N']]="N"),NC[LUCRO OP])</f>
        <v>3654.2800000000011</v>
      </c>
      <c r="AE49" s="39">
        <f>SUMPRODUCT(N(YEAR(NC[D LIQUID])=YEAR(NC[[#This Row],[D LIQUID]])),N(MONTH(NC[D LIQUID])=MONTH(NC[[#This Row],[D LIQUID]])),N(NC['[D/N']]="D"),NC[LUCRO OP])</f>
        <v>-136.55000000000001</v>
      </c>
      <c r="AF49" s="39">
        <f>NC[LUCRO N '[A']]+NC[LUCRO D]</f>
        <v>3517.7300000000009</v>
      </c>
      <c r="AG49" s="39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18040</v>
      </c>
    </row>
    <row r="50" spans="1:33" x14ac:dyDescent="0.2">
      <c r="A50" s="30">
        <v>49</v>
      </c>
      <c r="B50" s="37" t="s">
        <v>25</v>
      </c>
      <c r="C50" s="21" t="s">
        <v>57</v>
      </c>
      <c r="D50" s="38">
        <v>41074</v>
      </c>
      <c r="E50" s="37">
        <v>400</v>
      </c>
      <c r="F50" s="39">
        <v>1.39</v>
      </c>
      <c r="G50" s="39" t="s">
        <v>61</v>
      </c>
      <c r="H50" s="21" t="s">
        <v>12</v>
      </c>
      <c r="I50" s="22">
        <f>WORKDAY(NC[[#This Row],[DATA]],IF(NC['[A/O']]="A",3,1))</f>
        <v>41079</v>
      </c>
      <c r="J50" s="21">
        <f>EOMONTH(NC[[#This Row],[D LIQUID]],0)</f>
        <v>41090</v>
      </c>
      <c r="K50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4</v>
      </c>
      <c r="L50" s="23">
        <f>NC[QTDE]*NC[PREÇO]</f>
        <v>556</v>
      </c>
      <c r="M50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-556</v>
      </c>
      <c r="N50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0.15</v>
      </c>
      <c r="O50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0.03</v>
      </c>
      <c r="P50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50" s="23">
        <f>SETUP!$E$3*SUMPRODUCT(N(NC[DATA]=NC[[#This Row],[DATA]]),N(NC[ID]&lt;=NC[[#This Row],[ID]]))</f>
        <v>14.9</v>
      </c>
      <c r="R50" s="23">
        <f>TRUNC(NC[CORR. BASE]*SETUP!$F$3,2)</f>
        <v>0.28999999999999998</v>
      </c>
      <c r="S50" s="23">
        <f>TRUNC(NC[CORR. BASE]*SETUP!$G$3,2)</f>
        <v>0.57999999999999996</v>
      </c>
      <c r="T50" s="23">
        <f>NC[VL LIQUID]-NC[TX LIQUID]-NC[EMOL]-NC[REGISTRO]-NC[CORR. BASE]-NC[ISS]-NC[OUTRAS]</f>
        <v>-571.94999999999993</v>
      </c>
      <c r="U50" s="23">
        <f>NC[LÍQUIDO]-SUMPRODUCT(N(NC[DATA]=NC[[#This Row],[DATA]]),N(NC[ID]=(NC[[#This Row],[ID]]-1)),NC[LÍQUIDO])</f>
        <v>-571.94999999999993</v>
      </c>
      <c r="V50" s="23">
        <f t="shared" ref="V50:V51" si="1">ABS(U50)/E50</f>
        <v>1.4298749999999998</v>
      </c>
      <c r="W50" s="23">
        <f>TRUNC(IF(OR(NC[OPER/TIPO]="CV",NC[OPER/TIPO]="VV"),     L50*SETUP!$H$3,     0),2)</f>
        <v>0</v>
      </c>
      <c r="X50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50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1.4298749999999998</v>
      </c>
      <c r="Z50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2.3794749999999998</v>
      </c>
      <c r="AA50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379.84</v>
      </c>
      <c r="AB50" s="36">
        <f>IF(NC['[A/O']]="O",NC[LUCRO OP]*0.15,0)</f>
        <v>0</v>
      </c>
      <c r="AC50" s="28">
        <f>NC[LUCRO OP]/ABS(NC[VALOR P/ OP])</f>
        <v>0.66411399597866949</v>
      </c>
      <c r="AD50" s="23">
        <f>SUMPRODUCT(N(YEAR(NC[D LIQUID])=YEAR(NC[[#This Row],[D LIQUID]])),N(MONTH(NC[D LIQUID])=MONTH(NC[[#This Row],[D LIQUID]])),N(NC['[D/N']]="N"),NC[LUCRO OP])</f>
        <v>3654.2800000000011</v>
      </c>
      <c r="AE50" s="23">
        <f>SUMPRODUCT(N(YEAR(NC[D LIQUID])=YEAR(NC[[#This Row],[D LIQUID]])),N(MONTH(NC[D LIQUID])=MONTH(NC[[#This Row],[D LIQUID]])),N(NC['[D/N']]="D"),NC[LUCRO OP])</f>
        <v>-136.55000000000001</v>
      </c>
      <c r="AF50" s="23">
        <f>NC[LUCRO N '[A']]+NC[LUCRO D]</f>
        <v>3517.7300000000009</v>
      </c>
      <c r="AG50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18040</v>
      </c>
    </row>
    <row r="51" spans="1:33" x14ac:dyDescent="0.2">
      <c r="A51" s="21">
        <v>50</v>
      </c>
      <c r="B51" s="37" t="s">
        <v>67</v>
      </c>
      <c r="C51" s="21" t="s">
        <v>57</v>
      </c>
      <c r="D51" s="38">
        <v>41075</v>
      </c>
      <c r="E51" s="37">
        <v>200</v>
      </c>
      <c r="F51" s="39">
        <v>16.41</v>
      </c>
      <c r="G51" s="39" t="s">
        <v>61</v>
      </c>
      <c r="H51" s="21" t="s">
        <v>12</v>
      </c>
      <c r="I51" s="22">
        <f>WORKDAY(NC[[#This Row],[DATA]],IF(NC['[A/O']]="A",3,1))</f>
        <v>41080</v>
      </c>
      <c r="J51" s="21">
        <f>EOMONTH(NC[[#This Row],[D LIQUID]],0)</f>
        <v>41090</v>
      </c>
      <c r="K51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51" s="23">
        <f>NC[QTDE]*NC[PREÇO]</f>
        <v>3282</v>
      </c>
      <c r="M51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-3282</v>
      </c>
      <c r="N51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0.9</v>
      </c>
      <c r="O51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0.22</v>
      </c>
      <c r="P51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51" s="23">
        <f>SETUP!$E$3*SUMPRODUCT(N(NC[DATA]=NC[[#This Row],[DATA]]),N(NC[ID]&lt;=NC[[#This Row],[ID]]))</f>
        <v>14.9</v>
      </c>
      <c r="R51" s="23">
        <f>TRUNC(NC[CORR. BASE]*SETUP!$F$3,2)</f>
        <v>0.28999999999999998</v>
      </c>
      <c r="S51" s="23">
        <f>TRUNC(NC[CORR. BASE]*SETUP!$G$3,2)</f>
        <v>0.57999999999999996</v>
      </c>
      <c r="T51" s="23">
        <f>NC[VL LIQUID]-NC[TX LIQUID]-NC[EMOL]-NC[REGISTRO]-NC[CORR. BASE]-NC[ISS]-NC[OUTRAS]</f>
        <v>-3298.89</v>
      </c>
      <c r="U51" s="23">
        <f>NC[LÍQUIDO]-SUMPRODUCT(N(NC[DATA]=NC[[#This Row],[DATA]]),N(NC[ID]=(NC[[#This Row],[ID]]-1)),NC[LÍQUIDO])</f>
        <v>-3298.89</v>
      </c>
      <c r="V51" s="23">
        <f t="shared" si="1"/>
        <v>16.494450000000001</v>
      </c>
      <c r="W51" s="23">
        <f>TRUNC(IF(OR(NC[OPER/TIPO]="CV",NC[OPER/TIPO]="VV"),     L51*SETUP!$H$3,     0),2)</f>
        <v>0</v>
      </c>
      <c r="X51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51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16.494450000000001</v>
      </c>
      <c r="Z51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19.223975000000003</v>
      </c>
      <c r="AA51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545.90500000000043</v>
      </c>
      <c r="AB51" s="36">
        <f>IF(NC['[A/O']]="O",NC[LUCRO OP]*0.15,0)</f>
        <v>0</v>
      </c>
      <c r="AC51" s="28">
        <f>NC[LUCRO OP]/ABS(NC[VALOR P/ OP])</f>
        <v>0.16548141950777395</v>
      </c>
      <c r="AD51" s="23">
        <f>SUMPRODUCT(N(YEAR(NC[D LIQUID])=YEAR(NC[[#This Row],[D LIQUID]])),N(MONTH(NC[D LIQUID])=MONTH(NC[[#This Row],[D LIQUID]])),N(NC['[D/N']]="N"),NC[LUCRO OP])</f>
        <v>3654.2800000000011</v>
      </c>
      <c r="AE51" s="23">
        <f>SUMPRODUCT(N(YEAR(NC[D LIQUID])=YEAR(NC[[#This Row],[D LIQUID]])),N(MONTH(NC[D LIQUID])=MONTH(NC[[#This Row],[D LIQUID]])),N(NC['[D/N']]="D"),NC[LUCRO OP])</f>
        <v>-136.55000000000001</v>
      </c>
      <c r="AF51" s="23">
        <f>NC[LUCRO N '[A']]+NC[LUCRO D]</f>
        <v>3517.7300000000009</v>
      </c>
      <c r="AG51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18040</v>
      </c>
    </row>
    <row r="52" spans="1:33" x14ac:dyDescent="0.2">
      <c r="A52" s="30">
        <v>51</v>
      </c>
      <c r="B52" s="37" t="s">
        <v>68</v>
      </c>
      <c r="C52" s="21" t="s">
        <v>57</v>
      </c>
      <c r="D52" s="38">
        <v>41076</v>
      </c>
      <c r="E52" s="37">
        <v>300</v>
      </c>
      <c r="F52" s="39">
        <v>7.52</v>
      </c>
      <c r="G52" s="39" t="s">
        <v>61</v>
      </c>
      <c r="H52" s="21" t="s">
        <v>12</v>
      </c>
      <c r="I52" s="22">
        <f>WORKDAY(NC[[#This Row],[DATA]],IF(NC['[A/O']]="A",3,1))</f>
        <v>41080</v>
      </c>
      <c r="J52" s="21">
        <f>EOMONTH(NC[[#This Row],[D LIQUID]],0)</f>
        <v>41090</v>
      </c>
      <c r="K5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52" s="23">
        <f>NC[QTDE]*NC[PREÇO]</f>
        <v>2256</v>
      </c>
      <c r="M5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-2256</v>
      </c>
      <c r="N52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0.62</v>
      </c>
      <c r="O52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0.15</v>
      </c>
      <c r="P52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52" s="23">
        <f>SETUP!$E$3*SUMPRODUCT(N(NC[DATA]=NC[[#This Row],[DATA]]),N(NC[ID]&lt;=NC[[#This Row],[ID]]))</f>
        <v>14.9</v>
      </c>
      <c r="R52" s="23">
        <f>TRUNC(NC[CORR. BASE]*SETUP!$F$3,2)</f>
        <v>0.28999999999999998</v>
      </c>
      <c r="S52" s="23">
        <f>TRUNC(NC[CORR. BASE]*SETUP!$G$3,2)</f>
        <v>0.57999999999999996</v>
      </c>
      <c r="T52" s="23">
        <f>NC[VL LIQUID]-NC[TX LIQUID]-NC[EMOL]-NC[REGISTRO]-NC[CORR. BASE]-NC[ISS]-NC[OUTRAS]</f>
        <v>-2272.54</v>
      </c>
      <c r="U52" s="23">
        <f>NC[LÍQUIDO]-SUMPRODUCT(N(NC[DATA]=NC[[#This Row],[DATA]]),N(NC[ID]=(NC[[#This Row],[ID]]-1)),NC[LÍQUIDO])</f>
        <v>-2272.54</v>
      </c>
      <c r="V52" s="23">
        <f>ABS(U52)/E52</f>
        <v>7.5751333333333335</v>
      </c>
      <c r="W52" s="23">
        <f>TRUNC(IF(OR(NC[OPER/TIPO]="CV",NC[OPER/TIPO]="VV"),     L52*SETUP!$H$3,     0),2)</f>
        <v>0</v>
      </c>
      <c r="X5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5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7.5751333333333335</v>
      </c>
      <c r="Z5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10.709966666666668</v>
      </c>
      <c r="AA52" s="23">
        <f>IF(NC['[D/N']]="D", IF(OR(NC[OPER/TIPO]="CC", NC[OPER/TIPO]="VV"), 0, IF(NC[OPER/TIPO]="CV", SUMPRODUCT(N(NC[DATA]=NC[[#This Row],[DATA]]),N(NC[OPER/TIPO]="CV"), NC[LÍQUIDO]), SUMPRODUCT(N(NC[DATA]=NC[[#This Row],[DATA]]),N(NC[OPER/TIPO]="VC"), NC[LÍQUIDO]))), IF(AND(NC[MED CP]&gt;0,NC[MED VD]&gt;0),(NC[MED VD]-NC[MED CP])*NC[QTDE],0))</f>
        <v>940.45000000000039</v>
      </c>
      <c r="AB52" s="36">
        <f>IF(NC['[A/O']]="O",NC[LUCRO OP]*0.15,0)</f>
        <v>0</v>
      </c>
      <c r="AC52" s="28">
        <f>NC[LUCRO OP]/ABS(NC[VALOR P/ OP])</f>
        <v>0.41383209976502083</v>
      </c>
      <c r="AD52" s="23">
        <f>SUMPRODUCT(N(YEAR(NC[D LIQUID])=YEAR(NC[[#This Row],[D LIQUID]])),N(MONTH(NC[D LIQUID])=MONTH(NC[[#This Row],[D LIQUID]])),N(NC['[D/N']]="N"),NC[LUCRO OP])</f>
        <v>3654.2800000000011</v>
      </c>
      <c r="AE52" s="23">
        <f>SUMPRODUCT(N(YEAR(NC[D LIQUID])=YEAR(NC[[#This Row],[D LIQUID]])),N(MONTH(NC[D LIQUID])=MONTH(NC[[#This Row],[D LIQUID]])),N(NC['[D/N']]="D"),NC[LUCRO OP])</f>
        <v>-136.55000000000001</v>
      </c>
      <c r="AF52" s="23">
        <f>NC[LUCRO N '[A']]+NC[LUCRO D]</f>
        <v>3517.7300000000009</v>
      </c>
      <c r="AG52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18040</v>
      </c>
    </row>
    <row r="53" spans="1:33" x14ac:dyDescent="0.2">
      <c r="A53" s="47" t="s">
        <v>32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23" t="s">
        <v>51</v>
      </c>
      <c r="U53" s="47"/>
      <c r="V53" s="47"/>
      <c r="W53" s="23">
        <f>SUBTOTAL(109,NC[IRRF])</f>
        <v>2.0100000000000002</v>
      </c>
      <c r="X53" s="23"/>
      <c r="Y53" s="47"/>
      <c r="Z53" s="47"/>
      <c r="AA53" s="23">
        <f>SUBTOTAL(109,NC[LUCRO OP])-NC[[#Totals],[IRRF OPÇÃO]]</f>
        <v>1720.0400000000013</v>
      </c>
      <c r="AB53" s="23">
        <f>SUBTOTAL(109,NC[IRRF OPÇÃO])</f>
        <v>0</v>
      </c>
      <c r="AC53" s="23"/>
      <c r="AD53" s="48"/>
      <c r="AE53" s="48"/>
      <c r="AF53" s="48">
        <f>NC[[#Totals],[LUCRO OP]]/NC[[#Totals],[LÍQUIDO]]</f>
        <v>0.25422679162903872</v>
      </c>
      <c r="AG53" s="43">
        <f>IF(NC[[#Totals],[LUCRO OP]]&lt;0,ABS(NC[[#Totals],[LUCRO OP]]/(NC[[#Totals],[LUCRO OP]]+NC[[#Totals],[LÍQUIDO]])),-NC[[#Totals],[LUCRO OP]]/(NC[[#Totals],[LUCRO OP]]+NC[[#Totals],[LÍQUIDO]]))</f>
        <v>-0.20269603019629254</v>
      </c>
    </row>
    <row r="54" spans="1:33" x14ac:dyDescent="0.2">
      <c r="D54" s="2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7"/>
  <sheetViews>
    <sheetView workbookViewId="0">
      <selection sqref="A1:H7"/>
    </sheetView>
  </sheetViews>
  <sheetFormatPr defaultColWidth="11.5703125" defaultRowHeight="11.25" x14ac:dyDescent="0.2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 x14ac:dyDescent="0.2">
      <c r="A1" s="46" t="s">
        <v>14</v>
      </c>
      <c r="B1" s="46"/>
      <c r="C1" s="46" t="s">
        <v>15</v>
      </c>
      <c r="D1" s="46"/>
      <c r="E1" s="45" t="s">
        <v>16</v>
      </c>
      <c r="F1" s="45" t="s">
        <v>8</v>
      </c>
      <c r="G1" s="45" t="s">
        <v>17</v>
      </c>
      <c r="H1" s="45" t="s">
        <v>18</v>
      </c>
      <c r="I1" s="45" t="s">
        <v>50</v>
      </c>
    </row>
    <row r="2" spans="1:9" x14ac:dyDescent="0.2">
      <c r="A2" s="3" t="s">
        <v>19</v>
      </c>
      <c r="B2" s="3" t="s">
        <v>20</v>
      </c>
      <c r="C2" s="3" t="s">
        <v>19</v>
      </c>
      <c r="D2" s="3" t="s">
        <v>20</v>
      </c>
      <c r="E2" s="45"/>
      <c r="F2" s="45"/>
      <c r="G2" s="45"/>
      <c r="H2" s="45"/>
      <c r="I2" s="45"/>
    </row>
    <row r="3" spans="1:9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5">
        <v>6765.77</v>
      </c>
    </row>
    <row r="4" spans="1:9" x14ac:dyDescent="0.2">
      <c r="A4" s="44" t="s">
        <v>58</v>
      </c>
      <c r="B4" s="44"/>
      <c r="C4" s="44"/>
      <c r="D4" s="44"/>
      <c r="E4" s="44"/>
      <c r="F4" s="44"/>
    </row>
    <row r="5" spans="1:9" x14ac:dyDescent="0.2">
      <c r="A5" s="44" t="s">
        <v>14</v>
      </c>
      <c r="B5" s="44"/>
      <c r="C5" s="44"/>
      <c r="D5" s="44" t="s">
        <v>15</v>
      </c>
      <c r="E5" s="44"/>
      <c r="F5" s="44"/>
    </row>
    <row r="6" spans="1:9" x14ac:dyDescent="0.2">
      <c r="A6" s="26" t="s">
        <v>19</v>
      </c>
      <c r="B6" s="26" t="s">
        <v>20</v>
      </c>
      <c r="C6" s="26" t="s">
        <v>59</v>
      </c>
      <c r="D6" s="26" t="s">
        <v>19</v>
      </c>
      <c r="E6" s="26" t="s">
        <v>20</v>
      </c>
      <c r="F6" s="26" t="s">
        <v>59</v>
      </c>
    </row>
    <row r="7" spans="1:9" x14ac:dyDescent="0.2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2012-03-04T21:31:14Z</dcterms:created>
  <dcterms:modified xsi:type="dcterms:W3CDTF">2012-06-05T23:11:57Z</dcterms:modified>
</cp:coreProperties>
</file>