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0" yWindow="300" windowWidth="16380" windowHeight="7890" tabRatio="648"/>
  </bookViews>
  <sheets>
    <sheet name="NOTAS" sheetId="1" r:id="rId1"/>
    <sheet name="VOLAT-TENDENCIA" sheetId="3" r:id="rId2"/>
    <sheet name="TRAVA BAIXA" sheetId="4" r:id="rId3"/>
    <sheet name="BORBOLETA" sheetId="5" r:id="rId4"/>
    <sheet name="TRAVA BAIXA NEW" sheetId="6" r:id="rId5"/>
    <sheet name="Plan1" sheetId="7" r:id="rId6"/>
    <sheet name="SETUP" sheetId="2" r:id="rId7"/>
  </sheets>
  <calcPr calcId="145621"/>
</workbook>
</file>

<file path=xl/calcChain.xml><?xml version="1.0" encoding="utf-8"?>
<calcChain xmlns="http://schemas.openxmlformats.org/spreadsheetml/2006/main">
  <c r="I5" i="7" l="1"/>
  <c r="J5" i="7"/>
  <c r="K5" i="7"/>
  <c r="L5" i="7"/>
  <c r="O5" i="7" s="1"/>
  <c r="M5" i="7"/>
  <c r="N5" i="7"/>
  <c r="I48" i="1" l="1"/>
  <c r="J48" i="1"/>
  <c r="L48" i="1"/>
  <c r="Q48" i="1"/>
  <c r="S48" i="1" s="1"/>
  <c r="U48" i="1"/>
  <c r="Y48" i="1"/>
  <c r="Z48" i="1"/>
  <c r="I50" i="1"/>
  <c r="J50" i="1" s="1"/>
  <c r="L50" i="1"/>
  <c r="Q50" i="1"/>
  <c r="S50" i="1" s="1"/>
  <c r="R50" i="1"/>
  <c r="U50" i="1"/>
  <c r="Y50" i="1"/>
  <c r="Z50" i="1"/>
  <c r="AE50" i="1"/>
  <c r="AF50" i="1"/>
  <c r="AH50" i="1" s="1"/>
  <c r="AJ50" i="1" s="1"/>
  <c r="AK50" i="1" s="1"/>
  <c r="AL50" i="1" s="1"/>
  <c r="AG50" i="1"/>
  <c r="AI50" i="1" s="1"/>
  <c r="I47" i="1"/>
  <c r="J47" i="1"/>
  <c r="L47" i="1"/>
  <c r="Q47" i="1"/>
  <c r="R47" i="1" s="1"/>
  <c r="U47" i="1"/>
  <c r="Y47" i="1"/>
  <c r="Z47" i="1"/>
  <c r="AB47" i="1"/>
  <c r="I46" i="1"/>
  <c r="J46" i="1"/>
  <c r="L46" i="1"/>
  <c r="Q46" i="1"/>
  <c r="R46" i="1" s="1"/>
  <c r="S46" i="1"/>
  <c r="U46" i="1"/>
  <c r="Y46" i="1"/>
  <c r="Z46" i="1"/>
  <c r="AA46" i="1"/>
  <c r="I2" i="7"/>
  <c r="I3" i="7"/>
  <c r="I4" i="7"/>
  <c r="M4" i="7" s="1"/>
  <c r="K2" i="7"/>
  <c r="K3" i="7"/>
  <c r="K4" i="7"/>
  <c r="N4" i="7"/>
  <c r="J4" i="7"/>
  <c r="N3" i="7"/>
  <c r="J3" i="7"/>
  <c r="M3" i="7"/>
  <c r="N2" i="7"/>
  <c r="J2" i="7"/>
  <c r="M2" i="7"/>
  <c r="I7" i="4"/>
  <c r="J7" i="4"/>
  <c r="K7" i="4"/>
  <c r="L7" i="4" s="1"/>
  <c r="O7" i="4"/>
  <c r="I6" i="4"/>
  <c r="J6" i="4"/>
  <c r="K6" i="4" s="1"/>
  <c r="L6" i="4" s="1"/>
  <c r="O6" i="4"/>
  <c r="H4" i="6"/>
  <c r="M4" i="6" s="1"/>
  <c r="I4" i="6"/>
  <c r="N4" i="6"/>
  <c r="M7" i="4" l="1"/>
  <c r="P7" i="4" s="1"/>
  <c r="N7" i="4"/>
  <c r="N6" i="4"/>
  <c r="M6" i="4"/>
  <c r="R48" i="1"/>
  <c r="K4" i="6"/>
  <c r="J4" i="6" s="1"/>
  <c r="L4" i="6" s="1"/>
  <c r="S47" i="1"/>
  <c r="H6" i="4"/>
  <c r="H7" i="4"/>
  <c r="L2" i="7"/>
  <c r="O2" i="7" s="1"/>
  <c r="L3" i="7"/>
  <c r="O3" i="7" s="1"/>
  <c r="L4" i="7"/>
  <c r="O4" i="7" s="1"/>
  <c r="O4" i="6"/>
  <c r="P6" i="4" l="1"/>
  <c r="H3" i="6"/>
  <c r="M3" i="6" s="1"/>
  <c r="I3" i="6"/>
  <c r="K3" i="6"/>
  <c r="J3" i="6" s="1"/>
  <c r="L3" i="6" s="1"/>
  <c r="N3" i="6"/>
  <c r="O3" i="6" l="1"/>
  <c r="I2" i="6" l="1"/>
  <c r="H2" i="6"/>
  <c r="M2" i="6" s="1"/>
  <c r="N2" i="6"/>
  <c r="K2" i="6" l="1"/>
  <c r="J2" i="6" s="1"/>
  <c r="L2" i="6" s="1"/>
  <c r="O2" i="6" l="1"/>
  <c r="I49" i="1" l="1"/>
  <c r="J49" i="1"/>
  <c r="L49" i="1"/>
  <c r="Q49" i="1"/>
  <c r="R49" i="1" s="1"/>
  <c r="S49" i="1"/>
  <c r="U49" i="1"/>
  <c r="Y49" i="1"/>
  <c r="Z49" i="1"/>
  <c r="I51" i="1"/>
  <c r="J51" i="1" s="1"/>
  <c r="L51" i="1"/>
  <c r="Y51" i="1" s="1"/>
  <c r="Q51" i="1"/>
  <c r="S51" i="1" s="1"/>
  <c r="R51" i="1"/>
  <c r="U51" i="1"/>
  <c r="Z51" i="1"/>
  <c r="I39" i="1"/>
  <c r="J39" i="1"/>
  <c r="L39" i="1"/>
  <c r="Q39" i="1"/>
  <c r="R39" i="1" s="1"/>
  <c r="U39" i="1"/>
  <c r="Y39" i="1"/>
  <c r="Z39" i="1"/>
  <c r="AA39" i="1"/>
  <c r="I38" i="1"/>
  <c r="J38" i="1"/>
  <c r="L38" i="1"/>
  <c r="Q38" i="1"/>
  <c r="R38" i="1" s="1"/>
  <c r="S38" i="1"/>
  <c r="U38" i="1"/>
  <c r="Y38" i="1"/>
  <c r="Z38" i="1"/>
  <c r="AB38" i="1"/>
  <c r="AE38" i="1"/>
  <c r="AF38" i="1"/>
  <c r="AH38" i="1" s="1"/>
  <c r="AG38" i="1"/>
  <c r="AI38" i="1" s="1"/>
  <c r="AJ38" i="1" l="1"/>
  <c r="AK38" i="1" s="1"/>
  <c r="AL38" i="1" s="1"/>
  <c r="S39" i="1"/>
  <c r="I5" i="4"/>
  <c r="J5" i="4"/>
  <c r="K5" i="4"/>
  <c r="L5" i="4" s="1"/>
  <c r="O5" i="4"/>
  <c r="I45" i="1"/>
  <c r="J45" i="1"/>
  <c r="L45" i="1"/>
  <c r="Q45" i="1"/>
  <c r="R45" i="1"/>
  <c r="S45" i="1"/>
  <c r="U45" i="1"/>
  <c r="Y45" i="1"/>
  <c r="Z45" i="1"/>
  <c r="I41" i="1"/>
  <c r="J41" i="1" s="1"/>
  <c r="L41" i="1"/>
  <c r="Q41" i="1"/>
  <c r="S41" i="1" s="1"/>
  <c r="R41" i="1"/>
  <c r="U41" i="1"/>
  <c r="Y41" i="1"/>
  <c r="Z41" i="1"/>
  <c r="I37" i="1"/>
  <c r="J37" i="1"/>
  <c r="L37" i="1"/>
  <c r="Q37" i="1"/>
  <c r="R37" i="1" s="1"/>
  <c r="U37" i="1"/>
  <c r="Y37" i="1"/>
  <c r="Z37" i="1"/>
  <c r="AB37" i="1"/>
  <c r="I36" i="1"/>
  <c r="J36" i="1"/>
  <c r="L36" i="1"/>
  <c r="Y36" i="1" s="1"/>
  <c r="Q36" i="1"/>
  <c r="R36" i="1"/>
  <c r="S36" i="1"/>
  <c r="U36" i="1"/>
  <c r="Z36" i="1"/>
  <c r="AA36" i="1"/>
  <c r="AE36" i="1"/>
  <c r="AF36" i="1"/>
  <c r="AH36" i="1" s="1"/>
  <c r="AG36" i="1"/>
  <c r="AI36" i="1" s="1"/>
  <c r="AJ36" i="1" l="1"/>
  <c r="AK36" i="1" s="1"/>
  <c r="AL36" i="1" s="1"/>
  <c r="H5" i="4"/>
  <c r="N5" i="4"/>
  <c r="M5" i="4"/>
  <c r="S37" i="1"/>
  <c r="I4" i="4"/>
  <c r="J4" i="4"/>
  <c r="K4" i="4" s="1"/>
  <c r="L4" i="4" s="1"/>
  <c r="O4" i="4"/>
  <c r="H4" i="4" l="1"/>
  <c r="M4" i="4"/>
  <c r="P4" i="4" s="1"/>
  <c r="N4" i="4"/>
  <c r="P5" i="4"/>
  <c r="J2" i="5"/>
  <c r="K2" i="5"/>
  <c r="L2" i="5"/>
  <c r="U2" i="5"/>
  <c r="I2" i="4"/>
  <c r="I3" i="4"/>
  <c r="O2" i="4"/>
  <c r="O3" i="4"/>
  <c r="J2" i="4"/>
  <c r="J3" i="4"/>
  <c r="M2" i="5" l="1"/>
  <c r="N2" i="5" s="1"/>
  <c r="O2" i="5" s="1"/>
  <c r="F4" i="3"/>
  <c r="G4" i="3" s="1"/>
  <c r="J4" i="3" s="1"/>
  <c r="H4" i="3"/>
  <c r="I4" i="3" s="1"/>
  <c r="F3" i="3"/>
  <c r="G3" i="3" s="1"/>
  <c r="H3" i="3"/>
  <c r="I3" i="3" s="1"/>
  <c r="AB33" i="1"/>
  <c r="AB32" i="1"/>
  <c r="AB30" i="1"/>
  <c r="AB28" i="1"/>
  <c r="AB25" i="1"/>
  <c r="AB22" i="1"/>
  <c r="AB21" i="1"/>
  <c r="AB20" i="1"/>
  <c r="AB17" i="1"/>
  <c r="AB16" i="1"/>
  <c r="AB12" i="1"/>
  <c r="AB11" i="1"/>
  <c r="AB9" i="1"/>
  <c r="AB7" i="1"/>
  <c r="AB4" i="1"/>
  <c r="AB3" i="1"/>
  <c r="AB2" i="1"/>
  <c r="Q2" i="5" l="1"/>
  <c r="P2" i="5"/>
  <c r="R2" i="5"/>
  <c r="S2" i="5"/>
  <c r="T2" i="5"/>
  <c r="J3" i="3"/>
  <c r="V2" i="5" l="1"/>
  <c r="K3" i="4"/>
  <c r="L3" i="4" s="1"/>
  <c r="H3" i="4" l="1"/>
  <c r="N3" i="4"/>
  <c r="P3" i="4" s="1"/>
  <c r="M3" i="4"/>
  <c r="I43" i="1" l="1"/>
  <c r="J43" i="1" s="1"/>
  <c r="L43" i="1"/>
  <c r="Y43" i="1" s="1"/>
  <c r="Q43" i="1"/>
  <c r="R43" i="1" s="1"/>
  <c r="U43" i="1"/>
  <c r="Z43" i="1"/>
  <c r="I40" i="1"/>
  <c r="J40" i="1" s="1"/>
  <c r="L40" i="1"/>
  <c r="Q40" i="1"/>
  <c r="R40" i="1" s="1"/>
  <c r="U40" i="1"/>
  <c r="Y40" i="1"/>
  <c r="Z40" i="1"/>
  <c r="I44" i="1"/>
  <c r="J44" i="1" s="1"/>
  <c r="L44" i="1"/>
  <c r="Y44" i="1" s="1"/>
  <c r="Q44" i="1"/>
  <c r="R44" i="1" s="1"/>
  <c r="U44" i="1"/>
  <c r="Z44" i="1"/>
  <c r="AE44" i="1"/>
  <c r="AF44" i="1"/>
  <c r="AH44" i="1" s="1"/>
  <c r="AG44" i="1"/>
  <c r="AI44" i="1" s="1"/>
  <c r="I34" i="1"/>
  <c r="J34" i="1" s="1"/>
  <c r="L34" i="1"/>
  <c r="Y34" i="1" s="1"/>
  <c r="Q34" i="1"/>
  <c r="R34" i="1" s="1"/>
  <c r="U34" i="1"/>
  <c r="Z34" i="1"/>
  <c r="AA34" i="1"/>
  <c r="I33" i="1"/>
  <c r="J33" i="1" s="1"/>
  <c r="L33" i="1"/>
  <c r="Q33" i="1"/>
  <c r="R33" i="1" s="1"/>
  <c r="U33" i="1"/>
  <c r="Y33" i="1"/>
  <c r="Z33" i="1"/>
  <c r="AE33" i="1"/>
  <c r="AF33" i="1"/>
  <c r="AH33" i="1" s="1"/>
  <c r="AG33" i="1"/>
  <c r="AI33" i="1" s="1"/>
  <c r="S43" i="1" l="1"/>
  <c r="S44" i="1"/>
  <c r="S40" i="1"/>
  <c r="AJ44" i="1"/>
  <c r="AK44" i="1" s="1"/>
  <c r="AL44" i="1" s="1"/>
  <c r="S34" i="1"/>
  <c r="S33" i="1"/>
  <c r="AJ33" i="1"/>
  <c r="AK33" i="1" s="1"/>
  <c r="AL33" i="1" s="1"/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H28" i="1" s="1"/>
  <c r="AF29" i="1"/>
  <c r="AH29" i="1" s="1"/>
  <c r="AF31" i="1"/>
  <c r="AH31" i="1" s="1"/>
  <c r="AF42" i="1"/>
  <c r="AH42" i="1" s="1"/>
  <c r="I32" i="1"/>
  <c r="J32" i="1" s="1"/>
  <c r="L32" i="1"/>
  <c r="Q32" i="1"/>
  <c r="R32" i="1" s="1"/>
  <c r="U32" i="1"/>
  <c r="Y32" i="1"/>
  <c r="Z32" i="1"/>
  <c r="I31" i="1"/>
  <c r="J31" i="1" s="1"/>
  <c r="L31" i="1"/>
  <c r="Y31" i="1" s="1"/>
  <c r="Q31" i="1"/>
  <c r="R31" i="1" s="1"/>
  <c r="U31" i="1"/>
  <c r="Z31" i="1"/>
  <c r="AE31" i="1"/>
  <c r="AG31" i="1"/>
  <c r="AI31" i="1" s="1"/>
  <c r="K2" i="4"/>
  <c r="L2" i="4" s="1"/>
  <c r="AA29" i="1"/>
  <c r="Y21" i="1"/>
  <c r="Y2" i="1"/>
  <c r="Y3" i="1"/>
  <c r="Y4" i="1"/>
  <c r="Y7" i="1"/>
  <c r="Y9" i="1"/>
  <c r="Y11" i="1"/>
  <c r="Y12" i="1"/>
  <c r="Y16" i="1"/>
  <c r="Y17" i="1"/>
  <c r="Y20" i="1"/>
  <c r="Y22" i="1"/>
  <c r="Y25" i="1"/>
  <c r="Y28" i="1"/>
  <c r="Y30" i="1"/>
  <c r="Y35" i="1"/>
  <c r="I42" i="1"/>
  <c r="J42" i="1" s="1"/>
  <c r="L42" i="1"/>
  <c r="Q42" i="1"/>
  <c r="R42" i="1" s="1"/>
  <c r="U42" i="1"/>
  <c r="Z42" i="1"/>
  <c r="AE42" i="1"/>
  <c r="AG42" i="1"/>
  <c r="AI42" i="1" s="1"/>
  <c r="I35" i="1"/>
  <c r="J35" i="1" s="1"/>
  <c r="L35" i="1"/>
  <c r="Q35" i="1"/>
  <c r="R35" i="1" s="1"/>
  <c r="U35" i="1"/>
  <c r="Z35" i="1"/>
  <c r="V27" i="1"/>
  <c r="I30" i="1"/>
  <c r="J30" i="1" s="1"/>
  <c r="L30" i="1"/>
  <c r="Q30" i="1"/>
  <c r="R30" i="1" s="1"/>
  <c r="U30" i="1"/>
  <c r="Z30" i="1"/>
  <c r="I29" i="1"/>
  <c r="J29" i="1" s="1"/>
  <c r="L29" i="1"/>
  <c r="Y29" i="1" s="1"/>
  <c r="Q29" i="1"/>
  <c r="R29" i="1" s="1"/>
  <c r="U29" i="1"/>
  <c r="Z29" i="1"/>
  <c r="AE29" i="1"/>
  <c r="AG29" i="1"/>
  <c r="I28" i="1"/>
  <c r="J28" i="1" s="1"/>
  <c r="L28" i="1"/>
  <c r="Q28" i="1"/>
  <c r="R28" i="1" s="1"/>
  <c r="U28" i="1"/>
  <c r="Z28" i="1"/>
  <c r="AE28" i="1"/>
  <c r="AG28" i="1"/>
  <c r="H2" i="4" l="1"/>
  <c r="N2" i="4"/>
  <c r="M2" i="4"/>
  <c r="Y42" i="1"/>
  <c r="S32" i="1"/>
  <c r="S31" i="1"/>
  <c r="AJ31" i="1"/>
  <c r="AK31" i="1" s="1"/>
  <c r="AL31" i="1" s="1"/>
  <c r="S29" i="1"/>
  <c r="S30" i="1"/>
  <c r="AJ42" i="1"/>
  <c r="AK42" i="1" s="1"/>
  <c r="AL42" i="1" s="1"/>
  <c r="S28" i="1"/>
  <c r="AI28" i="1"/>
  <c r="AJ28" i="1" s="1"/>
  <c r="AK28" i="1" s="1"/>
  <c r="AL28" i="1" s="1"/>
  <c r="AI29" i="1"/>
  <c r="AJ29" i="1" s="1"/>
  <c r="AK29" i="1" s="1"/>
  <c r="AL29" i="1" s="1"/>
  <c r="S35" i="1"/>
  <c r="S42" i="1"/>
  <c r="F2" i="3"/>
  <c r="G2" i="3" s="1"/>
  <c r="H2" i="3"/>
  <c r="I2" i="3" s="1"/>
  <c r="J2" i="3" l="1"/>
  <c r="P2" i="4"/>
  <c r="I26" i="1"/>
  <c r="J26" i="1" s="1"/>
  <c r="L26" i="1"/>
  <c r="Y26" i="1" s="1"/>
  <c r="Q26" i="1"/>
  <c r="R26" i="1" s="1"/>
  <c r="U26" i="1"/>
  <c r="Z26" i="1"/>
  <c r="I27" i="1"/>
  <c r="J27" i="1" s="1"/>
  <c r="L27" i="1"/>
  <c r="Y27" i="1" s="1"/>
  <c r="Q27" i="1"/>
  <c r="R27" i="1" s="1"/>
  <c r="U27" i="1"/>
  <c r="Z27" i="1"/>
  <c r="AE27" i="1"/>
  <c r="AH27" i="1"/>
  <c r="AG27" i="1"/>
  <c r="AI27" i="1" s="1"/>
  <c r="I25" i="1"/>
  <c r="J25" i="1" s="1"/>
  <c r="L25" i="1"/>
  <c r="Q25" i="1"/>
  <c r="R25" i="1" s="1"/>
  <c r="U25" i="1"/>
  <c r="Z25" i="1"/>
  <c r="I24" i="1"/>
  <c r="J24" i="1" s="1"/>
  <c r="L24" i="1"/>
  <c r="Y24" i="1" s="1"/>
  <c r="Q24" i="1"/>
  <c r="S24" i="1" s="1"/>
  <c r="U24" i="1"/>
  <c r="Z24" i="1"/>
  <c r="AE24" i="1"/>
  <c r="AH24" i="1"/>
  <c r="AG24" i="1"/>
  <c r="AI24" i="1" s="1"/>
  <c r="I23" i="1"/>
  <c r="J23" i="1" s="1"/>
  <c r="L23" i="1"/>
  <c r="Y23" i="1" s="1"/>
  <c r="Q23" i="1"/>
  <c r="R23" i="1" s="1"/>
  <c r="U23" i="1"/>
  <c r="Z23" i="1"/>
  <c r="AE23" i="1"/>
  <c r="AH23" i="1"/>
  <c r="AG23" i="1"/>
  <c r="AI23" i="1" s="1"/>
  <c r="I22" i="1"/>
  <c r="J22" i="1" s="1"/>
  <c r="L22" i="1"/>
  <c r="Q22" i="1"/>
  <c r="R22" i="1" s="1"/>
  <c r="U22" i="1"/>
  <c r="Z22" i="1"/>
  <c r="AE22" i="1"/>
  <c r="AH22" i="1"/>
  <c r="AG22" i="1"/>
  <c r="AI22" i="1" s="1"/>
  <c r="I21" i="1"/>
  <c r="J21" i="1" s="1"/>
  <c r="L21" i="1"/>
  <c r="Q21" i="1"/>
  <c r="R21" i="1" s="1"/>
  <c r="U21" i="1"/>
  <c r="Z21" i="1"/>
  <c r="AE21" i="1"/>
  <c r="AH21" i="1"/>
  <c r="AG21" i="1"/>
  <c r="AI21" i="1" s="1"/>
  <c r="S26" i="1" l="1"/>
  <c r="AJ27" i="1"/>
  <c r="AK27" i="1" s="1"/>
  <c r="AL27" i="1" s="1"/>
  <c r="S27" i="1"/>
  <c r="R24" i="1"/>
  <c r="S25" i="1"/>
  <c r="AJ24" i="1"/>
  <c r="AK24" i="1" s="1"/>
  <c r="AL24" i="1" s="1"/>
  <c r="S23" i="1"/>
  <c r="AJ23" i="1"/>
  <c r="AK23" i="1" s="1"/>
  <c r="AL23" i="1" s="1"/>
  <c r="AJ22" i="1"/>
  <c r="AK22" i="1" s="1"/>
  <c r="AL22" i="1" s="1"/>
  <c r="S22" i="1"/>
  <c r="AJ21" i="1"/>
  <c r="AK21" i="1" s="1"/>
  <c r="AL21" i="1" s="1"/>
  <c r="S21" i="1"/>
  <c r="AH19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18" i="1" s="1"/>
  <c r="I19" i="1"/>
  <c r="J19" i="1" s="1"/>
  <c r="I20" i="1"/>
  <c r="J20" i="1" s="1"/>
  <c r="L20" i="1"/>
  <c r="Q20" i="1"/>
  <c r="R20" i="1" s="1"/>
  <c r="U20" i="1"/>
  <c r="Z20" i="1"/>
  <c r="L19" i="1"/>
  <c r="Y19" i="1" s="1"/>
  <c r="Q19" i="1"/>
  <c r="R19" i="1" s="1"/>
  <c r="U19" i="1"/>
  <c r="Z19" i="1"/>
  <c r="AG19" i="1"/>
  <c r="AI19" i="1" s="1"/>
  <c r="L18" i="1"/>
  <c r="Y18" i="1" s="1"/>
  <c r="Q18" i="1"/>
  <c r="R18" i="1" s="1"/>
  <c r="U18" i="1"/>
  <c r="Z18" i="1"/>
  <c r="S20" i="1" l="1"/>
  <c r="S19" i="1"/>
  <c r="AJ19" i="1"/>
  <c r="AK19" i="1" s="1"/>
  <c r="AL19" i="1" s="1"/>
  <c r="S18" i="1"/>
  <c r="J17" i="1"/>
  <c r="L17" i="1"/>
  <c r="Q17" i="1"/>
  <c r="R17" i="1" s="1"/>
  <c r="U17" i="1"/>
  <c r="Z17" i="1"/>
  <c r="S17" i="1" l="1"/>
  <c r="J16" i="1"/>
  <c r="L16" i="1"/>
  <c r="Q16" i="1"/>
  <c r="R16" i="1" s="1"/>
  <c r="U16" i="1"/>
  <c r="Z16" i="1"/>
  <c r="S16" i="1" l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U2" i="1" l="1"/>
  <c r="U3" i="1"/>
  <c r="U4" i="1"/>
  <c r="U6" i="1"/>
  <c r="U7" i="1"/>
  <c r="U8" i="1"/>
  <c r="U9" i="1"/>
  <c r="U11" i="1"/>
  <c r="U12" i="1"/>
  <c r="U13" i="1"/>
  <c r="U14" i="1"/>
  <c r="U15" i="1"/>
  <c r="J13" i="1"/>
  <c r="L13" i="1"/>
  <c r="Y13" i="1" s="1"/>
  <c r="Q13" i="1"/>
  <c r="S13" i="1" s="1"/>
  <c r="Z13" i="1"/>
  <c r="J14" i="1"/>
  <c r="L14" i="1"/>
  <c r="Y14" i="1" s="1"/>
  <c r="Q14" i="1"/>
  <c r="R14" i="1" s="1"/>
  <c r="Z14" i="1"/>
  <c r="J15" i="1"/>
  <c r="L15" i="1"/>
  <c r="Y15" i="1" s="1"/>
  <c r="Q15" i="1"/>
  <c r="S15" i="1" s="1"/>
  <c r="Z15" i="1"/>
  <c r="J11" i="1"/>
  <c r="L11" i="1"/>
  <c r="Q11" i="1"/>
  <c r="S11" i="1" s="1"/>
  <c r="Z11" i="1"/>
  <c r="J12" i="1"/>
  <c r="L12" i="1"/>
  <c r="Q12" i="1"/>
  <c r="S12" i="1" s="1"/>
  <c r="Z12" i="1"/>
  <c r="J9" i="1"/>
  <c r="L9" i="1"/>
  <c r="Q9" i="1"/>
  <c r="R9" i="1" s="1"/>
  <c r="Z9" i="1"/>
  <c r="J10" i="1"/>
  <c r="L10" i="1"/>
  <c r="Y10" i="1" s="1"/>
  <c r="Q10" i="1"/>
  <c r="S10" i="1" s="1"/>
  <c r="Z10" i="1"/>
  <c r="J7" i="1"/>
  <c r="L7" i="1"/>
  <c r="Q7" i="1"/>
  <c r="S7" i="1" s="1"/>
  <c r="Z7" i="1"/>
  <c r="J8" i="1"/>
  <c r="L8" i="1"/>
  <c r="Y8" i="1" s="1"/>
  <c r="Q8" i="1"/>
  <c r="S8" i="1" s="1"/>
  <c r="Z8" i="1"/>
  <c r="J6" i="1"/>
  <c r="L6" i="1"/>
  <c r="Y6" i="1" s="1"/>
  <c r="Q6" i="1"/>
  <c r="R6" i="1" s="1"/>
  <c r="Z6" i="1"/>
  <c r="A52" i="1"/>
  <c r="G52" i="1" s="1"/>
  <c r="S6" i="1" l="1"/>
  <c r="R7" i="1"/>
  <c r="R11" i="1"/>
  <c r="R8" i="1"/>
  <c r="R13" i="1"/>
  <c r="R10" i="1"/>
  <c r="S9" i="1"/>
  <c r="S14" i="1"/>
  <c r="R12" i="1"/>
  <c r="R15" i="1"/>
  <c r="J4" i="1"/>
  <c r="J5" i="1"/>
  <c r="L5" i="1"/>
  <c r="Y5" i="1" s="1"/>
  <c r="Q5" i="1"/>
  <c r="R5" i="1" s="1"/>
  <c r="Z5" i="1"/>
  <c r="L4" i="1"/>
  <c r="Q4" i="1"/>
  <c r="R4" i="1" s="1"/>
  <c r="Z4" i="1"/>
  <c r="S5" i="1" l="1"/>
  <c r="S4" i="1"/>
  <c r="J3" i="1"/>
  <c r="L3" i="1"/>
  <c r="Q3" i="1"/>
  <c r="Z3" i="1"/>
  <c r="L2" i="1"/>
  <c r="Q2" i="1"/>
  <c r="S2" i="1" s="1"/>
  <c r="Z2" i="1"/>
  <c r="K50" i="1" l="1"/>
  <c r="K48" i="1"/>
  <c r="M48" i="1"/>
  <c r="N48" i="1"/>
  <c r="O48" i="1"/>
  <c r="P48" i="1"/>
  <c r="M50" i="1"/>
  <c r="N50" i="1"/>
  <c r="O50" i="1"/>
  <c r="P50" i="1"/>
  <c r="K46" i="1"/>
  <c r="K47" i="1"/>
  <c r="M47" i="1"/>
  <c r="N47" i="1"/>
  <c r="O47" i="1"/>
  <c r="P47" i="1"/>
  <c r="M46" i="1"/>
  <c r="N46" i="1"/>
  <c r="O46" i="1"/>
  <c r="P46" i="1"/>
  <c r="K51" i="1"/>
  <c r="K49" i="1"/>
  <c r="M49" i="1"/>
  <c r="N49" i="1"/>
  <c r="O49" i="1"/>
  <c r="P49" i="1"/>
  <c r="M51" i="1"/>
  <c r="N51" i="1"/>
  <c r="O51" i="1"/>
  <c r="P51" i="1"/>
  <c r="K38" i="1"/>
  <c r="K39" i="1"/>
  <c r="M39" i="1"/>
  <c r="N39" i="1"/>
  <c r="O39" i="1"/>
  <c r="P39" i="1"/>
  <c r="M38" i="1"/>
  <c r="N38" i="1"/>
  <c r="O38" i="1"/>
  <c r="P38" i="1"/>
  <c r="K41" i="1"/>
  <c r="K45" i="1"/>
  <c r="M45" i="1"/>
  <c r="N45" i="1"/>
  <c r="O45" i="1"/>
  <c r="P45" i="1"/>
  <c r="M41" i="1"/>
  <c r="N41" i="1"/>
  <c r="O41" i="1"/>
  <c r="P41" i="1"/>
  <c r="K36" i="1"/>
  <c r="K37" i="1"/>
  <c r="M37" i="1"/>
  <c r="N37" i="1"/>
  <c r="O37" i="1"/>
  <c r="P37" i="1"/>
  <c r="M36" i="1"/>
  <c r="N36" i="1"/>
  <c r="O36" i="1"/>
  <c r="P36" i="1"/>
  <c r="N15" i="1"/>
  <c r="N31" i="1"/>
  <c r="N8" i="1"/>
  <c r="N24" i="1"/>
  <c r="N5" i="1"/>
  <c r="N21" i="1"/>
  <c r="N44" i="1"/>
  <c r="N14" i="1"/>
  <c r="N30" i="1"/>
  <c r="N3" i="1"/>
  <c r="N19" i="1"/>
  <c r="N42" i="1"/>
  <c r="N12" i="1"/>
  <c r="N28" i="1"/>
  <c r="N9" i="1"/>
  <c r="N25" i="1"/>
  <c r="N2" i="1"/>
  <c r="N18" i="1"/>
  <c r="N34" i="1"/>
  <c r="N7" i="1"/>
  <c r="N23" i="1"/>
  <c r="N43" i="1"/>
  <c r="N16" i="1"/>
  <c r="N32" i="1"/>
  <c r="N13" i="1"/>
  <c r="N29" i="1"/>
  <c r="N6" i="1"/>
  <c r="N22" i="1"/>
  <c r="N40" i="1"/>
  <c r="N11" i="1"/>
  <c r="N27" i="1"/>
  <c r="N4" i="1"/>
  <c r="N20" i="1"/>
  <c r="N35" i="1"/>
  <c r="N17" i="1"/>
  <c r="N33" i="1"/>
  <c r="N10" i="1"/>
  <c r="N26" i="1"/>
  <c r="K43" i="1"/>
  <c r="M43" i="1"/>
  <c r="P43" i="1"/>
  <c r="O43" i="1"/>
  <c r="M40" i="1"/>
  <c r="O40" i="1"/>
  <c r="P40" i="1"/>
  <c r="K44" i="1"/>
  <c r="K40" i="1"/>
  <c r="M44" i="1"/>
  <c r="O44" i="1"/>
  <c r="P44" i="1"/>
  <c r="M34" i="1"/>
  <c r="O34" i="1"/>
  <c r="P34" i="1"/>
  <c r="K33" i="1"/>
  <c r="K34" i="1"/>
  <c r="M33" i="1"/>
  <c r="P33" i="1"/>
  <c r="O33" i="1"/>
  <c r="M32" i="1"/>
  <c r="O32" i="1"/>
  <c r="P32" i="1"/>
  <c r="K31" i="1"/>
  <c r="K32" i="1"/>
  <c r="M31" i="1"/>
  <c r="O31" i="1"/>
  <c r="P31" i="1"/>
  <c r="K42" i="1"/>
  <c r="K35" i="1"/>
  <c r="M42" i="1"/>
  <c r="O42" i="1"/>
  <c r="P42" i="1"/>
  <c r="M35" i="1"/>
  <c r="O35" i="1"/>
  <c r="P35" i="1"/>
  <c r="K29" i="1"/>
  <c r="K30" i="1"/>
  <c r="M30" i="1"/>
  <c r="O30" i="1"/>
  <c r="P30" i="1"/>
  <c r="M29" i="1"/>
  <c r="O29" i="1"/>
  <c r="P29" i="1"/>
  <c r="K26" i="1"/>
  <c r="K28" i="1"/>
  <c r="M28" i="1"/>
  <c r="O28" i="1"/>
  <c r="P28" i="1"/>
  <c r="M26" i="1"/>
  <c r="P26" i="1"/>
  <c r="O26" i="1"/>
  <c r="K25" i="1"/>
  <c r="K27" i="1"/>
  <c r="M27" i="1"/>
  <c r="P27" i="1"/>
  <c r="O27" i="1"/>
  <c r="M25" i="1"/>
  <c r="P25" i="1"/>
  <c r="O25" i="1"/>
  <c r="K23" i="1"/>
  <c r="K24" i="1"/>
  <c r="O24" i="1"/>
  <c r="P24" i="1"/>
  <c r="M24" i="1"/>
  <c r="O23" i="1"/>
  <c r="P23" i="1"/>
  <c r="M23" i="1"/>
  <c r="O22" i="1"/>
  <c r="P22" i="1"/>
  <c r="M22" i="1"/>
  <c r="K21" i="1"/>
  <c r="K22" i="1"/>
  <c r="O21" i="1"/>
  <c r="P21" i="1"/>
  <c r="M21" i="1"/>
  <c r="K20" i="1"/>
  <c r="M20" i="1"/>
  <c r="P20" i="1"/>
  <c r="O20" i="1"/>
  <c r="M19" i="1"/>
  <c r="P19" i="1"/>
  <c r="O19" i="1"/>
  <c r="K18" i="1"/>
  <c r="K19" i="1"/>
  <c r="M18" i="1"/>
  <c r="P18" i="1"/>
  <c r="O18" i="1"/>
  <c r="K17" i="1"/>
  <c r="P17" i="1"/>
  <c r="M17" i="1"/>
  <c r="O17" i="1"/>
  <c r="K16" i="1"/>
  <c r="M16" i="1"/>
  <c r="P16" i="1"/>
  <c r="O16" i="1"/>
  <c r="K13" i="1"/>
  <c r="K14" i="1"/>
  <c r="K15" i="1"/>
  <c r="M13" i="1"/>
  <c r="O13" i="1"/>
  <c r="P13" i="1"/>
  <c r="M14" i="1"/>
  <c r="O14" i="1"/>
  <c r="P14" i="1"/>
  <c r="M15" i="1"/>
  <c r="O15" i="1"/>
  <c r="P15" i="1"/>
  <c r="K11" i="1"/>
  <c r="K12" i="1"/>
  <c r="M11" i="1"/>
  <c r="O11" i="1"/>
  <c r="P11" i="1"/>
  <c r="M12" i="1"/>
  <c r="O12" i="1"/>
  <c r="P12" i="1"/>
  <c r="K9" i="1"/>
  <c r="K10" i="1"/>
  <c r="M9" i="1"/>
  <c r="O9" i="1"/>
  <c r="P9" i="1"/>
  <c r="M10" i="1"/>
  <c r="O10" i="1"/>
  <c r="P10" i="1"/>
  <c r="K7" i="1"/>
  <c r="K8" i="1"/>
  <c r="M7" i="1"/>
  <c r="O7" i="1"/>
  <c r="P7" i="1"/>
  <c r="M8" i="1"/>
  <c r="O8" i="1"/>
  <c r="P8" i="1"/>
  <c r="K6" i="1"/>
  <c r="M6" i="1"/>
  <c r="O6" i="1"/>
  <c r="P6" i="1"/>
  <c r="P4" i="1"/>
  <c r="O5" i="1"/>
  <c r="P2" i="1"/>
  <c r="O3" i="1"/>
  <c r="P3" i="1"/>
  <c r="O4" i="1"/>
  <c r="P5" i="1"/>
  <c r="O2" i="1"/>
  <c r="R3" i="1"/>
  <c r="S3" i="1"/>
  <c r="K5" i="1"/>
  <c r="M5" i="1"/>
  <c r="J2" i="1"/>
  <c r="R2" i="1"/>
  <c r="T48" i="1" l="1"/>
  <c r="T50" i="1"/>
  <c r="T47" i="1"/>
  <c r="T46" i="1"/>
  <c r="T49" i="1"/>
  <c r="T51" i="1"/>
  <c r="T39" i="1"/>
  <c r="T38" i="1"/>
  <c r="T45" i="1"/>
  <c r="T41" i="1"/>
  <c r="T37" i="1"/>
  <c r="T36" i="1"/>
  <c r="T43" i="1"/>
  <c r="T40" i="1"/>
  <c r="T44" i="1"/>
  <c r="T34" i="1"/>
  <c r="T33" i="1"/>
  <c r="T32" i="1"/>
  <c r="T31" i="1"/>
  <c r="T35" i="1"/>
  <c r="T42" i="1"/>
  <c r="T30" i="1"/>
  <c r="T29" i="1"/>
  <c r="T28" i="1"/>
  <c r="T27" i="1"/>
  <c r="T26" i="1"/>
  <c r="T25" i="1"/>
  <c r="T24" i="1"/>
  <c r="T23" i="1"/>
  <c r="T22" i="1"/>
  <c r="T21" i="1"/>
  <c r="AG18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K4" i="1"/>
  <c r="K3" i="1"/>
  <c r="K2" i="1"/>
  <c r="U5" i="1" l="1"/>
  <c r="U10" i="1"/>
  <c r="AI18" i="1"/>
  <c r="AH18" i="1"/>
  <c r="M4" i="1"/>
  <c r="M3" i="1"/>
  <c r="T3" i="1" s="1"/>
  <c r="M2" i="1"/>
  <c r="V48" i="1" l="1"/>
  <c r="V50" i="1"/>
  <c r="V47" i="1"/>
  <c r="V46" i="1"/>
  <c r="V49" i="1"/>
  <c r="V51" i="1"/>
  <c r="V39" i="1"/>
  <c r="V38" i="1"/>
  <c r="V45" i="1"/>
  <c r="V41" i="1"/>
  <c r="V36" i="1"/>
  <c r="V37" i="1"/>
  <c r="V43" i="1"/>
  <c r="V44" i="1"/>
  <c r="V40" i="1"/>
  <c r="V34" i="1"/>
  <c r="V33" i="1"/>
  <c r="V32" i="1"/>
  <c r="V31" i="1"/>
  <c r="V8" i="1"/>
  <c r="V16" i="1"/>
  <c r="V29" i="1"/>
  <c r="V12" i="1"/>
  <c r="V24" i="1"/>
  <c r="V7" i="1"/>
  <c r="V20" i="1"/>
  <c r="V23" i="1"/>
  <c r="V15" i="1"/>
  <c r="V11" i="1"/>
  <c r="V6" i="1"/>
  <c r="V26" i="1"/>
  <c r="V22" i="1"/>
  <c r="V18" i="1"/>
  <c r="V14" i="1"/>
  <c r="V9" i="1"/>
  <c r="V10" i="1"/>
  <c r="V28" i="1"/>
  <c r="V19" i="1"/>
  <c r="V3" i="1"/>
  <c r="V30" i="1"/>
  <c r="V25" i="1"/>
  <c r="V21" i="1"/>
  <c r="V17" i="1"/>
  <c r="V13" i="1"/>
  <c r="V5" i="1"/>
  <c r="V42" i="1"/>
  <c r="V35" i="1"/>
  <c r="AJ18" i="1"/>
  <c r="AK18" i="1" s="1"/>
  <c r="AL18" i="1" s="1"/>
  <c r="T4" i="1"/>
  <c r="V4" i="1" s="1"/>
  <c r="T2" i="1"/>
  <c r="Y52" i="1"/>
  <c r="V2" i="1" l="1"/>
  <c r="W50" i="1" l="1"/>
  <c r="X50" i="1" s="1"/>
  <c r="AB50" i="1" s="1"/>
  <c r="W48" i="1"/>
  <c r="X48" i="1" s="1"/>
  <c r="AA48" i="1" s="1"/>
  <c r="W46" i="1"/>
  <c r="X46" i="1" s="1"/>
  <c r="W47" i="1"/>
  <c r="X47" i="1" s="1"/>
  <c r="W51" i="1"/>
  <c r="X51" i="1" s="1"/>
  <c r="AB51" i="1" s="1"/>
  <c r="W49" i="1"/>
  <c r="X49" i="1" s="1"/>
  <c r="AA49" i="1" s="1"/>
  <c r="W38" i="1"/>
  <c r="X38" i="1" s="1"/>
  <c r="W39" i="1"/>
  <c r="X39" i="1" s="1"/>
  <c r="W41" i="1"/>
  <c r="X41" i="1" s="1"/>
  <c r="W45" i="1"/>
  <c r="X45" i="1" s="1"/>
  <c r="W36" i="1"/>
  <c r="X36" i="1" s="1"/>
  <c r="W37" i="1"/>
  <c r="X37" i="1" s="1"/>
  <c r="W40" i="1"/>
  <c r="X40" i="1" s="1"/>
  <c r="W43" i="1"/>
  <c r="X43" i="1" s="1"/>
  <c r="AB43" i="1" s="1"/>
  <c r="W34" i="1"/>
  <c r="X34" i="1" s="1"/>
  <c r="W44" i="1"/>
  <c r="X44" i="1" s="1"/>
  <c r="AB44" i="1" s="1"/>
  <c r="W32" i="1"/>
  <c r="X32" i="1" s="1"/>
  <c r="W33" i="1"/>
  <c r="X33" i="1" s="1"/>
  <c r="W30" i="1"/>
  <c r="X30" i="1" s="1"/>
  <c r="W31" i="1"/>
  <c r="X31" i="1" s="1"/>
  <c r="AB31" i="1" s="1"/>
  <c r="W14" i="1"/>
  <c r="X14" i="1" s="1"/>
  <c r="AB14" i="1" s="1"/>
  <c r="W18" i="1"/>
  <c r="X18" i="1" s="1"/>
  <c r="AB18" i="1" s="1"/>
  <c r="W6" i="1"/>
  <c r="X6" i="1" s="1"/>
  <c r="AB6" i="1" s="1"/>
  <c r="W22" i="1"/>
  <c r="X22" i="1" s="1"/>
  <c r="W3" i="1"/>
  <c r="X3" i="1" s="1"/>
  <c r="W10" i="1"/>
  <c r="X10" i="1" s="1"/>
  <c r="AB10" i="1" s="1"/>
  <c r="W27" i="1"/>
  <c r="X27" i="1" s="1"/>
  <c r="AB27" i="1" s="1"/>
  <c r="W4" i="1"/>
  <c r="X4" i="1" s="1"/>
  <c r="W12" i="1"/>
  <c r="X12" i="1" s="1"/>
  <c r="W19" i="1"/>
  <c r="X19" i="1" s="1"/>
  <c r="AB19" i="1" s="1"/>
  <c r="W26" i="1"/>
  <c r="X26" i="1" s="1"/>
  <c r="AB26" i="1" s="1"/>
  <c r="W2" i="1"/>
  <c r="W7" i="1"/>
  <c r="X7" i="1" s="1"/>
  <c r="W11" i="1"/>
  <c r="X11" i="1" s="1"/>
  <c r="W16" i="1"/>
  <c r="X16" i="1" s="1"/>
  <c r="W20" i="1"/>
  <c r="X20" i="1" s="1"/>
  <c r="W24" i="1"/>
  <c r="X24" i="1" s="1"/>
  <c r="AB24" i="1" s="1"/>
  <c r="W29" i="1"/>
  <c r="X29" i="1" s="1"/>
  <c r="W8" i="1"/>
  <c r="X8" i="1" s="1"/>
  <c r="AB8" i="1" s="1"/>
  <c r="W13" i="1"/>
  <c r="X13" i="1" s="1"/>
  <c r="AB13" i="1" s="1"/>
  <c r="W23" i="1"/>
  <c r="X23" i="1" s="1"/>
  <c r="AB23" i="1" s="1"/>
  <c r="W5" i="1"/>
  <c r="X5" i="1" s="1"/>
  <c r="AB5" i="1" s="1"/>
  <c r="W9" i="1"/>
  <c r="X9" i="1" s="1"/>
  <c r="W15" i="1"/>
  <c r="X15" i="1" s="1"/>
  <c r="AB15" i="1" s="1"/>
  <c r="W17" i="1"/>
  <c r="X17" i="1" s="1"/>
  <c r="W21" i="1"/>
  <c r="X21" i="1" s="1"/>
  <c r="W25" i="1"/>
  <c r="X25" i="1" s="1"/>
  <c r="W28" i="1"/>
  <c r="X28" i="1" s="1"/>
  <c r="W42" i="1"/>
  <c r="X42" i="1" s="1"/>
  <c r="AB42" i="1" s="1"/>
  <c r="W35" i="1"/>
  <c r="X35" i="1" s="1"/>
  <c r="AB48" i="1" l="1"/>
  <c r="AC48" i="1" s="1"/>
  <c r="AA50" i="1"/>
  <c r="AC50" i="1" s="1"/>
  <c r="AA47" i="1"/>
  <c r="AC47" i="1" s="1"/>
  <c r="AD47" i="1" s="1"/>
  <c r="AB46" i="1"/>
  <c r="AC46" i="1" s="1"/>
  <c r="AD46" i="1" s="1"/>
  <c r="AB49" i="1"/>
  <c r="AC49" i="1" s="1"/>
  <c r="AA51" i="1"/>
  <c r="AC51" i="1" s="1"/>
  <c r="AB39" i="1"/>
  <c r="AC39" i="1" s="1"/>
  <c r="AD39" i="1" s="1"/>
  <c r="AA38" i="1"/>
  <c r="AC38" i="1" s="1"/>
  <c r="AD38" i="1" s="1"/>
  <c r="AB45" i="1"/>
  <c r="AA41" i="1"/>
  <c r="AA45" i="1"/>
  <c r="AC45" i="1" s="1"/>
  <c r="AB41" i="1"/>
  <c r="AA37" i="1"/>
  <c r="AC37" i="1" s="1"/>
  <c r="AD37" i="1" s="1"/>
  <c r="AB36" i="1"/>
  <c r="AC36" i="1" s="1"/>
  <c r="AD36" i="1" s="1"/>
  <c r="X2" i="1"/>
  <c r="AB29" i="1"/>
  <c r="AC29" i="1" s="1"/>
  <c r="AB35" i="1"/>
  <c r="AB40" i="1"/>
  <c r="AB34" i="1"/>
  <c r="AC34" i="1" s="1"/>
  <c r="AA40" i="1"/>
  <c r="AA43" i="1"/>
  <c r="AC43" i="1" s="1"/>
  <c r="AA44" i="1"/>
  <c r="AC44" i="1" s="1"/>
  <c r="AA33" i="1"/>
  <c r="AC33" i="1" s="1"/>
  <c r="AA32" i="1"/>
  <c r="AC32" i="1" s="1"/>
  <c r="AA31" i="1"/>
  <c r="AC31" i="1" s="1"/>
  <c r="AA2" i="1"/>
  <c r="AC2" i="1" s="1"/>
  <c r="AA42" i="1"/>
  <c r="AC42" i="1" s="1"/>
  <c r="AA30" i="1"/>
  <c r="AC30" i="1" s="1"/>
  <c r="AA28" i="1"/>
  <c r="AC28" i="1" s="1"/>
  <c r="AA27" i="1"/>
  <c r="AC27" i="1" s="1"/>
  <c r="AA26" i="1"/>
  <c r="AC26" i="1" s="1"/>
  <c r="AA25" i="1"/>
  <c r="AC25" i="1" s="1"/>
  <c r="AA24" i="1"/>
  <c r="AC24" i="1" s="1"/>
  <c r="AA23" i="1"/>
  <c r="AC23" i="1" s="1"/>
  <c r="AA22" i="1"/>
  <c r="AC22" i="1" s="1"/>
  <c r="AA21" i="1"/>
  <c r="AC21" i="1" s="1"/>
  <c r="AA20" i="1"/>
  <c r="AC20" i="1" s="1"/>
  <c r="AA19" i="1"/>
  <c r="AC19" i="1" s="1"/>
  <c r="AA18" i="1"/>
  <c r="AC18" i="1" s="1"/>
  <c r="AA17" i="1"/>
  <c r="AC17" i="1" s="1"/>
  <c r="AA16" i="1"/>
  <c r="AC16" i="1" s="1"/>
  <c r="AA15" i="1"/>
  <c r="AC15" i="1" s="1"/>
  <c r="AA14" i="1"/>
  <c r="AC14" i="1" s="1"/>
  <c r="AA13" i="1"/>
  <c r="AC13" i="1" s="1"/>
  <c r="AA12" i="1"/>
  <c r="AC12" i="1" s="1"/>
  <c r="AA11" i="1"/>
  <c r="AC11" i="1" s="1"/>
  <c r="AA10" i="1"/>
  <c r="AC10" i="1" s="1"/>
  <c r="AA9" i="1"/>
  <c r="AC9" i="1" s="1"/>
  <c r="AA8" i="1"/>
  <c r="AC8" i="1" s="1"/>
  <c r="AA7" i="1"/>
  <c r="AC7" i="1" s="1"/>
  <c r="AA6" i="1"/>
  <c r="AC6" i="1" s="1"/>
  <c r="AA5" i="1"/>
  <c r="AC5" i="1" s="1"/>
  <c r="AA4" i="1"/>
  <c r="AC4" i="1" s="1"/>
  <c r="AA3" i="1"/>
  <c r="AC3" i="1" s="1"/>
  <c r="AA35" i="1"/>
  <c r="AG25" i="1"/>
  <c r="AI25" i="1" s="1"/>
  <c r="AI9" i="1"/>
  <c r="AI13" i="1"/>
  <c r="AI4" i="1"/>
  <c r="AI5" i="1"/>
  <c r="AI2" i="1"/>
  <c r="AI7" i="1"/>
  <c r="AI6" i="1"/>
  <c r="AI11" i="1"/>
  <c r="AI10" i="1"/>
  <c r="AI14" i="1"/>
  <c r="AI3" i="1"/>
  <c r="AH13" i="1"/>
  <c r="AI12" i="1"/>
  <c r="AH3" i="1"/>
  <c r="AC41" i="1" l="1"/>
  <c r="AC35" i="1"/>
  <c r="AC40" i="1"/>
  <c r="AD21" i="1"/>
  <c r="AD29" i="1"/>
  <c r="AD34" i="1"/>
  <c r="AG26" i="1"/>
  <c r="AI26" i="1" s="1"/>
  <c r="AE26" i="1"/>
  <c r="AE25" i="1"/>
  <c r="AH17" i="1"/>
  <c r="AG17" i="1"/>
  <c r="AG16" i="1"/>
  <c r="AH16" i="1"/>
  <c r="AG15" i="1"/>
  <c r="AH15" i="1"/>
  <c r="AI8" i="1"/>
  <c r="AH14" i="1"/>
  <c r="AJ14" i="1" s="1"/>
  <c r="AK14" i="1" s="1"/>
  <c r="AL14" i="1" s="1"/>
  <c r="AH4" i="1"/>
  <c r="AJ4" i="1" s="1"/>
  <c r="AK4" i="1" s="1"/>
  <c r="AL4" i="1" s="1"/>
  <c r="AH7" i="1"/>
  <c r="AJ7" i="1" s="1"/>
  <c r="AK7" i="1" s="1"/>
  <c r="AL7" i="1" s="1"/>
  <c r="AH8" i="1"/>
  <c r="AH5" i="1"/>
  <c r="AJ5" i="1" s="1"/>
  <c r="AK5" i="1" s="1"/>
  <c r="AL5" i="1" s="1"/>
  <c r="AH12" i="1"/>
  <c r="AJ12" i="1" s="1"/>
  <c r="AK12" i="1" s="1"/>
  <c r="AL12" i="1" s="1"/>
  <c r="AH10" i="1"/>
  <c r="AJ10" i="1" s="1"/>
  <c r="AK10" i="1" s="1"/>
  <c r="AL10" i="1" s="1"/>
  <c r="AH2" i="1"/>
  <c r="AJ2" i="1" s="1"/>
  <c r="AK2" i="1" s="1"/>
  <c r="AL2" i="1" s="1"/>
  <c r="AH9" i="1"/>
  <c r="AJ9" i="1" s="1"/>
  <c r="AK9" i="1" s="1"/>
  <c r="AL9" i="1" s="1"/>
  <c r="AH11" i="1"/>
  <c r="AJ11" i="1" s="1"/>
  <c r="AK11" i="1" s="1"/>
  <c r="AL11" i="1" s="1"/>
  <c r="AH6" i="1"/>
  <c r="AJ6" i="1" s="1"/>
  <c r="AK6" i="1" s="1"/>
  <c r="AL6" i="1" s="1"/>
  <c r="AJ3" i="1"/>
  <c r="AK3" i="1" s="1"/>
  <c r="AL3" i="1" s="1"/>
  <c r="AJ13" i="1"/>
  <c r="AK13" i="1" s="1"/>
  <c r="AL13" i="1" s="1"/>
  <c r="AD50" i="1" l="1"/>
  <c r="AD48" i="1"/>
  <c r="AD51" i="1"/>
  <c r="AD49" i="1"/>
  <c r="AD41" i="1"/>
  <c r="AD45" i="1"/>
  <c r="AD25" i="1"/>
  <c r="AD28" i="1"/>
  <c r="AD12" i="1"/>
  <c r="AD2" i="1"/>
  <c r="AD9" i="1"/>
  <c r="AD11" i="1"/>
  <c r="AD17" i="1"/>
  <c r="AD20" i="1"/>
  <c r="AD4" i="1"/>
  <c r="AD7" i="1"/>
  <c r="AD22" i="1"/>
  <c r="AD30" i="1"/>
  <c r="AD33" i="1"/>
  <c r="AD16" i="1"/>
  <c r="AD32" i="1"/>
  <c r="AD3" i="1"/>
  <c r="AD43" i="1"/>
  <c r="AD40" i="1"/>
  <c r="AD44" i="1"/>
  <c r="AD31" i="1"/>
  <c r="AD42" i="1"/>
  <c r="AD27" i="1"/>
  <c r="AD26" i="1"/>
  <c r="AD24" i="1"/>
  <c r="AD23" i="1"/>
  <c r="AD19" i="1"/>
  <c r="AD18" i="1"/>
  <c r="AD15" i="1"/>
  <c r="AD14" i="1"/>
  <c r="AD13" i="1"/>
  <c r="AD10" i="1"/>
  <c r="AD8" i="1"/>
  <c r="AD6" i="1"/>
  <c r="AD5" i="1"/>
  <c r="AD35" i="1"/>
  <c r="AH26" i="1"/>
  <c r="AJ26" i="1" s="1"/>
  <c r="AK26" i="1" s="1"/>
  <c r="AL26" i="1" s="1"/>
  <c r="AH25" i="1"/>
  <c r="AJ25" i="1" s="1"/>
  <c r="AK25" i="1" s="1"/>
  <c r="AL25" i="1" s="1"/>
  <c r="AI16" i="1"/>
  <c r="AI15" i="1"/>
  <c r="AJ15" i="1" s="1"/>
  <c r="AK15" i="1" s="1"/>
  <c r="AL15" i="1" s="1"/>
  <c r="AI17" i="1"/>
  <c r="AJ8" i="1"/>
  <c r="AK8" i="1" s="1"/>
  <c r="AL8" i="1" s="1"/>
  <c r="AE51" i="1" l="1"/>
  <c r="AG51" i="1"/>
  <c r="AI51" i="1" s="1"/>
  <c r="AE48" i="1"/>
  <c r="AG48" i="1"/>
  <c r="AI48" i="1" s="1"/>
  <c r="AE47" i="1"/>
  <c r="AG47" i="1"/>
  <c r="AI47" i="1" s="1"/>
  <c r="AE46" i="1"/>
  <c r="AG46" i="1"/>
  <c r="AI46" i="1" s="1"/>
  <c r="AE41" i="1"/>
  <c r="AG41" i="1"/>
  <c r="AI41" i="1" s="1"/>
  <c r="AE39" i="1"/>
  <c r="AG39" i="1"/>
  <c r="AI39" i="1" s="1"/>
  <c r="AE49" i="1"/>
  <c r="AG49" i="1"/>
  <c r="AI49" i="1" s="1"/>
  <c r="AE45" i="1"/>
  <c r="AG45" i="1"/>
  <c r="AI45" i="1" s="1"/>
  <c r="AE37" i="1"/>
  <c r="AG37" i="1"/>
  <c r="AI37" i="1" s="1"/>
  <c r="AE40" i="1"/>
  <c r="AG40" i="1"/>
  <c r="AI40" i="1" s="1"/>
  <c r="AG35" i="1"/>
  <c r="AI35" i="1" s="1"/>
  <c r="AE35" i="1"/>
  <c r="AE43" i="1"/>
  <c r="AG43" i="1"/>
  <c r="AI43" i="1" s="1"/>
  <c r="AE34" i="1"/>
  <c r="AG34" i="1"/>
  <c r="AI34" i="1" s="1"/>
  <c r="AE32" i="1"/>
  <c r="AG32" i="1"/>
  <c r="AI32" i="1" s="1"/>
  <c r="AD52" i="1"/>
  <c r="H52" i="1" s="1"/>
  <c r="AG30" i="1"/>
  <c r="AI30" i="1" s="1"/>
  <c r="AE30" i="1"/>
  <c r="AE20" i="1"/>
  <c r="AG20" i="1"/>
  <c r="AI20" i="1" s="1"/>
  <c r="AJ16" i="1"/>
  <c r="AK16" i="1" s="1"/>
  <c r="AL16" i="1" s="1"/>
  <c r="AJ17" i="1"/>
  <c r="AK17" i="1" s="1"/>
  <c r="AL17" i="1" s="1"/>
  <c r="AF51" i="1" l="1"/>
  <c r="AH51" i="1" s="1"/>
  <c r="AJ51" i="1" s="1"/>
  <c r="AK51" i="1" s="1"/>
  <c r="AL51" i="1" s="1"/>
  <c r="AF48" i="1"/>
  <c r="AH48" i="1" s="1"/>
  <c r="AJ48" i="1" s="1"/>
  <c r="AK48" i="1" s="1"/>
  <c r="AL48" i="1" s="1"/>
  <c r="AF47" i="1"/>
  <c r="AH47" i="1" s="1"/>
  <c r="AJ47" i="1" s="1"/>
  <c r="AK47" i="1" s="1"/>
  <c r="AL47" i="1" s="1"/>
  <c r="AF46" i="1"/>
  <c r="AH46" i="1" s="1"/>
  <c r="AJ46" i="1" s="1"/>
  <c r="AK46" i="1" s="1"/>
  <c r="AL46" i="1" s="1"/>
  <c r="AF41" i="1"/>
  <c r="AH41" i="1" s="1"/>
  <c r="AJ41" i="1" s="1"/>
  <c r="AK41" i="1" s="1"/>
  <c r="AL41" i="1" s="1"/>
  <c r="AF39" i="1"/>
  <c r="AH39" i="1" s="1"/>
  <c r="AJ39" i="1" s="1"/>
  <c r="AK39" i="1" s="1"/>
  <c r="AL39" i="1" s="1"/>
  <c r="AF49" i="1"/>
  <c r="AH49" i="1" s="1"/>
  <c r="AJ49" i="1" s="1"/>
  <c r="AK49" i="1" s="1"/>
  <c r="AL49" i="1"/>
  <c r="AF45" i="1"/>
  <c r="AH45" i="1" s="1"/>
  <c r="AJ45" i="1" s="1"/>
  <c r="AK45" i="1" s="1"/>
  <c r="AL45" i="1" s="1"/>
  <c r="AF37" i="1"/>
  <c r="AH37" i="1" s="1"/>
  <c r="AJ37" i="1" s="1"/>
  <c r="AK37" i="1" s="1"/>
  <c r="AL37" i="1"/>
  <c r="AF40" i="1"/>
  <c r="AH40" i="1" s="1"/>
  <c r="AJ40" i="1" s="1"/>
  <c r="AK40" i="1" s="1"/>
  <c r="AL40" i="1" s="1"/>
  <c r="AF35" i="1"/>
  <c r="AH35" i="1" s="1"/>
  <c r="AJ35" i="1" s="1"/>
  <c r="AK35" i="1" s="1"/>
  <c r="AL35" i="1" s="1"/>
  <c r="AF43" i="1"/>
  <c r="AH43" i="1" s="1"/>
  <c r="AJ43" i="1" s="1"/>
  <c r="AK43" i="1" s="1"/>
  <c r="AL43" i="1" s="1"/>
  <c r="AF34" i="1"/>
  <c r="AH34" i="1" s="1"/>
  <c r="AJ34" i="1" s="1"/>
  <c r="AK34" i="1" s="1"/>
  <c r="AL34" i="1" s="1"/>
  <c r="AF30" i="1"/>
  <c r="AH30" i="1" s="1"/>
  <c r="AJ30" i="1" s="1"/>
  <c r="AK30" i="1" s="1"/>
  <c r="AL30" i="1" s="1"/>
  <c r="AF20" i="1"/>
  <c r="AH20" i="1" s="1"/>
  <c r="AJ20" i="1" s="1"/>
  <c r="AK20" i="1" s="1"/>
  <c r="AL20" i="1" s="1"/>
  <c r="AF32" i="1"/>
  <c r="AH32" i="1" s="1"/>
  <c r="AJ32" i="1" s="1"/>
  <c r="AK32" i="1" s="1"/>
  <c r="AL32" i="1" s="1"/>
  <c r="AL52" i="1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<sst xmlns="http://schemas.openxmlformats.org/spreadsheetml/2006/main" count="312" uniqueCount="125">
  <si>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</si>
  <si>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</si>
  <si>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</si>
  <si>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</si>
  <si>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</si>
  <si>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</si>
  <si>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</si>
  <si>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</si>
  <si>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</si>
  <si>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</si>
  <si>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</si>
  <si>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</si>
  <si>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</si>
  <si>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</si>
  <si>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</si>
  <si>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</si>
  <si>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</si>
  <si>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</si>
  <si>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</si>
  <si>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</si>
  <si>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</si>
  <si>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</si>
  <si>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</si>
  <si>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</si>
  <si>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</si>
  <si>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</si>
  <si>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</si>
  <si>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</si>
  <si>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</si>
  <si>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</si>
  <si>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</si>
  <si>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</si>
  <si>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</si>
  <si>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</si>
  <si>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</si>
  <si>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</si>
  <si>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</si>
  <si>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</si>
  <si>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</si>
  <si>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</si>
  <si>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</si>
  <si>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</si>
  <si>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</si>
  <si>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</si>
  <si>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</si>
  <si>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</si>
  <si>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</si>
  <si>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</si>
  <si>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</si>
  <si>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</si>
  <si>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</si>
  <si>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</si>
  <si>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</si>
  <si>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</si>
  <si>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</si>
  <si>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</si>
  <si>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</si>
  <si>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</si>
  <si>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</si>
  <si>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</si>
  <si>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</si>
  <si>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</si>
  <si>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</si>
  <si>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</si>
  <si>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</si>
  <si>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</si>
  <si>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</si>
  <si>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</si>
  <si>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</si>
  <si>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</si>
  <si>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</si>
  <si>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</si>
  <si>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</si>
  <si>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</si>
  <si>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</si>
  <si>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</si>
  <si>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</si>
  <si>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</si>
  <si>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</si>
  <si>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</si>
  <si>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</si>
  <si>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</si>
  <si>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</si>
  <si>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</si>
  <si>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</si>
  <si>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</si>
  <si>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</si>
  <si>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</si>
  <si>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</si>
  <si>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</si>
  <si>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</si>
  <si>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</si>
  <si>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</si>
  <si>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</si>
  <si>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</si>
  <si>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</si>
  <si>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</si>
  <si>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</si>
  <si>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</si>
  <si>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</si>
  <si>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</si>
  <si>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</si>
  <si>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</si>
  <si>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</si>
  <si>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</si>
  <si>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</si>
  <si>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</si>
  <si>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</si>
  <si>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</si>
  <si>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OGXP3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</si>
  <si>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</si>
  <si>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</si>
  <si>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</si>
  <si>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</si>
  <si>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</si>
  <si>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</si>
  <si>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</si>
  <si>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</si>
  <si>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</si>
  <si>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</si>
  <si>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</si>
  <si>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</si>
  <si>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</si>
  <si>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VALEF37</t>
  </si>
  <si>
    <t>VALEF38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</si>
</sst>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  <numFmt numFmtId="169" formatCode="0.0"/>
  </numFmts>
  <fonts count="11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family val="2"/>
      <scheme val="minor"/>
    </font>
    <font>
      <sz val="8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44" fontId="3" fillId="0" borderId="0" xfId="0" applyNumberFormat="1" applyFont="1"/>
    <xf numFmtId="0" fontId="4" fillId="0" borderId="0" xfId="0" applyFont="1"/>
    <xf numFmtId="44" fontId="3" fillId="0" borderId="0" xfId="1" applyFont="1"/>
    <xf numFmtId="4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0" fontId="3" fillId="0" borderId="0" xfId="0" applyNumberFormat="1" applyFont="1"/>
    <xf numFmtId="44" fontId="7" fillId="0" borderId="0" xfId="0" applyNumberFormat="1" applyFont="1" applyAlignment="1"/>
    <xf numFmtId="0" fontId="7" fillId="0" borderId="0" xfId="0" applyNumberFormat="1" applyFont="1" applyAlignment="1"/>
    <xf numFmtId="167" fontId="7" fillId="0" borderId="0" xfId="0" applyNumberFormat="1" applyFont="1" applyAlignment="1"/>
    <xf numFmtId="14" fontId="7" fillId="0" borderId="0" xfId="0" applyNumberFormat="1" applyFont="1" applyAlignment="1"/>
    <xf numFmtId="44" fontId="7" fillId="0" borderId="0" xfId="1" applyNumberFormat="1" applyFont="1" applyAlignment="1"/>
    <xf numFmtId="168" fontId="7" fillId="0" borderId="0" xfId="0" applyNumberFormat="1" applyFont="1" applyAlignment="1"/>
    <xf numFmtId="44" fontId="7" fillId="0" borderId="0" xfId="1" applyFont="1" applyAlignment="1"/>
    <xf numFmtId="44" fontId="4" fillId="0" borderId="0" xfId="1" applyFont="1" applyAlignment="1">
      <alignment horizontal="left"/>
    </xf>
    <xf numFmtId="168" fontId="3" fillId="0" borderId="0" xfId="1" applyNumberFormat="1" applyFont="1" applyAlignment="1"/>
    <xf numFmtId="169" fontId="3" fillId="0" borderId="0" xfId="2" applyNumberFormat="1" applyFont="1"/>
    <xf numFmtId="4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44" fontId="8" fillId="0" borderId="0" xfId="0" applyNumberFormat="1" applyFont="1" applyAlignment="1"/>
    <xf numFmtId="0" fontId="8" fillId="0" borderId="0" xfId="0" applyNumberFormat="1" applyFont="1" applyAlignment="1"/>
    <xf numFmtId="167" fontId="8" fillId="0" borderId="0" xfId="0" applyNumberFormat="1" applyFont="1" applyAlignment="1"/>
    <xf numFmtId="14" fontId="8" fillId="0" borderId="0" xfId="0" applyNumberFormat="1" applyFont="1" applyAlignment="1"/>
    <xf numFmtId="44" fontId="8" fillId="0" borderId="0" xfId="1" applyNumberFormat="1" applyFont="1" applyAlignment="1"/>
    <xf numFmtId="168" fontId="8" fillId="0" borderId="0" xfId="0" applyNumberFormat="1" applyFont="1" applyAlignment="1"/>
    <xf numFmtId="168" fontId="8" fillId="0" borderId="0" xfId="1" applyNumberFormat="1" applyFont="1" applyAlignment="1"/>
    <xf numFmtId="44" fontId="8" fillId="0" borderId="0" xfId="1" applyFont="1" applyAlignment="1"/>
    <xf numFmtId="0" fontId="8" fillId="0" borderId="0" xfId="0" applyFont="1" applyBorder="1"/>
    <xf numFmtId="44" fontId="8" fillId="0" borderId="0" xfId="1" applyFont="1" applyBorder="1"/>
    <xf numFmtId="4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69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44" fontId="8" fillId="0" borderId="0" xfId="0" applyNumberFormat="1" applyFont="1"/>
    <xf numFmtId="1" fontId="8" fillId="0" borderId="0" xfId="1" applyNumberFormat="1" applyFont="1" applyBorder="1"/>
    <xf numFmtId="44" fontId="3" fillId="0" borderId="0" xfId="0" applyNumberFormat="1" applyFont="1" applyBorder="1"/>
    <xf numFmtId="0" fontId="8" fillId="0" borderId="0" xfId="0" applyFont="1" applyAlignment="1"/>
    <xf numFmtId="44" fontId="10" fillId="0" borderId="0" xfId="0" applyNumberFormat="1" applyFont="1" applyAlignment="1"/>
    <xf numFmtId="0" fontId="8" fillId="0" borderId="0" xfId="0" applyFont="1" applyAlignment="1">
      <alignment vertical="top"/>
    </xf>
    <xf numFmtId="44" fontId="8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NC" displayName="NC" ref="A1:AL52" totalsRowCount="1" headerRowDxfId="243" dataDxfId="242" totalsRowDxfId="241">
  <autoFilter ref="A1:AL51"/>
  <sortState ref="A2:AL51">
    <sortCondition ref="E1:E51"/>
  </sortState>
  <tableColumns count="38">
    <tableColumn id="19" name="ID" totalsRowFunction="max" dataDxfId="240" totalsRowDxfId="37"/>
    <tableColumn id="36" name="U" dataDxfId="239" totalsRowDxfId="36"/>
    <tableColumn id="2" name="ATIVO" dataDxfId="238" totalsRowDxfId="35"/>
    <tableColumn id="3" name="T" dataDxfId="237" totalsRowDxfId="34"/>
    <tableColumn id="4" name="DATA" dataDxfId="236" totalsRowDxfId="33"/>
    <tableColumn id="5" name="QTDE" dataDxfId="235" totalsRowDxfId="32"/>
    <tableColumn id="6" name="PREÇO" totalsRowFunction="custom" dataDxfId="234" totalsRowDxfId="31">
      <totalsRowFormula>NC[[#Totals],[ID]]*14.9</totalsRowFormula>
    </tableColumn>
    <tableColumn id="7" name="[D/N]" totalsRowFunction="custom" dataDxfId="233" totalsRowDxfId="30">
      <totalsRowFormula>NC[[#Totals],[LUCRO P/ OP]]+NC[[#Totals],[PREÇO]]</totalsRowFormula>
    </tableColumn>
    <tableColumn id="34" name="DATA DE LIQUIDAÇÃO" dataDxfId="232" totalsRowDxfId="29">
      <calculatedColumnFormula>WORKDAY(NC[[#This Row],[DATA]],1,0)</calculatedColumnFormula>
    </tableColumn>
    <tableColumn id="31" name="DATA BASE" dataDxfId="231" totalsRowDxfId="28">
      <calculatedColumnFormula>EOMONTH(NC[[#This Row],[DATA DE LIQUIDAÇÃO]],0)</calculatedColumnFormula>
    </tableColumn>
    <tableColumn id="21" name="PAR" dataDxfId="230" totalsRowDxfId="27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229" totalsRowDxfId="26">
      <calculatedColumnFormula>NC[QTDE]*NC[PREÇO]</calculatedColumnFormula>
    </tableColumn>
    <tableColumn id="9" name="VALOR LÍQUIDO DAS OPERAÇÕES" dataDxfId="228" totalsRowDxfId="25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227" totalsRowDxfId="24">
      <calculatedColumnFormula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calculatedColumnFormula>
    </tableColumn>
    <tableColumn id="11" name="EMOLUMENTOS" dataDxfId="226" totalsRowDxfId="23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225" totalsRowDxfId="22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12" name="CORRETAGEM" dataDxfId="224" totalsRowDxfId="21">
      <calculatedColumnFormula>SETUP!$E$3*SUMPRODUCT(N(NC[DATA]=NC[[#This Row],[DATA]]),N(NC[ID]&lt;=NC[[#This Row],[ID]]))</calculatedColumnFormula>
    </tableColumn>
    <tableColumn id="13" name="ISS" dataDxfId="223" totalsRowDxfId="20">
      <calculatedColumnFormula>TRUNC(NC[CORRETAGEM]*SETUP!$F$3,2)</calculatedColumnFormula>
    </tableColumn>
    <tableColumn id="15" name="OUTRAS BOVESPA" dataDxfId="222" totalsRowDxfId="19">
      <calculatedColumnFormula>ROUND(NC[CORRETAGEM]*SETUP!$G$3,2)</calculatedColumnFormula>
    </tableColumn>
    <tableColumn id="16" name="LÍQUIDO BASE" dataDxfId="221" totalsRowDxfId="18">
      <calculatedColumnFormula>NC[VALOR LÍQUIDO DAS OPERAÇÕES]-NC[TAXA DE LIQUIDAÇÃO]-NC[EMOLUMENTOS]-NC[TAXA DE REGISTRO]-NC[CORRETAGEM]-NC[ISS]-IF(NC['[D/N']]="D",    0,    NC[OUTRAS BOVESPA])</calculatedColumnFormula>
    </tableColumn>
    <tableColumn id="33" name="IRRF FONTE" dataDxfId="220" totalsRowDxfId="17">
      <calculatedColumnFormula>IF(AND(NC['[D/N']]="D",    NC[T]="CV"),    ROUND(NC[LÍQUIDO BASE]*0.01, 2),    0)</calculatedColumnFormula>
    </tableColumn>
    <tableColumn id="35" name="LÍQUIDO" dataDxfId="219" totalsRowDxfId="16">
      <calculatedColumnFormula>IF(NC[PREÇO] &gt; 0,    NC[LÍQUIDO BASE]-SUMPRODUCT(N(NC[DATA]=NC[[#This Row],[DATA]]),    NC[IRRF FONTE]),    0)</calculatedColumnFormula>
    </tableColumn>
    <tableColumn id="17" name="VALOR OP" dataDxfId="218" totalsRowDxfId="15" dataCellStyle="Moeda">
      <calculatedColumnFormula>NC[LÍQUIDO]-SUMPRODUCT(N(NC[DATA]=NC[[#This Row],[DATA]]),N(NC[ID]=(NC[[#This Row],[ID]]-1)),NC[LÍQUIDO])</calculatedColumnFormula>
    </tableColumn>
    <tableColumn id="18" name="MEDIO P/ OP" dataDxfId="217" totalsRowDxfId="14">
      <calculatedColumnFormula>IF(NC[T] = "VC", ABS(NC[VALOR OP]) / NC[QTDE], NC[VALOR OP]/NC[QTDE])</calculatedColumnFormula>
    </tableColumn>
    <tableColumn id="20" name="IRRF" totalsRowFunction="sum" dataDxfId="216" totalsRowDxfId="13">
      <calculatedColumnFormula>TRUNC(IF(OR(NC[T]="CV",NC[T]="VV"),     L2*SETUP!$H$3,     0),2)</calculatedColumnFormula>
    </tableColumn>
    <tableColumn id="24" name="SALDO" dataDxfId="215" totalsRowDxfId="12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214" totalsRowDxfId="11">
      <calculatedColumnFormula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calculatedColumnFormula>
    </tableColumn>
    <tableColumn id="23" name="MED VD" dataDxfId="213" totalsRowDxfId="10">
      <calculatedColumnFormula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calculatedColumnFormula>
    </tableColumn>
    <tableColumn id="44" name="LUCRO TMP" dataDxfId="212" totalsRowDxfId="9" dataCellStyle="Moeda">
      <calculatedColumnFormula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calculatedColumnFormula>
    </tableColumn>
    <tableColumn id="25" name="LUCRO P/ OP" totalsRowFunction="sum" dataDxfId="211" totalsRowDxfId="8">
      <calculatedColumnFormula>IF(NC[LUCRO TMP] &lt;&gt; 0, NC[LUCRO TMP] - SUMPRODUCT(N(NC[ATIVO]=NC[[#This Row],[ATIVO]]),N(NC['[D/N']]="N"),N(NC[ID]&lt;NC[[#This Row],[ID]]),N(NC[PAR]=NC[[#This Row],[PAR]]), NC[LUCRO TMP]), 0)</calculatedColumnFormula>
    </tableColumn>
    <tableColumn id="1" name="LUCRO [N]" dataDxfId="210" totalsRowDxfId="7">
      <calculatedColumnFormula>IF(NC[U] = "U", SUMPRODUCT(N(NC[ID]&lt;=NC[[#This Row],[ID]]),N(NC[DATA BASE]=NC[[#This Row],[DATA BASE]]), N(NC['[D/N']] = "N"),    NC[LUCRO P/ OP]), 0)</calculatedColumnFormula>
    </tableColumn>
    <tableColumn id="37" name=" TRIB. [N]" dataDxfId="209" totalsRowDxfId="6">
      <calculatedColumnFormula>IF(NC[U] = "U",NC[LUCRO '[N']] + SUMPRODUCT(N(MONTH(NC[DATA BASE])&lt;MONTH(NC[[#This Row],[DATA BASE]]) ), NC[LUCRO '[N']]),0)</calculatedColumnFormula>
    </tableColumn>
    <tableColumn id="39" name="LUCRO TRIB. DT" dataDxfId="208" totalsRowDxfId="5">
      <calculatedColumnFormula>IF(NC[U] = "U", SUMPRODUCT(N(NC[DATA BASE]=NC[[#This Row],[DATA BASE]]), N(NC['[D/N']] = "D"),    NC[LUCRO P/ OP]), 0)</calculatedColumnFormula>
    </tableColumn>
    <tableColumn id="32" name="IR [N]" dataDxfId="207" totalsRowDxfId="4" dataCellStyle="Moeda">
      <calculatedColumnFormula>IF(NC[ TRIB. '[N']] &gt; 0,     ROUND(NC[ TRIB. '[N']]*0.15,    2),    0)</calculatedColumnFormula>
    </tableColumn>
    <tableColumn id="38" name="IR DEVIDO DT" dataDxfId="206" totalsRowDxfId="3" dataCellStyle="Moeda">
      <calculatedColumnFormula>IF(NC[LUCRO TRIB. DT] &gt; 0,     ROUND(NC[LUCRO TRIB. DT]*0.2,    2)  -  SUMPRODUCT(N(NC[DATA BASE]=NC[[#This Row],[DATA BASE]]),    NC[IRRF FONTE]),    0)</calculatedColumnFormula>
    </tableColumn>
    <tableColumn id="14" name="IR DEVIDO" dataDxfId="205" totalsRowDxfId="2" dataCellStyle="Moeda">
      <calculatedColumnFormula>NC[IR '[N']] + NC[IR DEVIDO DT]</calculatedColumnFormula>
    </tableColumn>
    <tableColumn id="26" name="RESGATE" dataDxfId="204" totalsRowDxfId="1" dataCellStyle="Moeda">
      <calculatedColumnFormula>IF(AND(NC[U] = "U",NC[IR DEVIDO] &gt; 0), NC[IR DEVIDO] + 8.9, 0)</calculatedColumnFormula>
    </tableColumn>
    <tableColumn id="27" name="LUCRO LÍQUIDO" totalsRowFunction="sum" dataDxfId="203" totalsRowDxfId="0" dataCellStyle="Moeda">
      <calculatedColumnFormula>NC[LUCRO '[N']]  + NC[LUCRO TRIB. DT] - NC[RESGATE]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5" totalsRowCount="1" headerRowDxfId="202" dataDxfId="201">
  <autoFilter ref="A1:J4"/>
  <tableColumns count="10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>
      <calculatedColumnFormula>35.7</calculatedColumnFormula>
    </tableColumn>
    <tableColumn id="11" name="QTDE TMP" dataDxfId="190" totalsRowDxfId="189" dataCellStyle="Moeda">
      <calculatedColumnFormula>ROUNDDOWN(Tabela2[APLICAÇÃO]/Tabela2[PREÇO OPÇÃO], 0)</calculatedColumnFormula>
    </tableColumn>
    <tableColumn id="14" name="QTDE" dataDxfId="188" totalsRowDxfId="187" dataCellStyle="Moeda">
      <calculatedColumnFormula>Tabela2[QTDE TMP] - MOD(Tabela2[QTDE TMP], 100)</calculatedColumnFormula>
    </tableColumn>
    <tableColumn id="5" name="TARGET 100%" dataDxfId="186" totalsRowDxfId="185" dataCellStyle="Moeda">
      <calculatedColumnFormula>Tabela2[EXERCÍCIO] + (Tabela2[PREÇO OPÇÃO] * 2)</calculatedColumnFormula>
    </tableColumn>
    <tableColumn id="6" name="ALTA 100%" dataDxfId="184" totalsRowDxfId="183" dataCellStyle="Porcentagem">
      <calculatedColumnFormula>Tabela2[TARGET 100%] / Tabela2[PREÇO AÇÃO] - 1</calculatedColumnFormula>
    </tableColumn>
    <tableColumn id="12" name="LUCRO* 100%" dataDxfId="182" totalsRowDxfId="181" dataCellStyle="Moeda">
      <calculatedColumnFormula>Tabela2[PREÇO OPÇÃO] * Tabela2[QTDE]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4" displayName="Tabela24" ref="A1:P8" totalsRowCount="1" headerRowDxfId="180" dataDxfId="179">
  <autoFilter ref="A1:P7"/>
  <tableColumns count="16">
    <tableColumn id="1" name="PAPEL" totalsRowLabel="Total" dataDxfId="178" totalsRowDxfId="54"/>
    <tableColumn id="10" name="RISCO" dataDxfId="177" totalsRowDxfId="53" dataCellStyle="Moeda"/>
    <tableColumn id="20" name="PREÇO AÇÃO" dataDxfId="176" totalsRowDxfId="52" dataCellStyle="Moeda"/>
    <tableColumn id="7" name="EXERC. VENDA" dataDxfId="175" totalsRowDxfId="51" dataCellStyle="Moeda"/>
    <tableColumn id="8" name="PREÇO VENDA" dataDxfId="174" totalsRowDxfId="50" dataCellStyle="Moeda"/>
    <tableColumn id="2" name="EXERC. COMPRA" dataDxfId="173" totalsRowDxfId="49" dataCellStyle="Moeda"/>
    <tableColumn id="3" name="PREÇO COMPRA" dataDxfId="172" totalsRowDxfId="48" dataCellStyle="Moeda"/>
    <tableColumn id="4" name="VOLUME" dataDxfId="171" totalsRowDxfId="47" dataCellStyle="Moeda">
      <calculatedColumnFormula>(Tabela24[QTDE] * Tabela24[PREÇO COMPRA]) + (Tabela24[QTDE] * Tabela24[PREÇO VENDA])</calculatedColumnFormula>
    </tableColumn>
    <tableColumn id="18" name="LUCRO P/ OPÇÃO" dataDxfId="170" totalsRowDxfId="46" dataCellStyle="Moeda">
      <calculatedColumnFormula>Tabela24[PREÇO VENDA]-Tabela24[PREÇO COMPRA]</calculatedColumnFormula>
    </tableColumn>
    <tableColumn id="19" name="PERDA P/ OPÇÃO" dataDxfId="169" totalsRowDxfId="45" dataCellStyle="Moeda">
      <calculatedColumnFormula>(0.01 - Tabela24[PREÇO COMPRA]) + (Tabela24[PREÇO VENDA] - (Tabela24[EXERC. COMPRA]-Tabela24[EXERC. VENDA]+0.01))</calculatedColumnFormula>
    </tableColumn>
    <tableColumn id="11" name="QTDE TMP" dataDxfId="168" totalsRowDxfId="44" dataCellStyle="Moeda">
      <calculatedColumnFormula>ROUNDDOWN(Tabela24[RISCO]/ABS(Tabela24[PERDA P/ OPÇÃO]), 0)</calculatedColumnFormula>
    </tableColumn>
    <tableColumn id="14" name="QTDE" dataDxfId="167" totalsRowDxfId="43" dataCellStyle="Moeda">
      <calculatedColumnFormula>Tabela24[QTDE TMP] - MOD(Tabela24[QTDE TMP], 100)</calculatedColumnFormula>
    </tableColumn>
    <tableColumn id="5" name="LUCRO*" dataDxfId="55" totalsRowDxfId="42" dataCellStyle="Moeda">
      <calculatedColumnFormula>(Tabela24[QTDE]*Tabela24[LUCRO P/ OPÇÃO]) - 60</calculatedColumnFormula>
    </tableColumn>
    <tableColumn id="6" name="PERDA*" dataDxfId="38" totalsRowDxfId="41" dataCellStyle="Moeda">
      <calculatedColumnFormula>Tabela24[QTDE]*Tabela24[PERDA P/ OPÇÃO] + 60</calculatedColumnFormula>
    </tableColumn>
    <tableColumn id="21" name="% QUEDA" dataDxfId="166" totalsRowDxfId="40" dataCellStyle="Porcentagem">
      <calculatedColumnFormula>Tabela24[EXERC. VENDA]/Tabela24[PREÇO AÇÃO]-1</calculatedColumnFormula>
    </tableColumn>
    <tableColumn id="22" name="RISCO : 1" dataDxfId="165" totalsRowDxfId="39" dataCellStyle="Porcentagem">
      <calculatedColumnFormula>Tabela24[LUCRO*]/ABS(Tabela24[PERDA*])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V3" totalsRowCount="1" headerRowDxfId="164" dataDxfId="163">
  <autoFilter ref="A1:V2"/>
  <tableColumns count="22">
    <tableColumn id="1" name="PAPEL" totalsRowLabel="Total" dataDxfId="162" totalsRowDxfId="161"/>
    <tableColumn id="10" name="BASE" dataDxfId="160" totalsRowDxfId="159" dataCellStyle="Moeda"/>
    <tableColumn id="20" name="PR. AÇÃO" dataDxfId="158" totalsRowDxfId="157" dataCellStyle="Moeda"/>
    <tableColumn id="2" name="EX. CP 1" dataDxfId="156" totalsRowDxfId="155" dataCellStyle="Moeda"/>
    <tableColumn id="3" name="PR CP 1" dataDxfId="154" totalsRowDxfId="153" dataCellStyle="Moeda"/>
    <tableColumn id="12" name="EX. VD" dataDxfId="152" totalsRowDxfId="151" dataCellStyle="Moeda"/>
    <tableColumn id="13" name="PR VD" dataDxfId="150" totalsRowDxfId="149" dataCellStyle="Moeda"/>
    <tableColumn id="8" name="EX. CP 2" dataDxfId="148" totalsRowDxfId="147" dataCellStyle="Moeda"/>
    <tableColumn id="7" name="PR CP 2" dataDxfId="146" totalsRowDxfId="145" dataCellStyle="Moeda"/>
    <tableColumn id="18" name="LUCRO UNI." dataDxfId="144" totalsRowDxfId="143" dataCellStyle="Moeda">
      <calculatedColumnFormula>((Tabela245[PR VD] - 0.01) * 2) + ((Tabela245[EX. VD] - Tabela245[EX. CP 1] + 0.01) - Tabela245[PR CP 1]) + (0.01 - Tabela245[PR CP 2])</calculatedColumnFormula>
    </tableColumn>
    <tableColumn id="19" name="PERDA 1" dataDxfId="142" totalsRowDxfId="141" dataCellStyle="Moeda">
      <calculatedColumnFormula>(0.01 - Tabela245[PR CP 1]) + ((Tabela245[PR VD] - 0.01) * 2) + (0.01 - Tabela245[PR CP 2])</calculatedColumnFormula>
    </tableColumn>
    <tableColumn id="15" name="PERDA 2" dataDxfId="140" totalsRowDxfId="139" dataCellStyle="Moeda">
      <calculatedColumnFormula>((Tabela245[EX. CP 2] - Tabela245[EX. CP 1] + 0.01) - Tabela245[PR CP 1]) + ((Tabela245[PR VD] - (Tabela245[EX. CP 2] - Tabela245[EX. VD] + 0.01)) * 2) + (0.01 - Tabela245[PR CP 2])</calculatedColumnFormula>
    </tableColumn>
    <tableColumn id="16" name="PERDA" dataDxfId="138" totalsRowDxfId="137" dataCellStyle="Moeda">
      <calculatedColumnFormula>IF(Tabela245[PERDA 1] &gt; Tabela245[PERDA 2], Tabela245[PERDA 2], Tabela245[PERDA 1])</calculatedColumnFormula>
    </tableColumn>
    <tableColumn id="11" name="QTDE TMP" dataDxfId="136" totalsRowDxfId="135" dataCellStyle="Moeda">
      <calculatedColumnFormula>ROUNDDOWN(Tabela245[BASE]/ABS(Tabela245[PERDA]), 0)</calculatedColumnFormula>
    </tableColumn>
    <tableColumn id="14" name="QTDE" dataDxfId="134" totalsRowDxfId="133" dataCellStyle="Moeda">
      <calculatedColumnFormula>Tabela245[QTDE TMP] - MOD(Tabela245[QTDE TMP], 100)</calculatedColumnFormula>
    </tableColumn>
    <tableColumn id="4" name="QTDE VD" dataDxfId="132" totalsRowDxfId="131" dataCellStyle="Moeda">
      <calculatedColumnFormula>Tabela245[[#This Row],[QTDE]]*2</calculatedColumnFormula>
    </tableColumn>
    <tableColumn id="17" name="TOT.  CP" dataDxfId="130" totalsRowDxfId="129" dataCellStyle="Moeda">
      <calculatedColumnFormula>-(Tabela245[QTDE]*Tabela245[PR CP 1] + Tabela245[QTDE]*Tabela245[PR CP 2])</calculatedColumnFormula>
    </tableColumn>
    <tableColumn id="9" name="T. VD" dataDxfId="128" totalsRowDxfId="127" dataCellStyle="Moeda">
      <calculatedColumnFormula>Tabela245[QTDE]*Tabela245[PR VD] * 2</calculatedColumnFormula>
    </tableColumn>
    <tableColumn id="5" name="LUCRO*" dataDxfId="126" totalsRowDxfId="125" dataCellStyle="Moeda">
      <calculatedColumnFormula>(Tabela245[QTDE]*Tabela245[LUCRO UNI.] - 90)</calculatedColumnFormula>
    </tableColumn>
    <tableColumn id="6" name="PERDA*" dataDxfId="124" totalsRowDxfId="123" dataCellStyle="Moeda">
      <calculatedColumnFormula>Tabela245[QTDE]*Tabela245[PERDA] - 90</calculatedColumnFormula>
    </tableColumn>
    <tableColumn id="21" name="% VAR" dataDxfId="122" totalsRowDxfId="121" dataCellStyle="Porcentagem">
      <calculatedColumnFormula>Tabela245[EX. VD] / Tabela245[PR. AÇÃO] - 1</calculatedColumnFormula>
    </tableColumn>
    <tableColumn id="22" name="RISCO : 1" dataDxfId="120" totalsRowDxfId="119" dataCellStyle="Porcentagem">
      <calculatedColumnFormula>Tabela245[LUCRO*]/ABS(Tabela245[PERDA*])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5" totalsRowCount="1" headerRowDxfId="118" dataDxfId="117">
  <autoFilter ref="A1:O4"/>
  <tableColumns count="15">
    <tableColumn id="1" name="PAPEL" totalsRowLabel="Total" dataDxfId="116" totalsRowDxfId="115"/>
    <tableColumn id="10" name="RISCO" dataDxfId="114" totalsRowDxfId="113" dataCellStyle="Moeda"/>
    <tableColumn id="20" name="PREÇO AÇÃO" dataDxfId="112" totalsRowDxfId="111" dataCellStyle="Moeda"/>
    <tableColumn id="7" name="EX. VENDA" dataDxfId="110" totalsRowDxfId="109" dataCellStyle="Moeda"/>
    <tableColumn id="2" name="EX. COMPRA" dataDxfId="108" totalsRowDxfId="107" dataCellStyle="Moeda"/>
    <tableColumn id="3" name="PR COMPRA" dataDxfId="106" totalsRowDxfId="105" dataCellStyle="Moeda"/>
    <tableColumn id="16" name="QTDE" dataDxfId="104" totalsRowDxfId="103" dataCellStyle="Moeda"/>
    <tableColumn id="13" name="PERDA P/ OPÇÃO" dataDxfId="102" totalsRowDxfId="101" dataCellStyle="Moeda">
      <calculatedColumnFormula>-Tabela246[RISCO]/Tabela246[QTDE]</calculatedColumnFormula>
    </tableColumn>
    <tableColumn id="14" name="CUSTO CP" dataDxfId="100" totalsRowDxfId="99" dataCellStyle="Moeda">
      <calculatedColumnFormula>Tabela246[PR COMPRA] * Tabela246[QTDE]</calculatedColumnFormula>
    </tableColumn>
    <tableColumn id="15" name="LUCRO UNI" dataDxfId="98" totalsRowDxfId="97">
      <calculatedColumnFormula>Tabela246[PR VENDA]-Tabela246[PR COMPRA]</calculatedColumnFormula>
    </tableColumn>
    <tableColumn id="8" name="PR VENDA" dataDxfId="96" totalsRowDxfId="95" dataCellStyle="Moeda">
      <calculatedColumnFormula>Tabela246[PERDA P/ OPÇÃO] + (Tabela246[EX. COMPRA] - Tabela246[EX. VENDA] + 0.01) - 0.01 + Tabela246[PR COMPRA]</calculatedColumnFormula>
    </tableColumn>
    <tableColumn id="5" name="LUCRO*" dataDxfId="94" totalsRowDxfId="93" dataCellStyle="Moeda">
      <calculatedColumnFormula>(Tabela246[QTDE]*Tabela246[LUCRO UNI])</calculatedColumnFormula>
    </tableColumn>
    <tableColumn id="6" name="PERDA*" dataDxfId="92" totalsRowDxfId="91" dataCellStyle="Moeda">
      <calculatedColumnFormula>Tabela246[PERDA P/ OPÇÃO]*Tabela246[QTDE]</calculatedColumnFormula>
    </tableColumn>
    <tableColumn id="21" name="% QUEDA" dataDxfId="90" totalsRowDxfId="89" dataCellStyle="Porcentagem">
      <calculatedColumnFormula>Tabela246[EX. VENDA]/Tabela246[PREÇO AÇÃO]-1</calculatedColumnFormula>
    </tableColumn>
    <tableColumn id="22" name="RISCO : 1" dataDxfId="88" totalsRowDxfId="87" dataCellStyle="Porcentagem">
      <calculatedColumnFormula>Tabela246[LUCRO*]/ABS(Tabela246[PERDA*])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467" displayName="Tabela2467" ref="A1:O6" totalsRowCount="1" headerRowDxfId="86" dataDxfId="85">
  <autoFilter ref="A1:O5"/>
  <tableColumns count="15">
    <tableColumn id="1" name="PAPEL" totalsRowLabel="Total" dataDxfId="84" totalsRowDxfId="83"/>
    <tableColumn id="10" name="RISCO" dataDxfId="82" totalsRowDxfId="81" dataCellStyle="Moeda"/>
    <tableColumn id="20" name="PREÇO AÇÃO" dataDxfId="80" totalsRowDxfId="79" dataCellStyle="Moeda"/>
    <tableColumn id="7" name="EX. VENDA" dataDxfId="78" totalsRowDxfId="77" dataCellStyle="Moeda"/>
    <tableColumn id="2" name="EX. COMPRA" dataDxfId="76" totalsRowDxfId="75" dataCellStyle="Moeda"/>
    <tableColumn id="9" name="PR VENDA" totalsRowDxfId="74"/>
    <tableColumn id="3" name="PR COMPRA" dataDxfId="73" totalsRowDxfId="72" dataCellStyle="Moeda"/>
    <tableColumn id="16" name="QTDE" dataDxfId="71" totalsRowDxfId="70" dataCellStyle="Moeda"/>
    <tableColumn id="13" name="PERDA P/ OPÇÃO" dataDxfId="69" totalsRowDxfId="68" dataCellStyle="Moeda">
      <calculatedColumnFormula>(Tabela2467[PR VENDA] - (Tabela2467[EX. COMPRA] - Tabela2467[EX. VENDA] + 0.01)) + (0.01 - (Tabela2467[PR COMPRA]))</calculatedColumnFormula>
    </tableColumn>
    <tableColumn id="14" name="VOLUME" dataDxfId="67" totalsRowDxfId="66" dataCellStyle="Moeda">
      <calculatedColumnFormula>Tabela2467[PR COMPRA] * Tabela2467[QTDE]</calculatedColumnFormula>
    </tableColumn>
    <tableColumn id="15" name="LUCRO UNI" dataDxfId="65" totalsRowDxfId="64">
      <calculatedColumnFormula>Tabela2467[PR VENDA]-Tabela2467[PR COMPRA]</calculatedColumnFormula>
    </tableColumn>
    <tableColumn id="5" name="LUCRO*" dataDxfId="63" totalsRowDxfId="62" dataCellStyle="Moeda">
      <calculatedColumnFormula>(Tabela2467[QTDE]*Tabela2467[LUCRO UNI])</calculatedColumnFormula>
    </tableColumn>
    <tableColumn id="6" name="PERDA*" dataDxfId="61" totalsRowDxfId="60" dataCellStyle="Moeda">
      <calculatedColumnFormula>Tabela2467[PERDA P/ OPÇÃO]*Tabela2467[QTDE]</calculatedColumnFormula>
    </tableColumn>
    <tableColumn id="21" name="% QUEDA" dataDxfId="59" totalsRowDxfId="58" dataCellStyle="Porcentagem">
      <calculatedColumnFormula>Tabela2467[EX. VENDA]/Tabela2467[PREÇO AÇÃO]-1</calculatedColumnFormula>
    </tableColumn>
    <tableColumn id="22" name="RISCO : 1" dataDxfId="57" totalsRowDxfId="56" dataCellStyle="Porcentagem">
      <calculatedColumnFormula>Tabela2467[LUCRO*]/ABS(Tabela2467[PERDA*])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L53"/>
  <sheetViews>
    <sheetView tabSelected="1" workbookViewId="0">
      <pane xSplit="8" ySplit="1" topLeftCell="I26" activePane="bottomRight" state="frozen"/>
      <selection pane="topRight" activeCell="I1" sqref="I1"/>
      <selection pane="bottomLeft" activeCell="A2" sqref="A2"/>
      <selection pane="bottomRight" activeCell="AD51" activeCellId="1" sqref="AD49 AD51"/>
    </sheetView>
  </sheetViews>
  <sheetFormatPr defaultColWidth="11.5703125" defaultRowHeight="11.25" x14ac:dyDescent="0.2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3" width="9.85546875" style="7" bestFit="1" customWidth="1"/>
    <col min="24" max="24" width="11.85546875" style="7" hidden="1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3.140625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 x14ac:dyDescent="0.2">
      <c r="A1" s="10" t="s">
        <v>17</v>
      </c>
      <c r="B1" s="10" t="s">
        <v>53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39</v>
      </c>
      <c r="J1" s="10" t="s">
        <v>40</v>
      </c>
      <c r="K1" s="10" t="s">
        <v>21</v>
      </c>
      <c r="L1" s="10" t="s">
        <v>33</v>
      </c>
      <c r="M1" s="10" t="s">
        <v>34</v>
      </c>
      <c r="N1" s="11" t="s">
        <v>35</v>
      </c>
      <c r="O1" s="10" t="s">
        <v>36</v>
      </c>
      <c r="P1" s="10" t="s">
        <v>37</v>
      </c>
      <c r="Q1" s="12" t="s">
        <v>9</v>
      </c>
      <c r="R1" s="10" t="s">
        <v>4</v>
      </c>
      <c r="S1" s="12" t="s">
        <v>38</v>
      </c>
      <c r="T1" s="10" t="s">
        <v>32</v>
      </c>
      <c r="U1" s="12" t="s">
        <v>44</v>
      </c>
      <c r="V1" s="12" t="s">
        <v>5</v>
      </c>
      <c r="W1" s="10" t="s">
        <v>110</v>
      </c>
      <c r="X1" s="10" t="s">
        <v>41</v>
      </c>
      <c r="Y1" s="10" t="s">
        <v>18</v>
      </c>
      <c r="Z1" s="10" t="s">
        <v>22</v>
      </c>
      <c r="AA1" s="10" t="s">
        <v>19</v>
      </c>
      <c r="AB1" s="10" t="s">
        <v>20</v>
      </c>
      <c r="AC1" s="37" t="s">
        <v>74</v>
      </c>
      <c r="AD1" s="10" t="s">
        <v>48</v>
      </c>
      <c r="AE1" s="10" t="s">
        <v>57</v>
      </c>
      <c r="AF1" s="10" t="s">
        <v>58</v>
      </c>
      <c r="AG1" s="10" t="s">
        <v>51</v>
      </c>
      <c r="AH1" s="10" t="s">
        <v>59</v>
      </c>
      <c r="AI1" s="10" t="s">
        <v>47</v>
      </c>
      <c r="AJ1" s="10" t="s">
        <v>49</v>
      </c>
      <c r="AK1" s="10" t="s">
        <v>50</v>
      </c>
      <c r="AL1" s="10" t="s">
        <v>52</v>
      </c>
    </row>
    <row r="2" spans="1:38" ht="11.25" customHeight="1" x14ac:dyDescent="0.2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" s="15">
        <f>NC[QTDE]*NC[PREÇO]</f>
        <v>168.00000000000003</v>
      </c>
      <c r="M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N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O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" s="15">
        <f>SETUP!$E$3*SUMPRODUCT(N(NC[DATA]=NC[[#This Row],[DATA]]),N(NC[ID]&lt;=NC[[#This Row],[ID]]))</f>
        <v>14.9</v>
      </c>
      <c r="R2" s="15">
        <f>TRUNC(NC[CORRETAGEM]*SETUP!$F$3,2)</f>
        <v>0.28999999999999998</v>
      </c>
      <c r="S2" s="15">
        <f>ROUND(NC[CORRETAGEM]*SETUP!$G$3,2)</f>
        <v>0.57999999999999996</v>
      </c>
      <c r="T2" s="15">
        <f>NC[VALOR LÍQUIDO DAS OPERAÇÕES]-NC[TAXA DE LIQUIDAÇÃO]-NC[EMOLUMENTOS]-NC[TAXA DE REGISTRO]-NC[CORRETAGEM]-NC[ISS]-IF(NC['[D/N']]="D",    0,    NC[OUTRAS BOVESPA])</f>
        <v>-183.98000000000005</v>
      </c>
      <c r="U2" s="15">
        <f>IF(AND(NC['[D/N']]="D",    NC[T]="CV"),    ROUND(NC[LÍQUIDO BASE]*0.01, 2),    0)</f>
        <v>0</v>
      </c>
      <c r="V2" s="15">
        <f>IF(NC[PREÇO] &gt; 0,    NC[LÍQUIDO BASE]-SUMPRODUCT(N(NC[DATA]=NC[[#This Row],[DATA]]),    NC[IRRF FONTE]),    0)</f>
        <v>-183.98000000000005</v>
      </c>
      <c r="W2" s="15">
        <f>NC[LÍQUIDO]-SUMPRODUCT(N(NC[DATA]=NC[[#This Row],[DATA]]),N(NC[ID]=(NC[[#This Row],[ID]]-1)),NC[LÍQUIDO])</f>
        <v>-183.98000000000005</v>
      </c>
      <c r="X2" s="15">
        <f>IF(NC[T] = "VC", ABS(NC[VALOR OP]) / NC[QTDE], NC[VALOR OP]/NC[QTDE])</f>
        <v>-0.30663333333333342</v>
      </c>
      <c r="Y2" s="15">
        <f>TRUNC(IF(OR(NC[T]="CV",NC[T]="VV"),     L2*SETUP!$H$3,     0),2)</f>
        <v>0</v>
      </c>
      <c r="Z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A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0.30663333333333342</v>
      </c>
      <c r="AB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" s="15">
        <f>IF(NC[LUCRO TMP] &lt;&gt; 0, NC[LUCRO TMP] - SUMPRODUCT(N(NC[ATIVO]=NC[[#This Row],[ATIVO]]),N(NC['[D/N']]="N"),N(NC[ID]&lt;NC[[#This Row],[ID]]),N(NC[PAR]=NC[[#This Row],[PAR]]), NC[LUCRO TMP]), 0)</f>
        <v>0</v>
      </c>
      <c r="AE2" s="15">
        <f>IF(NC[U] = "U", SUMPRODUCT(N(NC[ID]&lt;=NC[[#This Row],[ID]]),N(NC[DATA BASE]=NC[[#This Row],[DATA BASE]]), N(NC['[D/N']] = "N"),    NC[LUCRO P/ OP]), 0)</f>
        <v>0</v>
      </c>
      <c r="AF2" s="15">
        <f>IF(NC[U] = "U",NC[LUCRO '[N']] + SUMPRODUCT(N(MONTH(NC[DATA BASE])&lt;MONTH(NC[[#This Row],[DATA BASE]]) ), NC[LUCRO '[N']]),0)</f>
        <v>0</v>
      </c>
      <c r="AG2" s="15">
        <f>IF(NC[U] = "U", SUMPRODUCT(N(NC[DATA BASE]=NC[[#This Row],[DATA BASE]]), N(NC['[D/N']] = "D"),    NC[LUCRO P/ OP]), 0)</f>
        <v>0</v>
      </c>
      <c r="AH2" s="19">
        <f>IF(NC[ TRIB. '[N']] &gt; 0,     ROUND(NC[ TRIB. '[N']]*0.15,    2),    0)</f>
        <v>0</v>
      </c>
      <c r="AI2" s="19">
        <f>IF(NC[LUCRO TRIB. DT] &gt; 0,     ROUND(NC[LUCRO TRIB. DT]*0.2,    2)  -  SUMPRODUCT(N(NC[DATA BASE]=NC[[#This Row],[DATA BASE]]),    NC[IRRF FONTE]),    0)</f>
        <v>0</v>
      </c>
      <c r="AJ2" s="19">
        <f>NC[IR '[N']] + NC[IR DEVIDO DT]</f>
        <v>0</v>
      </c>
      <c r="AK2" s="19">
        <f>IF(AND(NC[U] = "U",NC[IR DEVIDO] &gt; 0), NC[IR DEVIDO] + 8.9, 0)</f>
        <v>0</v>
      </c>
      <c r="AL2" s="19">
        <f>NC[LUCRO '[N']]  + NC[LUCRO TRIB. DT] - NC[RESGATE]</f>
        <v>0</v>
      </c>
    </row>
    <row r="3" spans="1:38" ht="11.25" customHeight="1" x14ac:dyDescent="0.2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" s="15">
        <f>NC[QTDE]*NC[PREÇO]</f>
        <v>160</v>
      </c>
      <c r="M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N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0.09</v>
      </c>
      <c r="O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P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Q3" s="15">
        <f>SETUP!$E$3*SUMPRODUCT(N(NC[DATA]=NC[[#This Row],[DATA]]),N(NC[ID]&lt;=NC[[#This Row],[ID]]))</f>
        <v>29.8</v>
      </c>
      <c r="R3" s="15">
        <f>TRUNC(NC[CORRETAGEM]*SETUP!$F$3,2)</f>
        <v>0.59</v>
      </c>
      <c r="S3" s="15">
        <f>ROUND(NC[CORRETAGEM]*SETUP!$G$3,2)</f>
        <v>1.1599999999999999</v>
      </c>
      <c r="T3" s="15">
        <f>NC[VALOR LÍQUIDO DAS OPERAÇÕES]-NC[TAXA DE LIQUIDAÇÃO]-NC[EMOLUMENTOS]-NC[TAXA DE REGISTRO]-NC[CORRETAGEM]-NC[ISS]-IF(NC['[D/N']]="D",    0,    NC[OUTRAS BOVESPA])</f>
        <v>-359.98</v>
      </c>
      <c r="U3" s="15">
        <f>IF(AND(NC['[D/N']]="D",    NC[T]="CV"),    ROUND(NC[LÍQUIDO BASE]*0.01, 2),    0)</f>
        <v>0</v>
      </c>
      <c r="V3" s="15">
        <f>IF(NC[PREÇO] &gt; 0,    NC[LÍQUIDO BASE]-SUMPRODUCT(N(NC[DATA]=NC[[#This Row],[DATA]]),    NC[IRRF FONTE]),    0)</f>
        <v>-359.98</v>
      </c>
      <c r="W3" s="15">
        <f>NC[LÍQUIDO]-SUMPRODUCT(N(NC[DATA]=NC[[#This Row],[DATA]]),N(NC[ID]=(NC[[#This Row],[ID]]-1)),NC[LÍQUIDO])</f>
        <v>-175.99999999999997</v>
      </c>
      <c r="X3" s="15">
        <f>IF(NC[T] = "VC", ABS(NC[VALOR OP]) / NC[QTDE], NC[VALOR OP]/NC[QTDE])</f>
        <v>-0.43999999999999995</v>
      </c>
      <c r="Y3" s="15">
        <f>TRUNC(IF(OR(NC[T]="CV",NC[T]="VV"),     L3*SETUP!$H$3,     0),2)</f>
        <v>0</v>
      </c>
      <c r="Z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A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0.43999999999999995</v>
      </c>
      <c r="AB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" s="15">
        <f>IF(NC[LUCRO TMP] &lt;&gt; 0, NC[LUCRO TMP] - SUMPRODUCT(N(NC[ATIVO]=NC[[#This Row],[ATIVO]]),N(NC['[D/N']]="N"),N(NC[ID]&lt;NC[[#This Row],[ID]]),N(NC[PAR]=NC[[#This Row],[PAR]]), NC[LUCRO TMP]), 0)</f>
        <v>0</v>
      </c>
      <c r="AE3" s="15">
        <f>IF(NC[U] = "U", SUMPRODUCT(N(NC[ID]&lt;=NC[[#This Row],[ID]]),N(NC[DATA BASE]=NC[[#This Row],[DATA BASE]]), N(NC['[D/N']] = "N"),    NC[LUCRO P/ OP]), 0)</f>
        <v>0</v>
      </c>
      <c r="AF3" s="15">
        <f>IF(NC[U] = "U",NC[LUCRO '[N']] + SUMPRODUCT(N(MONTH(NC[DATA BASE])&lt;MONTH(NC[[#This Row],[DATA BASE]]) ), NC[LUCRO '[N']]),0)</f>
        <v>0</v>
      </c>
      <c r="AG3" s="15">
        <f>IF(NC[U] = "U", SUMPRODUCT(N(NC[DATA BASE]=NC[[#This Row],[DATA BASE]]), N(NC['[D/N']] = "D"),    NC[LUCRO P/ OP]), 0)</f>
        <v>0</v>
      </c>
      <c r="AH3" s="19">
        <f>IF(NC[ TRIB. '[N']] &gt; 0,     ROUND(NC[ TRIB. '[N']]*0.15,    2),    0)</f>
        <v>0</v>
      </c>
      <c r="AI3" s="19">
        <f>IF(NC[LUCRO TRIB. DT] &gt; 0,     ROUND(NC[LUCRO TRIB. DT]*0.2,    2)  -  SUMPRODUCT(N(NC[DATA BASE]=NC[[#This Row],[DATA BASE]]),    NC[IRRF FONTE]),    0)</f>
        <v>0</v>
      </c>
      <c r="AJ3" s="19">
        <f>NC[IR '[N']] + NC[IR DEVIDO DT]</f>
        <v>0</v>
      </c>
      <c r="AK3" s="19">
        <f>IF(AND(NC[U] = "U",NC[IR DEVIDO] &gt; 0), NC[IR DEVIDO] + 8.9, 0)</f>
        <v>0</v>
      </c>
      <c r="AL3" s="19">
        <f>NC[LUCRO '[N']]  + NC[LUCRO TRIB. DT] - NC[RESGATE]</f>
        <v>0</v>
      </c>
    </row>
    <row r="4" spans="1:38" ht="11.25" customHeight="1" x14ac:dyDescent="0.2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4" s="15">
        <f>NC[QTDE]*NC[PREÇO]</f>
        <v>228</v>
      </c>
      <c r="M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N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O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Q4" s="15">
        <f>SETUP!$E$3*SUMPRODUCT(N(NC[DATA]=NC[[#This Row],[DATA]]),N(NC[ID]&lt;=NC[[#This Row],[ID]]))</f>
        <v>14.9</v>
      </c>
      <c r="R4" s="15">
        <f>TRUNC(NC[CORRETAGEM]*SETUP!$F$3,2)</f>
        <v>0.28999999999999998</v>
      </c>
      <c r="S4" s="15">
        <f>ROUND(NC[CORRETAGEM]*SETUP!$G$3,2)</f>
        <v>0.57999999999999996</v>
      </c>
      <c r="T4" s="15">
        <f>NC[VALOR LÍQUIDO DAS OPERAÇÕES]-NC[TAXA DE LIQUIDAÇÃO]-NC[EMOLUMENTOS]-NC[TAXA DE REGISTRO]-NC[CORRETAGEM]-NC[ISS]-IF(NC['[D/N']]="D",    0,    NC[OUTRAS BOVESPA])</f>
        <v>-243.28</v>
      </c>
      <c r="U4" s="15">
        <f>IF(AND(NC['[D/N']]="D",    NC[T]="CV"),    ROUND(NC[LÍQUIDO BASE]*0.01, 2),    0)</f>
        <v>0</v>
      </c>
      <c r="V4" s="15">
        <f>IF(NC[PREÇO] &gt; 0,    NC[LÍQUIDO BASE]-SUMPRODUCT(N(NC[DATA]=NC[[#This Row],[DATA]]),    NC[IRRF FONTE]),    0)</f>
        <v>-245.25</v>
      </c>
      <c r="W4" s="15">
        <f>NC[LÍQUIDO]-SUMPRODUCT(N(NC[DATA]=NC[[#This Row],[DATA]]),N(NC[ID]=(NC[[#This Row],[ID]]-1)),NC[LÍQUIDO])</f>
        <v>-245.25</v>
      </c>
      <c r="X4" s="15">
        <f>IF(NC[T] = "VC", ABS(NC[VALOR OP]) / NC[QTDE], NC[VALOR OP]/NC[QTDE])</f>
        <v>-0.204375</v>
      </c>
      <c r="Y4" s="15">
        <f>TRUNC(IF(OR(NC[T]="CV",NC[T]="VV"),     L4*SETUP!$H$3,     0),2)</f>
        <v>0</v>
      </c>
      <c r="Z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0.204375</v>
      </c>
      <c r="AB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4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4" s="15">
        <f>IF(NC[LUCRO TMP] &lt;&gt; 0, NC[LUCRO TMP] - SUMPRODUCT(N(NC[ATIVO]=NC[[#This Row],[ATIVO]]),N(NC['[D/N']]="N"),N(NC[ID]&lt;NC[[#This Row],[ID]]),N(NC[PAR]=NC[[#This Row],[PAR]]), NC[LUCRO TMP]), 0)</f>
        <v>0</v>
      </c>
      <c r="AE4" s="15">
        <f>IF(NC[U] = "U", SUMPRODUCT(N(NC[ID]&lt;=NC[[#This Row],[ID]]),N(NC[DATA BASE]=NC[[#This Row],[DATA BASE]]), N(NC['[D/N']] = "N"),    NC[LUCRO P/ OP]), 0)</f>
        <v>0</v>
      </c>
      <c r="AF4" s="15">
        <f>IF(NC[U] = "U",NC[LUCRO '[N']] + SUMPRODUCT(N(MONTH(NC[DATA BASE])&lt;MONTH(NC[[#This Row],[DATA BASE]]) ), NC[LUCRO '[N']]),0)</f>
        <v>0</v>
      </c>
      <c r="AG4" s="15">
        <f>IF(NC[U] = "U", SUMPRODUCT(N(NC[DATA BASE]=NC[[#This Row],[DATA BASE]]), N(NC['[D/N']] = "D"),    NC[LUCRO P/ OP]), 0)</f>
        <v>0</v>
      </c>
      <c r="AH4" s="20">
        <f>IF(NC[ TRIB. '[N']] &gt; 0,     ROUND(NC[ TRIB. '[N']]*0.15,    2),    0)</f>
        <v>0</v>
      </c>
      <c r="AI4" s="20">
        <f>IF(NC[LUCRO TRIB. DT] &gt; 0,     ROUND(NC[LUCRO TRIB. DT]*0.2,    2)  -  SUMPRODUCT(N(NC[DATA BASE]=NC[[#This Row],[DATA BASE]]),    NC[IRRF FONTE]),    0)</f>
        <v>0</v>
      </c>
      <c r="AJ4" s="19">
        <f>NC[IR '[N']] + NC[IR DEVIDO DT]</f>
        <v>0</v>
      </c>
      <c r="AK4" s="19">
        <f>IF(AND(NC[U] = "U",NC[IR DEVIDO] &gt; 0), NC[IR DEVIDO] + 8.9, 0)</f>
        <v>0</v>
      </c>
      <c r="AL4" s="19">
        <f>NC[LUCRO '[N']]  + NC[LUCRO TRIB. DT] - NC[RESGATE]</f>
        <v>0</v>
      </c>
    </row>
    <row r="5" spans="1:38" ht="11.25" customHeight="1" x14ac:dyDescent="0.2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5" s="15">
        <f>NC[QTDE]*NC[PREÇO]</f>
        <v>456</v>
      </c>
      <c r="M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N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O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P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Q5" s="15">
        <f>SETUP!$E$3*SUMPRODUCT(N(NC[DATA]=NC[[#This Row],[DATA]]),N(NC[ID]&lt;=NC[[#This Row],[ID]]))</f>
        <v>29.8</v>
      </c>
      <c r="R5" s="15">
        <f>TRUNC(NC[CORRETAGEM]*SETUP!$F$3,2)</f>
        <v>0.59</v>
      </c>
      <c r="S5" s="15">
        <f>ROUND(NC[CORRETAGEM]*SETUP!$G$3,2)</f>
        <v>1.1599999999999999</v>
      </c>
      <c r="T5" s="15">
        <f>NC[VALOR LÍQUIDO DAS OPERAÇÕES]-NC[TAXA DE LIQUIDAÇÃO]-NC[EMOLUMENTOS]-NC[TAXA DE REGISTRO]-NC[CORRETAGEM]-NC[ISS]-IF(NC['[D/N']]="D",    0,    NC[OUTRAS BOVESPA])</f>
        <v>197.30999999999997</v>
      </c>
      <c r="U5" s="15">
        <f>IF(AND(NC['[D/N']]="D",    NC[T]="CV"),    ROUND(NC[LÍQUIDO BASE]*0.01, 2),    0)</f>
        <v>1.97</v>
      </c>
      <c r="V5" s="15">
        <f>IF(NC[PREÇO] &gt; 0,    NC[LÍQUIDO BASE]-SUMPRODUCT(N(NC[DATA]=NC[[#This Row],[DATA]]),    NC[IRRF FONTE]),    0)</f>
        <v>195.33999999999997</v>
      </c>
      <c r="W5" s="15">
        <f>NC[LÍQUIDO]-SUMPRODUCT(N(NC[DATA]=NC[[#This Row],[DATA]]),N(NC[ID]=(NC[[#This Row],[ID]]-1)),NC[LÍQUIDO])</f>
        <v>440.59</v>
      </c>
      <c r="X5" s="15">
        <f>IF(NC[T] = "VC", ABS(NC[VALOR OP]) / NC[QTDE], NC[VALOR OP]/NC[QTDE])</f>
        <v>0.36715833333333331</v>
      </c>
      <c r="Y5" s="15">
        <f>TRUNC(IF(OR(NC[T]="CV",NC[T]="VV"),     L5*SETUP!$H$3,     0),2)</f>
        <v>0.02</v>
      </c>
      <c r="Z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0.204375</v>
      </c>
      <c r="AB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0.36715833333333331</v>
      </c>
      <c r="AC5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197.30999999999997</v>
      </c>
      <c r="AD5" s="15">
        <f>IF(NC[LUCRO TMP] &lt;&gt; 0, NC[LUCRO TMP] - SUMPRODUCT(N(NC[ATIVO]=NC[[#This Row],[ATIVO]]),N(NC['[D/N']]="N"),N(NC[ID]&lt;NC[[#This Row],[ID]]),N(NC[PAR]=NC[[#This Row],[PAR]]), NC[LUCRO TMP]), 0)</f>
        <v>197.30999999999997</v>
      </c>
      <c r="AE5" s="15">
        <f>IF(NC[U] = "U", SUMPRODUCT(N(NC[ID]&lt;=NC[[#This Row],[ID]]),N(NC[DATA BASE]=NC[[#This Row],[DATA BASE]]), N(NC['[D/N']] = "N"),    NC[LUCRO P/ OP]), 0)</f>
        <v>0</v>
      </c>
      <c r="AF5" s="15">
        <f>IF(NC[U] = "U",NC[LUCRO '[N']] + SUMPRODUCT(N(MONTH(NC[DATA BASE])&lt;MONTH(NC[[#This Row],[DATA BASE]]) ), NC[LUCRO '[N']]),0)</f>
        <v>0</v>
      </c>
      <c r="AG5" s="15">
        <f>IF(NC[U] = "U", SUMPRODUCT(N(NC[DATA BASE]=NC[[#This Row],[DATA BASE]]), N(NC['[D/N']] = "D"),    NC[LUCRO P/ OP]), 0)</f>
        <v>0</v>
      </c>
      <c r="AH5" s="20">
        <f>IF(NC[ TRIB. '[N']] &gt; 0,     ROUND(NC[ TRIB. '[N']]*0.15,    2),    0)</f>
        <v>0</v>
      </c>
      <c r="AI5" s="20">
        <f>IF(NC[LUCRO TRIB. DT] &gt; 0,     ROUND(NC[LUCRO TRIB. DT]*0.2,    2)  -  SUMPRODUCT(N(NC[DATA BASE]=NC[[#This Row],[DATA BASE]]),    NC[IRRF FONTE]),    0)</f>
        <v>0</v>
      </c>
      <c r="AJ5" s="19">
        <f>NC[IR '[N']] + NC[IR DEVIDO DT]</f>
        <v>0</v>
      </c>
      <c r="AK5" s="19">
        <f>IF(AND(NC[U] = "U",NC[IR DEVIDO] &gt; 0), NC[IR DEVIDO] + 8.9, 0)</f>
        <v>0</v>
      </c>
      <c r="AL5" s="19">
        <f>NC[LUCRO '[N']]  + NC[LUCRO TRIB. DT] - NC[RESGATE]</f>
        <v>0</v>
      </c>
    </row>
    <row r="6" spans="1:38" ht="11.25" customHeight="1" x14ac:dyDescent="0.2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6" s="15">
        <f>NC[QTDE]*NC[PREÇO]</f>
        <v>320</v>
      </c>
      <c r="M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N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0.21</v>
      </c>
      <c r="O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P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Q6" s="15">
        <f>SETUP!$E$3*SUMPRODUCT(N(NC[DATA]=NC[[#This Row],[DATA]]),N(NC[ID]&lt;=NC[[#This Row],[ID]]))</f>
        <v>44.7</v>
      </c>
      <c r="R6" s="15">
        <f>TRUNC(NC[CORRETAGEM]*SETUP!$F$3,2)</f>
        <v>0.89</v>
      </c>
      <c r="S6" s="15">
        <f>ROUND(NC[CORRETAGEM]*SETUP!$G$3,2)</f>
        <v>1.74</v>
      </c>
      <c r="T6" s="15">
        <f>NC[VALOR LÍQUIDO DAS OPERAÇÕES]-NC[TAXA DE LIQUIDAÇÃO]-NC[EMOLUMENTOS]-NC[TAXA DE REGISTRO]-NC[CORRETAGEM]-NC[ISS]-IF(NC['[D/N']]="D",    0,    NC[OUTRAS BOVESPA])</f>
        <v>499.93999999999988</v>
      </c>
      <c r="U6" s="15">
        <f>IF(AND(NC['[D/N']]="D",    NC[T]="CV"),    ROUND(NC[LÍQUIDO BASE]*0.01, 2),    0)</f>
        <v>0</v>
      </c>
      <c r="V6" s="15">
        <f>IF(NC[PREÇO] &gt; 0,    NC[LÍQUIDO BASE]-SUMPRODUCT(N(NC[DATA]=NC[[#This Row],[DATA]]),    NC[IRRF FONTE]),    0)</f>
        <v>497.96999999999986</v>
      </c>
      <c r="W6" s="15">
        <f>NC[LÍQUIDO]-SUMPRODUCT(N(NC[DATA]=NC[[#This Row],[DATA]]),N(NC[ID]=(NC[[#This Row],[ID]]-1)),NC[LÍQUIDO])</f>
        <v>302.62999999999988</v>
      </c>
      <c r="X6" s="15">
        <f>IF(NC[T] = "VC", ABS(NC[VALOR OP]) / NC[QTDE], NC[VALOR OP]/NC[QTDE])</f>
        <v>0.75657499999999966</v>
      </c>
      <c r="Y6" s="15">
        <f>TRUNC(IF(OR(NC[T]="CV",NC[T]="VV"),     L6*SETUP!$H$3,     0),2)</f>
        <v>0.01</v>
      </c>
      <c r="Z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0.43999999999999995</v>
      </c>
      <c r="AB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0.75657499999999966</v>
      </c>
      <c r="AC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126.62999999999988</v>
      </c>
      <c r="AD6" s="15">
        <f>IF(NC[LUCRO TMP] &lt;&gt; 0, NC[LUCRO TMP] - SUMPRODUCT(N(NC[ATIVO]=NC[[#This Row],[ATIVO]]),N(NC['[D/N']]="N"),N(NC[ID]&lt;NC[[#This Row],[ID]]),N(NC[PAR]=NC[[#This Row],[PAR]]), NC[LUCRO TMP]), 0)</f>
        <v>126.62999999999988</v>
      </c>
      <c r="AE6" s="15">
        <f>IF(NC[U] = "U", SUMPRODUCT(N(NC[ID]&lt;=NC[[#This Row],[ID]]),N(NC[DATA BASE]=NC[[#This Row],[DATA BASE]]), N(NC['[D/N']] = "N"),    NC[LUCRO P/ OP]), 0)</f>
        <v>0</v>
      </c>
      <c r="AF6" s="15">
        <f>IF(NC[U] = "U",NC[LUCRO '[N']] + SUMPRODUCT(N(MONTH(NC[DATA BASE])&lt;MONTH(NC[[#This Row],[DATA BASE]]) ), NC[LUCRO '[N']]),0)</f>
        <v>0</v>
      </c>
      <c r="AG6" s="15">
        <f>IF(NC[U] = "U", SUMPRODUCT(N(NC[DATA BASE]=NC[[#This Row],[DATA BASE]]), N(NC['[D/N']] = "D"),    NC[LUCRO P/ OP]), 0)</f>
        <v>0</v>
      </c>
      <c r="AH6" s="20">
        <f>IF(NC[ TRIB. '[N']] &gt; 0,     ROUND(NC[ TRIB. '[N']]*0.15,    2),    0)</f>
        <v>0</v>
      </c>
      <c r="AI6" s="20">
        <f>IF(NC[LUCRO TRIB. DT] &gt; 0,     ROUND(NC[LUCRO TRIB. DT]*0.2,    2)  -  SUMPRODUCT(N(NC[DATA BASE]=NC[[#This Row],[DATA BASE]]),    NC[IRRF FONTE]),    0)</f>
        <v>0</v>
      </c>
      <c r="AJ6" s="19">
        <f>NC[IR '[N']] + NC[IR DEVIDO DT]</f>
        <v>0</v>
      </c>
      <c r="AK6" s="19">
        <f>IF(AND(NC[U] = "U",NC[IR DEVIDO] &gt; 0), NC[IR DEVIDO] + 8.9, 0)</f>
        <v>0</v>
      </c>
      <c r="AL6" s="19">
        <f>NC[LUCRO '[N']]  + NC[LUCRO TRIB. DT] - NC[RESGATE]</f>
        <v>0</v>
      </c>
    </row>
    <row r="7" spans="1:38" x14ac:dyDescent="0.2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7" s="15">
        <f>NC[QTDE]*NC[PREÇO]</f>
        <v>160</v>
      </c>
      <c r="M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N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O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P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Q7" s="15">
        <f>SETUP!$E$3*SUMPRODUCT(N(NC[DATA]=NC[[#This Row],[DATA]]),N(NC[ID]&lt;=NC[[#This Row],[ID]]))</f>
        <v>59.6</v>
      </c>
      <c r="R7" s="15">
        <f>TRUNC(NC[CORRETAGEM]*SETUP!$F$3,2)</f>
        <v>1.19</v>
      </c>
      <c r="S7" s="15">
        <f>ROUND(NC[CORRETAGEM]*SETUP!$G$3,2)</f>
        <v>2.3199999999999998</v>
      </c>
      <c r="T7" s="15">
        <f>NC[VALOR LÍQUIDO DAS OPERAÇÕES]-NC[TAXA DE LIQUIDAÇÃO]-NC[EMOLUMENTOS]-NC[TAXA DE REGISTRO]-NC[CORRETAGEM]-NC[ISS]-IF(NC['[D/N']]="D",    0,    NC[OUTRAS BOVESPA])</f>
        <v>323.95999999999998</v>
      </c>
      <c r="U7" s="15">
        <f>IF(AND(NC['[D/N']]="D",    NC[T]="CV"),    ROUND(NC[LÍQUIDO BASE]*0.01, 2),    0)</f>
        <v>0</v>
      </c>
      <c r="V7" s="15">
        <f>IF(NC[PREÇO] &gt; 0,    NC[LÍQUIDO BASE]-SUMPRODUCT(N(NC[DATA]=NC[[#This Row],[DATA]]),    NC[IRRF FONTE]),    0)</f>
        <v>321.98999999999995</v>
      </c>
      <c r="W7" s="15">
        <f>NC[LÍQUIDO]-SUMPRODUCT(N(NC[DATA]=NC[[#This Row],[DATA]]),N(NC[ID]=(NC[[#This Row],[ID]]-1)),NC[LÍQUIDO])</f>
        <v>-175.9799999999999</v>
      </c>
      <c r="X7" s="15">
        <f>IF(NC[T] = "VC", ABS(NC[VALOR OP]) / NC[QTDE], NC[VALOR OP]/NC[QTDE])</f>
        <v>-0.87989999999999957</v>
      </c>
      <c r="Y7" s="15">
        <f>TRUNC(IF(OR(NC[T]="CV",NC[T]="VV"),     L7*SETUP!$H$3,     0),2)</f>
        <v>0</v>
      </c>
      <c r="Z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A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0.87989999999999957</v>
      </c>
      <c r="AB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7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7" s="15">
        <f>IF(NC[LUCRO TMP] &lt;&gt; 0, NC[LUCRO TMP] - SUMPRODUCT(N(NC[ATIVO]=NC[[#This Row],[ATIVO]]),N(NC['[D/N']]="N"),N(NC[ID]&lt;NC[[#This Row],[ID]]),N(NC[PAR]=NC[[#This Row],[PAR]]), NC[LUCRO TMP]), 0)</f>
        <v>0</v>
      </c>
      <c r="AE7" s="15">
        <f>IF(NC[U] = "U", SUMPRODUCT(N(NC[ID]&lt;=NC[[#This Row],[ID]]),N(NC[DATA BASE]=NC[[#This Row],[DATA BASE]]), N(NC['[D/N']] = "N"),    NC[LUCRO P/ OP]), 0)</f>
        <v>0</v>
      </c>
      <c r="AF7" s="15">
        <f>IF(NC[U] = "U",NC[LUCRO '[N']] + SUMPRODUCT(N(MONTH(NC[DATA BASE])&lt;MONTH(NC[[#This Row],[DATA BASE]]) ), NC[LUCRO '[N']]),0)</f>
        <v>0</v>
      </c>
      <c r="AG7" s="15">
        <f>IF(NC[U] = "U", SUMPRODUCT(N(NC[DATA BASE]=NC[[#This Row],[DATA BASE]]), N(NC['[D/N']] = "D"),    NC[LUCRO P/ OP]), 0)</f>
        <v>0</v>
      </c>
      <c r="AH7" s="20">
        <f>IF(NC[ TRIB. '[N']] &gt; 0,     ROUND(NC[ TRIB. '[N']]*0.15,    2),    0)</f>
        <v>0</v>
      </c>
      <c r="AI7" s="20">
        <f>IF(NC[LUCRO TRIB. DT] &gt; 0,     ROUND(NC[LUCRO TRIB. DT]*0.2,    2)  -  SUMPRODUCT(N(NC[DATA BASE]=NC[[#This Row],[DATA BASE]]),    NC[IRRF FONTE]),    0)</f>
        <v>0</v>
      </c>
      <c r="AJ7" s="19">
        <f>NC[IR '[N']] + NC[IR DEVIDO DT]</f>
        <v>0</v>
      </c>
      <c r="AK7" s="19">
        <f>IF(AND(NC[U] = "U",NC[IR DEVIDO] &gt; 0), NC[IR DEVIDO] + 8.9, 0)</f>
        <v>0</v>
      </c>
      <c r="AL7" s="19">
        <f>NC[LUCRO '[N']]  + NC[LUCRO TRIB. DT] - NC[RESGATE]</f>
        <v>0</v>
      </c>
    </row>
    <row r="8" spans="1:38" ht="11.25" customHeight="1" x14ac:dyDescent="0.2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8" s="15">
        <f>NC[QTDE]*NC[PREÇO]</f>
        <v>336.00000000000006</v>
      </c>
      <c r="M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N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0.34</v>
      </c>
      <c r="O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P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Q8" s="15">
        <f>SETUP!$E$3*SUMPRODUCT(N(NC[DATA]=NC[[#This Row],[DATA]]),N(NC[ID]&lt;=NC[[#This Row],[ID]]))</f>
        <v>74.5</v>
      </c>
      <c r="R8" s="15">
        <f>TRUNC(NC[CORRETAGEM]*SETUP!$F$3,2)</f>
        <v>1.49</v>
      </c>
      <c r="S8" s="15">
        <f>ROUND(NC[CORRETAGEM]*SETUP!$G$3,2)</f>
        <v>2.91</v>
      </c>
      <c r="T8" s="15">
        <f>NC[VALOR LÍQUIDO DAS OPERAÇÕES]-NC[TAXA DE LIQUIDAÇÃO]-NC[EMOLUMENTOS]-NC[TAXA DE REGISTRO]-NC[CORRETAGEM]-NC[ISS]-IF(NC['[D/N']]="D",    0,    NC[OUTRAS BOVESPA])</f>
        <v>643.72</v>
      </c>
      <c r="U8" s="15">
        <f>IF(AND(NC['[D/N']]="D",    NC[T]="CV"),    ROUND(NC[LÍQUIDO BASE]*0.01, 2),    0)</f>
        <v>0</v>
      </c>
      <c r="V8" s="15">
        <f>IF(NC[PREÇO] &gt; 0,    NC[LÍQUIDO BASE]-SUMPRODUCT(N(NC[DATA]=NC[[#This Row],[DATA]]),    NC[IRRF FONTE]),    0)</f>
        <v>641.75</v>
      </c>
      <c r="W8" s="15">
        <f>NC[LÍQUIDO]-SUMPRODUCT(N(NC[DATA]=NC[[#This Row],[DATA]]),N(NC[ID]=(NC[[#This Row],[ID]]-1)),NC[LÍQUIDO])</f>
        <v>319.76000000000005</v>
      </c>
      <c r="X8" s="15">
        <f>IF(NC[T] = "VC", ABS(NC[VALOR OP]) / NC[QTDE], NC[VALOR OP]/NC[QTDE])</f>
        <v>0.53293333333333337</v>
      </c>
      <c r="Y8" s="15">
        <f>TRUNC(IF(OR(NC[T]="CV",NC[T]="VV"),     L8*SETUP!$H$3,     0),2)</f>
        <v>0.01</v>
      </c>
      <c r="Z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0.30663333333333342</v>
      </c>
      <c r="AB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0.53293333333333337</v>
      </c>
      <c r="AC8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135.77999999999997</v>
      </c>
      <c r="AD8" s="15">
        <f>IF(NC[LUCRO TMP] &lt;&gt; 0, NC[LUCRO TMP] - SUMPRODUCT(N(NC[ATIVO]=NC[[#This Row],[ATIVO]]),N(NC['[D/N']]="N"),N(NC[ID]&lt;NC[[#This Row],[ID]]),N(NC[PAR]=NC[[#This Row],[PAR]]), NC[LUCRO TMP]), 0)</f>
        <v>135.77999999999997</v>
      </c>
      <c r="AE8" s="15">
        <f>IF(NC[U] = "U", SUMPRODUCT(N(NC[ID]&lt;=NC[[#This Row],[ID]]),N(NC[DATA BASE]=NC[[#This Row],[DATA BASE]]), N(NC['[D/N']] = "N"),    NC[LUCRO P/ OP]), 0)</f>
        <v>0</v>
      </c>
      <c r="AF8" s="15">
        <f>IF(NC[U] = "U",NC[LUCRO '[N']] + SUMPRODUCT(N(MONTH(NC[DATA BASE])&lt;MONTH(NC[[#This Row],[DATA BASE]]) ), NC[LUCRO '[N']]),0)</f>
        <v>0</v>
      </c>
      <c r="AG8" s="15">
        <f>IF(NC[U] = "U", SUMPRODUCT(N(NC[DATA BASE]=NC[[#This Row],[DATA BASE]]), N(NC['[D/N']] = "D"),    NC[LUCRO P/ OP]), 0)</f>
        <v>0</v>
      </c>
      <c r="AH8" s="20">
        <f>IF(NC[ TRIB. '[N']] &gt; 0,     ROUND(NC[ TRIB. '[N']]*0.15,    2),    0)</f>
        <v>0</v>
      </c>
      <c r="AI8" s="20">
        <f>IF(NC[LUCRO TRIB. DT] &gt; 0,     ROUND(NC[LUCRO TRIB. DT]*0.2,    2)  -  SUMPRODUCT(N(NC[DATA BASE]=NC[[#This Row],[DATA BASE]]),    NC[IRRF FONTE]),    0)</f>
        <v>0</v>
      </c>
      <c r="AJ8" s="19">
        <f>NC[IR '[N']] + NC[IR DEVIDO DT]</f>
        <v>0</v>
      </c>
      <c r="AK8" s="19">
        <f>IF(AND(NC[U] = "U",NC[IR DEVIDO] &gt; 0), NC[IR DEVIDO] + 8.9, 0)</f>
        <v>0</v>
      </c>
      <c r="AL8" s="19">
        <f>NC[LUCRO '[N']]  + NC[LUCRO TRIB. DT] - NC[RESGATE]</f>
        <v>0</v>
      </c>
    </row>
    <row r="9" spans="1:38" ht="11.25" customHeight="1" x14ac:dyDescent="0.2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9" s="15">
        <f>NC[QTDE]*NC[PREÇO]</f>
        <v>312</v>
      </c>
      <c r="M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N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O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9" s="15">
        <f>SETUP!$E$3*SUMPRODUCT(N(NC[DATA]=NC[[#This Row],[DATA]]),N(NC[ID]&lt;=NC[[#This Row],[ID]]))</f>
        <v>14.9</v>
      </c>
      <c r="R9" s="15">
        <f>TRUNC(NC[CORRETAGEM]*SETUP!$F$3,2)</f>
        <v>0.28999999999999998</v>
      </c>
      <c r="S9" s="15">
        <f>ROUND(NC[CORRETAGEM]*SETUP!$G$3,2)</f>
        <v>0.57999999999999996</v>
      </c>
      <c r="T9" s="15">
        <f>NC[VALOR LÍQUIDO DAS OPERAÇÕES]-NC[TAXA DE LIQUIDAÇÃO]-NC[EMOLUMENTOS]-NC[TAXA DE REGISTRO]-NC[CORRETAGEM]-NC[ISS]-IF(NC['[D/N']]="D",    0,    NC[OUTRAS BOVESPA])</f>
        <v>-327.31</v>
      </c>
      <c r="U9" s="15">
        <f>IF(AND(NC['[D/N']]="D",    NC[T]="CV"),    ROUND(NC[LÍQUIDO BASE]*0.01, 2),    0)</f>
        <v>0</v>
      </c>
      <c r="V9" s="15">
        <f>IF(NC[PREÇO] &gt; 0,    NC[LÍQUIDO BASE]-SUMPRODUCT(N(NC[DATA]=NC[[#This Row],[DATA]]),    NC[IRRF FONTE]),    0)</f>
        <v>-330.12</v>
      </c>
      <c r="W9" s="15">
        <f>NC[LÍQUIDO]-SUMPRODUCT(N(NC[DATA]=NC[[#This Row],[DATA]]),N(NC[ID]=(NC[[#This Row],[ID]]-1)),NC[LÍQUIDO])</f>
        <v>-330.12</v>
      </c>
      <c r="X9" s="15">
        <f>IF(NC[T] = "VC", ABS(NC[VALOR OP]) / NC[QTDE], NC[VALOR OP]/NC[QTDE])</f>
        <v>-0.13755000000000001</v>
      </c>
      <c r="Y9" s="15">
        <f>TRUNC(IF(OR(NC[T]="CV",NC[T]="VV"),     L9*SETUP!$H$3,     0),2)</f>
        <v>0</v>
      </c>
      <c r="Z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0.13755000000000001</v>
      </c>
      <c r="AB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9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9" s="15">
        <f>IF(NC[LUCRO TMP] &lt;&gt; 0, NC[LUCRO TMP] - SUMPRODUCT(N(NC[ATIVO]=NC[[#This Row],[ATIVO]]),N(NC['[D/N']]="N"),N(NC[ID]&lt;NC[[#This Row],[ID]]),N(NC[PAR]=NC[[#This Row],[PAR]]), NC[LUCRO TMP]), 0)</f>
        <v>0</v>
      </c>
      <c r="AE9" s="15">
        <f>IF(NC[U] = "U", SUMPRODUCT(N(NC[ID]&lt;=NC[[#This Row],[ID]]),N(NC[DATA BASE]=NC[[#This Row],[DATA BASE]]), N(NC['[D/N']] = "N"),    NC[LUCRO P/ OP]), 0)</f>
        <v>0</v>
      </c>
      <c r="AF9" s="15">
        <f>IF(NC[U] = "U",NC[LUCRO '[N']] + SUMPRODUCT(N(MONTH(NC[DATA BASE])&lt;MONTH(NC[[#This Row],[DATA BASE]]) ), NC[LUCRO '[N']]),0)</f>
        <v>0</v>
      </c>
      <c r="AG9" s="15">
        <f>IF(NC[U] = "U", SUMPRODUCT(N(NC[DATA BASE]=NC[[#This Row],[DATA BASE]]), N(NC['[D/N']] = "D"),    NC[LUCRO P/ OP]), 0)</f>
        <v>0</v>
      </c>
      <c r="AH9" s="20">
        <f>IF(NC[ TRIB. '[N']] &gt; 0,     ROUND(NC[ TRIB. '[N']]*0.15,    2),    0)</f>
        <v>0</v>
      </c>
      <c r="AI9" s="19">
        <f>IF(NC[LUCRO TRIB. DT] &gt; 0,     ROUND(NC[LUCRO TRIB. DT]*0.2,    2)  -  SUMPRODUCT(N(NC[DATA BASE]=NC[[#This Row],[DATA BASE]]),    NC[IRRF FONTE]),    0)</f>
        <v>0</v>
      </c>
      <c r="AJ9" s="19">
        <f>NC[IR '[N']] + NC[IR DEVIDO DT]</f>
        <v>0</v>
      </c>
      <c r="AK9" s="19">
        <f>IF(AND(NC[U] = "U",NC[IR DEVIDO] &gt; 0), NC[IR DEVIDO] + 8.9, 0)</f>
        <v>0</v>
      </c>
      <c r="AL9" s="19">
        <f>NC[LUCRO '[N']]  + NC[LUCRO TRIB. DT] - NC[RESGATE]</f>
        <v>0</v>
      </c>
    </row>
    <row r="10" spans="1:38" ht="11.25" customHeight="1" x14ac:dyDescent="0.2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10" s="15">
        <f>NC[QTDE]*NC[PREÇO]</f>
        <v>624</v>
      </c>
      <c r="M1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N1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O1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P1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Q10" s="15">
        <f>SETUP!$E$3*SUMPRODUCT(N(NC[DATA]=NC[[#This Row],[DATA]]),N(NC[ID]&lt;=NC[[#This Row],[ID]]))</f>
        <v>29.8</v>
      </c>
      <c r="R10" s="15">
        <f>TRUNC(NC[CORRETAGEM]*SETUP!$F$3,2)</f>
        <v>0.59</v>
      </c>
      <c r="S10" s="15">
        <f>ROUND(NC[CORRETAGEM]*SETUP!$G$3,2)</f>
        <v>1.1599999999999999</v>
      </c>
      <c r="T10" s="15">
        <f>NC[VALOR LÍQUIDO DAS OPERAÇÕES]-NC[TAXA DE LIQUIDAÇÃO]-NC[EMOLUMENTOS]-NC[TAXA DE REGISTRO]-NC[CORRETAGEM]-NC[ISS]-IF(NC['[D/N']]="D",    0,    NC[OUTRAS BOVESPA])</f>
        <v>281.2</v>
      </c>
      <c r="U10" s="15">
        <f>IF(AND(NC['[D/N']]="D",    NC[T]="CV"),    ROUND(NC[LÍQUIDO BASE]*0.01, 2),    0)</f>
        <v>2.81</v>
      </c>
      <c r="V10" s="15">
        <f>IF(NC[PREÇO] &gt; 0,    NC[LÍQUIDO BASE]-SUMPRODUCT(N(NC[DATA]=NC[[#This Row],[DATA]]),    NC[IRRF FONTE]),    0)</f>
        <v>278.39</v>
      </c>
      <c r="W10" s="15">
        <f>NC[LÍQUIDO]-SUMPRODUCT(N(NC[DATA]=NC[[#This Row],[DATA]]),N(NC[ID]=(NC[[#This Row],[ID]]-1)),NC[LÍQUIDO])</f>
        <v>608.51</v>
      </c>
      <c r="X10" s="15">
        <f>IF(NC[T] = "VC", ABS(NC[VALOR OP]) / NC[QTDE], NC[VALOR OP]/NC[QTDE])</f>
        <v>0.2535458333333333</v>
      </c>
      <c r="Y10" s="15">
        <f>TRUNC(IF(OR(NC[T]="CV",NC[T]="VV"),     L10*SETUP!$H$3,     0),2)</f>
        <v>0.03</v>
      </c>
      <c r="Z1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0.13755000000000001</v>
      </c>
      <c r="AB1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0.2535458333333333</v>
      </c>
      <c r="AC10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281.19999999999993</v>
      </c>
      <c r="AD10" s="15">
        <f>IF(NC[LUCRO TMP] &lt;&gt; 0, NC[LUCRO TMP] - SUMPRODUCT(N(NC[ATIVO]=NC[[#This Row],[ATIVO]]),N(NC['[D/N']]="N"),N(NC[ID]&lt;NC[[#This Row],[ID]]),N(NC[PAR]=NC[[#This Row],[PAR]]), NC[LUCRO TMP]), 0)</f>
        <v>281.19999999999993</v>
      </c>
      <c r="AE10" s="15">
        <f>IF(NC[U] = "U", SUMPRODUCT(N(NC[ID]&lt;=NC[[#This Row],[ID]]),N(NC[DATA BASE]=NC[[#This Row],[DATA BASE]]), N(NC['[D/N']] = "N"),    NC[LUCRO P/ OP]), 0)</f>
        <v>0</v>
      </c>
      <c r="AF10" s="15">
        <f>IF(NC[U] = "U",NC[LUCRO '[N']] + SUMPRODUCT(N(MONTH(NC[DATA BASE])&lt;MONTH(NC[[#This Row],[DATA BASE]]) ), NC[LUCRO '[N']]),0)</f>
        <v>0</v>
      </c>
      <c r="AG10" s="15">
        <f>IF(NC[U] = "U", SUMPRODUCT(N(NC[DATA BASE]=NC[[#This Row],[DATA BASE]]), N(NC['[D/N']] = "D"),    NC[LUCRO P/ OP]), 0)</f>
        <v>0</v>
      </c>
      <c r="AH10" s="20">
        <f>IF(NC[ TRIB. '[N']] &gt; 0,     ROUND(NC[ TRIB. '[N']]*0.15,    2),    0)</f>
        <v>0</v>
      </c>
      <c r="AI10" s="19">
        <f>IF(NC[LUCRO TRIB. DT] &gt; 0,     ROUND(NC[LUCRO TRIB. DT]*0.2,    2)  -  SUMPRODUCT(N(NC[DATA BASE]=NC[[#This Row],[DATA BASE]]),    NC[IRRF FONTE]),    0)</f>
        <v>0</v>
      </c>
      <c r="AJ10" s="19">
        <f>NC[IR '[N']] + NC[IR DEVIDO DT]</f>
        <v>0</v>
      </c>
      <c r="AK10" s="19">
        <f>IF(AND(NC[U] = "U",NC[IR DEVIDO] &gt; 0), NC[IR DEVIDO] + 8.9, 0)</f>
        <v>0</v>
      </c>
      <c r="AL10" s="19">
        <f>NC[LUCRO '[N']]  + NC[LUCRO TRIB. DT] - NC[RESGATE]</f>
        <v>0</v>
      </c>
    </row>
    <row r="11" spans="1:38" ht="11.25" customHeight="1" x14ac:dyDescent="0.2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1" s="15">
        <f>NC[QTDE]*NC[PREÇO]</f>
        <v>312</v>
      </c>
      <c r="M1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1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O1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P1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Q11" s="15">
        <f>SETUP!$E$3*SUMPRODUCT(N(NC[DATA]=NC[[#This Row],[DATA]]),N(NC[ID]&lt;=NC[[#This Row],[ID]]))</f>
        <v>44.7</v>
      </c>
      <c r="R11" s="15">
        <f>TRUNC(NC[CORRETAGEM]*SETUP!$F$3,2)</f>
        <v>0.89</v>
      </c>
      <c r="S11" s="15">
        <f>ROUND(NC[CORRETAGEM]*SETUP!$G$3,2)</f>
        <v>1.74</v>
      </c>
      <c r="T11" s="15">
        <f>NC[VALOR LÍQUIDO DAS OPERAÇÕES]-NC[TAXA DE LIQUIDAÇÃO]-NC[EMOLUMENTOS]-NC[TAXA DE REGISTRO]-NC[CORRETAGEM]-NC[ISS]-IF(NC['[D/N']]="D",    0,    NC[OUTRAS BOVESPA])</f>
        <v>-48.150000000000006</v>
      </c>
      <c r="U11" s="15">
        <f>IF(AND(NC['[D/N']]="D",    NC[T]="CV"),    ROUND(NC[LÍQUIDO BASE]*0.01, 2),    0)</f>
        <v>0</v>
      </c>
      <c r="V11" s="15">
        <f>IF(NC[PREÇO] &gt; 0,    NC[LÍQUIDO BASE]-SUMPRODUCT(N(NC[DATA]=NC[[#This Row],[DATA]]),    NC[IRRF FONTE]),    0)</f>
        <v>-50.960000000000008</v>
      </c>
      <c r="W11" s="15">
        <f>NC[LÍQUIDO]-SUMPRODUCT(N(NC[DATA]=NC[[#This Row],[DATA]]),N(NC[ID]=(NC[[#This Row],[ID]]-1)),NC[LÍQUIDO])</f>
        <v>-329.35</v>
      </c>
      <c r="X11" s="15">
        <f>IF(NC[T] = "VC", ABS(NC[VALOR OP]) / NC[QTDE], NC[VALOR OP]/NC[QTDE])</f>
        <v>-0.41168750000000004</v>
      </c>
      <c r="Y11" s="15">
        <f>TRUNC(IF(OR(NC[T]="CV",NC[T]="VV"),     L11*SETUP!$H$3,     0),2)</f>
        <v>0</v>
      </c>
      <c r="Z1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1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0.41168750000000004</v>
      </c>
      <c r="AB1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11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11" s="15">
        <f>IF(NC[LUCRO TMP] &lt;&gt; 0, NC[LUCRO TMP] - SUMPRODUCT(N(NC[ATIVO]=NC[[#This Row],[ATIVO]]),N(NC['[D/N']]="N"),N(NC[ID]&lt;NC[[#This Row],[ID]]),N(NC[PAR]=NC[[#This Row],[PAR]]), NC[LUCRO TMP]), 0)</f>
        <v>0</v>
      </c>
      <c r="AE11" s="15">
        <f>IF(NC[U] = "U", SUMPRODUCT(N(NC[ID]&lt;=NC[[#This Row],[ID]]),N(NC[DATA BASE]=NC[[#This Row],[DATA BASE]]), N(NC['[D/N']] = "N"),    NC[LUCRO P/ OP]), 0)</f>
        <v>0</v>
      </c>
      <c r="AF11" s="15">
        <f>IF(NC[U] = "U",NC[LUCRO '[N']] + SUMPRODUCT(N(MONTH(NC[DATA BASE])&lt;MONTH(NC[[#This Row],[DATA BASE]]) ), NC[LUCRO '[N']]),0)</f>
        <v>0</v>
      </c>
      <c r="AG11" s="15">
        <f>IF(NC[U] = "U", SUMPRODUCT(N(NC[DATA BASE]=NC[[#This Row],[DATA BASE]]), N(NC['[D/N']] = "D"),    NC[LUCRO P/ OP]), 0)</f>
        <v>0</v>
      </c>
      <c r="AH11" s="19">
        <f>IF(NC[ TRIB. '[N']] &gt; 0,     ROUND(NC[ TRIB. '[N']]*0.15,    2),    0)</f>
        <v>0</v>
      </c>
      <c r="AI11" s="19">
        <f>IF(NC[LUCRO TRIB. DT] &gt; 0,     ROUND(NC[LUCRO TRIB. DT]*0.2,    2)  -  SUMPRODUCT(N(NC[DATA BASE]=NC[[#This Row],[DATA BASE]]),    NC[IRRF FONTE]),    0)</f>
        <v>0</v>
      </c>
      <c r="AJ11" s="19">
        <f>NC[IR '[N']] + NC[IR DEVIDO DT]</f>
        <v>0</v>
      </c>
      <c r="AK11" s="19">
        <f>IF(AND(NC[U] = "U",NC[IR DEVIDO] &gt; 0), NC[IR DEVIDO] + 8.9, 0)</f>
        <v>0</v>
      </c>
      <c r="AL11" s="19">
        <f>NC[LUCRO '[N']]  + NC[LUCRO TRIB. DT] - NC[RESGATE]</f>
        <v>0</v>
      </c>
    </row>
    <row r="12" spans="1:38" ht="11.25" customHeight="1" x14ac:dyDescent="0.2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2" s="15">
        <f>NC[QTDE]*NC[PREÇO]</f>
        <v>360</v>
      </c>
      <c r="M1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N1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0.09</v>
      </c>
      <c r="O1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P1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Q12" s="15">
        <f>SETUP!$E$3*SUMPRODUCT(N(NC[DATA]=NC[[#This Row],[DATA]]),N(NC[ID]&lt;=NC[[#This Row],[ID]]))</f>
        <v>14.9</v>
      </c>
      <c r="R12" s="15">
        <f>TRUNC(NC[CORRETAGEM]*SETUP!$F$3,2)</f>
        <v>0.28999999999999998</v>
      </c>
      <c r="S12" s="15">
        <f>ROUND(NC[CORRETAGEM]*SETUP!$G$3,2)</f>
        <v>0.57999999999999996</v>
      </c>
      <c r="T12" s="15">
        <f>NC[VALOR LÍQUIDO DAS OPERAÇÕES]-NC[TAXA DE LIQUIDAÇÃO]-NC[EMOLUMENTOS]-NC[TAXA DE REGISTRO]-NC[CORRETAGEM]-NC[ISS]-IF(NC['[D/N']]="D",    0,    NC[OUTRAS BOVESPA])</f>
        <v>-376.23999999999995</v>
      </c>
      <c r="U12" s="15">
        <f>IF(AND(NC['[D/N']]="D",    NC[T]="CV"),    ROUND(NC[LÍQUIDO BASE]*0.01, 2),    0)</f>
        <v>0</v>
      </c>
      <c r="V12" s="15">
        <f>IF(NC[PREÇO] &gt; 0,    NC[LÍQUIDO BASE]-SUMPRODUCT(N(NC[DATA]=NC[[#This Row],[DATA]]),    NC[IRRF FONTE]),    0)</f>
        <v>-376.23999999999995</v>
      </c>
      <c r="W12" s="15">
        <f>NC[LÍQUIDO]-SUMPRODUCT(N(NC[DATA]=NC[[#This Row],[DATA]]),N(NC[ID]=(NC[[#This Row],[ID]]-1)),NC[LÍQUIDO])</f>
        <v>-376.23999999999995</v>
      </c>
      <c r="X12" s="15">
        <f>IF(NC[T] = "VC", ABS(NC[VALOR OP]) / NC[QTDE], NC[VALOR OP]/NC[QTDE])</f>
        <v>-0.75247999999999993</v>
      </c>
      <c r="Y12" s="15">
        <f>TRUNC(IF(OR(NC[T]="CV",NC[T]="VV"),     L12*SETUP!$H$3,     0),2)</f>
        <v>0</v>
      </c>
      <c r="Z1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A1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0.75247999999999993</v>
      </c>
      <c r="AB1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1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12" s="15">
        <f>IF(NC[LUCRO TMP] &lt;&gt; 0, NC[LUCRO TMP] - SUMPRODUCT(N(NC[ATIVO]=NC[[#This Row],[ATIVO]]),N(NC['[D/N']]="N"),N(NC[ID]&lt;NC[[#This Row],[ID]]),N(NC[PAR]=NC[[#This Row],[PAR]]), NC[LUCRO TMP]), 0)</f>
        <v>0</v>
      </c>
      <c r="AE12" s="15">
        <f>IF(NC[U] = "U", SUMPRODUCT(N(NC[ID]&lt;=NC[[#This Row],[ID]]),N(NC[DATA BASE]=NC[[#This Row],[DATA BASE]]), N(NC['[D/N']] = "N"),    NC[LUCRO P/ OP]), 0)</f>
        <v>0</v>
      </c>
      <c r="AF12" s="15">
        <f>IF(NC[U] = "U",NC[LUCRO '[N']] + SUMPRODUCT(N(MONTH(NC[DATA BASE])&lt;MONTH(NC[[#This Row],[DATA BASE]]) ), NC[LUCRO '[N']]),0)</f>
        <v>0</v>
      </c>
      <c r="AG12" s="15">
        <f>IF(NC[U] = "U", SUMPRODUCT(N(NC[DATA BASE]=NC[[#This Row],[DATA BASE]]), N(NC['[D/N']] = "D"),    NC[LUCRO P/ OP]), 0)</f>
        <v>0</v>
      </c>
      <c r="AH12" s="20">
        <f>IF(NC[ TRIB. '[N']] &gt; 0,     ROUND(NC[ TRIB. '[N']]*0.15,    2),    0)</f>
        <v>0</v>
      </c>
      <c r="AI12" s="20">
        <f>IF(NC[LUCRO TRIB. DT] &gt; 0,     ROUND(NC[LUCRO TRIB. DT]*0.2,    2)  -  SUMPRODUCT(N(NC[DATA BASE]=NC[[#This Row],[DATA BASE]]),    NC[IRRF FONTE]),    0)</f>
        <v>0</v>
      </c>
      <c r="AJ12" s="19">
        <f>NC[IR '[N']] + NC[IR DEVIDO DT]</f>
        <v>0</v>
      </c>
      <c r="AK12" s="19">
        <f>IF(AND(NC[U] = "U",NC[IR DEVIDO] &gt; 0), NC[IR DEVIDO] + 8.9, 0)</f>
        <v>0</v>
      </c>
      <c r="AL12" s="19">
        <f>NC[LUCRO '[N']]  + NC[LUCRO TRIB. DT] - NC[RESGATE]</f>
        <v>0</v>
      </c>
    </row>
    <row r="13" spans="1:38" ht="11.25" customHeight="1" x14ac:dyDescent="0.2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3" s="15">
        <f>NC[QTDE]*NC[PREÇO]</f>
        <v>168</v>
      </c>
      <c r="M1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N1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O1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1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13" s="15">
        <f>SETUP!$E$3*SUMPRODUCT(N(NC[DATA]=NC[[#This Row],[DATA]]),N(NC[ID]&lt;=NC[[#This Row],[ID]]))</f>
        <v>14.9</v>
      </c>
      <c r="R13" s="15">
        <f>TRUNC(NC[CORRETAGEM]*SETUP!$F$3,2)</f>
        <v>0.28999999999999998</v>
      </c>
      <c r="S13" s="15">
        <f>ROUND(NC[CORRETAGEM]*SETUP!$G$3,2)</f>
        <v>0.57999999999999996</v>
      </c>
      <c r="T13" s="15">
        <f>NC[VALOR LÍQUIDO DAS OPERAÇÕES]-NC[TAXA DE LIQUIDAÇÃO]-NC[EMOLUMENTOS]-NC[TAXA DE REGISTRO]-NC[CORRETAGEM]-NC[ISS]-IF(NC['[D/N']]="D",    0,    NC[OUTRAS BOVESPA])</f>
        <v>152.01999999999998</v>
      </c>
      <c r="U13" s="15">
        <f>IF(AND(NC['[D/N']]="D",    NC[T]="CV"),    ROUND(NC[LÍQUIDO BASE]*0.01, 2),    0)</f>
        <v>0</v>
      </c>
      <c r="V13" s="15">
        <f>IF(NC[PREÇO] &gt; 0,    NC[LÍQUIDO BASE]-SUMPRODUCT(N(NC[DATA]=NC[[#This Row],[DATA]]),    NC[IRRF FONTE]),    0)</f>
        <v>152.01999999999998</v>
      </c>
      <c r="W13" s="20">
        <f>NC[LÍQUIDO]-SUMPRODUCT(N(NC[DATA]=NC[[#This Row],[DATA]]),N(NC[ID]=(NC[[#This Row],[ID]]-1)),NC[LÍQUIDO])</f>
        <v>152.01999999999998</v>
      </c>
      <c r="X13" s="15">
        <f>IF(NC[T] = "VC", ABS(NC[VALOR OP]) / NC[QTDE], NC[VALOR OP]/NC[QTDE])</f>
        <v>0.19002499999999997</v>
      </c>
      <c r="Y13" s="15">
        <f>TRUNC(IF(OR(NC[T]="CV",NC[T]="VV"),     L13*SETUP!$H$3,     0),2)</f>
        <v>0</v>
      </c>
      <c r="Z1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0.41168750000000004</v>
      </c>
      <c r="AB1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0.19002499999999997</v>
      </c>
      <c r="AC1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-177.33000000000004</v>
      </c>
      <c r="AD13" s="15">
        <f>IF(NC[LUCRO TMP] &lt;&gt; 0, NC[LUCRO TMP] - SUMPRODUCT(N(NC[ATIVO]=NC[[#This Row],[ATIVO]]),N(NC['[D/N']]="N"),N(NC[ID]&lt;NC[[#This Row],[ID]]),N(NC[PAR]=NC[[#This Row],[PAR]]), NC[LUCRO TMP]), 0)</f>
        <v>-177.33000000000004</v>
      </c>
      <c r="AE13" s="15">
        <f>IF(NC[U] = "U", SUMPRODUCT(N(NC[ID]&lt;=NC[[#This Row],[ID]]),N(NC[DATA BASE]=NC[[#This Row],[DATA BASE]]), N(NC['[D/N']] = "N"),    NC[LUCRO P/ OP]), 0)</f>
        <v>0</v>
      </c>
      <c r="AF13" s="15">
        <f>IF(NC[U] = "U",NC[LUCRO '[N']] + SUMPRODUCT(N(MONTH(NC[DATA BASE])&lt;MONTH(NC[[#This Row],[DATA BASE]]) ), NC[LUCRO '[N']]),0)</f>
        <v>0</v>
      </c>
      <c r="AG13" s="15">
        <f>IF(NC[U] = "U", SUMPRODUCT(N(NC[DATA BASE]=NC[[#This Row],[DATA BASE]]), N(NC['[D/N']] = "D"),    NC[LUCRO P/ OP]), 0)</f>
        <v>0</v>
      </c>
      <c r="AH13" s="20">
        <f>IF(NC[ TRIB. '[N']] &gt; 0,     ROUND(NC[ TRIB. '[N']]*0.15,    2),    0)</f>
        <v>0</v>
      </c>
      <c r="AI13" s="20">
        <f>IF(NC[LUCRO TRIB. DT] &gt; 0,     ROUND(NC[LUCRO TRIB. DT]*0.2,    2)  -  SUMPRODUCT(N(NC[DATA BASE]=NC[[#This Row],[DATA BASE]]),    NC[IRRF FONTE]),    0)</f>
        <v>0</v>
      </c>
      <c r="AJ13" s="19">
        <f>NC[IR '[N']] + NC[IR DEVIDO DT]</f>
        <v>0</v>
      </c>
      <c r="AK13" s="19">
        <f>IF(AND(NC[U] = "U",NC[IR DEVIDO] &gt; 0), NC[IR DEVIDO] + 8.9, 0)</f>
        <v>0</v>
      </c>
      <c r="AL13" s="19">
        <f>NC[LUCRO '[N']]  + NC[LUCRO TRIB. DT] - NC[RESGATE]</f>
        <v>0</v>
      </c>
    </row>
    <row r="14" spans="1:38" ht="11.25" customHeight="1" x14ac:dyDescent="0.2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4" s="15">
        <f>NC[QTDE]*NC[PREÇO]</f>
        <v>320</v>
      </c>
      <c r="M1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N1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0.13</v>
      </c>
      <c r="O1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P1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14" s="15">
        <f>SETUP!$E$3*SUMPRODUCT(N(NC[DATA]=NC[[#This Row],[DATA]]),N(NC[ID]&lt;=NC[[#This Row],[ID]]))</f>
        <v>29.8</v>
      </c>
      <c r="R14" s="15">
        <f>TRUNC(NC[CORRETAGEM]*SETUP!$F$3,2)</f>
        <v>0.59</v>
      </c>
      <c r="S14" s="15">
        <f>ROUND(NC[CORRETAGEM]*SETUP!$G$3,2)</f>
        <v>1.1599999999999999</v>
      </c>
      <c r="T14" s="15">
        <f>NC[VALOR LÍQUIDO DAS OPERAÇÕES]-NC[TAXA DE LIQUIDAÇÃO]-NC[EMOLUMENTOS]-NC[TAXA DE REGISTRO]-NC[CORRETAGEM]-NC[ISS]-IF(NC['[D/N']]="D",    0,    NC[OUTRAS BOVESPA])</f>
        <v>455.81</v>
      </c>
      <c r="U14" s="15">
        <f>IF(AND(NC['[D/N']]="D",    NC[T]="CV"),    ROUND(NC[LÍQUIDO BASE]*0.01, 2),    0)</f>
        <v>0</v>
      </c>
      <c r="V14" s="15">
        <f>IF(NC[PREÇO] &gt; 0,    NC[LÍQUIDO BASE]-SUMPRODUCT(N(NC[DATA]=NC[[#This Row],[DATA]]),    NC[IRRF FONTE]),    0)</f>
        <v>455.81</v>
      </c>
      <c r="W14" s="20">
        <f>NC[LÍQUIDO]-SUMPRODUCT(N(NC[DATA]=NC[[#This Row],[DATA]]),N(NC[ID]=(NC[[#This Row],[ID]]-1)),NC[LÍQUIDO])</f>
        <v>303.79000000000002</v>
      </c>
      <c r="X14" s="15">
        <f>IF(NC[T] = "VC", ABS(NC[VALOR OP]) / NC[QTDE], NC[VALOR OP]/NC[QTDE])</f>
        <v>0.60758000000000001</v>
      </c>
      <c r="Y14" s="15">
        <f>TRUNC(IF(OR(NC[T]="CV",NC[T]="VV"),     L14*SETUP!$H$3,     0),2)</f>
        <v>0.01</v>
      </c>
      <c r="Z1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0.75247999999999993</v>
      </c>
      <c r="AB1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0.60758000000000001</v>
      </c>
      <c r="AC14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-72.44999999999996</v>
      </c>
      <c r="AD14" s="15">
        <f>IF(NC[LUCRO TMP] &lt;&gt; 0, NC[LUCRO TMP] - SUMPRODUCT(N(NC[ATIVO]=NC[[#This Row],[ATIVO]]),N(NC['[D/N']]="N"),N(NC[ID]&lt;NC[[#This Row],[ID]]),N(NC[PAR]=NC[[#This Row],[PAR]]), NC[LUCRO TMP]), 0)</f>
        <v>-72.44999999999996</v>
      </c>
      <c r="AE14" s="15">
        <f>IF(NC[U] = "U", SUMPRODUCT(N(NC[ID]&lt;=NC[[#This Row],[ID]]),N(NC[DATA BASE]=NC[[#This Row],[DATA BASE]]), N(NC['[D/N']] = "N"),    NC[LUCRO P/ OP]), 0)</f>
        <v>0</v>
      </c>
      <c r="AF14" s="15">
        <f>IF(NC[U] = "U",NC[LUCRO '[N']] + SUMPRODUCT(N(MONTH(NC[DATA BASE])&lt;MONTH(NC[[#This Row],[DATA BASE]]) ), NC[LUCRO '[N']]),0)</f>
        <v>0</v>
      </c>
      <c r="AG14" s="15">
        <f>IF(NC[U] = "U", SUMPRODUCT(N(NC[DATA BASE]=NC[[#This Row],[DATA BASE]]), N(NC['[D/N']] = "D"),    NC[LUCRO P/ OP]), 0)</f>
        <v>0</v>
      </c>
      <c r="AH14" s="20">
        <f>IF(NC[ TRIB. '[N']] &gt; 0,     ROUND(NC[ TRIB. '[N']]*0.15,    2),    0)</f>
        <v>0</v>
      </c>
      <c r="AI14" s="20">
        <f>IF(NC[LUCRO TRIB. DT] &gt; 0,     ROUND(NC[LUCRO TRIB. DT]*0.2,    2)  -  SUMPRODUCT(N(NC[DATA BASE]=NC[[#This Row],[DATA BASE]]),    NC[IRRF FONTE]),    0)</f>
        <v>0</v>
      </c>
      <c r="AJ14" s="19">
        <f>NC[IR '[N']] + NC[IR DEVIDO DT]</f>
        <v>0</v>
      </c>
      <c r="AK14" s="19">
        <f>IF(AND(NC[U] = "U",NC[IR DEVIDO] &gt; 0), NC[IR DEVIDO] + 8.9, 0)</f>
        <v>0</v>
      </c>
      <c r="AL14" s="19">
        <f>NC[LUCRO '[N']]  + NC[LUCRO TRIB. DT] - NC[RESGATE]</f>
        <v>0</v>
      </c>
    </row>
    <row r="15" spans="1:38" x14ac:dyDescent="0.2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5" s="15">
        <f>NC[QTDE]*NC[PREÇO]</f>
        <v>106</v>
      </c>
      <c r="M1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N1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O1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1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15" s="15">
        <f>SETUP!$E$3*SUMPRODUCT(N(NC[DATA]=NC[[#This Row],[DATA]]),N(NC[ID]&lt;=NC[[#This Row],[ID]]))</f>
        <v>44.7</v>
      </c>
      <c r="R15" s="15">
        <f>TRUNC(NC[CORRETAGEM]*SETUP!$F$3,2)</f>
        <v>0.89</v>
      </c>
      <c r="S15" s="15">
        <f>ROUND(NC[CORRETAGEM]*SETUP!$G$3,2)</f>
        <v>1.74</v>
      </c>
      <c r="T15" s="15">
        <f>NC[VALOR LÍQUIDO DAS OPERAÇÕES]-NC[TAXA DE LIQUIDAÇÃO]-NC[EMOLUMENTOS]-NC[TAXA DE REGISTRO]-NC[CORRETAGEM]-NC[ISS]-IF(NC['[D/N']]="D",    0,    NC[OUTRAS BOVESPA])</f>
        <v>545.89</v>
      </c>
      <c r="U15" s="15">
        <f>IF(AND(NC['[D/N']]="D",    NC[T]="CV"),    ROUND(NC[LÍQUIDO BASE]*0.01, 2),    0)</f>
        <v>0</v>
      </c>
      <c r="V15" s="15">
        <f>IF(NC[PREÇO] &gt; 0,    NC[LÍQUIDO BASE]-SUMPRODUCT(N(NC[DATA]=NC[[#This Row],[DATA]]),    NC[IRRF FONTE]),    0)</f>
        <v>545.89</v>
      </c>
      <c r="W15" s="20">
        <f>NC[LÍQUIDO]-SUMPRODUCT(N(NC[DATA]=NC[[#This Row],[DATA]]),N(NC[ID]=(NC[[#This Row],[ID]]-1)),NC[LÍQUIDO])</f>
        <v>90.079999999999984</v>
      </c>
      <c r="X15" s="15">
        <f>IF(NC[T] = "VC", ABS(NC[VALOR OP]) / NC[QTDE], NC[VALOR OP]/NC[QTDE])</f>
        <v>0.90079999999999982</v>
      </c>
      <c r="Y15" s="15">
        <f>TRUNC(IF(OR(NC[T]="CV",NC[T]="VV"),     L15*SETUP!$H$3,     0),2)</f>
        <v>0</v>
      </c>
      <c r="Z1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1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0.87989999999999957</v>
      </c>
      <c r="AB1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0.90079999999999982</v>
      </c>
      <c r="AC15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2.0900000000000252</v>
      </c>
      <c r="AD15" s="15">
        <f>IF(NC[LUCRO TMP] &lt;&gt; 0, NC[LUCRO TMP] - SUMPRODUCT(N(NC[ATIVO]=NC[[#This Row],[ATIVO]]),N(NC['[D/N']]="N"),N(NC[ID]&lt;NC[[#This Row],[ID]]),N(NC[PAR]=NC[[#This Row],[PAR]]), NC[LUCRO TMP]), 0)</f>
        <v>2.0900000000000252</v>
      </c>
      <c r="AE15" s="15">
        <f>IF(NC[U] = "U", SUMPRODUCT(N(NC[ID]&lt;=NC[[#This Row],[ID]]),N(NC[DATA BASE]=NC[[#This Row],[DATA BASE]]), N(NC['[D/N']] = "N"),    NC[LUCRO P/ OP]), 0)</f>
        <v>0</v>
      </c>
      <c r="AF15" s="15">
        <f>IF(NC[U] = "U",NC[LUCRO '[N']] + SUMPRODUCT(N(MONTH(NC[DATA BASE])&lt;MONTH(NC[[#This Row],[DATA BASE]]) ), NC[LUCRO '[N']]),0)</f>
        <v>0</v>
      </c>
      <c r="AG15" s="15">
        <f>IF(NC[U] = "U", SUMPRODUCT(N(NC[DATA BASE]=NC[[#This Row],[DATA BASE]]), N(NC['[D/N']] = "D"),    NC[LUCRO P/ OP]), 0)</f>
        <v>0</v>
      </c>
      <c r="AH15" s="20">
        <f>IF(NC[ TRIB. '[N']] &gt; 0,     ROUND(NC[ TRIB. '[N']]*0.15,    2),    0)</f>
        <v>0</v>
      </c>
      <c r="AI15" s="20">
        <f>IF(NC[LUCRO TRIB. DT] &gt; 0,     ROUND(NC[LUCRO TRIB. DT]*0.2,    2)  -  SUMPRODUCT(N(NC[DATA BASE]=NC[[#This Row],[DATA BASE]]),    NC[IRRF FONTE]),    0)</f>
        <v>0</v>
      </c>
      <c r="AJ15" s="19">
        <f>NC[IR '[N']] + NC[IR DEVIDO DT]</f>
        <v>0</v>
      </c>
      <c r="AK15" s="19">
        <f>IF(AND(NC[U] = "U",NC[IR DEVIDO] &gt; 0), NC[IR DEVIDO] + 8.9, 0)</f>
        <v>0</v>
      </c>
      <c r="AL15" s="19">
        <f>NC[LUCRO '[N']]  + NC[LUCRO TRIB. DT] - NC[RESGATE]</f>
        <v>0</v>
      </c>
    </row>
    <row r="16" spans="1:38" ht="11.25" customHeight="1" x14ac:dyDescent="0.2">
      <c r="A16" s="13">
        <v>15</v>
      </c>
      <c r="B16" s="13"/>
      <c r="C16" s="13" t="s">
        <v>54</v>
      </c>
      <c r="D16" s="13" t="s">
        <v>24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6" s="15">
        <f>NC[QTDE]*NC[PREÇO]</f>
        <v>420</v>
      </c>
      <c r="M1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-420</v>
      </c>
      <c r="N1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O1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P1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Q16" s="15">
        <f>SETUP!$E$3*SUMPRODUCT(N(NC[DATA]=NC[[#This Row],[DATA]]),N(NC[ID]&lt;=NC[[#This Row],[ID]]))</f>
        <v>14.9</v>
      </c>
      <c r="R16" s="15">
        <f>TRUNC(NC[CORRETAGEM]*SETUP!$F$3,2)</f>
        <v>0.28999999999999998</v>
      </c>
      <c r="S16" s="15">
        <f>ROUND(NC[CORRETAGEM]*SETUP!$G$3,2)</f>
        <v>0.57999999999999996</v>
      </c>
      <c r="T16" s="15">
        <f>NC[VALOR LÍQUIDO DAS OPERAÇÕES]-NC[TAXA DE LIQUIDAÇÃO]-NC[EMOLUMENTOS]-NC[TAXA DE REGISTRO]-NC[CORRETAGEM]-NC[ISS]-IF(NC['[D/N']]="D",    0,    NC[OUTRAS BOVESPA])</f>
        <v>-436.32</v>
      </c>
      <c r="U16" s="15">
        <f>IF(AND(NC['[D/N']]="D",    NC[T]="CV"),    ROUND(NC[LÍQUIDO BASE]*0.01, 2),    0)</f>
        <v>0</v>
      </c>
      <c r="V16" s="15">
        <f>IF(NC[PREÇO] &gt; 0,    NC[LÍQUIDO BASE]-SUMPRODUCT(N(NC[DATA]=NC[[#This Row],[DATA]]),    NC[IRRF FONTE]),    0)</f>
        <v>-436.32</v>
      </c>
      <c r="W16" s="20">
        <f>NC[LÍQUIDO]-SUMPRODUCT(N(NC[DATA]=NC[[#This Row],[DATA]]),N(NC[ID]=(NC[[#This Row],[ID]]-1)),NC[LÍQUIDO])</f>
        <v>-436.32</v>
      </c>
      <c r="X16" s="15">
        <f>IF(NC[T] = "VC", ABS(NC[VALOR OP]) / NC[QTDE], NC[VALOR OP]/NC[QTDE])</f>
        <v>-0.62331428571428571</v>
      </c>
      <c r="Y16" s="15">
        <f>TRUNC(IF(OR(NC[T]="CV",NC[T]="VV"),     L16*SETUP!$H$3,     0),2)</f>
        <v>0</v>
      </c>
      <c r="Z1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A1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0.62331428571428571</v>
      </c>
      <c r="AB1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1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16" s="15">
        <f>IF(NC[LUCRO TMP] &lt;&gt; 0, NC[LUCRO TMP] - SUMPRODUCT(N(NC[ATIVO]=NC[[#This Row],[ATIVO]]),N(NC['[D/N']]="N"),N(NC[ID]&lt;NC[[#This Row],[ID]]),N(NC[PAR]=NC[[#This Row],[PAR]]), NC[LUCRO TMP]), 0)</f>
        <v>0</v>
      </c>
      <c r="AE16" s="15">
        <f>IF(NC[U] = "U", SUMPRODUCT(N(NC[ID]&lt;=NC[[#This Row],[ID]]),N(NC[DATA BASE]=NC[[#This Row],[DATA BASE]]), N(NC['[D/N']] = "N"),    NC[LUCRO P/ OP]), 0)</f>
        <v>0</v>
      </c>
      <c r="AF16" s="15">
        <f>IF(NC[U] = "U",NC[LUCRO '[N']] + SUMPRODUCT(N(MONTH(NC[DATA BASE])&lt;MONTH(NC[[#This Row],[DATA BASE]]) ), NC[LUCRO '[N']]),0)</f>
        <v>0</v>
      </c>
      <c r="AG16" s="15">
        <f>IF(NC[U] = "U", SUMPRODUCT(N(NC[DATA BASE]=NC[[#This Row],[DATA BASE]]), N(NC['[D/N']] = "D"),    NC[LUCRO P/ OP]), 0)</f>
        <v>0</v>
      </c>
      <c r="AH16" s="20">
        <f>IF(NC[ TRIB. '[N']] &gt; 0,     ROUND(NC[ TRIB. '[N']]*0.15,    2),    0)</f>
        <v>0</v>
      </c>
      <c r="AI16" s="20">
        <f>IF(NC[LUCRO TRIB. DT] &gt; 0,     ROUND(NC[LUCRO TRIB. DT]*0.2,    2)  -  SUMPRODUCT(N(NC[DATA BASE]=NC[[#This Row],[DATA BASE]]),    NC[IRRF FONTE]),    0)</f>
        <v>0</v>
      </c>
      <c r="AJ16" s="19">
        <f>NC[IR '[N']] + NC[IR DEVIDO DT]</f>
        <v>0</v>
      </c>
      <c r="AK16" s="20">
        <f>IF(AND(NC[U] = "U",NC[IR DEVIDO] &gt; 0), NC[IR DEVIDO] + 8.9, 0)</f>
        <v>0</v>
      </c>
      <c r="AL16" s="19">
        <f>NC[LUCRO '[N']]  + NC[LUCRO TRIB. DT] - NC[RESGATE]</f>
        <v>0</v>
      </c>
    </row>
    <row r="17" spans="1:38" ht="11.25" customHeight="1" x14ac:dyDescent="0.2">
      <c r="A17" s="13">
        <v>16</v>
      </c>
      <c r="B17" s="13"/>
      <c r="C17" s="13" t="s">
        <v>55</v>
      </c>
      <c r="D17" s="13" t="s">
        <v>24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7" s="15">
        <f>NC[QTDE]*NC[PREÇO]</f>
        <v>442</v>
      </c>
      <c r="M1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-442</v>
      </c>
      <c r="N1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O1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1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</v>
      </c>
      <c r="Q17" s="15">
        <f>SETUP!$E$3*SUMPRODUCT(N(NC[DATA]=NC[[#This Row],[DATA]]),N(NC[ID]&lt;=NC[[#This Row],[ID]]))</f>
        <v>14.9</v>
      </c>
      <c r="R17" s="15">
        <f>TRUNC(NC[CORRETAGEM]*SETUP!$F$3,2)</f>
        <v>0.28999999999999998</v>
      </c>
      <c r="S17" s="15">
        <f>ROUND(NC[CORRETAGEM]*SETUP!$G$3,2)</f>
        <v>0.57999999999999996</v>
      </c>
      <c r="T17" s="15">
        <f>NC[VALOR LÍQUIDO DAS OPERAÇÕES]-NC[TAXA DE LIQUIDAÇÃO]-NC[EMOLUMENTOS]-NC[TAXA DE REGISTRO]-NC[CORRETAGEM]-NC[ISS]-IF(NC['[D/N']]="D",    0,    NC[OUTRAS BOVESPA])</f>
        <v>-458.35</v>
      </c>
      <c r="U17" s="15">
        <f>IF(AND(NC['[D/N']]="D",    NC[T]="CV"),    ROUND(NC[LÍQUIDO BASE]*0.01, 2),    0)</f>
        <v>0</v>
      </c>
      <c r="V17" s="15">
        <f>IF(NC[PREÇO] &gt; 0,    NC[LÍQUIDO BASE]-SUMPRODUCT(N(NC[DATA]=NC[[#This Row],[DATA]]),    NC[IRRF FONTE]),    0)</f>
        <v>-458.35</v>
      </c>
      <c r="W17" s="20">
        <f>NC[LÍQUIDO]-SUMPRODUCT(N(NC[DATA]=NC[[#This Row],[DATA]]),N(NC[ID]=(NC[[#This Row],[ID]]-1)),NC[LÍQUIDO])</f>
        <v>-458.35</v>
      </c>
      <c r="X17" s="15">
        <f>IF(NC[T] = "VC", ABS(NC[VALOR OP]) / NC[QTDE], NC[VALOR OP]/NC[QTDE])</f>
        <v>-0.26961764705882352</v>
      </c>
      <c r="Y17" s="15">
        <f>TRUNC(IF(OR(NC[T]="CV",NC[T]="VV"),     L17*SETUP!$H$3,     0),2)</f>
        <v>0</v>
      </c>
      <c r="Z1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1700</v>
      </c>
      <c r="AA1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0.26961764705882352</v>
      </c>
      <c r="AB1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17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17" s="15">
        <f>IF(NC[LUCRO TMP] &lt;&gt; 0, NC[LUCRO TMP] - SUMPRODUCT(N(NC[ATIVO]=NC[[#This Row],[ATIVO]]),N(NC['[D/N']]="N"),N(NC[ID]&lt;NC[[#This Row],[ID]]),N(NC[PAR]=NC[[#This Row],[PAR]]), NC[LUCRO TMP]), 0)</f>
        <v>0</v>
      </c>
      <c r="AE17" s="15">
        <f>IF(NC[U] = "U", SUMPRODUCT(N(NC[ID]&lt;=NC[[#This Row],[ID]]),N(NC[DATA BASE]=NC[[#This Row],[DATA BASE]]), N(NC['[D/N']] = "N"),    NC[LUCRO P/ OP]), 0)</f>
        <v>0</v>
      </c>
      <c r="AF17" s="15">
        <f>IF(NC[U] = "U",NC[LUCRO '[N']] + SUMPRODUCT(N(MONTH(NC[DATA BASE])&lt;MONTH(NC[[#This Row],[DATA BASE]]) ), NC[LUCRO '[N']]),0)</f>
        <v>0</v>
      </c>
      <c r="AG17" s="15">
        <f>IF(NC[U] = "U", SUMPRODUCT(N(NC[DATA BASE]=NC[[#This Row],[DATA BASE]]), N(NC['[D/N']] = "D"),    NC[LUCRO P/ OP]), 0)</f>
        <v>0</v>
      </c>
      <c r="AH17" s="20">
        <f>IF(NC[ TRIB. '[N']] &gt; 0,     ROUND(NC[ TRIB. '[N']]*0.15,    2),    0)</f>
        <v>0</v>
      </c>
      <c r="AI17" s="20">
        <f>IF(NC[LUCRO TRIB. DT] &gt; 0,     ROUND(NC[LUCRO TRIB. DT]*0.2,    2)  -  SUMPRODUCT(N(NC[DATA BASE]=NC[[#This Row],[DATA BASE]]),    NC[IRRF FONTE]),    0)</f>
        <v>0</v>
      </c>
      <c r="AJ17" s="19">
        <f>NC[IR '[N']] + NC[IR DEVIDO DT]</f>
        <v>0</v>
      </c>
      <c r="AK17" s="20">
        <f>IF(AND(NC[U] = "U",NC[IR DEVIDO] &gt; 0), NC[IR DEVIDO] + 8.9, 0)</f>
        <v>0</v>
      </c>
      <c r="AL17" s="19">
        <f>NC[LUCRO '[N']]  + NC[LUCRO TRIB. DT] - NC[RESGATE]</f>
        <v>0</v>
      </c>
    </row>
    <row r="18" spans="1:38" ht="11.25" customHeight="1" x14ac:dyDescent="0.2">
      <c r="A18" s="13">
        <v>17</v>
      </c>
      <c r="B18" s="13"/>
      <c r="C18" s="13" t="s">
        <v>54</v>
      </c>
      <c r="D18" s="13" t="s">
        <v>25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8" s="15">
        <f>NC[QTDE]*NC[PREÇO]</f>
        <v>119.00000000000001</v>
      </c>
      <c r="M1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119.00000000000001</v>
      </c>
      <c r="N1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O1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P1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0.08</v>
      </c>
      <c r="Q18" s="15">
        <f>SETUP!$E$3*SUMPRODUCT(N(NC[DATA]=NC[[#This Row],[DATA]]),N(NC[ID]&lt;=NC[[#This Row],[ID]]))</f>
        <v>14.9</v>
      </c>
      <c r="R18" s="15">
        <f>TRUNC(NC[CORRETAGEM]*SETUP!$F$3,2)</f>
        <v>0.28999999999999998</v>
      </c>
      <c r="S18" s="15">
        <f>ROUND(NC[CORRETAGEM]*SETUP!$G$3,2)</f>
        <v>0.57999999999999996</v>
      </c>
      <c r="T18" s="15">
        <f>NC[VALOR LÍQUIDO DAS OPERAÇÕES]-NC[TAXA DE LIQUIDAÇÃO]-NC[EMOLUMENTOS]-NC[TAXA DE REGISTRO]-NC[CORRETAGEM]-NC[ISS]-IF(NC['[D/N']]="D",    0,    NC[OUTRAS BOVESPA])</f>
        <v>103.08</v>
      </c>
      <c r="U18" s="15">
        <f>IF(AND(NC['[D/N']]="D",    NC[T]="CV"),    ROUND(NC[LÍQUIDO BASE]*0.01, 2),    0)</f>
        <v>0</v>
      </c>
      <c r="V18" s="15">
        <f>IF(NC[PREÇO] &gt; 0,    NC[LÍQUIDO BASE]-SUMPRODUCT(N(NC[DATA]=NC[[#This Row],[DATA]]),    NC[IRRF FONTE]),    0)</f>
        <v>103.08</v>
      </c>
      <c r="W18" s="20">
        <f>NC[LÍQUIDO]-SUMPRODUCT(N(NC[DATA]=NC[[#This Row],[DATA]]),N(NC[ID]=(NC[[#This Row],[ID]]-1)),NC[LÍQUIDO])</f>
        <v>103.08</v>
      </c>
      <c r="X18" s="15">
        <f>IF(NC[T] = "VC", ABS(NC[VALOR OP]) / NC[QTDE], NC[VALOR OP]/NC[QTDE])</f>
        <v>0.14725714285714286</v>
      </c>
      <c r="Y18" s="15">
        <f>TRUNC(IF(OR(NC[T]="CV",NC[T]="VV"),     L18*SETUP!$H$3,     0),2)</f>
        <v>0</v>
      </c>
      <c r="Z1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0.62331428571428571</v>
      </c>
      <c r="AB1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0.14725714285714286</v>
      </c>
      <c r="AC18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-333.24</v>
      </c>
      <c r="AD18" s="15">
        <f>IF(NC[LUCRO TMP] &lt;&gt; 0, NC[LUCRO TMP] - SUMPRODUCT(N(NC[ATIVO]=NC[[#This Row],[ATIVO]]),N(NC['[D/N']]="N"),N(NC[ID]&lt;NC[[#This Row],[ID]]),N(NC[PAR]=NC[[#This Row],[PAR]]), NC[LUCRO TMP]), 0)</f>
        <v>-333.24</v>
      </c>
      <c r="AE18" s="15">
        <f>IF(NC[U] = "U", SUMPRODUCT(N(NC[ID]&lt;=NC[[#This Row],[ID]]),N(NC[DATA BASE]=NC[[#This Row],[DATA BASE]]), N(NC['[D/N']] = "N"),    NC[LUCRO P/ OP]), 0)</f>
        <v>0</v>
      </c>
      <c r="AF18" s="15">
        <f>IF(NC[U] = "U",NC[LUCRO '[N']] + SUMPRODUCT(N(MONTH(NC[DATA BASE])&lt;MONTH(NC[[#This Row],[DATA BASE]]) ), NC[LUCRO '[N']]),0)</f>
        <v>0</v>
      </c>
      <c r="AG18" s="15">
        <f>IF(NC[U] = "U", SUMPRODUCT(N(NC[DATA BASE]=NC[[#This Row],[DATA BASE]]), N(NC['[D/N']] = "D"),    NC[LUCRO P/ OP]), 0)</f>
        <v>0</v>
      </c>
      <c r="AH18" s="20">
        <f>IF(NC[ TRIB. '[N']] &gt; 0,     ROUND(NC[ TRIB. '[N']]*0.15,    2),    0)</f>
        <v>0</v>
      </c>
      <c r="AI18" s="20">
        <f>IF(NC[LUCRO TRIB. DT] &gt; 0,     ROUND(NC[LUCRO TRIB. DT]*0.2,    2)  -  SUMPRODUCT(N(NC[DATA BASE]=NC[[#This Row],[DATA BASE]]),    NC[IRRF FONTE]),    0)</f>
        <v>0</v>
      </c>
      <c r="AJ18" s="19">
        <f>NC[IR '[N']] + NC[IR DEVIDO DT]</f>
        <v>0</v>
      </c>
      <c r="AK18" s="20">
        <f>IF(AND(NC[U] = "U",NC[IR DEVIDO] &gt; 0), NC[IR DEVIDO] + 8.9, 0)</f>
        <v>0</v>
      </c>
      <c r="AL18" s="19">
        <f>NC[LUCRO '[N']]  + NC[LUCRO TRIB. DT] - NC[RESGATE]</f>
        <v>0</v>
      </c>
    </row>
    <row r="19" spans="1:38" ht="11.25" customHeight="1" x14ac:dyDescent="0.2">
      <c r="A19" s="13">
        <v>18</v>
      </c>
      <c r="B19" s="13"/>
      <c r="C19" s="13" t="s">
        <v>55</v>
      </c>
      <c r="D19" s="13" t="s">
        <v>25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9" s="15">
        <f>NC[QTDE]*NC[PREÇO]</f>
        <v>136</v>
      </c>
      <c r="M1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N1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O1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P1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Q19" s="15">
        <f>SETUP!$E$3*SUMPRODUCT(N(NC[DATA]=NC[[#This Row],[DATA]]),N(NC[ID]&lt;=NC[[#This Row],[ID]]))</f>
        <v>14.9</v>
      </c>
      <c r="R19" s="15">
        <f>TRUNC(NC[CORRETAGEM]*SETUP!$F$3,2)</f>
        <v>0.28999999999999998</v>
      </c>
      <c r="S19" s="15">
        <f>ROUND(NC[CORRETAGEM]*SETUP!$G$3,2)</f>
        <v>0.57999999999999996</v>
      </c>
      <c r="T19" s="15">
        <f>NC[VALOR LÍQUIDO DAS OPERAÇÕES]-NC[TAXA DE LIQUIDAÇÃO]-NC[EMOLUMENTOS]-NC[TAXA DE REGISTRO]-NC[CORRETAGEM]-NC[ISS]-IF(NC['[D/N']]="D",    0,    NC[OUTRAS BOVESPA])</f>
        <v>120.05999999999997</v>
      </c>
      <c r="U19" s="15">
        <f>IF(AND(NC['[D/N']]="D",    NC[T]="CV"),    ROUND(NC[LÍQUIDO BASE]*0.01, 2),    0)</f>
        <v>0</v>
      </c>
      <c r="V19" s="15">
        <f>IF(NC[PREÇO] &gt; 0,    NC[LÍQUIDO BASE]-SUMPRODUCT(N(NC[DATA]=NC[[#This Row],[DATA]]),    NC[IRRF FONTE]),    0)</f>
        <v>120.05999999999997</v>
      </c>
      <c r="W19" s="20">
        <f>NC[LÍQUIDO]-SUMPRODUCT(N(NC[DATA]=NC[[#This Row],[DATA]]),N(NC[ID]=(NC[[#This Row],[ID]]-1)),NC[LÍQUIDO])</f>
        <v>120.05999999999997</v>
      </c>
      <c r="X19" s="15">
        <f>IF(NC[T] = "VC", ABS(NC[VALOR OP]) / NC[QTDE], NC[VALOR OP]/NC[QTDE])</f>
        <v>7.0623529411764696E-2</v>
      </c>
      <c r="Y19" s="15">
        <f>TRUNC(IF(OR(NC[T]="CV",NC[T]="VV"),     L19*SETUP!$H$3,     0),2)</f>
        <v>0</v>
      </c>
      <c r="Z1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0.26961764705882352</v>
      </c>
      <c r="AB1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7.0623529411764696E-2</v>
      </c>
      <c r="AC19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-338.29</v>
      </c>
      <c r="AD19" s="15">
        <f>IF(NC[LUCRO TMP] &lt;&gt; 0, NC[LUCRO TMP] - SUMPRODUCT(N(NC[ATIVO]=NC[[#This Row],[ATIVO]]),N(NC['[D/N']]="N"),N(NC[ID]&lt;NC[[#This Row],[ID]]),N(NC[PAR]=NC[[#This Row],[PAR]]), NC[LUCRO TMP]), 0)</f>
        <v>-338.29</v>
      </c>
      <c r="AE19" s="15">
        <f>IF(NC[U] = "U", SUMPRODUCT(N(NC[ID]&lt;=NC[[#This Row],[ID]]),N(NC[DATA BASE]=NC[[#This Row],[DATA BASE]]), N(NC['[D/N']] = "N"),    NC[LUCRO P/ OP]), 0)</f>
        <v>0</v>
      </c>
      <c r="AF19" s="15">
        <f>IF(NC[U] = "U",NC[LUCRO '[N']] + SUMPRODUCT(N(MONTH(NC[DATA BASE])&lt;MONTH(NC[[#This Row],[DATA BASE]]) ), NC[LUCRO '[N']]),0)</f>
        <v>0</v>
      </c>
      <c r="AG19" s="15">
        <f>IF(NC[U] = "U", SUMPRODUCT(N(NC[DATA BASE]=NC[[#This Row],[DATA BASE]]), N(NC['[D/N']] = "D"),    NC[LUCRO P/ OP]), 0)</f>
        <v>0</v>
      </c>
      <c r="AH19" s="20">
        <f>IF(NC[ TRIB. '[N']] &gt; 0,     ROUND(NC[ TRIB. '[N']]*0.15,    2),    0)</f>
        <v>0</v>
      </c>
      <c r="AI19" s="20">
        <f>IF(NC[LUCRO TRIB. DT] &gt; 0,     ROUND(NC[LUCRO TRIB. DT]*0.2,    2)  -  SUMPRODUCT(N(NC[DATA BASE]=NC[[#This Row],[DATA BASE]]),    NC[IRRF FONTE]),    0)</f>
        <v>0</v>
      </c>
      <c r="AJ19" s="19">
        <f>NC[IR '[N']] + NC[IR DEVIDO DT]</f>
        <v>0</v>
      </c>
      <c r="AK19" s="20">
        <f>IF(AND(NC[U] = "U",NC[IR DEVIDO] &gt; 0), NC[IR DEVIDO] + 8.9, 0)</f>
        <v>0</v>
      </c>
      <c r="AL19" s="19">
        <f>NC[LUCRO '[N']]  + NC[LUCRO TRIB. DT] - NC[RESGATE]</f>
        <v>0</v>
      </c>
    </row>
    <row r="20" spans="1:38" ht="11.25" customHeight="1" x14ac:dyDescent="0.2">
      <c r="A20" s="13">
        <v>19</v>
      </c>
      <c r="B20" s="13" t="s">
        <v>53</v>
      </c>
      <c r="C20" s="13" t="s">
        <v>56</v>
      </c>
      <c r="D20" s="13" t="s">
        <v>24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0" s="15">
        <f>NC[QTDE]*NC[PREÇO]</f>
        <v>456</v>
      </c>
      <c r="M2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-320</v>
      </c>
      <c r="N2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0.16</v>
      </c>
      <c r="O2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2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20" s="15">
        <f>SETUP!$E$3*SUMPRODUCT(N(NC[DATA]=NC[[#This Row],[DATA]]),N(NC[ID]&lt;=NC[[#This Row],[ID]]))</f>
        <v>29.8</v>
      </c>
      <c r="R20" s="15">
        <f>TRUNC(NC[CORRETAGEM]*SETUP!$F$3,2)</f>
        <v>0.59</v>
      </c>
      <c r="S20" s="15">
        <f>ROUND(NC[CORRETAGEM]*SETUP!$G$3,2)</f>
        <v>1.1599999999999999</v>
      </c>
      <c r="T20" s="15">
        <f>NC[VALOR LÍQUIDO DAS OPERAÇÕES]-NC[TAXA DE LIQUIDAÇÃO]-NC[EMOLUMENTOS]-NC[TAXA DE REGISTRO]-NC[CORRETAGEM]-NC[ISS]-IF(NC['[D/N']]="D",    0,    NC[OUTRAS BOVESPA])</f>
        <v>-352.33000000000004</v>
      </c>
      <c r="U20" s="15">
        <f>IF(AND(NC['[D/N']]="D",    NC[T]="CV"),    ROUND(NC[LÍQUIDO BASE]*0.01, 2),    0)</f>
        <v>0</v>
      </c>
      <c r="V20" s="15">
        <f>IF(NC[PREÇO] &gt; 0,    NC[LÍQUIDO BASE]-SUMPRODUCT(N(NC[DATA]=NC[[#This Row],[DATA]]),    NC[IRRF FONTE]),    0)</f>
        <v>-352.33000000000004</v>
      </c>
      <c r="W20" s="20">
        <f>NC[LÍQUIDO]-SUMPRODUCT(N(NC[DATA]=NC[[#This Row],[DATA]]),N(NC[ID]=(NC[[#This Row],[ID]]-1)),NC[LÍQUIDO])</f>
        <v>-472.39</v>
      </c>
      <c r="X20" s="15">
        <f>IF(NC[T] = "VC", ABS(NC[VALOR OP]) / NC[QTDE], NC[VALOR OP]/NC[QTDE])</f>
        <v>-0.24862631578947367</v>
      </c>
      <c r="Y20" s="15">
        <f>TRUNC(IF(OR(NC[T]="CV",NC[T]="VV"),     L20*SETUP!$H$3,     0),2)</f>
        <v>0</v>
      </c>
      <c r="Z2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1900</v>
      </c>
      <c r="AA2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0.24862631578947367</v>
      </c>
      <c r="AB2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20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0" s="15">
        <f>IF(NC[LUCRO TMP] &lt;&gt; 0, NC[LUCRO TMP] - SUMPRODUCT(N(NC[ATIVO]=NC[[#This Row],[ATIVO]]),N(NC['[D/N']]="N"),N(NC[ID]&lt;NC[[#This Row],[ID]]),N(NC[PAR]=NC[[#This Row],[PAR]]), NC[LUCRO TMP]), 0)</f>
        <v>0</v>
      </c>
      <c r="AE20" s="15">
        <f>IF(NC[U] = "U", SUMPRODUCT(N(NC[ID]&lt;=NC[[#This Row],[ID]]),N(NC[DATA BASE]=NC[[#This Row],[DATA BASE]]), N(NC['[D/N']] = "N"),    NC[LUCRO P/ OP]), 0)</f>
        <v>-656.81000000000017</v>
      </c>
      <c r="AF20" s="15">
        <f>IF(NC[U] = "U",NC[LUCRO '[N']] + SUMPRODUCT(N(MONTH(NC[DATA BASE])&lt;MONTH(NC[[#This Row],[DATA BASE]]) ), NC[LUCRO '[N']]),0)</f>
        <v>-656.81000000000017</v>
      </c>
      <c r="AG20" s="15">
        <f>IF(NC[U] = "U", SUMPRODUCT(N(NC[DATA BASE]=NC[[#This Row],[DATA BASE]]), N(NC['[D/N']] = "D"),    NC[LUCRO P/ OP]), 0)</f>
        <v>478.50999999999988</v>
      </c>
      <c r="AH20" s="20">
        <f>IF(NC[ TRIB. '[N']] &gt; 0,     ROUND(NC[ TRIB. '[N']]*0.15,    2),    0)</f>
        <v>0</v>
      </c>
      <c r="AI20" s="20">
        <f>IF(NC[LUCRO TRIB. DT] &gt; 0,     ROUND(NC[LUCRO TRIB. DT]*0.2,    2)  -  SUMPRODUCT(N(NC[DATA BASE]=NC[[#This Row],[DATA BASE]]),    NC[IRRF FONTE]),    0)</f>
        <v>90.92</v>
      </c>
      <c r="AJ20" s="19">
        <f>NC[IR '[N']] + NC[IR DEVIDO DT]</f>
        <v>90.92</v>
      </c>
      <c r="AK20" s="20">
        <f>IF(AND(NC[U] = "U",NC[IR DEVIDO] &gt; 0), NC[IR DEVIDO] + 8.9, 0)</f>
        <v>99.820000000000007</v>
      </c>
      <c r="AL20" s="19">
        <f>NC[LUCRO '[N']]  + NC[LUCRO TRIB. DT] - NC[RESGATE]</f>
        <v>-278.12000000000029</v>
      </c>
    </row>
    <row r="21" spans="1:38" x14ac:dyDescent="0.2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21" s="15">
        <f>NC[QTDE]*NC[PREÇO]</f>
        <v>456</v>
      </c>
      <c r="M2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-456</v>
      </c>
      <c r="N2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0.12</v>
      </c>
      <c r="O2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2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0.31</v>
      </c>
      <c r="Q21" s="15">
        <f>SETUP!$E$3*SUMPRODUCT(N(NC[DATA]=NC[[#This Row],[DATA]]),N(NC[ID]&lt;=NC[[#This Row],[ID]]))</f>
        <v>14.9</v>
      </c>
      <c r="R21" s="15">
        <f>TRUNC(NC[CORRETAGEM]*SETUP!$F$3,2)</f>
        <v>0.28999999999999998</v>
      </c>
      <c r="S21" s="15">
        <f>ROUND(NC[CORRETAGEM]*SETUP!$G$3,2)</f>
        <v>0.57999999999999996</v>
      </c>
      <c r="T21" s="15">
        <f>NC[VALOR LÍQUIDO DAS OPERAÇÕES]-NC[TAXA DE LIQUIDAÇÃO]-NC[EMOLUMENTOS]-NC[TAXA DE REGISTRO]-NC[CORRETAGEM]-NC[ISS]-IF(NC['[D/N']]="D",    0,    NC[OUTRAS BOVESPA])</f>
        <v>-472.36</v>
      </c>
      <c r="U21" s="15">
        <f>IF(AND(NC['[D/N']]="D",    NC[T]="CV"),    ROUND(NC[LÍQUIDO BASE]*0.01, 2),    0)</f>
        <v>0</v>
      </c>
      <c r="V21" s="15">
        <f>IF(NC[PREÇO] &gt; 0,    NC[LÍQUIDO BASE]-SUMPRODUCT(N(NC[DATA]=NC[[#This Row],[DATA]]),    NC[IRRF FONTE]),    0)</f>
        <v>-472.36</v>
      </c>
      <c r="W21" s="20">
        <f>NC[LÍQUIDO]-SUMPRODUCT(N(NC[DATA]=NC[[#This Row],[DATA]]),N(NC[ID]=(NC[[#This Row],[ID]]-1)),NC[LÍQUIDO])</f>
        <v>-472.36</v>
      </c>
      <c r="X21" s="15">
        <f>IF(NC[T] = "VC", ABS(NC[VALOR OP]) / NC[QTDE], NC[VALOR OP]/NC[QTDE])</f>
        <v>-0.39363333333333334</v>
      </c>
      <c r="Y21" s="15">
        <f>TRUNC(IF(OR(NC[T]="CV",NC[T]="VV"),     L21*SETUP!$H$3,     0),2)</f>
        <v>0</v>
      </c>
      <c r="Z2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1300</v>
      </c>
      <c r="AA2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0.42943076923076923</v>
      </c>
      <c r="AB2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21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1" s="15">
        <f>IF(NC[LUCRO TMP] &lt;&gt; 0, NC[LUCRO TMP] - SUMPRODUCT(N(NC[ATIVO]=NC[[#This Row],[ATIVO]]),N(NC['[D/N']]="N"),N(NC[ID]&lt;NC[[#This Row],[ID]]),N(NC[PAR]=NC[[#This Row],[PAR]]), NC[LUCRO TMP]), 0)</f>
        <v>0</v>
      </c>
      <c r="AE21" s="15">
        <f>IF(NC[U] = "U", SUMPRODUCT(N(NC[ID]&lt;=NC[[#This Row],[ID]]),N(NC[DATA BASE]=NC[[#This Row],[DATA BASE]]), N(NC['[D/N']] = "N"),    NC[LUCRO P/ OP]), 0)</f>
        <v>0</v>
      </c>
      <c r="AF21" s="15">
        <f>IF(NC[U] = "U",NC[LUCRO '[N']] + SUMPRODUCT(N(MONTH(NC[DATA BASE])&lt;MONTH(NC[[#This Row],[DATA BASE]]) ), NC[LUCRO '[N']]),0)</f>
        <v>0</v>
      </c>
      <c r="AG21" s="15">
        <f>IF(NC[U] = "U", SUMPRODUCT(N(NC[DATA BASE]=NC[[#This Row],[DATA BASE]]), N(NC['[D/N']] = "D"),    NC[LUCRO P/ OP]), 0)</f>
        <v>0</v>
      </c>
      <c r="AH21" s="20">
        <f>IF(NC[ TRIB. '[N']] &gt; 0,     ROUND(NC[ TRIB. '[N']]*0.15,    2),    0)</f>
        <v>0</v>
      </c>
      <c r="AI21" s="20">
        <f>IF(NC[LUCRO TRIB. DT] &gt; 0,     ROUND(NC[LUCRO TRIB. DT]*0.2,    2)  -  SUMPRODUCT(N(NC[DATA BASE]=NC[[#This Row],[DATA BASE]]),    NC[IRRF FONTE]),    0)</f>
        <v>0</v>
      </c>
      <c r="AJ21" s="19">
        <f>NC[IR '[N']] + NC[IR DEVIDO DT]</f>
        <v>0</v>
      </c>
      <c r="AK21" s="20">
        <f>IF(AND(NC[U] = "U",NC[IR DEVIDO] &gt; 0), NC[IR DEVIDO] + 8.9, 0)</f>
        <v>0</v>
      </c>
      <c r="AL21" s="20">
        <f>NC[LUCRO '[N']]  + NC[LUCRO TRIB. DT] - NC[RESGATE]</f>
        <v>0</v>
      </c>
    </row>
    <row r="22" spans="1:38" ht="11.25" customHeight="1" x14ac:dyDescent="0.2">
      <c r="A22" s="13">
        <v>21</v>
      </c>
      <c r="B22" s="13"/>
      <c r="C22" s="13" t="s">
        <v>55</v>
      </c>
      <c r="D22" s="13" t="s">
        <v>24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L22" s="15">
        <f>NC[QTDE]*NC[PREÇO]</f>
        <v>480</v>
      </c>
      <c r="M2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-480</v>
      </c>
      <c r="N2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0.13</v>
      </c>
      <c r="O2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0.17</v>
      </c>
      <c r="P2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22" s="15">
        <f>SETUP!$E$3*SUMPRODUCT(N(NC[DATA]=NC[[#This Row],[DATA]]),N(NC[ID]&lt;=NC[[#This Row],[ID]]))</f>
        <v>14.9</v>
      </c>
      <c r="R22" s="15">
        <f>TRUNC(NC[CORRETAGEM]*SETUP!$F$3,2)</f>
        <v>0.28999999999999998</v>
      </c>
      <c r="S22" s="15">
        <f>ROUND(NC[CORRETAGEM]*SETUP!$G$3,2)</f>
        <v>0.57999999999999996</v>
      </c>
      <c r="T22" s="15">
        <f>NC[VALOR LÍQUIDO DAS OPERAÇÕES]-NC[TAXA DE LIQUIDAÇÃO]-NC[EMOLUMENTOS]-NC[TAXA DE REGISTRO]-NC[CORRETAGEM]-NC[ISS]-IF(NC['[D/N']]="D",    0,    NC[OUTRAS BOVESPA])</f>
        <v>-496.4</v>
      </c>
      <c r="U22" s="15">
        <f>IF(AND(NC['[D/N']]="D",    NC[T]="CV"),    ROUND(NC[LÍQUIDO BASE]*0.01, 2),    0)</f>
        <v>0</v>
      </c>
      <c r="V22" s="15">
        <f>IF(NC[PREÇO] &gt; 0,    NC[LÍQUIDO BASE]-SUMPRODUCT(N(NC[DATA]=NC[[#This Row],[DATA]]),    NC[IRRF FONTE]),    0)</f>
        <v>-496.4</v>
      </c>
      <c r="W22" s="20">
        <f>NC[LÍQUIDO]-SUMPRODUCT(N(NC[DATA]=NC[[#This Row],[DATA]]),N(NC[ID]=(NC[[#This Row],[ID]]-1)),NC[LÍQUIDO])</f>
        <v>-496.4</v>
      </c>
      <c r="X22" s="15">
        <f>IF(NC[T] = "VC", ABS(NC[VALOR OP]) / NC[QTDE], NC[VALOR OP]/NC[QTDE])</f>
        <v>-0.16546666666666665</v>
      </c>
      <c r="Y22" s="15">
        <f>TRUNC(IF(OR(NC[T]="CV",NC[T]="VV"),     L22*SETUP!$H$3,     0),2)</f>
        <v>0</v>
      </c>
      <c r="Z2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3000</v>
      </c>
      <c r="AA2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0.16546666666666665</v>
      </c>
      <c r="AB2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22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2" s="15">
        <f>IF(NC[LUCRO TMP] &lt;&gt; 0, NC[LUCRO TMP] - SUMPRODUCT(N(NC[ATIVO]=NC[[#This Row],[ATIVO]]),N(NC['[D/N']]="N"),N(NC[ID]&lt;NC[[#This Row],[ID]]),N(NC[PAR]=NC[[#This Row],[PAR]]), NC[LUCRO TMP]), 0)</f>
        <v>0</v>
      </c>
      <c r="AE22" s="15">
        <f>IF(NC[U] = "U", SUMPRODUCT(N(NC[ID]&lt;=NC[[#This Row],[ID]]),N(NC[DATA BASE]=NC[[#This Row],[DATA BASE]]), N(NC['[D/N']] = "N"),    NC[LUCRO P/ OP]), 0)</f>
        <v>0</v>
      </c>
      <c r="AF22" s="15">
        <f>IF(NC[U] = "U",NC[LUCRO '[N']] + SUMPRODUCT(N(MONTH(NC[DATA BASE])&lt;MONTH(NC[[#This Row],[DATA BASE]]) ), NC[LUCRO '[N']]),0)</f>
        <v>0</v>
      </c>
      <c r="AG22" s="15">
        <f>IF(NC[U] = "U", SUMPRODUCT(N(NC[DATA BASE]=NC[[#This Row],[DATA BASE]]), N(NC['[D/N']] = "D"),    NC[LUCRO P/ OP]), 0)</f>
        <v>0</v>
      </c>
      <c r="AH22" s="20">
        <f>IF(NC[ TRIB. '[N']] &gt; 0,     ROUND(NC[ TRIB. '[N']]*0.15,    2),    0)</f>
        <v>0</v>
      </c>
      <c r="AI22" s="20">
        <f>IF(NC[LUCRO TRIB. DT] &gt; 0,     ROUND(NC[LUCRO TRIB. DT]*0.2,    2)  -  SUMPRODUCT(N(NC[DATA BASE]=NC[[#This Row],[DATA BASE]]),    NC[IRRF FONTE]),    0)</f>
        <v>0</v>
      </c>
      <c r="AJ22" s="19">
        <f>NC[IR '[N']] + NC[IR DEVIDO DT]</f>
        <v>0</v>
      </c>
      <c r="AK22" s="20">
        <f>IF(AND(NC[U] = "U",NC[IR DEVIDO] &gt; 0), NC[IR DEVIDO] + 8.9, 0)</f>
        <v>0</v>
      </c>
      <c r="AL22" s="20">
        <f>NC[LUCRO '[N']]  + NC[LUCRO TRIB. DT] - NC[RESGATE]</f>
        <v>0</v>
      </c>
    </row>
    <row r="23" spans="1:38" ht="11.25" customHeight="1" x14ac:dyDescent="0.2">
      <c r="A23" s="13">
        <v>22</v>
      </c>
      <c r="B23" s="13"/>
      <c r="C23" s="13" t="s">
        <v>56</v>
      </c>
      <c r="D23" s="13" t="s">
        <v>25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3" s="15">
        <f>NC[QTDE]*NC[PREÇO]</f>
        <v>171</v>
      </c>
      <c r="M2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171</v>
      </c>
      <c r="N2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0.04</v>
      </c>
      <c r="O2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3" s="15">
        <f>SETUP!$E$3*SUMPRODUCT(N(NC[DATA]=NC[[#This Row],[DATA]]),N(NC[ID]&lt;=NC[[#This Row],[ID]]))</f>
        <v>14.9</v>
      </c>
      <c r="R23" s="15">
        <f>TRUNC(NC[CORRETAGEM]*SETUP!$F$3,2)</f>
        <v>0.28999999999999998</v>
      </c>
      <c r="S23" s="15">
        <f>ROUND(NC[CORRETAGEM]*SETUP!$G$3,2)</f>
        <v>0.57999999999999996</v>
      </c>
      <c r="T23" s="15">
        <f>NC[VALOR LÍQUIDO DAS OPERAÇÕES]-NC[TAXA DE LIQUIDAÇÃO]-NC[EMOLUMENTOS]-NC[TAXA DE REGISTRO]-NC[CORRETAGEM]-NC[ISS]-IF(NC['[D/N']]="D",    0,    NC[OUTRAS BOVESPA])</f>
        <v>155.01999999999998</v>
      </c>
      <c r="U23" s="15">
        <f>IF(AND(NC['[D/N']]="D",    NC[T]="CV"),    ROUND(NC[LÍQUIDO BASE]*0.01, 2),    0)</f>
        <v>0</v>
      </c>
      <c r="V23" s="15">
        <f>IF(NC[PREÇO] &gt; 0,    NC[LÍQUIDO BASE]-SUMPRODUCT(N(NC[DATA]=NC[[#This Row],[DATA]]),    NC[IRRF FONTE]),    0)</f>
        <v>155.01999999999998</v>
      </c>
      <c r="W23" s="20">
        <f>NC[LÍQUIDO]-SUMPRODUCT(N(NC[DATA]=NC[[#This Row],[DATA]]),N(NC[ID]=(NC[[#This Row],[ID]]-1)),NC[LÍQUIDO])</f>
        <v>155.01999999999998</v>
      </c>
      <c r="X23" s="15">
        <f>IF(NC[T] = "VC", ABS(NC[VALOR OP]) / NC[QTDE], NC[VALOR OP]/NC[QTDE])</f>
        <v>8.1589473684210517E-2</v>
      </c>
      <c r="Y23" s="15">
        <f>TRUNC(IF(OR(NC[T]="CV",NC[T]="VV"),     L23*SETUP!$H$3,     0),2)</f>
        <v>0</v>
      </c>
      <c r="Z2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0.24862631578947367</v>
      </c>
      <c r="AB2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8.1589473684210517E-2</v>
      </c>
      <c r="AC23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-317.37</v>
      </c>
      <c r="AD23" s="15">
        <f>IF(NC[LUCRO TMP] &lt;&gt; 0, NC[LUCRO TMP] - SUMPRODUCT(N(NC[ATIVO]=NC[[#This Row],[ATIVO]]),N(NC['[D/N']]="N"),N(NC[ID]&lt;NC[[#This Row],[ID]]),N(NC[PAR]=NC[[#This Row],[PAR]]), NC[LUCRO TMP]), 0)</f>
        <v>-317.37</v>
      </c>
      <c r="AE23" s="15">
        <f>IF(NC[U] = "U", SUMPRODUCT(N(NC[ID]&lt;=NC[[#This Row],[ID]]),N(NC[DATA BASE]=NC[[#This Row],[DATA BASE]]), N(NC['[D/N']] = "N"),    NC[LUCRO P/ OP]), 0)</f>
        <v>0</v>
      </c>
      <c r="AF23" s="15">
        <f>IF(NC[U] = "U",NC[LUCRO '[N']] + SUMPRODUCT(N(MONTH(NC[DATA BASE])&lt;MONTH(NC[[#This Row],[DATA BASE]]) ), NC[LUCRO '[N']]),0)</f>
        <v>0</v>
      </c>
      <c r="AG23" s="15">
        <f>IF(NC[U] = "U", SUMPRODUCT(N(NC[DATA BASE]=NC[[#This Row],[DATA BASE]]), N(NC['[D/N']] = "D"),    NC[LUCRO P/ OP]), 0)</f>
        <v>0</v>
      </c>
      <c r="AH23" s="20">
        <f>IF(NC[ TRIB. '[N']] &gt; 0,     ROUND(NC[ TRIB. '[N']]*0.15,    2),    0)</f>
        <v>0</v>
      </c>
      <c r="AI23" s="20">
        <f>IF(NC[LUCRO TRIB. DT] &gt; 0,     ROUND(NC[LUCRO TRIB. DT]*0.2,    2)  -  SUMPRODUCT(N(NC[DATA BASE]=NC[[#This Row],[DATA BASE]]),    NC[IRRF FONTE]),    0)</f>
        <v>0</v>
      </c>
      <c r="AJ23" s="19">
        <f>NC[IR '[N']] + NC[IR DEVIDO DT]</f>
        <v>0</v>
      </c>
      <c r="AK23" s="20">
        <f>IF(AND(NC[U] = "U",NC[IR DEVIDO] &gt; 0), NC[IR DEVIDO] + 8.9, 0)</f>
        <v>0</v>
      </c>
      <c r="AL23" s="20">
        <f>NC[LUCRO '[N']]  + NC[LUCRO TRIB. DT] - NC[RESGATE]</f>
        <v>0</v>
      </c>
    </row>
    <row r="24" spans="1:38" x14ac:dyDescent="0.2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24" s="15">
        <f>NC[QTDE]*NC[PREÇO]</f>
        <v>65</v>
      </c>
      <c r="M2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65</v>
      </c>
      <c r="N2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0.01</v>
      </c>
      <c r="O2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2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24" s="15">
        <f>SETUP!$E$3*SUMPRODUCT(N(NC[DATA]=NC[[#This Row],[DATA]]),N(NC[ID]&lt;=NC[[#This Row],[ID]]))</f>
        <v>14.9</v>
      </c>
      <c r="R24" s="15">
        <f>TRUNC(NC[CORRETAGEM]*SETUP!$F$3,2)</f>
        <v>0.28999999999999998</v>
      </c>
      <c r="S24" s="15">
        <f>ROUND(NC[CORRETAGEM]*SETUP!$G$3,2)</f>
        <v>0.57999999999999996</v>
      </c>
      <c r="T24" s="15">
        <f>NC[VALOR LÍQUIDO DAS OPERAÇÕES]-NC[TAXA DE LIQUIDAÇÃO]-NC[EMOLUMENTOS]-NC[TAXA DE REGISTRO]-NC[CORRETAGEM]-NC[ISS]-IF(NC['[D/N']]="D",    0,    NC[OUTRAS BOVESPA])</f>
        <v>49.16</v>
      </c>
      <c r="U24" s="15">
        <f>IF(AND(NC['[D/N']]="D",    NC[T]="CV"),    ROUND(NC[LÍQUIDO BASE]*0.01, 2),    0)</f>
        <v>0</v>
      </c>
      <c r="V24" s="15">
        <f>IF(NC[PREÇO] &gt; 0,    NC[LÍQUIDO BASE]-SUMPRODUCT(N(NC[DATA]=NC[[#This Row],[DATA]]),    NC[IRRF FONTE]),    0)</f>
        <v>49.16</v>
      </c>
      <c r="W24" s="20">
        <f>NC[LÍQUIDO]-SUMPRODUCT(N(NC[DATA]=NC[[#This Row],[DATA]]),N(NC[ID]=(NC[[#This Row],[ID]]-1)),NC[LÍQUIDO])</f>
        <v>49.16</v>
      </c>
      <c r="X24" s="15">
        <f>IF(NC[T] = "VC", ABS(NC[VALOR OP]) / NC[QTDE], NC[VALOR OP]/NC[QTDE])</f>
        <v>3.7815384615384612E-2</v>
      </c>
      <c r="Y24" s="15">
        <f>TRUNC(IF(OR(NC[T]="CV",NC[T]="VV"),     L24*SETUP!$H$3,     0),2)</f>
        <v>0</v>
      </c>
      <c r="Z2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0.42943076923076923</v>
      </c>
      <c r="AB2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3.7815384615384612E-2</v>
      </c>
      <c r="AC24" s="1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-509.09999999999997</v>
      </c>
      <c r="AD24" s="15">
        <f>IF(NC[LUCRO TMP] &lt;&gt; 0, NC[LUCRO TMP] - SUMPRODUCT(N(NC[ATIVO]=NC[[#This Row],[ATIVO]]),N(NC['[D/N']]="N"),N(NC[ID]&lt;NC[[#This Row],[ID]]),N(NC[PAR]=NC[[#This Row],[PAR]]), NC[LUCRO TMP]), 0)</f>
        <v>-511.19</v>
      </c>
      <c r="AE24" s="15">
        <f>IF(NC[U] = "U", SUMPRODUCT(N(NC[ID]&lt;=NC[[#This Row],[ID]]),N(NC[DATA BASE]=NC[[#This Row],[DATA BASE]]), N(NC['[D/N']] = "N"),    NC[LUCRO P/ OP]), 0)</f>
        <v>0</v>
      </c>
      <c r="AF24" s="15">
        <f>IF(NC[U] = "U",NC[LUCRO '[N']] + SUMPRODUCT(N(MONTH(NC[DATA BASE])&lt;MONTH(NC[[#This Row],[DATA BASE]]) ), NC[LUCRO '[N']]),0)</f>
        <v>0</v>
      </c>
      <c r="AG24" s="15">
        <f>IF(NC[U] = "U", SUMPRODUCT(N(NC[DATA BASE]=NC[[#This Row],[DATA BASE]]), N(NC['[D/N']] = "D"),    NC[LUCRO P/ OP]), 0)</f>
        <v>0</v>
      </c>
      <c r="AH24" s="20">
        <f>IF(NC[ TRIB. '[N']] &gt; 0,     ROUND(NC[ TRIB. '[N']]*0.15,    2),    0)</f>
        <v>0</v>
      </c>
      <c r="AI24" s="20">
        <f>IF(NC[LUCRO TRIB. DT] &gt; 0,     ROUND(NC[LUCRO TRIB. DT]*0.2,    2)  -  SUMPRODUCT(N(NC[DATA BASE]=NC[[#This Row],[DATA BASE]]),    NC[IRRF FONTE]),    0)</f>
        <v>0</v>
      </c>
      <c r="AJ24" s="19">
        <f>NC[IR '[N']] + NC[IR DEVIDO DT]</f>
        <v>0</v>
      </c>
      <c r="AK24" s="20">
        <f>IF(AND(NC[U] = "U",NC[IR DEVIDO] &gt; 0), NC[IR DEVIDO] + 8.9, 0)</f>
        <v>0</v>
      </c>
      <c r="AL24" s="20">
        <f>NC[LUCRO '[N']]  + NC[LUCRO TRIB. DT] - NC[RESGATE]</f>
        <v>0</v>
      </c>
    </row>
    <row r="25" spans="1:38" ht="11.25" customHeight="1" x14ac:dyDescent="0.2">
      <c r="A25" s="13">
        <v>24</v>
      </c>
      <c r="B25" s="13"/>
      <c r="C25" s="13" t="s">
        <v>60</v>
      </c>
      <c r="D25" s="13" t="s">
        <v>24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5" s="15">
        <f>NC[QTDE]*NC[PREÇO]</f>
        <v>400</v>
      </c>
      <c r="M2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-400</v>
      </c>
      <c r="N25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O2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P2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Q25" s="15">
        <f>SETUP!$E$3*SUMPRODUCT(N(NC[DATA]=NC[[#This Row],[DATA]]),N(NC[ID]&lt;=NC[[#This Row],[ID]]))</f>
        <v>14.9</v>
      </c>
      <c r="R25" s="15">
        <f>TRUNC(NC[CORRETAGEM]*SETUP!$F$3,2)</f>
        <v>0.28999999999999998</v>
      </c>
      <c r="S25" s="15">
        <f>ROUND(NC[CORRETAGEM]*SETUP!$G$3,2)</f>
        <v>0.57999999999999996</v>
      </c>
      <c r="T25" s="15">
        <f>NC[VALOR LÍQUIDO DAS OPERAÇÕES]-NC[TAXA DE LIQUIDAÇÃO]-NC[EMOLUMENTOS]-NC[TAXA DE REGISTRO]-NC[CORRETAGEM]-NC[ISS]-IF(NC['[D/N']]="D",    0,    NC[OUTRAS BOVESPA])</f>
        <v>-416.28999999999996</v>
      </c>
      <c r="U25" s="15">
        <f>IF(AND(NC['[D/N']]="D",    NC[T]="CV"),    ROUND(NC[LÍQUIDO BASE]*0.01, 2),    0)</f>
        <v>0</v>
      </c>
      <c r="V25" s="15">
        <f>IF(NC[PREÇO] &gt; 0,    NC[LÍQUIDO BASE]-SUMPRODUCT(N(NC[DATA]=NC[[#This Row],[DATA]]),    NC[IRRF FONTE]),    0)</f>
        <v>-416.28999999999996</v>
      </c>
      <c r="W25" s="20">
        <f>NC[LÍQUIDO]-SUMPRODUCT(N(NC[DATA]=NC[[#This Row],[DATA]]),N(NC[ID]=(NC[[#This Row],[ID]]-1)),NC[LÍQUIDO])</f>
        <v>-416.28999999999996</v>
      </c>
      <c r="X25" s="15">
        <f>IF(NC[T] = "VC", ABS(NC[VALOR OP]) / NC[QTDE], NC[VALOR OP]/NC[QTDE])</f>
        <v>-0.52036249999999995</v>
      </c>
      <c r="Y25" s="15">
        <f>TRUNC(IF(OR(NC[T]="CV",NC[T]="VV"),     L25*SETUP!$H$3,     0),2)</f>
        <v>0</v>
      </c>
      <c r="Z2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25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0.52036249999999995</v>
      </c>
      <c r="AB25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25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5" s="15">
        <f>IF(NC[LUCRO TMP] &lt;&gt; 0, NC[LUCRO TMP] - SUMPRODUCT(N(NC[ATIVO]=NC[[#This Row],[ATIVO]]),N(NC['[D/N']]="N"),N(NC[ID]&lt;NC[[#This Row],[ID]]),N(NC[PAR]=NC[[#This Row],[PAR]]), NC[LUCRO TMP]), 0)</f>
        <v>0</v>
      </c>
      <c r="AE25" s="15">
        <f>IF(NC[U] = "U", SUMPRODUCT(N(NC[ID]&lt;=NC[[#This Row],[ID]]),N(NC[DATA BASE]=NC[[#This Row],[DATA BASE]]), N(NC['[D/N']] = "N"),    NC[LUCRO P/ OP]), 0)</f>
        <v>0</v>
      </c>
      <c r="AF25" s="15">
        <f>IF(NC[U] = "U",NC[LUCRO '[N']] + SUMPRODUCT(N(MONTH(NC[DATA BASE])&lt;MONTH(NC[[#This Row],[DATA BASE]]) ), NC[LUCRO '[N']]),0)</f>
        <v>0</v>
      </c>
      <c r="AG25" s="15">
        <f>IF(NC[U] = "U", SUMPRODUCT(N(NC[DATA BASE]=NC[[#This Row],[DATA BASE]]), N(NC['[D/N']] = "D"),    NC[LUCRO P/ OP]), 0)</f>
        <v>0</v>
      </c>
      <c r="AH25" s="20">
        <f>IF(NC[ TRIB. '[N']] &gt; 0,     ROUND(NC[ TRIB. '[N']]*0.15,    2),    0)</f>
        <v>0</v>
      </c>
      <c r="AI25" s="20">
        <f>IF(NC[LUCRO TRIB. DT] &gt; 0,     ROUND(NC[LUCRO TRIB. DT]*0.2,    2)  -  SUMPRODUCT(N(NC[DATA BASE]=NC[[#This Row],[DATA BASE]]),    NC[IRRF FONTE]),    0)</f>
        <v>0</v>
      </c>
      <c r="AJ25" s="19">
        <f>NC[IR '[N']] + NC[IR DEVIDO DT]</f>
        <v>0</v>
      </c>
      <c r="AK25" s="20">
        <f>IF(AND(NC[U] = "U",NC[IR DEVIDO] &gt; 0), NC[IR DEVIDO] + 8.9, 0)</f>
        <v>0</v>
      </c>
      <c r="AL25" s="20">
        <f>NC[LUCRO '[N']]  + NC[LUCRO TRIB. DT] - NC[RESGATE]</f>
        <v>0</v>
      </c>
    </row>
    <row r="26" spans="1:38" ht="11.25" customHeight="1" x14ac:dyDescent="0.2">
      <c r="A26" s="13">
        <v>25</v>
      </c>
      <c r="B26" s="13"/>
      <c r="C26" s="13" t="s">
        <v>60</v>
      </c>
      <c r="D26" s="13" t="s">
        <v>25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6" s="15">
        <f>NC[QTDE]*NC[PREÇO]</f>
        <v>800</v>
      </c>
      <c r="M2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800</v>
      </c>
      <c r="N26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0.22</v>
      </c>
      <c r="O2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0.28999999999999998</v>
      </c>
      <c r="P2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0.55000000000000004</v>
      </c>
      <c r="Q26" s="15">
        <f>SETUP!$E$3*SUMPRODUCT(N(NC[DATA]=NC[[#This Row],[DATA]]),N(NC[ID]&lt;=NC[[#This Row],[ID]]))</f>
        <v>14.9</v>
      </c>
      <c r="R26" s="15">
        <f>TRUNC(NC[CORRETAGEM]*SETUP!$F$3,2)</f>
        <v>0.28999999999999998</v>
      </c>
      <c r="S26" s="15">
        <f>ROUND(NC[CORRETAGEM]*SETUP!$G$3,2)</f>
        <v>0.57999999999999996</v>
      </c>
      <c r="T26" s="15">
        <f>NC[VALOR LÍQUIDO DAS OPERAÇÕES]-NC[TAXA DE LIQUIDAÇÃO]-NC[EMOLUMENTOS]-NC[TAXA DE REGISTRO]-NC[CORRETAGEM]-NC[ISS]-IF(NC['[D/N']]="D",    0,    NC[OUTRAS BOVESPA])</f>
        <v>783.17000000000007</v>
      </c>
      <c r="U26" s="15">
        <f>IF(AND(NC['[D/N']]="D",    NC[T]="CV"),    ROUND(NC[LÍQUIDO BASE]*0.01, 2),    0)</f>
        <v>0</v>
      </c>
      <c r="V26" s="15">
        <f>IF(NC[PREÇO] &gt; 0,    NC[LÍQUIDO BASE]-SUMPRODUCT(N(NC[DATA]=NC[[#This Row],[DATA]]),    NC[IRRF FONTE]),    0)</f>
        <v>783.17000000000007</v>
      </c>
      <c r="W26" s="20">
        <f>NC[LÍQUIDO]-SUMPRODUCT(N(NC[DATA]=NC[[#This Row],[DATA]]),N(NC[ID]=(NC[[#This Row],[ID]]-1)),NC[LÍQUIDO])</f>
        <v>783.17000000000007</v>
      </c>
      <c r="X26" s="15">
        <f>IF(NC[T] = "VC", ABS(NC[VALOR OP]) / NC[QTDE], NC[VALOR OP]/NC[QTDE])</f>
        <v>0.97896250000000007</v>
      </c>
      <c r="Y26" s="15">
        <f>TRUNC(IF(OR(NC[T]="CV",NC[T]="VV"),     L26*SETUP!$H$3,     0),2)</f>
        <v>0.04</v>
      </c>
      <c r="Z2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6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0.52036249999999995</v>
      </c>
      <c r="AB26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0.97896250000000007</v>
      </c>
      <c r="AC26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366.88000000000011</v>
      </c>
      <c r="AD26" s="15">
        <f>IF(NC[LUCRO TMP] &lt;&gt; 0, NC[LUCRO TMP] - SUMPRODUCT(N(NC[ATIVO]=NC[[#This Row],[ATIVO]]),N(NC['[D/N']]="N"),N(NC[ID]&lt;NC[[#This Row],[ID]]),N(NC[PAR]=NC[[#This Row],[PAR]]), NC[LUCRO TMP]), 0)</f>
        <v>366.88000000000011</v>
      </c>
      <c r="AE26" s="15">
        <f>IF(NC[U] = "U", SUMPRODUCT(N(NC[ID]&lt;=NC[[#This Row],[ID]]),N(NC[DATA BASE]=NC[[#This Row],[DATA BASE]]), N(NC['[D/N']] = "N"),    NC[LUCRO P/ OP]), 0)</f>
        <v>0</v>
      </c>
      <c r="AF26" s="15">
        <f>IF(NC[U] = "U",NC[LUCRO '[N']] + SUMPRODUCT(N(MONTH(NC[DATA BASE])&lt;MONTH(NC[[#This Row],[DATA BASE]]) ), NC[LUCRO '[N']]),0)</f>
        <v>0</v>
      </c>
      <c r="AG26" s="15">
        <f>IF(NC[U] = "U", SUMPRODUCT(N(NC[DATA BASE]=NC[[#This Row],[DATA BASE]]), N(NC['[D/N']] = "D"),    NC[LUCRO P/ OP]), 0)</f>
        <v>0</v>
      </c>
      <c r="AH26" s="20">
        <f>IF(NC[ TRIB. '[N']] &gt; 0,     ROUND(NC[ TRIB. '[N']]*0.15,    2),    0)</f>
        <v>0</v>
      </c>
      <c r="AI26" s="20">
        <f>IF(NC[LUCRO TRIB. DT] &gt; 0,     ROUND(NC[LUCRO TRIB. DT]*0.2,    2)  -  SUMPRODUCT(N(NC[DATA BASE]=NC[[#This Row],[DATA BASE]]),    NC[IRRF FONTE]),    0)</f>
        <v>0</v>
      </c>
      <c r="AJ26" s="19">
        <f>NC[IR '[N']] + NC[IR DEVIDO DT]</f>
        <v>0</v>
      </c>
      <c r="AK26" s="20">
        <f>IF(AND(NC[U] = "U",NC[IR DEVIDO] &gt; 0), NC[IR DEVIDO] + 8.9, 0)</f>
        <v>0</v>
      </c>
      <c r="AL26" s="20">
        <f>NC[LUCRO '[N']]  + NC[LUCRO TRIB. DT] - NC[RESGATE]</f>
        <v>0</v>
      </c>
    </row>
    <row r="27" spans="1:38" ht="11.25" customHeight="1" x14ac:dyDescent="0.2">
      <c r="A27" s="13">
        <v>26</v>
      </c>
      <c r="B27" s="13"/>
      <c r="C27" s="13" t="s">
        <v>55</v>
      </c>
      <c r="D27" s="13" t="s">
        <v>25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L27" s="15">
        <f>NC[QTDE]*NC[PREÇO]</f>
        <v>0</v>
      </c>
      <c r="M2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2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2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2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27" s="15">
        <f>SETUP!$E$3*SUMPRODUCT(N(NC[DATA]=NC[[#This Row],[DATA]]),N(NC[ID]&lt;=NC[[#This Row],[ID]]))</f>
        <v>14.9</v>
      </c>
      <c r="R27" s="15">
        <f>TRUNC(NC[CORRETAGEM]*SETUP!$F$3,2)</f>
        <v>0.28999999999999998</v>
      </c>
      <c r="S27" s="15">
        <f>ROUND(NC[CORRETAGEM]*SETUP!$G$3,2)</f>
        <v>0.57999999999999996</v>
      </c>
      <c r="T27" s="15">
        <f>NC[VALOR LÍQUIDO DAS OPERAÇÕES]-NC[TAXA DE LIQUIDAÇÃO]-NC[EMOLUMENTOS]-NC[TAXA DE REGISTRO]-NC[CORRETAGEM]-NC[ISS]-IF(NC['[D/N']]="D",    0,    NC[OUTRAS BOVESPA])</f>
        <v>-15.77</v>
      </c>
      <c r="U27" s="15">
        <f>IF(AND(NC['[D/N']]="D",    NC[T]="CV"),    ROUND(NC[LÍQUIDO BASE]*0.01, 2),    0)</f>
        <v>0</v>
      </c>
      <c r="V27" s="15">
        <f>IF(NC[PREÇO] &gt; 0,    NC[LÍQUIDO BASE]-SUMPRODUCT(N(NC[DATA]=NC[[#This Row],[DATA]]),    NC[IRRF FONTE]),    0)</f>
        <v>0</v>
      </c>
      <c r="W27" s="20">
        <f>NC[LÍQUIDO]-SUMPRODUCT(N(NC[DATA]=NC[[#This Row],[DATA]]),N(NC[ID]=(NC[[#This Row],[ID]]-1)),NC[LÍQUIDO])</f>
        <v>0</v>
      </c>
      <c r="X27" s="15">
        <f>IF(NC[T] = "VC", ABS(NC[VALOR OP]) / NC[QTDE], NC[VALOR OP]/NC[QTDE])</f>
        <v>0</v>
      </c>
      <c r="Y27" s="15">
        <f>TRUNC(IF(OR(NC[T]="CV",NC[T]="VV"),     L27*SETUP!$H$3,     0),2)</f>
        <v>0</v>
      </c>
      <c r="Z2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0.16546666666666665</v>
      </c>
      <c r="AB2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27" s="16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-496.4</v>
      </c>
      <c r="AD27" s="15">
        <f>IF(NC[LUCRO TMP] &lt;&gt; 0, NC[LUCRO TMP] - SUMPRODUCT(N(NC[ATIVO]=NC[[#This Row],[ATIVO]]),N(NC['[D/N']]="N"),N(NC[ID]&lt;NC[[#This Row],[ID]]),N(NC[PAR]=NC[[#This Row],[PAR]]), NC[LUCRO TMP]), 0)</f>
        <v>-496.4</v>
      </c>
      <c r="AE27" s="15">
        <f>IF(NC[U] = "U", SUMPRODUCT(N(NC[ID]&lt;=NC[[#This Row],[ID]]),N(NC[DATA BASE]=NC[[#This Row],[DATA BASE]]), N(NC['[D/N']] = "N"),    NC[LUCRO P/ OP]), 0)</f>
        <v>0</v>
      </c>
      <c r="AF27" s="15">
        <f>IF(NC[U] = "U",NC[LUCRO '[N']] + SUMPRODUCT(N(MONTH(NC[DATA BASE])&lt;MONTH(NC[[#This Row],[DATA BASE]]) ), NC[LUCRO '[N']]),0)</f>
        <v>0</v>
      </c>
      <c r="AG27" s="15">
        <f>IF(NC[U] = "U", SUMPRODUCT(N(NC[DATA BASE]=NC[[#This Row],[DATA BASE]]), N(NC['[D/N']] = "D"),    NC[LUCRO P/ OP]), 0)</f>
        <v>0</v>
      </c>
      <c r="AH27" s="20">
        <f>IF(NC[ TRIB. '[N']] &gt; 0,     ROUND(NC[ TRIB. '[N']]*0.15,    2),    0)</f>
        <v>0</v>
      </c>
      <c r="AI27" s="20">
        <f>IF(NC[LUCRO TRIB. DT] &gt; 0,     ROUND(NC[LUCRO TRIB. DT]*0.2,    2)  -  SUMPRODUCT(N(NC[DATA BASE]=NC[[#This Row],[DATA BASE]]),    NC[IRRF FONTE]),    0)</f>
        <v>0</v>
      </c>
      <c r="AJ27" s="19">
        <f>NC[IR '[N']] + NC[IR DEVIDO DT]</f>
        <v>0</v>
      </c>
      <c r="AK27" s="20">
        <f>IF(AND(NC[U] = "U",NC[IR DEVIDO] &gt; 0), NC[IR DEVIDO] + 8.9, 0)</f>
        <v>0</v>
      </c>
      <c r="AL27" s="20">
        <f>NC[LUCRO '[N']]  + NC[LUCRO TRIB. DT] - NC[RESGATE]</f>
        <v>0</v>
      </c>
    </row>
    <row r="28" spans="1:38" ht="11.25" customHeight="1" x14ac:dyDescent="0.2">
      <c r="A28" s="13">
        <v>27</v>
      </c>
      <c r="B28" s="31"/>
      <c r="C28" s="57" t="s">
        <v>70</v>
      </c>
      <c r="D28" s="31" t="s">
        <v>24</v>
      </c>
      <c r="E28" s="32">
        <v>41022</v>
      </c>
      <c r="F28" s="31">
        <v>100</v>
      </c>
      <c r="G28" s="30">
        <v>0.75</v>
      </c>
      <c r="H28" s="31" t="s">
        <v>6</v>
      </c>
      <c r="I28" s="32">
        <f>WORKDAY(NC[[#This Row],[DATA]],1,0)</f>
        <v>41023</v>
      </c>
      <c r="J28" s="33">
        <f>EOMONTH(NC[[#This Row],[DATA DE LIQUIDAÇÃO]],0)</f>
        <v>41029</v>
      </c>
      <c r="K28" s="3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8" s="30">
        <f>NC[QTDE]*NC[PREÇO]</f>
        <v>75</v>
      </c>
      <c r="M28" s="30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-75</v>
      </c>
      <c r="N28" s="30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O28" s="30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28" s="30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0.05</v>
      </c>
      <c r="Q28" s="30">
        <f>SETUP!$E$3*SUMPRODUCT(N(NC[DATA]=NC[[#This Row],[DATA]]),N(NC[ID]&lt;=NC[[#This Row],[ID]]))</f>
        <v>14.9</v>
      </c>
      <c r="R28" s="30">
        <f>TRUNC(NC[CORRETAGEM]*SETUP!$F$3,2)</f>
        <v>0.28999999999999998</v>
      </c>
      <c r="S28" s="30">
        <f>ROUND(NC[CORRETAGEM]*SETUP!$G$3,2)</f>
        <v>0.57999999999999996</v>
      </c>
      <c r="T28" s="30">
        <f>NC[VALOR LÍQUIDO DAS OPERAÇÕES]-NC[TAXA DE LIQUIDAÇÃO]-NC[EMOLUMENTOS]-NC[TAXA DE REGISTRO]-NC[CORRETAGEM]-NC[ISS]-IF(NC['[D/N']]="D",    0,    NC[OUTRAS BOVESPA])</f>
        <v>-90.86</v>
      </c>
      <c r="U28" s="30">
        <f>IF(AND(NC['[D/N']]="D",    NC[T]="CV"),    ROUND(NC[LÍQUIDO BASE]*0.01, 2),    0)</f>
        <v>0</v>
      </c>
      <c r="V28" s="15">
        <f>IF(NC[PREÇO] &gt; 0,    NC[LÍQUIDO BASE]-SUMPRODUCT(N(NC[DATA]=NC[[#This Row],[DATA]]),    NC[IRRF FONTE]),    0)</f>
        <v>-90.86</v>
      </c>
      <c r="W28" s="34">
        <f>NC[LÍQUIDO]-SUMPRODUCT(N(NC[DATA]=NC[[#This Row],[DATA]]),N(NC[ID]=(NC[[#This Row],[ID]]-1)),NC[LÍQUIDO])</f>
        <v>-90.86</v>
      </c>
      <c r="X28" s="30">
        <f>IF(NC[T] = "VC", ABS(NC[VALOR OP]) / NC[QTDE], NC[VALOR OP]/NC[QTDE])</f>
        <v>-0.90859999999999996</v>
      </c>
      <c r="Y28" s="30">
        <f>TRUNC(IF(OR(NC[T]="CV",NC[T]="VV"),     L28*SETUP!$H$3,     0),2)</f>
        <v>0</v>
      </c>
      <c r="Z28" s="3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28" s="35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0.90859999999999996</v>
      </c>
      <c r="AB28" s="35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28" s="35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8" s="30">
        <f>IF(NC[LUCRO TMP] &lt;&gt; 0, NC[LUCRO TMP] - SUMPRODUCT(N(NC[ATIVO]=NC[[#This Row],[ATIVO]]),N(NC['[D/N']]="N"),N(NC[ID]&lt;NC[[#This Row],[ID]]),N(NC[PAR]=NC[[#This Row],[PAR]]), NC[LUCRO TMP]), 0)</f>
        <v>0</v>
      </c>
      <c r="AE28" s="30">
        <f>IF(NC[U] = "U", SUMPRODUCT(N(NC[ID]&lt;=NC[[#This Row],[ID]]),N(NC[DATA BASE]=NC[[#This Row],[DATA BASE]]), N(NC['[D/N']] = "N"),    NC[LUCRO P/ OP]), 0)</f>
        <v>0</v>
      </c>
      <c r="AF28" s="15">
        <f>IF(NC[U] = "U",NC[LUCRO '[N']] + SUMPRODUCT(N(MONTH(NC[DATA BASE])&lt;MONTH(NC[[#This Row],[DATA BASE]]) ), NC[LUCRO '[N']]),0)</f>
        <v>0</v>
      </c>
      <c r="AG28" s="30">
        <f>IF(NC[U] = "U", SUMPRODUCT(N(NC[DATA BASE]=NC[[#This Row],[DATA BASE]]), N(NC['[D/N']] = "D"),    NC[LUCRO P/ OP]), 0)</f>
        <v>0</v>
      </c>
      <c r="AH28" s="34">
        <f>IF(NC[ TRIB. '[N']] &gt; 0,     ROUND(NC[ TRIB. '[N']]*0.15,    2),    0)</f>
        <v>0</v>
      </c>
      <c r="AI28" s="34">
        <f>IF(NC[LUCRO TRIB. DT] &gt; 0,     ROUND(NC[LUCRO TRIB. DT]*0.2,    2)  -  SUMPRODUCT(N(NC[DATA BASE]=NC[[#This Row],[DATA BASE]]),    NC[IRRF FONTE]),    0)</f>
        <v>0</v>
      </c>
      <c r="AJ28" s="36">
        <f>NC[IR '[N']] + NC[IR DEVIDO DT]</f>
        <v>0</v>
      </c>
      <c r="AK28" s="34">
        <f>IF(AND(NC[U] = "U",NC[IR DEVIDO] &gt; 0), NC[IR DEVIDO] + 8.9, 0)</f>
        <v>0</v>
      </c>
      <c r="AL28" s="34">
        <f>NC[LUCRO '[N']]  + NC[LUCRO TRIB. DT] - NC[RESGATE]</f>
        <v>0</v>
      </c>
    </row>
    <row r="29" spans="1:38" ht="11.25" customHeight="1" x14ac:dyDescent="0.2">
      <c r="A29" s="13">
        <v>28</v>
      </c>
      <c r="B29" s="31"/>
      <c r="C29" s="57" t="s">
        <v>71</v>
      </c>
      <c r="D29" s="31" t="s">
        <v>72</v>
      </c>
      <c r="E29" s="32">
        <v>41022</v>
      </c>
      <c r="F29" s="31">
        <v>100</v>
      </c>
      <c r="G29" s="30">
        <v>1.93</v>
      </c>
      <c r="H29" s="31" t="s">
        <v>6</v>
      </c>
      <c r="I29" s="32">
        <f>WORKDAY(NC[[#This Row],[DATA]],1,0)</f>
        <v>41023</v>
      </c>
      <c r="J29" s="33">
        <f>EOMONTH(NC[[#This Row],[DATA DE LIQUIDAÇÃO]],0)</f>
        <v>41029</v>
      </c>
      <c r="K29" s="3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9" s="30">
        <f>NC[QTDE]*NC[PREÇO]</f>
        <v>193</v>
      </c>
      <c r="M29" s="30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118</v>
      </c>
      <c r="N29" s="30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7.0000000000000007E-2</v>
      </c>
      <c r="O29" s="30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0.09</v>
      </c>
      <c r="P29" s="30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0.18</v>
      </c>
      <c r="Q29" s="30">
        <f>SETUP!$E$3*SUMPRODUCT(N(NC[DATA]=NC[[#This Row],[DATA]]),N(NC[ID]&lt;=NC[[#This Row],[ID]]))</f>
        <v>29.8</v>
      </c>
      <c r="R29" s="30">
        <f>TRUNC(NC[CORRETAGEM]*SETUP!$F$3,2)</f>
        <v>0.59</v>
      </c>
      <c r="S29" s="30">
        <f>ROUND(NC[CORRETAGEM]*SETUP!$G$3,2)</f>
        <v>1.1599999999999999</v>
      </c>
      <c r="T29" s="30">
        <f>NC[VALOR LÍQUIDO DAS OPERAÇÕES]-NC[TAXA DE LIQUIDAÇÃO]-NC[EMOLUMENTOS]-NC[TAXA DE REGISTRO]-NC[CORRETAGEM]-NC[ISS]-IF(NC['[D/N']]="D",    0,    NC[OUTRAS BOVESPA])</f>
        <v>86.11</v>
      </c>
      <c r="U29" s="30">
        <f>IF(AND(NC['[D/N']]="D",    NC[T]="CV"),    ROUND(NC[LÍQUIDO BASE]*0.01, 2),    0)</f>
        <v>0</v>
      </c>
      <c r="V29" s="15">
        <f>IF(NC[PREÇO] &gt; 0,    NC[LÍQUIDO BASE]-SUMPRODUCT(N(NC[DATA]=NC[[#This Row],[DATA]]),    NC[IRRF FONTE]),    0)</f>
        <v>86.11</v>
      </c>
      <c r="W29" s="34">
        <f>NC[LÍQUIDO]-SUMPRODUCT(N(NC[DATA]=NC[[#This Row],[DATA]]),N(NC[ID]=(NC[[#This Row],[ID]]-1)),NC[LÍQUIDO])</f>
        <v>176.97</v>
      </c>
      <c r="X29" s="30">
        <f>IF(NC[T] = "VC", ABS(NC[VALOR OP]) / NC[QTDE], NC[VALOR OP]/NC[QTDE])</f>
        <v>1.7697000000000001</v>
      </c>
      <c r="Y29" s="30">
        <f>TRUNC(IF(OR(NC[T]="CV",NC[T]="VV"),     L29*SETUP!$H$3,     0),2)</f>
        <v>0</v>
      </c>
      <c r="Z29" s="3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</v>
      </c>
      <c r="AA29" s="35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B29" s="35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1.7697000000000001</v>
      </c>
      <c r="AC29" s="35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29" s="30">
        <f>IF(NC[LUCRO TMP] &lt;&gt; 0, NC[LUCRO TMP] - SUMPRODUCT(N(NC[ATIVO]=NC[[#This Row],[ATIVO]]),N(NC['[D/N']]="N"),N(NC[ID]&lt;NC[[#This Row],[ID]]),N(NC[PAR]=NC[[#This Row],[PAR]]), NC[LUCRO TMP]), 0)</f>
        <v>0</v>
      </c>
      <c r="AE29" s="30">
        <f>IF(NC[U] = "U", SUMPRODUCT(N(NC[ID]&lt;=NC[[#This Row],[ID]]),N(NC[DATA BASE]=NC[[#This Row],[DATA BASE]]), N(NC['[D/N']] = "N"),    NC[LUCRO P/ OP]), 0)</f>
        <v>0</v>
      </c>
      <c r="AF29" s="15">
        <f>IF(NC[U] = "U",NC[LUCRO '[N']] + SUMPRODUCT(N(MONTH(NC[DATA BASE])&lt;MONTH(NC[[#This Row],[DATA BASE]]) ), NC[LUCRO '[N']]),0)</f>
        <v>0</v>
      </c>
      <c r="AG29" s="30">
        <f>IF(NC[U] = "U", SUMPRODUCT(N(NC[DATA BASE]=NC[[#This Row],[DATA BASE]]), N(NC['[D/N']] = "D"),    NC[LUCRO P/ OP]), 0)</f>
        <v>0</v>
      </c>
      <c r="AH29" s="34">
        <f>IF(NC[ TRIB. '[N']] &gt; 0,     ROUND(NC[ TRIB. '[N']]*0.15,    2),    0)</f>
        <v>0</v>
      </c>
      <c r="AI29" s="34">
        <f>IF(NC[LUCRO TRIB. DT] &gt; 0,     ROUND(NC[LUCRO TRIB. DT]*0.2,    2)  -  SUMPRODUCT(N(NC[DATA BASE]=NC[[#This Row],[DATA BASE]]),    NC[IRRF FONTE]),    0)</f>
        <v>0</v>
      </c>
      <c r="AJ29" s="36">
        <f>NC[IR '[N']] + NC[IR DEVIDO DT]</f>
        <v>0</v>
      </c>
      <c r="AK29" s="34">
        <f>IF(AND(NC[U] = "U",NC[IR DEVIDO] &gt; 0), NC[IR DEVIDO] + 8.9, 0)</f>
        <v>0</v>
      </c>
      <c r="AL29" s="34">
        <f>NC[LUCRO '[N']]  + NC[LUCRO TRIB. DT] - NC[RESGATE]</f>
        <v>0</v>
      </c>
    </row>
    <row r="30" spans="1:38" ht="11.25" customHeight="1" x14ac:dyDescent="0.2">
      <c r="A30" s="13">
        <v>29</v>
      </c>
      <c r="B30" s="31" t="s">
        <v>53</v>
      </c>
      <c r="C30" s="31" t="s">
        <v>65</v>
      </c>
      <c r="D30" s="31" t="s">
        <v>24</v>
      </c>
      <c r="E30" s="32">
        <v>41026</v>
      </c>
      <c r="F30" s="31">
        <v>300</v>
      </c>
      <c r="G30" s="30">
        <v>0.32</v>
      </c>
      <c r="H30" s="31" t="s">
        <v>6</v>
      </c>
      <c r="I30" s="32">
        <f>WORKDAY(NC[[#This Row],[DATA]],1,0)</f>
        <v>41029</v>
      </c>
      <c r="J30" s="33">
        <f>EOMONTH(NC[[#This Row],[DATA DE LIQUIDAÇÃO]],0)</f>
        <v>41029</v>
      </c>
      <c r="K30" s="3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0" s="30">
        <f>NC[QTDE]*NC[PREÇO]</f>
        <v>96</v>
      </c>
      <c r="M30" s="30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-96</v>
      </c>
      <c r="N30" s="30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O30" s="30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30" s="30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0.06</v>
      </c>
      <c r="Q30" s="30">
        <f>SETUP!$E$3*SUMPRODUCT(N(NC[DATA]=NC[[#This Row],[DATA]]),N(NC[ID]&lt;=NC[[#This Row],[ID]]))</f>
        <v>14.9</v>
      </c>
      <c r="R30" s="30">
        <f>TRUNC(NC[CORRETAGEM]*SETUP!$F$3,2)</f>
        <v>0.28999999999999998</v>
      </c>
      <c r="S30" s="30">
        <f>ROUND(NC[CORRETAGEM]*SETUP!$G$3,2)</f>
        <v>0.57999999999999996</v>
      </c>
      <c r="T30" s="30">
        <f>NC[VALOR LÍQUIDO DAS OPERAÇÕES]-NC[TAXA DE LIQUIDAÇÃO]-NC[EMOLUMENTOS]-NC[TAXA DE REGISTRO]-NC[CORRETAGEM]-NC[ISS]-IF(NC['[D/N']]="D",    0,    NC[OUTRAS BOVESPA])</f>
        <v>-111.88000000000001</v>
      </c>
      <c r="U30" s="30">
        <f>IF(AND(NC['[D/N']]="D",    NC[T]="CV"),    ROUND(NC[LÍQUIDO BASE]*0.01, 2),    0)</f>
        <v>0</v>
      </c>
      <c r="V30" s="15">
        <f>IF(NC[PREÇO] &gt; 0,    NC[LÍQUIDO BASE]-SUMPRODUCT(N(NC[DATA]=NC[[#This Row],[DATA]]),    NC[IRRF FONTE]),    0)</f>
        <v>-111.88000000000001</v>
      </c>
      <c r="W30" s="34">
        <f>NC[LÍQUIDO]-SUMPRODUCT(N(NC[DATA]=NC[[#This Row],[DATA]]),N(NC[ID]=(NC[[#This Row],[ID]]-1)),NC[LÍQUIDO])</f>
        <v>-111.88000000000001</v>
      </c>
      <c r="X30" s="30">
        <f>IF(NC[T] = "VC", ABS(NC[VALOR OP]) / NC[QTDE], NC[VALOR OP]/NC[QTDE])</f>
        <v>-0.37293333333333334</v>
      </c>
      <c r="Y30" s="30">
        <f>TRUNC(IF(OR(NC[T]="CV",NC[T]="VV"),     L30*SETUP!$H$3,     0),2)</f>
        <v>0</v>
      </c>
      <c r="Z30" s="3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</v>
      </c>
      <c r="AA30" s="35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0.37293333333333334</v>
      </c>
      <c r="AB30" s="35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30" s="35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0" s="30">
        <f>IF(NC[LUCRO TMP] &lt;&gt; 0, NC[LUCRO TMP] - SUMPRODUCT(N(NC[ATIVO]=NC[[#This Row],[ATIVO]]),N(NC['[D/N']]="N"),N(NC[ID]&lt;NC[[#This Row],[ID]]),N(NC[PAR]=NC[[#This Row],[PAR]]), NC[LUCRO TMP]), 0)</f>
        <v>0</v>
      </c>
      <c r="AE30" s="30">
        <f>IF(NC[U] = "U", SUMPRODUCT(N(NC[ID]&lt;=NC[[#This Row],[ID]]),N(NC[DATA BASE]=NC[[#This Row],[DATA BASE]]), N(NC['[D/N']] = "N"),    NC[LUCRO P/ OP]), 0)</f>
        <v>-958.07999999999981</v>
      </c>
      <c r="AF30" s="15">
        <f>IF(NC[U] = "U",NC[LUCRO '[N']] + SUMPRODUCT(N(MONTH(NC[DATA BASE])&lt;MONTH(NC[[#This Row],[DATA BASE]]) ), NC[LUCRO '[N']]),0)</f>
        <v>-1614.8899999999999</v>
      </c>
      <c r="AG30" s="30">
        <f>IF(NC[U] = "U", SUMPRODUCT(N(NC[DATA BASE]=NC[[#This Row],[DATA BASE]]), N(NC['[D/N']] = "D"),    NC[LUCRO P/ OP]), 0)</f>
        <v>0</v>
      </c>
      <c r="AH30" s="34">
        <f>IF(NC[ TRIB. '[N']] &gt; 0,     ROUND(NC[ TRIB. '[N']]*0.15,    2),    0)</f>
        <v>0</v>
      </c>
      <c r="AI30" s="34">
        <f>IF(NC[LUCRO TRIB. DT] &gt; 0,     ROUND(NC[LUCRO TRIB. DT]*0.2,    2)  -  SUMPRODUCT(N(NC[DATA BASE]=NC[[#This Row],[DATA BASE]]),    NC[IRRF FONTE]),    0)</f>
        <v>0</v>
      </c>
      <c r="AJ30" s="36">
        <f>NC[IR '[N']] + NC[IR DEVIDO DT]</f>
        <v>0</v>
      </c>
      <c r="AK30" s="34">
        <f>IF(AND(NC[U] = "U",NC[IR DEVIDO] &gt; 0), NC[IR DEVIDO] + 8.9, 0)</f>
        <v>0</v>
      </c>
      <c r="AL30" s="34">
        <f>NC[LUCRO '[N']]  + NC[LUCRO TRIB. DT] - NC[RESGATE]</f>
        <v>-958.07999999999981</v>
      </c>
    </row>
    <row r="31" spans="1:38" ht="11.25" customHeight="1" x14ac:dyDescent="0.2">
      <c r="A31" s="13">
        <v>30</v>
      </c>
      <c r="B31" s="13"/>
      <c r="C31" s="13" t="s">
        <v>65</v>
      </c>
      <c r="D31" s="13" t="s">
        <v>25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1" s="15">
        <f>NC[QTDE]*NC[PREÇO]</f>
        <v>192</v>
      </c>
      <c r="M3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192</v>
      </c>
      <c r="N3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O3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7.0000000000000007E-2</v>
      </c>
      <c r="P3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0.13</v>
      </c>
      <c r="Q31" s="15">
        <f>SETUP!$E$3*SUMPRODUCT(N(NC[DATA]=NC[[#This Row],[DATA]]),N(NC[ID]&lt;=NC[[#This Row],[ID]]))</f>
        <v>14.9</v>
      </c>
      <c r="R31" s="15">
        <f>TRUNC(NC[CORRETAGEM]*SETUP!$F$3,2)</f>
        <v>0.28999999999999998</v>
      </c>
      <c r="S31" s="15">
        <f>ROUND(NC[CORRETAGEM]*SETUP!$G$3,2)</f>
        <v>0.57999999999999996</v>
      </c>
      <c r="T31" s="15">
        <f>NC[VALOR LÍQUIDO DAS OPERAÇÕES]-NC[TAXA DE LIQUIDAÇÃO]-NC[EMOLUMENTOS]-NC[TAXA DE REGISTRO]-NC[CORRETAGEM]-NC[ISS]-IF(NC['[D/N']]="D",    0,    NC[OUTRAS BOVESPA])</f>
        <v>175.98</v>
      </c>
      <c r="U31" s="15">
        <f>IF(AND(NC['[D/N']]="D",    NC[T]="CV"),    ROUND(NC[LÍQUIDO BASE]*0.01, 2),    0)</f>
        <v>0</v>
      </c>
      <c r="V31" s="15">
        <f>IF(NC[PREÇO] &gt; 0,    NC[LÍQUIDO BASE]-SUMPRODUCT(N(NC[DATA]=NC[[#This Row],[DATA]]),    NC[IRRF FONTE]),    0)</f>
        <v>175.98</v>
      </c>
      <c r="W31" s="20">
        <f>NC[LÍQUIDO]-SUMPRODUCT(N(NC[DATA]=NC[[#This Row],[DATA]]),N(NC[ID]=(NC[[#This Row],[ID]]-1)),NC[LÍQUIDO])</f>
        <v>175.98</v>
      </c>
      <c r="X31" s="15">
        <f>IF(NC[T] = "VC", ABS(NC[VALOR OP]) / NC[QTDE], NC[VALOR OP]/NC[QTDE])</f>
        <v>0.58660000000000001</v>
      </c>
      <c r="Y31" s="15">
        <f>TRUNC(IF(OR(NC[T]="CV",NC[T]="VV"),     L31*SETUP!$H$3,     0),2)</f>
        <v>0</v>
      </c>
      <c r="Z3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3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0.37293333333333334</v>
      </c>
      <c r="AB3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0.58660000000000001</v>
      </c>
      <c r="AC31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64.099999999999994</v>
      </c>
      <c r="AD31" s="15">
        <f>IF(NC[LUCRO TMP] &lt;&gt; 0, NC[LUCRO TMP] - SUMPRODUCT(N(NC[ATIVO]=NC[[#This Row],[ATIVO]]),N(NC['[D/N']]="N"),N(NC[ID]&lt;NC[[#This Row],[ID]]),N(NC[PAR]=NC[[#This Row],[PAR]]), NC[LUCRO TMP]), 0)</f>
        <v>64.099999999999994</v>
      </c>
      <c r="AE31" s="15">
        <f>IF(NC[U] = "U", SUMPRODUCT(N(NC[ID]&lt;=NC[[#This Row],[ID]]),N(NC[DATA BASE]=NC[[#This Row],[DATA BASE]]), N(NC['[D/N']] = "N"),    NC[LUCRO P/ OP]), 0)</f>
        <v>0</v>
      </c>
      <c r="AF31" s="15">
        <f>IF(NC[U] = "U",NC[LUCRO '[N']] + SUMPRODUCT(N(MONTH(NC[DATA BASE])&lt;MONTH(NC[[#This Row],[DATA BASE]]) ), NC[LUCRO '[N']]),0)</f>
        <v>0</v>
      </c>
      <c r="AG31" s="15">
        <f>IF(NC[U] = "U", SUMPRODUCT(N(NC[DATA BASE]=NC[[#This Row],[DATA BASE]]), N(NC['[D/N']] = "D"),    NC[LUCRO P/ OP]), 0)</f>
        <v>0</v>
      </c>
      <c r="AH31" s="20">
        <f>IF(NC[ TRIB. '[N']] &gt; 0,     ROUND(NC[ TRIB. '[N']]*0.15,    2),    0)</f>
        <v>0</v>
      </c>
      <c r="AI31" s="20">
        <f>IF(NC[LUCRO TRIB. DT] &gt; 0,     ROUND(NC[LUCRO TRIB. DT]*0.2,    2)  -  SUMPRODUCT(N(NC[DATA BASE]=NC[[#This Row],[DATA BASE]]),    NC[IRRF FONTE]),    0)</f>
        <v>0</v>
      </c>
      <c r="AJ31" s="19">
        <f>NC[IR '[N']] + NC[IR DEVIDO DT]</f>
        <v>0</v>
      </c>
      <c r="AK31" s="20">
        <f>IF(AND(NC[U] = "U",NC[IR DEVIDO] &gt; 0), NC[IR DEVIDO] + 8.9, 0)</f>
        <v>0</v>
      </c>
      <c r="AL31" s="20">
        <f>NC[LUCRO '[N']]  + NC[LUCRO TRIB. DT] - NC[RESGATE]</f>
        <v>0</v>
      </c>
    </row>
    <row r="32" spans="1:38" ht="11.25" customHeight="1" x14ac:dyDescent="0.2">
      <c r="A32" s="13">
        <v>31</v>
      </c>
      <c r="B32" s="13"/>
      <c r="C32" s="13" t="s">
        <v>82</v>
      </c>
      <c r="D32" s="13" t="s">
        <v>24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2" s="15">
        <f>NC[QTDE]*NC[PREÇO]</f>
        <v>108</v>
      </c>
      <c r="M3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-108</v>
      </c>
      <c r="N32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0.02</v>
      </c>
      <c r="O3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3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7.0000000000000007E-2</v>
      </c>
      <c r="Q32" s="15">
        <f>SETUP!$E$3*SUMPRODUCT(N(NC[DATA]=NC[[#This Row],[DATA]]),N(NC[ID]&lt;=NC[[#This Row],[ID]]))</f>
        <v>14.9</v>
      </c>
      <c r="R32" s="15">
        <f>TRUNC(NC[CORRETAGEM]*SETUP!$F$3,2)</f>
        <v>0.28999999999999998</v>
      </c>
      <c r="S32" s="15">
        <f>ROUND(NC[CORRETAGEM]*SETUP!$G$3,2)</f>
        <v>0.57999999999999996</v>
      </c>
      <c r="T32" s="15">
        <f>NC[VALOR LÍQUIDO DAS OPERAÇÕES]-NC[TAXA DE LIQUIDAÇÃO]-NC[EMOLUMENTOS]-NC[TAXA DE REGISTRO]-NC[CORRETAGEM]-NC[ISS]-IF(NC['[D/N']]="D",    0,    NC[OUTRAS BOVESPA])</f>
        <v>-123.89</v>
      </c>
      <c r="U32" s="15">
        <f>IF(AND(NC['[D/N']]="D",    NC[T]="CV"),    ROUND(NC[LÍQUIDO BASE]*0.01, 2),    0)</f>
        <v>0</v>
      </c>
      <c r="V32" s="15">
        <f>IF(NC[PREÇO] &gt; 0,    NC[LÍQUIDO BASE]-SUMPRODUCT(N(NC[DATA]=NC[[#This Row],[DATA]]),    NC[IRRF FONTE]),    0)</f>
        <v>-123.89</v>
      </c>
      <c r="W32" s="20">
        <f>NC[LÍQUIDO]-SUMPRODUCT(N(NC[DATA]=NC[[#This Row],[DATA]]),N(NC[ID]=(NC[[#This Row],[ID]]-1)),NC[LÍQUIDO])</f>
        <v>-123.89</v>
      </c>
      <c r="X32" s="15">
        <f>IF(NC[T] = "VC", ABS(NC[VALOR OP]) / NC[QTDE], NC[VALOR OP]/NC[QTDE])</f>
        <v>-0.30972500000000003</v>
      </c>
      <c r="Y32" s="15">
        <f>TRUNC(IF(OR(NC[T]="CV",NC[T]="VV"),     L32*SETUP!$H$3,     0),2)</f>
        <v>0</v>
      </c>
      <c r="Z3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A32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0.30972500000000003</v>
      </c>
      <c r="AB32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32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2" s="15">
        <f>IF(NC[LUCRO TMP] &lt;&gt; 0, NC[LUCRO TMP] - SUMPRODUCT(N(NC[ATIVO]=NC[[#This Row],[ATIVO]]),N(NC['[D/N']]="N"),N(NC[ID]&lt;NC[[#This Row],[ID]]),N(NC[PAR]=NC[[#This Row],[PAR]]), NC[LUCRO TMP]), 0)</f>
        <v>0</v>
      </c>
      <c r="AE32" s="15">
        <f>IF(NC[U] = "U", SUMPRODUCT(N(NC[ID]&lt;=NC[[#This Row],[ID]]),N(NC[DATA BASE]=NC[[#This Row],[DATA BASE]]), N(NC['[D/N']] = "N"),    NC[LUCRO P/ OP]), 0)</f>
        <v>0</v>
      </c>
      <c r="AF32" s="15">
        <f>IF(NC[U] = "U",NC[LUCRO '[N']] + SUMPRODUCT(N(MONTH(NC[DATA BASE])&lt;MONTH(NC[[#This Row],[DATA BASE]]) ), NC[LUCRO '[N']]),0)</f>
        <v>0</v>
      </c>
      <c r="AG32" s="15">
        <f>IF(NC[U] = "U", SUMPRODUCT(N(NC[DATA BASE]=NC[[#This Row],[DATA BASE]]), N(NC['[D/N']] = "D"),    NC[LUCRO P/ OP]), 0)</f>
        <v>0</v>
      </c>
      <c r="AH32" s="20">
        <f>IF(NC[ TRIB. '[N']] &gt; 0,     ROUND(NC[ TRIB. '[N']]*0.15,    2),    0)</f>
        <v>0</v>
      </c>
      <c r="AI32" s="20">
        <f>IF(NC[LUCRO TRIB. DT] &gt; 0,     ROUND(NC[LUCRO TRIB. DT]*0.2,    2)  -  SUMPRODUCT(N(NC[DATA BASE]=NC[[#This Row],[DATA BASE]]),    NC[IRRF FONTE]),    0)</f>
        <v>0</v>
      </c>
      <c r="AJ32" s="19">
        <f>NC[IR '[N']] + NC[IR DEVIDO DT]</f>
        <v>0</v>
      </c>
      <c r="AK32" s="20">
        <f>IF(AND(NC[U] = "U",NC[IR DEVIDO] &gt; 0), NC[IR DEVIDO] + 8.9, 0)</f>
        <v>0</v>
      </c>
      <c r="AL32" s="20">
        <f>NC[LUCRO '[N']]  + NC[LUCRO TRIB. DT] - NC[RESGATE]</f>
        <v>0</v>
      </c>
    </row>
    <row r="33" spans="1:38" x14ac:dyDescent="0.2">
      <c r="A33" s="13">
        <v>32</v>
      </c>
      <c r="B33" s="13"/>
      <c r="C33" s="57" t="s">
        <v>85</v>
      </c>
      <c r="D33" s="13" t="s">
        <v>24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3" s="15">
        <f>NC[QTDE]*NC[PREÇO]</f>
        <v>30</v>
      </c>
      <c r="M3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-30</v>
      </c>
      <c r="N3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3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P3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Q33" s="15">
        <f>SETUP!$E$3*SUMPRODUCT(N(NC[DATA]=NC[[#This Row],[DATA]]),N(NC[ID]&lt;=NC[[#This Row],[ID]]))</f>
        <v>14.9</v>
      </c>
      <c r="R33" s="15">
        <f>TRUNC(NC[CORRETAGEM]*SETUP!$F$3,2)</f>
        <v>0.28999999999999998</v>
      </c>
      <c r="S33" s="15">
        <f>ROUND(NC[CORRETAGEM]*SETUP!$G$3,2)</f>
        <v>0.57999999999999996</v>
      </c>
      <c r="T33" s="15">
        <f>NC[VALOR LÍQUIDO DAS OPERAÇÕES]-NC[TAXA DE LIQUIDAÇÃO]-NC[EMOLUMENTOS]-NC[TAXA DE REGISTRO]-NC[CORRETAGEM]-NC[ISS]-IF(NC['[D/N']]="D",    0,    NC[OUTRAS BOVESPA])</f>
        <v>-45.8</v>
      </c>
      <c r="U33" s="15">
        <f>IF(AND(NC['[D/N']]="D",    NC[T]="CV"),    ROUND(NC[LÍQUIDO BASE]*0.01, 2),    0)</f>
        <v>0</v>
      </c>
      <c r="V33" s="15">
        <f>IF(NC[PREÇO] &gt; 0,    NC[LÍQUIDO BASE]-SUMPRODUCT(N(NC[DATA]=NC[[#This Row],[DATA]]),    NC[IRRF FONTE]),    0)</f>
        <v>-45.8</v>
      </c>
      <c r="W33" s="20">
        <f>NC[LÍQUIDO]-SUMPRODUCT(N(NC[DATA]=NC[[#This Row],[DATA]]),N(NC[ID]=(NC[[#This Row],[ID]]-1)),NC[LÍQUIDO])</f>
        <v>-45.8</v>
      </c>
      <c r="X33" s="15">
        <f>IF(NC[T] = "VC", ABS(NC[VALOR OP]) / NC[QTDE], NC[VALOR OP]/NC[QTDE])</f>
        <v>-0.45799999999999996</v>
      </c>
      <c r="Y33" s="15">
        <f>TRUNC(IF(OR(NC[T]="CV",NC[T]="VV"),     L33*SETUP!$H$3,     0),2)</f>
        <v>0</v>
      </c>
      <c r="Z3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3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0.45799999999999996</v>
      </c>
      <c r="AB3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33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3" s="15">
        <f>IF(NC[LUCRO TMP] &lt;&gt; 0, NC[LUCRO TMP] - SUMPRODUCT(N(NC[ATIVO]=NC[[#This Row],[ATIVO]]),N(NC['[D/N']]="N"),N(NC[ID]&lt;NC[[#This Row],[ID]]),N(NC[PAR]=NC[[#This Row],[PAR]]), NC[LUCRO TMP]), 0)</f>
        <v>0</v>
      </c>
      <c r="AE33" s="15">
        <f>IF(NC[U] = "U", SUMPRODUCT(N(NC[ID]&lt;=NC[[#This Row],[ID]]),N(NC[DATA BASE]=NC[[#This Row],[DATA BASE]]), N(NC['[D/N']] = "N"),    NC[LUCRO P/ OP]), 0)</f>
        <v>0</v>
      </c>
      <c r="AF33" s="15">
        <f>IF(NC[U] = "U",NC[LUCRO '[N']] + SUMPRODUCT(N(MONTH(NC[DATA BASE])&lt;MONTH(NC[[#This Row],[DATA BASE]]) ), NC[LUCRO '[N']]),0)</f>
        <v>0</v>
      </c>
      <c r="AG33" s="15">
        <f>IF(NC[U] = "U", SUMPRODUCT(N(NC[DATA BASE]=NC[[#This Row],[DATA BASE]]), N(NC['[D/N']] = "D"),    NC[LUCRO P/ OP]), 0)</f>
        <v>0</v>
      </c>
      <c r="AH33" s="20">
        <f>IF(NC[ TRIB. '[N']] &gt; 0,     ROUND(NC[ TRIB. '[N']]*0.15,    2),    0)</f>
        <v>0</v>
      </c>
      <c r="AI33" s="20">
        <f>IF(NC[LUCRO TRIB. DT] &gt; 0,     ROUND(NC[LUCRO TRIB. DT]*0.2,    2)  -  SUMPRODUCT(N(NC[DATA BASE]=NC[[#This Row],[DATA BASE]]),    NC[IRRF FONTE]),    0)</f>
        <v>0</v>
      </c>
      <c r="AJ33" s="19">
        <f>NC[IR '[N']] + NC[IR DEVIDO DT]</f>
        <v>0</v>
      </c>
      <c r="AK33" s="20">
        <f>IF(AND(NC[U] = "U",NC[IR DEVIDO] &gt; 0), NC[IR DEVIDO] + 8.9, 0)</f>
        <v>0</v>
      </c>
      <c r="AL33" s="20">
        <f>NC[LUCRO '[N']]  + NC[LUCRO TRIB. DT] - NC[RESGATE]</f>
        <v>0</v>
      </c>
    </row>
    <row r="34" spans="1:38" x14ac:dyDescent="0.2">
      <c r="A34" s="13">
        <v>33</v>
      </c>
      <c r="B34" s="13"/>
      <c r="C34" s="57" t="s">
        <v>86</v>
      </c>
      <c r="D34" s="13" t="s">
        <v>72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4" s="15">
        <f>NC[QTDE]*NC[PREÇO]</f>
        <v>152</v>
      </c>
      <c r="M3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122</v>
      </c>
      <c r="N3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0.05</v>
      </c>
      <c r="O3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3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0.12</v>
      </c>
      <c r="Q34" s="15">
        <f>SETUP!$E$3*SUMPRODUCT(N(NC[DATA]=NC[[#This Row],[DATA]]),N(NC[ID]&lt;=NC[[#This Row],[ID]]))</f>
        <v>29.8</v>
      </c>
      <c r="R34" s="15">
        <f>TRUNC(NC[CORRETAGEM]*SETUP!$F$3,2)</f>
        <v>0.59</v>
      </c>
      <c r="S34" s="15">
        <f>ROUND(NC[CORRETAGEM]*SETUP!$G$3,2)</f>
        <v>1.1599999999999999</v>
      </c>
      <c r="T34" s="15">
        <f>NC[VALOR LÍQUIDO DAS OPERAÇÕES]-NC[TAXA DE LIQUIDAÇÃO]-NC[EMOLUMENTOS]-NC[TAXA DE REGISTRO]-NC[CORRETAGEM]-NC[ISS]-IF(NC['[D/N']]="D",    0,    NC[OUTRAS BOVESPA])</f>
        <v>90.22</v>
      </c>
      <c r="U34" s="15">
        <f>IF(AND(NC['[D/N']]="D",    NC[T]="CV"),    ROUND(NC[LÍQUIDO BASE]*0.01, 2),    0)</f>
        <v>0</v>
      </c>
      <c r="V34" s="15">
        <f>IF(NC[PREÇO] &gt; 0,    NC[LÍQUIDO BASE]-SUMPRODUCT(N(NC[DATA]=NC[[#This Row],[DATA]]),    NC[IRRF FONTE]),    0)</f>
        <v>90.22</v>
      </c>
      <c r="W34" s="20">
        <f>NC[LÍQUIDO]-SUMPRODUCT(N(NC[DATA]=NC[[#This Row],[DATA]]),N(NC[ID]=(NC[[#This Row],[ID]]-1)),NC[LÍQUIDO])</f>
        <v>136.01999999999998</v>
      </c>
      <c r="X34" s="15">
        <f>IF(NC[T] = "VC", ABS(NC[VALOR OP]) / NC[QTDE], NC[VALOR OP]/NC[QTDE])</f>
        <v>1.3601999999999999</v>
      </c>
      <c r="Y34" s="15">
        <f>TRUNC(IF(OR(NC[T]="CV",NC[T]="VV"),     L34*SETUP!$H$3,     0),2)</f>
        <v>0</v>
      </c>
      <c r="Z3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</v>
      </c>
      <c r="AA3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B3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1.3601999999999999</v>
      </c>
      <c r="AC34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4" s="15">
        <f>IF(NC[LUCRO TMP] &lt;&gt; 0, NC[LUCRO TMP] - SUMPRODUCT(N(NC[ATIVO]=NC[[#This Row],[ATIVO]]),N(NC['[D/N']]="N"),N(NC[ID]&lt;NC[[#This Row],[ID]]),N(NC[PAR]=NC[[#This Row],[PAR]]), NC[LUCRO TMP]), 0)</f>
        <v>0</v>
      </c>
      <c r="AE34" s="15">
        <f>IF(NC[U] = "U", SUMPRODUCT(N(NC[ID]&lt;=NC[[#This Row],[ID]]),N(NC[DATA BASE]=NC[[#This Row],[DATA BASE]]), N(NC['[D/N']] = "N"),    NC[LUCRO P/ OP]), 0)</f>
        <v>0</v>
      </c>
      <c r="AF34" s="15">
        <f>IF(NC[U] = "U",NC[LUCRO '[N']] + SUMPRODUCT(N(MONTH(NC[DATA BASE])&lt;MONTH(NC[[#This Row],[DATA BASE]]) ), NC[LUCRO '[N']]),0)</f>
        <v>0</v>
      </c>
      <c r="AG34" s="15">
        <f>IF(NC[U] = "U", SUMPRODUCT(N(NC[DATA BASE]=NC[[#This Row],[DATA BASE]]), N(NC['[D/N']] = "D"),    NC[LUCRO P/ OP]), 0)</f>
        <v>0</v>
      </c>
      <c r="AH34" s="20">
        <f>IF(NC[ TRIB. '[N']] &gt; 0,     ROUND(NC[ TRIB. '[N']]*0.15,    2),    0)</f>
        <v>0</v>
      </c>
      <c r="AI34" s="20">
        <f>IF(NC[LUCRO TRIB. DT] &gt; 0,     ROUND(NC[LUCRO TRIB. DT]*0.2,    2)  -  SUMPRODUCT(N(NC[DATA BASE]=NC[[#This Row],[DATA BASE]]),    NC[IRRF FONTE]),    0)</f>
        <v>0</v>
      </c>
      <c r="AJ34" s="19">
        <f>NC[IR '[N']] + NC[IR DEVIDO DT]</f>
        <v>0</v>
      </c>
      <c r="AK34" s="20">
        <f>IF(AND(NC[U] = "U",NC[IR DEVIDO] &gt; 0), NC[IR DEVIDO] + 8.9, 0)</f>
        <v>0</v>
      </c>
      <c r="AL34" s="20">
        <f>NC[LUCRO '[N']]  + NC[LUCRO TRIB. DT] - NC[RESGATE]</f>
        <v>0</v>
      </c>
    </row>
    <row r="35" spans="1:38" x14ac:dyDescent="0.2">
      <c r="A35" s="13">
        <v>34</v>
      </c>
      <c r="B35" s="13"/>
      <c r="C35" s="57" t="s">
        <v>71</v>
      </c>
      <c r="D35" s="31" t="s">
        <v>73</v>
      </c>
      <c r="E35" s="32">
        <v>41043</v>
      </c>
      <c r="F35" s="31">
        <v>100</v>
      </c>
      <c r="G35" s="30">
        <v>7.0000000000000007E-2</v>
      </c>
      <c r="H35" s="31" t="s">
        <v>6</v>
      </c>
      <c r="I35" s="32">
        <f>WORKDAY(NC[[#This Row],[DATA]],1,0)</f>
        <v>41044</v>
      </c>
      <c r="J35" s="33">
        <f>EOMONTH(NC[[#This Row],[DATA DE LIQUIDAÇÃO]],0)</f>
        <v>41060</v>
      </c>
      <c r="K35" s="3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5" s="30">
        <f>NC[QTDE]*NC[PREÇO]</f>
        <v>7.0000000000000009</v>
      </c>
      <c r="M35" s="30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-7.0000000000000009</v>
      </c>
      <c r="N35" s="30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35" s="30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35" s="30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35" s="30">
        <f>SETUP!$E$3*SUMPRODUCT(N(NC[DATA]=NC[[#This Row],[DATA]]),N(NC[ID]&lt;=NC[[#This Row],[ID]]))</f>
        <v>14.9</v>
      </c>
      <c r="R35" s="30">
        <f>TRUNC(NC[CORRETAGEM]*SETUP!$F$3,2)</f>
        <v>0.28999999999999998</v>
      </c>
      <c r="S35" s="30">
        <f>ROUND(NC[CORRETAGEM]*SETUP!$G$3,2)</f>
        <v>0.57999999999999996</v>
      </c>
      <c r="T35" s="30">
        <f>NC[VALOR LÍQUIDO DAS OPERAÇÕES]-NC[TAXA DE LIQUIDAÇÃO]-NC[EMOLUMENTOS]-NC[TAXA DE REGISTRO]-NC[CORRETAGEM]-NC[ISS]-IF(NC['[D/N']]="D",    0,    NC[OUTRAS BOVESPA])</f>
        <v>-22.77</v>
      </c>
      <c r="U35" s="30">
        <f>IF(AND(NC['[D/N']]="D",    NC[T]="CV"),    ROUND(NC[LÍQUIDO BASE]*0.01, 2),    0)</f>
        <v>0</v>
      </c>
      <c r="V35" s="15">
        <f>IF(NC[PREÇO] &gt; 0,    NC[LÍQUIDO BASE]-SUMPRODUCT(N(NC[DATA]=NC[[#This Row],[DATA]]),    NC[IRRF FONTE]),    0)</f>
        <v>-22.77</v>
      </c>
      <c r="W35" s="34">
        <f>NC[LÍQUIDO]-SUMPRODUCT(N(NC[DATA]=NC[[#This Row],[DATA]]),N(NC[ID]=(NC[[#This Row],[ID]]-1)),NC[LÍQUIDO])</f>
        <v>-22.77</v>
      </c>
      <c r="X35" s="30">
        <f>IF(NC[T] = "VC", ABS(NC[VALOR OP]) / NC[QTDE], NC[VALOR OP]/NC[QTDE])</f>
        <v>0.22769999999999999</v>
      </c>
      <c r="Y35" s="30">
        <f>TRUNC(IF(OR(NC[T]="CV",NC[T]="VV"),     L35*SETUP!$H$3,     0),2)</f>
        <v>0</v>
      </c>
      <c r="Z35" s="3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35" s="35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0.22769999999999999</v>
      </c>
      <c r="AB35" s="35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1.7697000000000001</v>
      </c>
      <c r="AC35" s="35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154.20000000000002</v>
      </c>
      <c r="AD35" s="30">
        <f>IF(NC[LUCRO TMP] &lt;&gt; 0, NC[LUCRO TMP] - SUMPRODUCT(N(NC[ATIVO]=NC[[#This Row],[ATIVO]]),N(NC['[D/N']]="N"),N(NC[ID]&lt;NC[[#This Row],[ID]]),N(NC[PAR]=NC[[#This Row],[PAR]]), NC[LUCRO TMP]), 0)</f>
        <v>154.20000000000002</v>
      </c>
      <c r="AE35" s="30">
        <f>IF(NC[U] = "U", SUMPRODUCT(N(NC[ID]&lt;=NC[[#This Row],[ID]]),N(NC[DATA BASE]=NC[[#This Row],[DATA BASE]]), N(NC['[D/N']] = "N"),    NC[LUCRO P/ OP]), 0)</f>
        <v>0</v>
      </c>
      <c r="AF35" s="15">
        <f>IF(NC[U] = "U",NC[LUCRO '[N']] + SUMPRODUCT(N(MONTH(NC[DATA BASE])&lt;MONTH(NC[[#This Row],[DATA BASE]]) ), NC[LUCRO '[N']]),0)</f>
        <v>0</v>
      </c>
      <c r="AG35" s="30">
        <f>IF(NC[U] = "U", SUMPRODUCT(N(NC[DATA BASE]=NC[[#This Row],[DATA BASE]]), N(NC['[D/N']] = "D"),    NC[LUCRO P/ OP]), 0)</f>
        <v>0</v>
      </c>
      <c r="AH35" s="34">
        <f>IF(NC[ TRIB. '[N']] &gt; 0,     ROUND(NC[ TRIB. '[N']]*0.15,    2),    0)</f>
        <v>0</v>
      </c>
      <c r="AI35" s="34">
        <f>IF(NC[LUCRO TRIB. DT] &gt; 0,     ROUND(NC[LUCRO TRIB. DT]*0.2,    2)  -  SUMPRODUCT(N(NC[DATA BASE]=NC[[#This Row],[DATA BASE]]),    NC[IRRF FONTE]),    0)</f>
        <v>0</v>
      </c>
      <c r="AJ35" s="36">
        <f>NC[IR '[N']] + NC[IR DEVIDO DT]</f>
        <v>0</v>
      </c>
      <c r="AK35" s="34">
        <f>IF(AND(NC[U] = "U",NC[IR DEVIDO] &gt; 0), NC[IR DEVIDO] + 8.9, 0)</f>
        <v>0</v>
      </c>
      <c r="AL35" s="34">
        <f>NC[LUCRO '[N']]  + NC[LUCRO TRIB. DT] - NC[RESGATE]</f>
        <v>0</v>
      </c>
    </row>
    <row r="36" spans="1:38" x14ac:dyDescent="0.2">
      <c r="A36" s="13">
        <v>35</v>
      </c>
      <c r="B36" s="44"/>
      <c r="C36" s="57" t="s">
        <v>96</v>
      </c>
      <c r="D36" s="44" t="s">
        <v>72</v>
      </c>
      <c r="E36" s="45">
        <v>41043</v>
      </c>
      <c r="F36" s="44">
        <v>900</v>
      </c>
      <c r="G36" s="43">
        <v>1.02</v>
      </c>
      <c r="H36" s="44" t="s">
        <v>6</v>
      </c>
      <c r="I36" s="45">
        <f>WORKDAY(NC[[#This Row],[DATA]],1,0)</f>
        <v>41044</v>
      </c>
      <c r="J36" s="46">
        <f>EOMONTH(NC[[#This Row],[DATA DE LIQUIDAÇÃO]],0)</f>
        <v>41060</v>
      </c>
      <c r="K36" s="44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6" s="43">
        <f>NC[QTDE]*NC[PREÇO]</f>
        <v>918</v>
      </c>
      <c r="M36" s="4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911</v>
      </c>
      <c r="N36" s="43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O36" s="4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0.34</v>
      </c>
      <c r="P36" s="4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0.64</v>
      </c>
      <c r="Q36" s="43">
        <f>SETUP!$E$3*SUMPRODUCT(N(NC[DATA]=NC[[#This Row],[DATA]]),N(NC[ID]&lt;=NC[[#This Row],[ID]]))</f>
        <v>29.8</v>
      </c>
      <c r="R36" s="43">
        <f>TRUNC(NC[CORRETAGEM]*SETUP!$F$3,2)</f>
        <v>0.59</v>
      </c>
      <c r="S36" s="43">
        <f>ROUND(NC[CORRETAGEM]*SETUP!$G$3,2)</f>
        <v>1.1599999999999999</v>
      </c>
      <c r="T36" s="43">
        <f>NC[VALOR LÍQUIDO DAS OPERAÇÕES]-NC[TAXA DE LIQUIDAÇÃO]-NC[EMOLUMENTOS]-NC[TAXA DE REGISTRO]-NC[CORRETAGEM]-NC[ISS]-IF(NC['[D/N']]="D",    0,    NC[OUTRAS BOVESPA])</f>
        <v>878.22</v>
      </c>
      <c r="U36" s="43">
        <f>IF(AND(NC['[D/N']]="D",    NC[T]="CV"),    ROUND(NC[LÍQUIDO BASE]*0.01, 2),    0)</f>
        <v>0</v>
      </c>
      <c r="V36" s="15">
        <f>IF(NC[PREÇO] &gt; 0,    NC[LÍQUIDO BASE]-SUMPRODUCT(N(NC[DATA]=NC[[#This Row],[DATA]]),    NC[IRRF FONTE]),    0)</f>
        <v>878.22</v>
      </c>
      <c r="W36" s="47">
        <f>NC[LÍQUIDO]-SUMPRODUCT(N(NC[DATA]=NC[[#This Row],[DATA]]),N(NC[ID]=(NC[[#This Row],[ID]]-1)),NC[LÍQUIDO])</f>
        <v>900.99</v>
      </c>
      <c r="X36" s="43">
        <f>IF(NC[T] = "VC", ABS(NC[VALOR OP]) / NC[QTDE], NC[VALOR OP]/NC[QTDE])</f>
        <v>1.0011000000000001</v>
      </c>
      <c r="Y36" s="43">
        <f>TRUNC(IF(OR(NC[T]="CV",NC[T]="VV"),     L36*SETUP!$H$3,     0),2)</f>
        <v>0.04</v>
      </c>
      <c r="Z36" s="44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-900</v>
      </c>
      <c r="AA36" s="48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B36" s="48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1.0011000000000001</v>
      </c>
      <c r="AC36" s="4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6" s="43">
        <f>IF(NC[LUCRO TMP] &lt;&gt; 0, NC[LUCRO TMP] - SUMPRODUCT(N(NC[ATIVO]=NC[[#This Row],[ATIVO]]),N(NC['[D/N']]="N"),N(NC[ID]&lt;NC[[#This Row],[ID]]),N(NC[PAR]=NC[[#This Row],[PAR]]), NC[LUCRO TMP]), 0)</f>
        <v>0</v>
      </c>
      <c r="AE36" s="43">
        <f>IF(NC[U] = "U", SUMPRODUCT(N(NC[ID]&lt;=NC[[#This Row],[ID]]),N(NC[DATA BASE]=NC[[#This Row],[DATA BASE]]), N(NC['[D/N']] = "N"),    NC[LUCRO P/ OP]), 0)</f>
        <v>0</v>
      </c>
      <c r="AF36" s="15">
        <f>IF(NC[U] = "U",NC[LUCRO '[N']] + SUMPRODUCT(N(MONTH(NC[DATA BASE])&lt;MONTH(NC[[#This Row],[DATA BASE]]) ), NC[LUCRO '[N']]),0)</f>
        <v>0</v>
      </c>
      <c r="AG36" s="43">
        <f>IF(NC[U] = "U", SUMPRODUCT(N(NC[DATA BASE]=NC[[#This Row],[DATA BASE]]), N(NC['[D/N']] = "D"),    NC[LUCRO P/ OP]), 0)</f>
        <v>0</v>
      </c>
      <c r="AH36" s="47">
        <f>IF(NC[ TRIB. '[N']] &gt; 0,     ROUND(NC[ TRIB. '[N']]*0.15,    2),    0)</f>
        <v>0</v>
      </c>
      <c r="AI36" s="47">
        <f>IF(NC[LUCRO TRIB. DT] &gt; 0,     ROUND(NC[LUCRO TRIB. DT]*0.2,    2)  -  SUMPRODUCT(N(NC[DATA BASE]=NC[[#This Row],[DATA BASE]]),    NC[IRRF FONTE]),    0)</f>
        <v>0</v>
      </c>
      <c r="AJ36" s="50">
        <f>NC[IR '[N']] + NC[IR DEVIDO DT]</f>
        <v>0</v>
      </c>
      <c r="AK36" s="47">
        <f>IF(AND(NC[U] = "U",NC[IR DEVIDO] &gt; 0), NC[IR DEVIDO] + 8.9, 0)</f>
        <v>0</v>
      </c>
      <c r="AL36" s="47">
        <f>NC[LUCRO '[N']]  + NC[LUCRO TRIB. DT] - NC[RESGATE]</f>
        <v>0</v>
      </c>
    </row>
    <row r="37" spans="1:38" x14ac:dyDescent="0.2">
      <c r="A37" s="13">
        <v>36</v>
      </c>
      <c r="B37" s="44"/>
      <c r="C37" s="57" t="s">
        <v>91</v>
      </c>
      <c r="D37" s="44" t="s">
        <v>24</v>
      </c>
      <c r="E37" s="45">
        <v>41043</v>
      </c>
      <c r="F37" s="44">
        <v>900</v>
      </c>
      <c r="G37" s="43">
        <v>0.5</v>
      </c>
      <c r="H37" s="44" t="s">
        <v>6</v>
      </c>
      <c r="I37" s="45">
        <f>WORKDAY(NC[[#This Row],[DATA]],1,0)</f>
        <v>41044</v>
      </c>
      <c r="J37" s="46">
        <f>EOMONTH(NC[[#This Row],[DATA DE LIQUIDAÇÃO]],0)</f>
        <v>41060</v>
      </c>
      <c r="K37" s="44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7" s="43">
        <f>NC[QTDE]*NC[PREÇO]</f>
        <v>450</v>
      </c>
      <c r="M37" s="4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461</v>
      </c>
      <c r="N37" s="43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0.37</v>
      </c>
      <c r="O37" s="4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0.5</v>
      </c>
      <c r="P37" s="4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0.95</v>
      </c>
      <c r="Q37" s="43">
        <f>SETUP!$E$3*SUMPRODUCT(N(NC[DATA]=NC[[#This Row],[DATA]]),N(NC[ID]&lt;=NC[[#This Row],[ID]]))</f>
        <v>44.7</v>
      </c>
      <c r="R37" s="43">
        <f>TRUNC(NC[CORRETAGEM]*SETUP!$F$3,2)</f>
        <v>0.89</v>
      </c>
      <c r="S37" s="43">
        <f>ROUND(NC[CORRETAGEM]*SETUP!$G$3,2)</f>
        <v>1.74</v>
      </c>
      <c r="T37" s="43">
        <f>NC[VALOR LÍQUIDO DAS OPERAÇÕES]-NC[TAXA DE LIQUIDAÇÃO]-NC[EMOLUMENTOS]-NC[TAXA DE REGISTRO]-NC[CORRETAGEM]-NC[ISS]-IF(NC['[D/N']]="D",    0,    NC[OUTRAS BOVESPA])</f>
        <v>411.85</v>
      </c>
      <c r="U37" s="43">
        <f>IF(AND(NC['[D/N']]="D",    NC[T]="CV"),    ROUND(NC[LÍQUIDO BASE]*0.01, 2),    0)</f>
        <v>0</v>
      </c>
      <c r="V37" s="15">
        <f>IF(NC[PREÇO] &gt; 0,    NC[LÍQUIDO BASE]-SUMPRODUCT(N(NC[DATA]=NC[[#This Row],[DATA]]),    NC[IRRF FONTE]),    0)</f>
        <v>411.85</v>
      </c>
      <c r="W37" s="47">
        <f>NC[LÍQUIDO]-SUMPRODUCT(N(NC[DATA]=NC[[#This Row],[DATA]]),N(NC[ID]=(NC[[#This Row],[ID]]-1)),NC[LÍQUIDO])</f>
        <v>-466.37</v>
      </c>
      <c r="X37" s="43">
        <f>IF(NC[T] = "VC", ABS(NC[VALOR OP]) / NC[QTDE], NC[VALOR OP]/NC[QTDE])</f>
        <v>-0.51818888888888892</v>
      </c>
      <c r="Y37" s="43">
        <f>TRUNC(IF(OR(NC[T]="CV",NC[T]="VV"),     L37*SETUP!$H$3,     0),2)</f>
        <v>0</v>
      </c>
      <c r="Z37" s="44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900</v>
      </c>
      <c r="AA37" s="48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0.51818888888888892</v>
      </c>
      <c r="AB37" s="48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37" s="4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7" s="43">
        <f>IF(NC[LUCRO TMP] &lt;&gt; 0, NC[LUCRO TMP] - SUMPRODUCT(N(NC[ATIVO]=NC[[#This Row],[ATIVO]]),N(NC['[D/N']]="N"),N(NC[ID]&lt;NC[[#This Row],[ID]]),N(NC[PAR]=NC[[#This Row],[PAR]]), NC[LUCRO TMP]), 0)</f>
        <v>0</v>
      </c>
      <c r="AE37" s="43">
        <f>IF(NC[U] = "U", SUMPRODUCT(N(NC[ID]&lt;=NC[[#This Row],[ID]]),N(NC[DATA BASE]=NC[[#This Row],[DATA BASE]]), N(NC['[D/N']] = "N"),    NC[LUCRO P/ OP]), 0)</f>
        <v>0</v>
      </c>
      <c r="AF37" s="15">
        <f>IF(NC[U] = "U",NC[LUCRO '[N']] + SUMPRODUCT(N(MONTH(NC[DATA BASE])&lt;MONTH(NC[[#This Row],[DATA BASE]]) ), NC[LUCRO '[N']]),0)</f>
        <v>0</v>
      </c>
      <c r="AG37" s="43">
        <f>IF(NC[U] = "U", SUMPRODUCT(N(NC[DATA BASE]=NC[[#This Row],[DATA BASE]]), N(NC['[D/N']] = "D"),    NC[LUCRO P/ OP]), 0)</f>
        <v>0</v>
      </c>
      <c r="AH37" s="47">
        <f>IF(NC[ TRIB. '[N']] &gt; 0,     ROUND(NC[ TRIB. '[N']]*0.15,    2),    0)</f>
        <v>0</v>
      </c>
      <c r="AI37" s="47">
        <f>IF(NC[LUCRO TRIB. DT] &gt; 0,     ROUND(NC[LUCRO TRIB. DT]*0.2,    2)  -  SUMPRODUCT(N(NC[DATA BASE]=NC[[#This Row],[DATA BASE]]),    NC[IRRF FONTE]),    0)</f>
        <v>0</v>
      </c>
      <c r="AJ37" s="50">
        <f>NC[IR '[N']] + NC[IR DEVIDO DT]</f>
        <v>0</v>
      </c>
      <c r="AK37" s="47">
        <f>IF(AND(NC[U] = "U",NC[IR DEVIDO] &gt; 0), NC[IR DEVIDO] + 8.9, 0)</f>
        <v>0</v>
      </c>
      <c r="AL37" s="47">
        <f>NC[LUCRO '[N']]  + NC[LUCRO TRIB. DT] - NC[RESGATE]</f>
        <v>0</v>
      </c>
    </row>
    <row r="38" spans="1:38" x14ac:dyDescent="0.2">
      <c r="A38" s="13">
        <v>37</v>
      </c>
      <c r="B38" s="13"/>
      <c r="C38" s="57" t="s">
        <v>111</v>
      </c>
      <c r="D38" s="13" t="s">
        <v>24</v>
      </c>
      <c r="E38" s="14">
        <v>41045</v>
      </c>
      <c r="F38" s="13">
        <v>200</v>
      </c>
      <c r="G38" s="15">
        <v>0.69</v>
      </c>
      <c r="H38" s="13" t="s">
        <v>6</v>
      </c>
      <c r="I38" s="14">
        <f>WORKDAY(NC[[#This Row],[DATA]],1,0)</f>
        <v>41046</v>
      </c>
      <c r="J38" s="58">
        <f>EOMONTH(NC[[#This Row],[DATA DE LIQUIDAÇÃO]],0)</f>
        <v>41060</v>
      </c>
      <c r="K3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8" s="15">
        <f>NC[QTDE]*NC[PREÇO]</f>
        <v>138</v>
      </c>
      <c r="M3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-138</v>
      </c>
      <c r="N3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0.03</v>
      </c>
      <c r="O3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P3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Q38" s="15">
        <f>SETUP!$E$3*SUMPRODUCT(N(NC[DATA]=NC[[#This Row],[DATA]]),N(NC[ID]&lt;=NC[[#This Row],[ID]]))</f>
        <v>14.9</v>
      </c>
      <c r="R38" s="15">
        <f>TRUNC(NC[CORRETAGEM]*SETUP!$F$3,2)</f>
        <v>0.28999999999999998</v>
      </c>
      <c r="S38" s="15">
        <f>ROUND(NC[CORRETAGEM]*SETUP!$G$3,2)</f>
        <v>0.57999999999999996</v>
      </c>
      <c r="T38" s="15">
        <f>NC[VALOR LÍQUIDO DAS OPERAÇÕES]-NC[TAXA DE LIQUIDAÇÃO]-NC[EMOLUMENTOS]-NC[TAXA DE REGISTRO]-NC[CORRETAGEM]-NC[ISS]-IF(NC['[D/N']]="D",    0,    NC[OUTRAS BOVESPA])</f>
        <v>-153.94000000000003</v>
      </c>
      <c r="U38" s="15">
        <f>IF(AND(NC['[D/N']]="D",    NC[T]="CV"),    ROUND(NC[LÍQUIDO BASE]*0.01, 2),    0)</f>
        <v>0</v>
      </c>
      <c r="V38" s="15">
        <f>IF(NC[PREÇO] &gt; 0,    NC[LÍQUIDO BASE]-SUMPRODUCT(N(NC[DATA]=NC[[#This Row],[DATA]]),    NC[IRRF FONTE]),    0)</f>
        <v>-153.94000000000003</v>
      </c>
      <c r="W38" s="20">
        <f>NC[LÍQUIDO]-SUMPRODUCT(N(NC[DATA]=NC[[#This Row],[DATA]]),N(NC[ID]=(NC[[#This Row],[ID]]-1)),NC[LÍQUIDO])</f>
        <v>-153.94000000000003</v>
      </c>
      <c r="X38" s="15">
        <f>IF(NC[T] = "VC", ABS(NC[VALOR OP]) / NC[QTDE], NC[VALOR OP]/NC[QTDE])</f>
        <v>-0.76970000000000016</v>
      </c>
      <c r="Y38" s="15">
        <f>TRUNC(IF(OR(NC[T]="CV",NC[T]="VV"),     L38*SETUP!$H$3,     0),2)</f>
        <v>0</v>
      </c>
      <c r="Z3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A3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0.76970000000000016</v>
      </c>
      <c r="AB3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38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8" s="15">
        <f>IF(NC[LUCRO TMP] &lt;&gt; 0, NC[LUCRO TMP] - SUMPRODUCT(N(NC[ATIVO]=NC[[#This Row],[ATIVO]]),N(NC['[D/N']]="N"),N(NC[ID]&lt;NC[[#This Row],[ID]]),N(NC[PAR]=NC[[#This Row],[PAR]]), NC[LUCRO TMP]), 0)</f>
        <v>0</v>
      </c>
      <c r="AE38" s="15">
        <f>IF(NC[U] = "U", SUMPRODUCT(N(NC[ID]&lt;=NC[[#This Row],[ID]]),N(NC[DATA BASE]=NC[[#This Row],[DATA BASE]]), N(NC['[D/N']] = "N"),    NC[LUCRO P/ OP]), 0)</f>
        <v>0</v>
      </c>
      <c r="AF38" s="15">
        <f>IF(NC[U] = "U",NC[LUCRO '[N']] + SUMPRODUCT(N(MONTH(NC[DATA BASE])&lt;MONTH(NC[[#This Row],[DATA BASE]]) ), NC[LUCRO '[N']]),0)</f>
        <v>0</v>
      </c>
      <c r="AG38" s="15">
        <f>IF(NC[U] = "U", SUMPRODUCT(N(NC[DATA BASE]=NC[[#This Row],[DATA BASE]]), N(NC['[D/N']] = "D"),    NC[LUCRO P/ OP]), 0)</f>
        <v>0</v>
      </c>
      <c r="AH38" s="20">
        <f>IF(NC[ TRIB. '[N']] &gt; 0,     ROUND(NC[ TRIB. '[N']]*0.15,    2),    0)</f>
        <v>0</v>
      </c>
      <c r="AI38" s="20">
        <f>IF(NC[LUCRO TRIB. DT] &gt; 0,     ROUND(NC[LUCRO TRIB. DT]*0.2,    2)  -  SUMPRODUCT(N(NC[DATA BASE]=NC[[#This Row],[DATA BASE]]),    NC[IRRF FONTE]),    0)</f>
        <v>0</v>
      </c>
      <c r="AJ38" s="19">
        <f>NC[IR '[N']] + NC[IR DEVIDO DT]</f>
        <v>0</v>
      </c>
      <c r="AK38" s="20">
        <f>IF(AND(NC[U] = "U",NC[IR DEVIDO] &gt; 0), NC[IR DEVIDO] + 8.9, 0)</f>
        <v>0</v>
      </c>
      <c r="AL38" s="20">
        <f>NC[LUCRO '[N']]  + NC[LUCRO TRIB. DT] - NC[RESGATE]</f>
        <v>0</v>
      </c>
    </row>
    <row r="39" spans="1:38" x14ac:dyDescent="0.2">
      <c r="A39" s="13">
        <v>38</v>
      </c>
      <c r="B39" s="13"/>
      <c r="C39" s="57" t="s">
        <v>112</v>
      </c>
      <c r="D39" s="13" t="s">
        <v>72</v>
      </c>
      <c r="E39" s="14">
        <v>41045</v>
      </c>
      <c r="F39" s="13">
        <v>200</v>
      </c>
      <c r="G39" s="15">
        <v>1.37</v>
      </c>
      <c r="H39" s="13" t="s">
        <v>6</v>
      </c>
      <c r="I39" s="14">
        <f>WORKDAY(NC[[#This Row],[DATA]],1,0)</f>
        <v>41046</v>
      </c>
      <c r="J39" s="58">
        <f>EOMONTH(NC[[#This Row],[DATA DE LIQUIDAÇÃO]],0)</f>
        <v>41060</v>
      </c>
      <c r="K3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9" s="15">
        <f>NC[QTDE]*NC[PREÇO]</f>
        <v>274</v>
      </c>
      <c r="M3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N3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0.11</v>
      </c>
      <c r="O3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P3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0.28000000000000003</v>
      </c>
      <c r="Q39" s="15">
        <f>SETUP!$E$3*SUMPRODUCT(N(NC[DATA]=NC[[#This Row],[DATA]]),N(NC[ID]&lt;=NC[[#This Row],[ID]]))</f>
        <v>29.8</v>
      </c>
      <c r="R39" s="15">
        <f>TRUNC(NC[CORRETAGEM]*SETUP!$F$3,2)</f>
        <v>0.59</v>
      </c>
      <c r="S39" s="15">
        <f>ROUND(NC[CORRETAGEM]*SETUP!$G$3,2)</f>
        <v>1.1599999999999999</v>
      </c>
      <c r="T39" s="15">
        <f>NC[VALOR LÍQUIDO DAS OPERAÇÕES]-NC[TAXA DE LIQUIDAÇÃO]-NC[EMOLUMENTOS]-NC[TAXA DE REGISTRO]-NC[CORRETAGEM]-NC[ISS]-IF(NC['[D/N']]="D",    0,    NC[OUTRAS BOVESPA])</f>
        <v>103.90999999999998</v>
      </c>
      <c r="U39" s="15">
        <f>IF(AND(NC['[D/N']]="D",    NC[T]="CV"),    ROUND(NC[LÍQUIDO BASE]*0.01, 2),    0)</f>
        <v>0</v>
      </c>
      <c r="V39" s="15">
        <f>IF(NC[PREÇO] &gt; 0,    NC[LÍQUIDO BASE]-SUMPRODUCT(N(NC[DATA]=NC[[#This Row],[DATA]]),    NC[IRRF FONTE]),    0)</f>
        <v>103.90999999999998</v>
      </c>
      <c r="W39" s="20">
        <f>NC[LÍQUIDO]-SUMPRODUCT(N(NC[DATA]=NC[[#This Row],[DATA]]),N(NC[ID]=(NC[[#This Row],[ID]]-1)),NC[LÍQUIDO])</f>
        <v>257.85000000000002</v>
      </c>
      <c r="X39" s="15">
        <f>IF(NC[T] = "VC", ABS(NC[VALOR OP]) / NC[QTDE], NC[VALOR OP]/NC[QTDE])</f>
        <v>1.28925</v>
      </c>
      <c r="Y39" s="15">
        <f>TRUNC(IF(OR(NC[T]="CV",NC[T]="VV"),     L39*SETUP!$H$3,     0),2)</f>
        <v>0.01</v>
      </c>
      <c r="Z3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-200</v>
      </c>
      <c r="AA3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B3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1.28925</v>
      </c>
      <c r="AC39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39" s="15">
        <f>IF(NC[LUCRO TMP] &lt;&gt; 0, NC[LUCRO TMP] - SUMPRODUCT(N(NC[ATIVO]=NC[[#This Row],[ATIVO]]),N(NC['[D/N']]="N"),N(NC[ID]&lt;NC[[#This Row],[ID]]),N(NC[PAR]=NC[[#This Row],[PAR]]), NC[LUCRO TMP]), 0)</f>
        <v>0</v>
      </c>
      <c r="AE39" s="15">
        <f>IF(NC[U] = "U", SUMPRODUCT(N(NC[ID]&lt;=NC[[#This Row],[ID]]),N(NC[DATA BASE]=NC[[#This Row],[DATA BASE]]), N(NC['[D/N']] = "N"),    NC[LUCRO P/ OP]), 0)</f>
        <v>0</v>
      </c>
      <c r="AF39" s="15">
        <f>IF(NC[U] = "U",NC[LUCRO '[N']] + SUMPRODUCT(N(MONTH(NC[DATA BASE])&lt;MONTH(NC[[#This Row],[DATA BASE]]) ), NC[LUCRO '[N']]),0)</f>
        <v>0</v>
      </c>
      <c r="AG39" s="15">
        <f>IF(NC[U] = "U", SUMPRODUCT(N(NC[DATA BASE]=NC[[#This Row],[DATA BASE]]), N(NC['[D/N']] = "D"),    NC[LUCRO P/ OP]), 0)</f>
        <v>0</v>
      </c>
      <c r="AH39" s="20">
        <f>IF(NC[ TRIB. '[N']] &gt; 0,     ROUND(NC[ TRIB. '[N']]*0.15,    2),    0)</f>
        <v>0</v>
      </c>
      <c r="AI39" s="20">
        <f>IF(NC[LUCRO TRIB. DT] &gt; 0,     ROUND(NC[LUCRO TRIB. DT]*0.2,    2)  -  SUMPRODUCT(N(NC[DATA BASE]=NC[[#This Row],[DATA BASE]]),    NC[IRRF FONTE]),    0)</f>
        <v>0</v>
      </c>
      <c r="AJ39" s="19">
        <f>NC[IR '[N']] + NC[IR DEVIDO DT]</f>
        <v>0</v>
      </c>
      <c r="AK39" s="20">
        <f>IF(AND(NC[U] = "U",NC[IR DEVIDO] &gt; 0), NC[IR DEVIDO] + 8.9, 0)</f>
        <v>0</v>
      </c>
      <c r="AL39" s="20">
        <f>NC[LUCRO '[N']]  + NC[LUCRO TRIB. DT] - NC[RESGATE]</f>
        <v>0</v>
      </c>
    </row>
    <row r="40" spans="1:38" x14ac:dyDescent="0.2">
      <c r="A40" s="13">
        <v>39</v>
      </c>
      <c r="B40" s="13"/>
      <c r="C40" s="57" t="s">
        <v>86</v>
      </c>
      <c r="D40" s="13" t="s">
        <v>73</v>
      </c>
      <c r="E40" s="32">
        <v>41047</v>
      </c>
      <c r="F40" s="13">
        <v>100</v>
      </c>
      <c r="G40" s="15">
        <v>0.28999999999999998</v>
      </c>
      <c r="H40" s="13" t="s">
        <v>6</v>
      </c>
      <c r="I40" s="14">
        <f>WORKDAY(NC[[#This Row],[DATA]],1,0)</f>
        <v>41050</v>
      </c>
      <c r="J40" s="22">
        <f>EOMONTH(NC[[#This Row],[DATA DE LIQUIDAÇÃO]],0)</f>
        <v>41060</v>
      </c>
      <c r="K4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0" s="15">
        <f>NC[QTDE]*NC[PREÇO]</f>
        <v>28.999999999999996</v>
      </c>
      <c r="M4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-28.999999999999996</v>
      </c>
      <c r="N4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4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P4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Q40" s="15">
        <f>SETUP!$E$3*SUMPRODUCT(N(NC[DATA]=NC[[#This Row],[DATA]]),N(NC[ID]&lt;=NC[[#This Row],[ID]]))</f>
        <v>14.9</v>
      </c>
      <c r="R40" s="15">
        <f>TRUNC(NC[CORRETAGEM]*SETUP!$F$3,2)</f>
        <v>0.28999999999999998</v>
      </c>
      <c r="S40" s="15">
        <f>ROUND(NC[CORRETAGEM]*SETUP!$G$3,2)</f>
        <v>0.57999999999999996</v>
      </c>
      <c r="T40" s="15">
        <f>NC[VALOR LÍQUIDO DAS OPERAÇÕES]-NC[TAXA DE LIQUIDAÇÃO]-NC[EMOLUMENTOS]-NC[TAXA DE REGISTRO]-NC[CORRETAGEM]-NC[ISS]-IF(NC['[D/N']]="D",    0,    NC[OUTRAS BOVESPA])</f>
        <v>-44.8</v>
      </c>
      <c r="U40" s="15">
        <f>IF(AND(NC['[D/N']]="D",    NC[T]="CV"),    ROUND(NC[LÍQUIDO BASE]*0.01, 2),    0)</f>
        <v>0</v>
      </c>
      <c r="V40" s="15">
        <f>IF(NC[PREÇO] &gt; 0,    NC[LÍQUIDO BASE]-SUMPRODUCT(N(NC[DATA]=NC[[#This Row],[DATA]]),    NC[IRRF FONTE]),    0)</f>
        <v>-44.8</v>
      </c>
      <c r="W40" s="20">
        <f>NC[LÍQUIDO]-SUMPRODUCT(N(NC[DATA]=NC[[#This Row],[DATA]]),N(NC[ID]=(NC[[#This Row],[ID]]-1)),NC[LÍQUIDO])</f>
        <v>-44.8</v>
      </c>
      <c r="X40" s="15">
        <f>IF(NC[T] = "VC", ABS(NC[VALOR OP]) / NC[QTDE], NC[VALOR OP]/NC[QTDE])</f>
        <v>0.44799999999999995</v>
      </c>
      <c r="Y40" s="15">
        <f>TRUNC(IF(OR(NC[T]="CV",NC[T]="VV"),     L40*SETUP!$H$3,     0),2)</f>
        <v>0</v>
      </c>
      <c r="Z4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0.44799999999999995</v>
      </c>
      <c r="AB4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1.3601999999999999</v>
      </c>
      <c r="AC40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91.219999999999985</v>
      </c>
      <c r="AD40" s="15">
        <f>IF(NC[LUCRO TMP] &lt;&gt; 0, NC[LUCRO TMP] - SUMPRODUCT(N(NC[ATIVO]=NC[[#This Row],[ATIVO]]),N(NC['[D/N']]="N"),N(NC[ID]&lt;NC[[#This Row],[ID]]),N(NC[PAR]=NC[[#This Row],[PAR]]), NC[LUCRO TMP]), 0)</f>
        <v>91.219999999999985</v>
      </c>
      <c r="AE40" s="15">
        <f>IF(NC[U] = "U", SUMPRODUCT(N(NC[ID]&lt;=NC[[#This Row],[ID]]),N(NC[DATA BASE]=NC[[#This Row],[DATA BASE]]), N(NC['[D/N']] = "N"),    NC[LUCRO P/ OP]), 0)</f>
        <v>0</v>
      </c>
      <c r="AF40" s="15">
        <f>IF(NC[U] = "U",NC[LUCRO '[N']] + SUMPRODUCT(N(MONTH(NC[DATA BASE])&lt;MONTH(NC[[#This Row],[DATA BASE]]) ), NC[LUCRO '[N']]),0)</f>
        <v>0</v>
      </c>
      <c r="AG40" s="15">
        <f>IF(NC[U] = "U", SUMPRODUCT(N(NC[DATA BASE]=NC[[#This Row],[DATA BASE]]), N(NC['[D/N']] = "D"),    NC[LUCRO P/ OP]), 0)</f>
        <v>0</v>
      </c>
      <c r="AH40" s="20">
        <f>IF(NC[ TRIB. '[N']] &gt; 0,     ROUND(NC[ TRIB. '[N']]*0.15,    2),    0)</f>
        <v>0</v>
      </c>
      <c r="AI40" s="20">
        <f>IF(NC[LUCRO TRIB. DT] &gt; 0,     ROUND(NC[LUCRO TRIB. DT]*0.2,    2)  -  SUMPRODUCT(N(NC[DATA BASE]=NC[[#This Row],[DATA BASE]]),    NC[IRRF FONTE]),    0)</f>
        <v>0</v>
      </c>
      <c r="AJ40" s="19">
        <f>NC[IR '[N']] + NC[IR DEVIDO DT]</f>
        <v>0</v>
      </c>
      <c r="AK40" s="20">
        <f>IF(AND(NC[U] = "U",NC[IR DEVIDO] &gt; 0), NC[IR DEVIDO] + 8.9, 0)</f>
        <v>0</v>
      </c>
      <c r="AL40" s="20">
        <f>NC[LUCRO '[N']]  + NC[LUCRO TRIB. DT] - NC[RESGATE]</f>
        <v>0</v>
      </c>
    </row>
    <row r="41" spans="1:38" x14ac:dyDescent="0.2">
      <c r="A41" s="13">
        <v>40</v>
      </c>
      <c r="B41" s="44"/>
      <c r="C41" s="57" t="s">
        <v>96</v>
      </c>
      <c r="D41" s="44" t="s">
        <v>73</v>
      </c>
      <c r="E41" s="45">
        <v>41047</v>
      </c>
      <c r="F41" s="44">
        <v>900</v>
      </c>
      <c r="G41" s="43">
        <v>0.04</v>
      </c>
      <c r="H41" s="44" t="s">
        <v>6</v>
      </c>
      <c r="I41" s="45">
        <f>WORKDAY(NC[[#This Row],[DATA]],1,0)</f>
        <v>41050</v>
      </c>
      <c r="J41" s="46">
        <f>EOMONTH(NC[[#This Row],[DATA DE LIQUIDAÇÃO]],0)</f>
        <v>41060</v>
      </c>
      <c r="K41" s="44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1" s="43">
        <f>NC[QTDE]*NC[PREÇO]</f>
        <v>36</v>
      </c>
      <c r="M41" s="4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-65</v>
      </c>
      <c r="N41" s="43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0.01</v>
      </c>
      <c r="O41" s="4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41" s="4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41" s="43">
        <f>SETUP!$E$3*SUMPRODUCT(N(NC[DATA]=NC[[#This Row],[DATA]]),N(NC[ID]&lt;=NC[[#This Row],[ID]]))</f>
        <v>29.8</v>
      </c>
      <c r="R41" s="43">
        <f>TRUNC(NC[CORRETAGEM]*SETUP!$F$3,2)</f>
        <v>0.59</v>
      </c>
      <c r="S41" s="43">
        <f>ROUND(NC[CORRETAGEM]*SETUP!$G$3,2)</f>
        <v>1.1599999999999999</v>
      </c>
      <c r="T41" s="43">
        <f>NC[VALOR LÍQUIDO DAS OPERAÇÕES]-NC[TAXA DE LIQUIDAÇÃO]-NC[EMOLUMENTOS]-NC[TAXA DE REGISTRO]-NC[CORRETAGEM]-NC[ISS]-IF(NC['[D/N']]="D",    0,    NC[OUTRAS BOVESPA])</f>
        <v>-96.62</v>
      </c>
      <c r="U41" s="43">
        <f>IF(AND(NC['[D/N']]="D",    NC[T]="CV"),    ROUND(NC[LÍQUIDO BASE]*0.01, 2),    0)</f>
        <v>0</v>
      </c>
      <c r="V41" s="15">
        <f>IF(NC[PREÇO] &gt; 0,    NC[LÍQUIDO BASE]-SUMPRODUCT(N(NC[DATA]=NC[[#This Row],[DATA]]),    NC[IRRF FONTE]),    0)</f>
        <v>-96.62</v>
      </c>
      <c r="W41" s="47">
        <f>NC[LÍQUIDO]-SUMPRODUCT(N(NC[DATA]=NC[[#This Row],[DATA]]),N(NC[ID]=(NC[[#This Row],[ID]]-1)),NC[LÍQUIDO])</f>
        <v>-51.820000000000007</v>
      </c>
      <c r="X41" s="43">
        <f>IF(NC[T] = "VC", ABS(NC[VALOR OP]) / NC[QTDE], NC[VALOR OP]/NC[QTDE])</f>
        <v>5.7577777777777783E-2</v>
      </c>
      <c r="Y41" s="43">
        <f>TRUNC(IF(OR(NC[T]="CV",NC[T]="VV"),     L41*SETUP!$H$3,     0),2)</f>
        <v>0</v>
      </c>
      <c r="Z41" s="44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1" s="48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5.7577777777777783E-2</v>
      </c>
      <c r="AB41" s="48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1.0011000000000001</v>
      </c>
      <c r="AC41" s="4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849.17000000000019</v>
      </c>
      <c r="AD41" s="43">
        <f>IF(NC[LUCRO TMP] &lt;&gt; 0, NC[LUCRO TMP] - SUMPRODUCT(N(NC[ATIVO]=NC[[#This Row],[ATIVO]]),N(NC['[D/N']]="N"),N(NC[ID]&lt;NC[[#This Row],[ID]]),N(NC[PAR]=NC[[#This Row],[PAR]]), NC[LUCRO TMP]), 0)</f>
        <v>849.17000000000019</v>
      </c>
      <c r="AE41" s="43">
        <f>IF(NC[U] = "U", SUMPRODUCT(N(NC[ID]&lt;=NC[[#This Row],[ID]]),N(NC[DATA BASE]=NC[[#This Row],[DATA BASE]]), N(NC['[D/N']] = "N"),    NC[LUCRO P/ OP]), 0)</f>
        <v>0</v>
      </c>
      <c r="AF41" s="15">
        <f>IF(NC[U] = "U",NC[LUCRO '[N']] + SUMPRODUCT(N(MONTH(NC[DATA BASE])&lt;MONTH(NC[[#This Row],[DATA BASE]]) ), NC[LUCRO '[N']]),0)</f>
        <v>0</v>
      </c>
      <c r="AG41" s="43">
        <f>IF(NC[U] = "U", SUMPRODUCT(N(NC[DATA BASE]=NC[[#This Row],[DATA BASE]]), N(NC['[D/N']] = "D"),    NC[LUCRO P/ OP]), 0)</f>
        <v>0</v>
      </c>
      <c r="AH41" s="47">
        <f>IF(NC[ TRIB. '[N']] &gt; 0,     ROUND(NC[ TRIB. '[N']]*0.15,    2),    0)</f>
        <v>0</v>
      </c>
      <c r="AI41" s="47">
        <f>IF(NC[LUCRO TRIB. DT] &gt; 0,     ROUND(NC[LUCRO TRIB. DT]*0.2,    2)  -  SUMPRODUCT(N(NC[DATA BASE]=NC[[#This Row],[DATA BASE]]),    NC[IRRF FONTE]),    0)</f>
        <v>0</v>
      </c>
      <c r="AJ41" s="50">
        <f>NC[IR '[N']] + NC[IR DEVIDO DT]</f>
        <v>0</v>
      </c>
      <c r="AK41" s="47">
        <f>IF(AND(NC[U] = "U",NC[IR DEVIDO] &gt; 0), NC[IR DEVIDO] + 8.9, 0)</f>
        <v>0</v>
      </c>
      <c r="AL41" s="47">
        <f>NC[LUCRO '[N']]  + NC[LUCRO TRIB. DT] - NC[RESGATE]</f>
        <v>0</v>
      </c>
    </row>
    <row r="42" spans="1:38" x14ac:dyDescent="0.2">
      <c r="A42" s="13">
        <v>41</v>
      </c>
      <c r="B42" s="31"/>
      <c r="C42" s="57" t="s">
        <v>70</v>
      </c>
      <c r="D42" s="31" t="s">
        <v>25</v>
      </c>
      <c r="E42" s="32">
        <v>41050</v>
      </c>
      <c r="F42" s="31">
        <v>100</v>
      </c>
      <c r="G42" s="30">
        <v>0</v>
      </c>
      <c r="H42" s="31" t="s">
        <v>6</v>
      </c>
      <c r="I42" s="32">
        <f>WORKDAY(NC[[#This Row],[DATA]],1,0)</f>
        <v>41051</v>
      </c>
      <c r="J42" s="33">
        <f>EOMONTH(NC[[#This Row],[DATA DE LIQUIDAÇÃO]],0)</f>
        <v>41060</v>
      </c>
      <c r="K42" s="3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2" s="30">
        <f>NC[QTDE]*NC[PREÇO]</f>
        <v>0</v>
      </c>
      <c r="M42" s="30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42" s="30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42" s="30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42" s="30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42" s="30">
        <f>SETUP!$E$3*SUMPRODUCT(N(NC[DATA]=NC[[#This Row],[DATA]]),N(NC[ID]&lt;=NC[[#This Row],[ID]]))</f>
        <v>14.9</v>
      </c>
      <c r="R42" s="30">
        <f>TRUNC(NC[CORRETAGEM]*SETUP!$F$3,2)</f>
        <v>0.28999999999999998</v>
      </c>
      <c r="S42" s="30">
        <f>ROUND(NC[CORRETAGEM]*SETUP!$G$3,2)</f>
        <v>0.57999999999999996</v>
      </c>
      <c r="T42" s="30">
        <f>NC[VALOR LÍQUIDO DAS OPERAÇÕES]-NC[TAXA DE LIQUIDAÇÃO]-NC[EMOLUMENTOS]-NC[TAXA DE REGISTRO]-NC[CORRETAGEM]-NC[ISS]-IF(NC['[D/N']]="D",    0,    NC[OUTRAS BOVESPA])</f>
        <v>-15.77</v>
      </c>
      <c r="U42" s="30">
        <f>IF(AND(NC['[D/N']]="D",    NC[T]="CV"),    ROUND(NC[LÍQUIDO BASE]*0.01, 2),    0)</f>
        <v>0</v>
      </c>
      <c r="V42" s="15">
        <f>IF(NC[PREÇO] &gt; 0,    NC[LÍQUIDO BASE]-SUMPRODUCT(N(NC[DATA]=NC[[#This Row],[DATA]]),    NC[IRRF FONTE]),    0)</f>
        <v>0</v>
      </c>
      <c r="W42" s="34">
        <f>NC[LÍQUIDO]-SUMPRODUCT(N(NC[DATA]=NC[[#This Row],[DATA]]),N(NC[ID]=(NC[[#This Row],[ID]]-1)),NC[LÍQUIDO])</f>
        <v>0</v>
      </c>
      <c r="X42" s="30">
        <f>IF(NC[T] = "VC", ABS(NC[VALOR OP]) / NC[QTDE], NC[VALOR OP]/NC[QTDE])</f>
        <v>0</v>
      </c>
      <c r="Y42" s="30">
        <f>TRUNC(IF(OR(NC[T]="CV",NC[T]="VV"),     L42*SETUP!$H$3,     0),2)</f>
        <v>0</v>
      </c>
      <c r="Z42" s="3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2" s="35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0.90859999999999996</v>
      </c>
      <c r="AB42" s="35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42" s="35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-90.86</v>
      </c>
      <c r="AD42" s="30">
        <f>IF(NC[LUCRO TMP] &lt;&gt; 0, NC[LUCRO TMP] - SUMPRODUCT(N(NC[ATIVO]=NC[[#This Row],[ATIVO]]),N(NC['[D/N']]="N"),N(NC[ID]&lt;NC[[#This Row],[ID]]),N(NC[PAR]=NC[[#This Row],[PAR]]), NC[LUCRO TMP]), 0)</f>
        <v>-90.86</v>
      </c>
      <c r="AE42" s="30">
        <f>IF(NC[U] = "U", SUMPRODUCT(N(NC[ID]&lt;=NC[[#This Row],[ID]]),N(NC[DATA BASE]=NC[[#This Row],[DATA BASE]]), N(NC['[D/N']] = "N"),    NC[LUCRO P/ OP]), 0)</f>
        <v>0</v>
      </c>
      <c r="AF42" s="15">
        <f>IF(NC[U] = "U",NC[LUCRO '[N']] + SUMPRODUCT(N(MONTH(NC[DATA BASE])&lt;MONTH(NC[[#This Row],[DATA BASE]]) ), NC[LUCRO '[N']]),0)</f>
        <v>0</v>
      </c>
      <c r="AG42" s="30">
        <f>IF(NC[U] = "U", SUMPRODUCT(N(NC[DATA BASE]=NC[[#This Row],[DATA BASE]]), N(NC['[D/N']] = "D"),    NC[LUCRO P/ OP]), 0)</f>
        <v>0</v>
      </c>
      <c r="AH42" s="34">
        <f>IF(NC[ TRIB. '[N']] &gt; 0,     ROUND(NC[ TRIB. '[N']]*0.15,    2),    0)</f>
        <v>0</v>
      </c>
      <c r="AI42" s="34">
        <f>IF(NC[LUCRO TRIB. DT] &gt; 0,     ROUND(NC[LUCRO TRIB. DT]*0.2,    2)  -  SUMPRODUCT(N(NC[DATA BASE]=NC[[#This Row],[DATA BASE]]),    NC[IRRF FONTE]),    0)</f>
        <v>0</v>
      </c>
      <c r="AJ42" s="36">
        <f>NC[IR '[N']] + NC[IR DEVIDO DT]</f>
        <v>0</v>
      </c>
      <c r="AK42" s="34">
        <f>IF(AND(NC[U] = "U",NC[IR DEVIDO] &gt; 0), NC[IR DEVIDO] + 8.9, 0)</f>
        <v>0</v>
      </c>
      <c r="AL42" s="34">
        <f>NC[LUCRO '[N']]  + NC[LUCRO TRIB. DT] - NC[RESGATE]</f>
        <v>0</v>
      </c>
    </row>
    <row r="43" spans="1:38" x14ac:dyDescent="0.2">
      <c r="A43" s="13">
        <v>42</v>
      </c>
      <c r="B43" s="13"/>
      <c r="C43" s="13" t="s">
        <v>82</v>
      </c>
      <c r="D43" s="13" t="s">
        <v>25</v>
      </c>
      <c r="E43" s="14">
        <v>41050</v>
      </c>
      <c r="F43" s="13">
        <v>400</v>
      </c>
      <c r="G43" s="15">
        <v>0</v>
      </c>
      <c r="H43" s="13" t="s">
        <v>6</v>
      </c>
      <c r="I43" s="14">
        <f>WORKDAY(NC[[#This Row],[DATA]],1,0)</f>
        <v>41051</v>
      </c>
      <c r="J43" s="22">
        <f>EOMONTH(NC[[#This Row],[DATA DE LIQUIDAÇÃO]],0)</f>
        <v>41060</v>
      </c>
      <c r="K4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3" s="15">
        <f>NC[QTDE]*NC[PREÇO]</f>
        <v>0</v>
      </c>
      <c r="M4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43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4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4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43" s="15">
        <f>SETUP!$E$3*SUMPRODUCT(N(NC[DATA]=NC[[#This Row],[DATA]]),N(NC[ID]&lt;=NC[[#This Row],[ID]]))</f>
        <v>29.8</v>
      </c>
      <c r="R43" s="15">
        <f>TRUNC(NC[CORRETAGEM]*SETUP!$F$3,2)</f>
        <v>0.59</v>
      </c>
      <c r="S43" s="15">
        <f>ROUND(NC[CORRETAGEM]*SETUP!$G$3,2)</f>
        <v>1.1599999999999999</v>
      </c>
      <c r="T43" s="15">
        <f>NC[VALOR LÍQUIDO DAS OPERAÇÕES]-NC[TAXA DE LIQUIDAÇÃO]-NC[EMOLUMENTOS]-NC[TAXA DE REGISTRO]-NC[CORRETAGEM]-NC[ISS]-IF(NC['[D/N']]="D",    0,    NC[OUTRAS BOVESPA])</f>
        <v>-31.55</v>
      </c>
      <c r="U43" s="15">
        <f>IF(AND(NC['[D/N']]="D",    NC[T]="CV"),    ROUND(NC[LÍQUIDO BASE]*0.01, 2),    0)</f>
        <v>0</v>
      </c>
      <c r="V43" s="15">
        <f>IF(NC[PREÇO] &gt; 0,    NC[LÍQUIDO BASE]-SUMPRODUCT(N(NC[DATA]=NC[[#This Row],[DATA]]),    NC[IRRF FONTE]),    0)</f>
        <v>0</v>
      </c>
      <c r="W43" s="20">
        <f>NC[LÍQUIDO]-SUMPRODUCT(N(NC[DATA]=NC[[#This Row],[DATA]]),N(NC[ID]=(NC[[#This Row],[ID]]-1)),NC[LÍQUIDO])</f>
        <v>0</v>
      </c>
      <c r="X43" s="15">
        <f>IF(NC[T] = "VC", ABS(NC[VALOR OP]) / NC[QTDE], NC[VALOR OP]/NC[QTDE])</f>
        <v>0</v>
      </c>
      <c r="Y43" s="15">
        <f>TRUNC(IF(OR(NC[T]="CV",NC[T]="VV"),     L43*SETUP!$H$3,     0),2)</f>
        <v>0</v>
      </c>
      <c r="Z4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3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0.30972500000000003</v>
      </c>
      <c r="AB43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43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-123.89000000000001</v>
      </c>
      <c r="AD43" s="15">
        <f>IF(NC[LUCRO TMP] &lt;&gt; 0, NC[LUCRO TMP] - SUMPRODUCT(N(NC[ATIVO]=NC[[#This Row],[ATIVO]]),N(NC['[D/N']]="N"),N(NC[ID]&lt;NC[[#This Row],[ID]]),N(NC[PAR]=NC[[#This Row],[PAR]]), NC[LUCRO TMP]), 0)</f>
        <v>-123.89000000000001</v>
      </c>
      <c r="AE43" s="15">
        <f>IF(NC[U] = "U", SUMPRODUCT(N(NC[ID]&lt;=NC[[#This Row],[ID]]),N(NC[DATA BASE]=NC[[#This Row],[DATA BASE]]), N(NC['[D/N']] = "N"),    NC[LUCRO P/ OP]), 0)</f>
        <v>0</v>
      </c>
      <c r="AF43" s="15">
        <f>IF(NC[U] = "U",NC[LUCRO '[N']] + SUMPRODUCT(N(MONTH(NC[DATA BASE])&lt;MONTH(NC[[#This Row],[DATA BASE]]) ), NC[LUCRO '[N']]),0)</f>
        <v>0</v>
      </c>
      <c r="AG43" s="15">
        <f>IF(NC[U] = "U", SUMPRODUCT(N(NC[DATA BASE]=NC[[#This Row],[DATA BASE]]), N(NC['[D/N']] = "D"),    NC[LUCRO P/ OP]), 0)</f>
        <v>0</v>
      </c>
      <c r="AH43" s="20">
        <f>IF(NC[ TRIB. '[N']] &gt; 0,     ROUND(NC[ TRIB. '[N']]*0.15,    2),    0)</f>
        <v>0</v>
      </c>
      <c r="AI43" s="20">
        <f>IF(NC[LUCRO TRIB. DT] &gt; 0,     ROUND(NC[LUCRO TRIB. DT]*0.2,    2)  -  SUMPRODUCT(N(NC[DATA BASE]=NC[[#This Row],[DATA BASE]]),    NC[IRRF FONTE]),    0)</f>
        <v>0</v>
      </c>
      <c r="AJ43" s="19">
        <f>NC[IR '[N']] + NC[IR DEVIDO DT]</f>
        <v>0</v>
      </c>
      <c r="AK43" s="20">
        <f>IF(AND(NC[U] = "U",NC[IR DEVIDO] &gt; 0), NC[IR DEVIDO] + 8.9, 0)</f>
        <v>0</v>
      </c>
      <c r="AL43" s="20">
        <f>NC[LUCRO '[N']]  + NC[LUCRO TRIB. DT] - NC[RESGATE]</f>
        <v>0</v>
      </c>
    </row>
    <row r="44" spans="1:38" x14ac:dyDescent="0.2">
      <c r="A44" s="13">
        <v>43</v>
      </c>
      <c r="B44" s="13"/>
      <c r="C44" s="57" t="s">
        <v>85</v>
      </c>
      <c r="D44" s="13" t="s">
        <v>25</v>
      </c>
      <c r="E44" s="14">
        <v>41050</v>
      </c>
      <c r="F44" s="13">
        <v>100</v>
      </c>
      <c r="G44" s="30">
        <v>0</v>
      </c>
      <c r="H44" s="13" t="s">
        <v>6</v>
      </c>
      <c r="I44" s="14">
        <f>WORKDAY(NC[[#This Row],[DATA]],1,0)</f>
        <v>41051</v>
      </c>
      <c r="J44" s="22">
        <f>EOMONTH(NC[[#This Row],[DATA DE LIQUIDAÇÃO]],0)</f>
        <v>41060</v>
      </c>
      <c r="K4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4" s="15">
        <f>NC[QTDE]*NC[PREÇO]</f>
        <v>0</v>
      </c>
      <c r="M4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44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4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4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44" s="15">
        <f>SETUP!$E$3*SUMPRODUCT(N(NC[DATA]=NC[[#This Row],[DATA]]),N(NC[ID]&lt;=NC[[#This Row],[ID]]))</f>
        <v>44.7</v>
      </c>
      <c r="R44" s="15">
        <f>TRUNC(NC[CORRETAGEM]*SETUP!$F$3,2)</f>
        <v>0.89</v>
      </c>
      <c r="S44" s="15">
        <f>ROUND(NC[CORRETAGEM]*SETUP!$G$3,2)</f>
        <v>1.74</v>
      </c>
      <c r="T44" s="15">
        <f>NC[VALOR LÍQUIDO DAS OPERAÇÕES]-NC[TAXA DE LIQUIDAÇÃO]-NC[EMOLUMENTOS]-NC[TAXA DE REGISTRO]-NC[CORRETAGEM]-NC[ISS]-IF(NC['[D/N']]="D",    0,    NC[OUTRAS BOVESPA])</f>
        <v>-47.330000000000005</v>
      </c>
      <c r="U44" s="15">
        <f>IF(AND(NC['[D/N']]="D",    NC[T]="CV"),    ROUND(NC[LÍQUIDO BASE]*0.01, 2),    0)</f>
        <v>0</v>
      </c>
      <c r="V44" s="15">
        <f>IF(NC[PREÇO] &gt; 0,    NC[LÍQUIDO BASE]-SUMPRODUCT(N(NC[DATA]=NC[[#This Row],[DATA]]),    NC[IRRF FONTE]),    0)</f>
        <v>0</v>
      </c>
      <c r="W44" s="20">
        <f>NC[LÍQUIDO]-SUMPRODUCT(N(NC[DATA]=NC[[#This Row],[DATA]]),N(NC[ID]=(NC[[#This Row],[ID]]-1)),NC[LÍQUIDO])</f>
        <v>0</v>
      </c>
      <c r="X44" s="15">
        <f>IF(NC[T] = "VC", ABS(NC[VALOR OP]) / NC[QTDE], NC[VALOR OP]/NC[QTDE])</f>
        <v>0</v>
      </c>
      <c r="Y44" s="15">
        <f>TRUNC(IF(OR(NC[T]="CV",NC[T]="VV"),     L44*SETUP!$H$3,     0),2)</f>
        <v>0</v>
      </c>
      <c r="Z4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4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0.45799999999999996</v>
      </c>
      <c r="AB44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44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-45.8</v>
      </c>
      <c r="AD44" s="15">
        <f>IF(NC[LUCRO TMP] &lt;&gt; 0, NC[LUCRO TMP] - SUMPRODUCT(N(NC[ATIVO]=NC[[#This Row],[ATIVO]]),N(NC['[D/N']]="N"),N(NC[ID]&lt;NC[[#This Row],[ID]]),N(NC[PAR]=NC[[#This Row],[PAR]]), NC[LUCRO TMP]), 0)</f>
        <v>-45.8</v>
      </c>
      <c r="AE44" s="15">
        <f>IF(NC[U] = "U", SUMPRODUCT(N(NC[ID]&lt;=NC[[#This Row],[ID]]),N(NC[DATA BASE]=NC[[#This Row],[DATA BASE]]), N(NC['[D/N']] = "N"),    NC[LUCRO P/ OP]), 0)</f>
        <v>0</v>
      </c>
      <c r="AF44" s="15">
        <f>IF(NC[U] = "U",NC[LUCRO '[N']] + SUMPRODUCT(N(MONTH(NC[DATA BASE])&lt;MONTH(NC[[#This Row],[DATA BASE]]) ), NC[LUCRO '[N']]),0)</f>
        <v>0</v>
      </c>
      <c r="AG44" s="15">
        <f>IF(NC[U] = "U", SUMPRODUCT(N(NC[DATA BASE]=NC[[#This Row],[DATA BASE]]), N(NC['[D/N']] = "D"),    NC[LUCRO P/ OP]), 0)</f>
        <v>0</v>
      </c>
      <c r="AH44" s="20">
        <f>IF(NC[ TRIB. '[N']] &gt; 0,     ROUND(NC[ TRIB. '[N']]*0.15,    2),    0)</f>
        <v>0</v>
      </c>
      <c r="AI44" s="20">
        <f>IF(NC[LUCRO TRIB. DT] &gt; 0,     ROUND(NC[LUCRO TRIB. DT]*0.2,    2)  -  SUMPRODUCT(N(NC[DATA BASE]=NC[[#This Row],[DATA BASE]]),    NC[IRRF FONTE]),    0)</f>
        <v>0</v>
      </c>
      <c r="AJ44" s="19">
        <f>NC[IR '[N']] + NC[IR DEVIDO DT]</f>
        <v>0</v>
      </c>
      <c r="AK44" s="20">
        <f>IF(AND(NC[U] = "U",NC[IR DEVIDO] &gt; 0), NC[IR DEVIDO] + 8.9, 0)</f>
        <v>0</v>
      </c>
      <c r="AL44" s="20">
        <f>NC[LUCRO '[N']]  + NC[LUCRO TRIB. DT] - NC[RESGATE]</f>
        <v>0</v>
      </c>
    </row>
    <row r="45" spans="1:38" x14ac:dyDescent="0.2">
      <c r="A45" s="13">
        <v>44</v>
      </c>
      <c r="B45" s="44"/>
      <c r="C45" s="57" t="s">
        <v>91</v>
      </c>
      <c r="D45" s="44" t="s">
        <v>25</v>
      </c>
      <c r="E45" s="14">
        <v>41050</v>
      </c>
      <c r="F45" s="44">
        <v>900</v>
      </c>
      <c r="G45" s="43">
        <v>0</v>
      </c>
      <c r="H45" s="44" t="s">
        <v>6</v>
      </c>
      <c r="I45" s="45">
        <f>WORKDAY(NC[[#This Row],[DATA]],1,0)</f>
        <v>41051</v>
      </c>
      <c r="J45" s="46">
        <f>EOMONTH(NC[[#This Row],[DATA DE LIQUIDAÇÃO]],0)</f>
        <v>41060</v>
      </c>
      <c r="K45" s="44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5" s="43">
        <f>NC[QTDE]*NC[PREÇO]</f>
        <v>0</v>
      </c>
      <c r="M45" s="4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45" s="43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45" s="4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45" s="4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45" s="43">
        <f>SETUP!$E$3*SUMPRODUCT(N(NC[DATA]=NC[[#This Row],[DATA]]),N(NC[ID]&lt;=NC[[#This Row],[ID]]))</f>
        <v>59.6</v>
      </c>
      <c r="R45" s="43">
        <f>TRUNC(NC[CORRETAGEM]*SETUP!$F$3,2)</f>
        <v>1.19</v>
      </c>
      <c r="S45" s="43">
        <f>ROUND(NC[CORRETAGEM]*SETUP!$G$3,2)</f>
        <v>2.3199999999999998</v>
      </c>
      <c r="T45" s="43">
        <f>NC[VALOR LÍQUIDO DAS OPERAÇÕES]-NC[TAXA DE LIQUIDAÇÃO]-NC[EMOLUMENTOS]-NC[TAXA DE REGISTRO]-NC[CORRETAGEM]-NC[ISS]-IF(NC['[D/N']]="D",    0,    NC[OUTRAS BOVESPA])</f>
        <v>-63.11</v>
      </c>
      <c r="U45" s="43">
        <f>IF(AND(NC['[D/N']]="D",    NC[T]="CV"),    ROUND(NC[LÍQUIDO BASE]*0.01, 2),    0)</f>
        <v>0</v>
      </c>
      <c r="V45" s="15">
        <f>IF(NC[PREÇO] &gt; 0,    NC[LÍQUIDO BASE]-SUMPRODUCT(N(NC[DATA]=NC[[#This Row],[DATA]]),    NC[IRRF FONTE]),    0)</f>
        <v>0</v>
      </c>
      <c r="W45" s="47">
        <f>NC[LÍQUIDO]-SUMPRODUCT(N(NC[DATA]=NC[[#This Row],[DATA]]),N(NC[ID]=(NC[[#This Row],[ID]]-1)),NC[LÍQUIDO])</f>
        <v>0</v>
      </c>
      <c r="X45" s="43">
        <f>IF(NC[T] = "VC", ABS(NC[VALOR OP]) / NC[QTDE], NC[VALOR OP]/NC[QTDE])</f>
        <v>0</v>
      </c>
      <c r="Y45" s="43">
        <f>TRUNC(IF(OR(NC[T]="CV",NC[T]="VV"),     L45*SETUP!$H$3,     0),2)</f>
        <v>0</v>
      </c>
      <c r="Z45" s="44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5" s="48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0.51818888888888892</v>
      </c>
      <c r="AB45" s="48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45" s="4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-466.37</v>
      </c>
      <c r="AD45" s="43">
        <f>IF(NC[LUCRO TMP] &lt;&gt; 0, NC[LUCRO TMP] - SUMPRODUCT(N(NC[ATIVO]=NC[[#This Row],[ATIVO]]),N(NC['[D/N']]="N"),N(NC[ID]&lt;NC[[#This Row],[ID]]),N(NC[PAR]=NC[[#This Row],[PAR]]), NC[LUCRO TMP]), 0)</f>
        <v>-466.37</v>
      </c>
      <c r="AE45" s="43">
        <f>IF(NC[U] = "U", SUMPRODUCT(N(NC[ID]&lt;=NC[[#This Row],[ID]]),N(NC[DATA BASE]=NC[[#This Row],[DATA BASE]]), N(NC['[D/N']] = "N"),    NC[LUCRO P/ OP]), 0)</f>
        <v>0</v>
      </c>
      <c r="AF45" s="15">
        <f>IF(NC[U] = "U",NC[LUCRO '[N']] + SUMPRODUCT(N(MONTH(NC[DATA BASE])&lt;MONTH(NC[[#This Row],[DATA BASE]]) ), NC[LUCRO '[N']]),0)</f>
        <v>0</v>
      </c>
      <c r="AG45" s="43">
        <f>IF(NC[U] = "U", SUMPRODUCT(N(NC[DATA BASE]=NC[[#This Row],[DATA BASE]]), N(NC['[D/N']] = "D"),    NC[LUCRO P/ OP]), 0)</f>
        <v>0</v>
      </c>
      <c r="AH45" s="47">
        <f>IF(NC[ TRIB. '[N']] &gt; 0,     ROUND(NC[ TRIB. '[N']]*0.15,    2),    0)</f>
        <v>0</v>
      </c>
      <c r="AI45" s="47">
        <f>IF(NC[LUCRO TRIB. DT] &gt; 0,     ROUND(NC[LUCRO TRIB. DT]*0.2,    2)  -  SUMPRODUCT(N(NC[DATA BASE]=NC[[#This Row],[DATA BASE]]),    NC[IRRF FONTE]),    0)</f>
        <v>0</v>
      </c>
      <c r="AJ45" s="50">
        <f>NC[IR '[N']] + NC[IR DEVIDO DT]</f>
        <v>0</v>
      </c>
      <c r="AK45" s="47">
        <f>IF(AND(NC[U] = "U",NC[IR DEVIDO] &gt; 0), NC[IR DEVIDO] + 8.9, 0)</f>
        <v>0</v>
      </c>
      <c r="AL45" s="47">
        <f>NC[LUCRO '[N']]  + NC[LUCRO TRIB. DT] - NC[RESGATE]</f>
        <v>0</v>
      </c>
    </row>
    <row r="46" spans="1:38" x14ac:dyDescent="0.2">
      <c r="A46" s="13">
        <v>45</v>
      </c>
      <c r="B46" s="13"/>
      <c r="C46" s="57" t="s">
        <v>120</v>
      </c>
      <c r="D46" s="44" t="s">
        <v>72</v>
      </c>
      <c r="E46" s="45">
        <v>41051</v>
      </c>
      <c r="F46" s="44">
        <v>1000</v>
      </c>
      <c r="G46" s="43">
        <v>0.94</v>
      </c>
      <c r="H46" s="13" t="s">
        <v>6</v>
      </c>
      <c r="I46" s="45">
        <f>WORKDAY(NC[[#This Row],[DATA]],1,0)</f>
        <v>41052</v>
      </c>
      <c r="J46" s="46">
        <f>EOMONTH(NC[[#This Row],[DATA DE LIQUIDAÇÃO]],0)</f>
        <v>41060</v>
      </c>
      <c r="K46" s="44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6" s="43">
        <f>NC[QTDE]*NC[PREÇO]</f>
        <v>940</v>
      </c>
      <c r="M46" s="4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940</v>
      </c>
      <c r="N46" s="43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0.25</v>
      </c>
      <c r="O46" s="4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0.34</v>
      </c>
      <c r="P46" s="4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0.65</v>
      </c>
      <c r="Q46" s="43">
        <f>SETUP!$E$3*SUMPRODUCT(N(NC[DATA]=NC[[#This Row],[DATA]]),N(NC[ID]&lt;=NC[[#This Row],[ID]]))</f>
        <v>14.9</v>
      </c>
      <c r="R46" s="43">
        <f>TRUNC(NC[CORRETAGEM]*SETUP!$F$3,2)</f>
        <v>0.28999999999999998</v>
      </c>
      <c r="S46" s="43">
        <f>ROUND(NC[CORRETAGEM]*SETUP!$G$3,2)</f>
        <v>0.57999999999999996</v>
      </c>
      <c r="T46" s="43">
        <f>NC[VALOR LÍQUIDO DAS OPERAÇÕES]-NC[TAXA DE LIQUIDAÇÃO]-NC[EMOLUMENTOS]-NC[TAXA DE REGISTRO]-NC[CORRETAGEM]-NC[ISS]-IF(NC['[D/N']]="D",    0,    NC[OUTRAS BOVESPA])</f>
        <v>922.99</v>
      </c>
      <c r="U46" s="43">
        <f>IF(AND(NC['[D/N']]="D",    NC[T]="CV"),    ROUND(NC[LÍQUIDO BASE]*0.01, 2),    0)</f>
        <v>0</v>
      </c>
      <c r="V46" s="15">
        <f>IF(NC[PREÇO] &gt; 0,    NC[LÍQUIDO BASE]-SUMPRODUCT(N(NC[DATA]=NC[[#This Row],[DATA]]),    NC[IRRF FONTE]),    0)</f>
        <v>922.99</v>
      </c>
      <c r="W46" s="47">
        <f>NC[LÍQUIDO]-SUMPRODUCT(N(NC[DATA]=NC[[#This Row],[DATA]]),N(NC[ID]=(NC[[#This Row],[ID]]-1)),NC[LÍQUIDO])</f>
        <v>922.99</v>
      </c>
      <c r="X46" s="43">
        <f>IF(NC[T] = "VC", ABS(NC[VALOR OP]) / NC[QTDE], NC[VALOR OP]/NC[QTDE])</f>
        <v>0.92298999999999998</v>
      </c>
      <c r="Y46" s="43">
        <f>TRUNC(IF(OR(NC[T]="CV",NC[T]="VV"),     L46*SETUP!$H$3,     0),2)</f>
        <v>0.04</v>
      </c>
      <c r="Z46" s="44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-1000</v>
      </c>
      <c r="AA46" s="48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</v>
      </c>
      <c r="AB46" s="48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0.92298999999999998</v>
      </c>
      <c r="AC46" s="49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46" s="43">
        <f>IF(NC[LUCRO TMP] &lt;&gt; 0, NC[LUCRO TMP] - SUMPRODUCT(N(NC[ATIVO]=NC[[#This Row],[ATIVO]]),N(NC['[D/N']]="N"),N(NC[ID]&lt;NC[[#This Row],[ID]]),N(NC[PAR]=NC[[#This Row],[PAR]]), NC[LUCRO TMP]), 0)</f>
        <v>0</v>
      </c>
      <c r="AE46" s="43">
        <f>IF(NC[U] = "U", SUMPRODUCT(N(NC[ID]&lt;=NC[[#This Row],[ID]]),N(NC[DATA BASE]=NC[[#This Row],[DATA BASE]]), N(NC['[D/N']] = "N"),    NC[LUCRO P/ OP]), 0)</f>
        <v>0</v>
      </c>
      <c r="AF46" s="15">
        <f>IF(NC[U] = "U",NC[LUCRO '[N']] + SUMPRODUCT(N(MONTH(NC[DATA BASE])&lt;MONTH(NC[[#This Row],[DATA BASE]]) ), NC[LUCRO '[N']]),0)</f>
        <v>0</v>
      </c>
      <c r="AG46" s="43">
        <f>IF(NC[U] = "U", SUMPRODUCT(N(NC[DATA BASE]=NC[[#This Row],[DATA BASE]]), N(NC['[D/N']] = "D"),    NC[LUCRO P/ OP]), 0)</f>
        <v>0</v>
      </c>
      <c r="AH46" s="47">
        <f>IF(NC[ TRIB. '[N']] &gt; 0,     ROUND(NC[ TRIB. '[N']]*0.15,    2),    0)</f>
        <v>0</v>
      </c>
      <c r="AI46" s="47">
        <f>IF(NC[LUCRO TRIB. DT] &gt; 0,     ROUND(NC[LUCRO TRIB. DT]*0.2,    2)  -  SUMPRODUCT(N(NC[DATA BASE]=NC[[#This Row],[DATA BASE]]),    NC[IRRF FONTE]),    0)</f>
        <v>0</v>
      </c>
      <c r="AJ46" s="50">
        <f>NC[IR '[N']] + NC[IR DEVIDO DT]</f>
        <v>0</v>
      </c>
      <c r="AK46" s="47">
        <f>IF(AND(NC[U] = "U",NC[IR DEVIDO] &gt; 0), NC[IR DEVIDO] + 8.9, 0)</f>
        <v>0</v>
      </c>
      <c r="AL46" s="47">
        <f>NC[LUCRO '[N']]  + NC[LUCRO TRIB. DT] - NC[RESGATE]</f>
        <v>0</v>
      </c>
    </row>
    <row r="47" spans="1:38" x14ac:dyDescent="0.2">
      <c r="A47" s="13">
        <v>46</v>
      </c>
      <c r="B47" s="13" t="s">
        <v>53</v>
      </c>
      <c r="C47" s="57" t="s">
        <v>121</v>
      </c>
      <c r="D47" s="13" t="s">
        <v>24</v>
      </c>
      <c r="E47" s="14">
        <v>41051</v>
      </c>
      <c r="F47" s="13">
        <v>1000</v>
      </c>
      <c r="G47" s="15">
        <v>0.45</v>
      </c>
      <c r="H47" s="13" t="s">
        <v>6</v>
      </c>
      <c r="I47" s="14">
        <f>WORKDAY(NC[[#This Row],[DATA]],1,0)</f>
        <v>41052</v>
      </c>
      <c r="J47" s="58">
        <f>EOMONTH(NC[[#This Row],[DATA DE LIQUIDAÇÃO]],0)</f>
        <v>41060</v>
      </c>
      <c r="K4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7" s="15">
        <f>NC[QTDE]*NC[PREÇO]</f>
        <v>450</v>
      </c>
      <c r="M4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490</v>
      </c>
      <c r="N47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0.38</v>
      </c>
      <c r="O4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0.51</v>
      </c>
      <c r="P4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0.96</v>
      </c>
      <c r="Q47" s="15">
        <f>SETUP!$E$3*SUMPRODUCT(N(NC[DATA]=NC[[#This Row],[DATA]]),N(NC[ID]&lt;=NC[[#This Row],[ID]]))</f>
        <v>29.8</v>
      </c>
      <c r="R47" s="15">
        <f>TRUNC(NC[CORRETAGEM]*SETUP!$F$3,2)</f>
        <v>0.59</v>
      </c>
      <c r="S47" s="15">
        <f>ROUND(NC[CORRETAGEM]*SETUP!$G$3,2)</f>
        <v>1.1599999999999999</v>
      </c>
      <c r="T47" s="15">
        <f>NC[VALOR LÍQUIDO DAS OPERAÇÕES]-NC[TAXA DE LIQUIDAÇÃO]-NC[EMOLUMENTOS]-NC[TAXA DE REGISTRO]-NC[CORRETAGEM]-NC[ISS]-IF(NC['[D/N']]="D",    0,    NC[OUTRAS BOVESPA])</f>
        <v>456.6</v>
      </c>
      <c r="U47" s="15">
        <f>IF(AND(NC['[D/N']]="D",    NC[T]="CV"),    ROUND(NC[LÍQUIDO BASE]*0.01, 2),    0)</f>
        <v>0</v>
      </c>
      <c r="V47" s="15">
        <f>IF(NC[PREÇO] &gt; 0,    NC[LÍQUIDO BASE]-SUMPRODUCT(N(NC[DATA]=NC[[#This Row],[DATA]]),    NC[IRRF FONTE]),    0)</f>
        <v>456.6</v>
      </c>
      <c r="W47" s="20">
        <f>NC[LÍQUIDO]-SUMPRODUCT(N(NC[DATA]=NC[[#This Row],[DATA]]),N(NC[ID]=(NC[[#This Row],[ID]]-1)),NC[LÍQUIDO])</f>
        <v>-466.39</v>
      </c>
      <c r="X47" s="15">
        <f>IF(NC[T] = "VC", ABS(NC[VALOR OP]) / NC[QTDE], NC[VALOR OP]/NC[QTDE])</f>
        <v>-0.46638999999999997</v>
      </c>
      <c r="Y47" s="15">
        <f>TRUNC(IF(OR(NC[T]="CV",NC[T]="VV"),     L47*SETUP!$H$3,     0),2)</f>
        <v>0</v>
      </c>
      <c r="Z4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1000</v>
      </c>
      <c r="AA47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0.46638999999999997</v>
      </c>
      <c r="AB47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47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0</v>
      </c>
      <c r="AD47" s="15">
        <f>IF(NC[LUCRO TMP] &lt;&gt; 0, NC[LUCRO TMP] - SUMPRODUCT(N(NC[ATIVO]=NC[[#This Row],[ATIVO]]),N(NC['[D/N']]="N"),N(NC[ID]&lt;NC[[#This Row],[ID]]),N(NC[PAR]=NC[[#This Row],[PAR]]), NC[LUCRO TMP]), 0)</f>
        <v>0</v>
      </c>
      <c r="AE47" s="15">
        <f>IF(NC[U] = "U", SUMPRODUCT(N(NC[ID]&lt;=NC[[#This Row],[ID]]),N(NC[DATA BASE]=NC[[#This Row],[DATA BASE]]), N(NC['[D/N']] = "N"),    NC[LUCRO P/ OP]), 0)</f>
        <v>431.77000000000021</v>
      </c>
      <c r="AF47" s="15">
        <f>IF(NC[U] = "U",NC[LUCRO '[N']] + SUMPRODUCT(N(MONTH(NC[DATA BASE])&lt;MONTH(NC[[#This Row],[DATA BASE]]) ), NC[LUCRO '[N']]),0)</f>
        <v>-1183.1199999999997</v>
      </c>
      <c r="AG47" s="15">
        <f>IF(NC[U] = "U", SUMPRODUCT(N(NC[DATA BASE]=NC[[#This Row],[DATA BASE]]), N(NC['[D/N']] = "D"),    NC[LUCRO P/ OP]), 0)</f>
        <v>0</v>
      </c>
      <c r="AH47" s="20">
        <f>IF(NC[ TRIB. '[N']] &gt; 0,     ROUND(NC[ TRIB. '[N']]*0.15,    2),    0)</f>
        <v>0</v>
      </c>
      <c r="AI47" s="20">
        <f>IF(NC[LUCRO TRIB. DT] &gt; 0,     ROUND(NC[LUCRO TRIB. DT]*0.2,    2)  -  SUMPRODUCT(N(NC[DATA BASE]=NC[[#This Row],[DATA BASE]]),    NC[IRRF FONTE]),    0)</f>
        <v>0</v>
      </c>
      <c r="AJ47" s="19">
        <f>NC[IR '[N']] + NC[IR DEVIDO DT]</f>
        <v>0</v>
      </c>
      <c r="AK47" s="20">
        <f>IF(AND(NC[U] = "U",NC[IR DEVIDO] &gt; 0), NC[IR DEVIDO] + 8.9, 0)</f>
        <v>0</v>
      </c>
      <c r="AL47" s="20">
        <f>NC[LUCRO '[N']]  + NC[LUCRO TRIB. DT] - NC[RESGATE]</f>
        <v>431.77000000000021</v>
      </c>
    </row>
    <row r="48" spans="1:38" x14ac:dyDescent="0.2">
      <c r="A48" s="13">
        <v>47</v>
      </c>
      <c r="B48" s="13"/>
      <c r="C48" s="57" t="s">
        <v>120</v>
      </c>
      <c r="D48" s="13" t="s">
        <v>73</v>
      </c>
      <c r="E48" s="14">
        <v>41076</v>
      </c>
      <c r="F48" s="13">
        <v>1000</v>
      </c>
      <c r="G48" s="15">
        <v>0.01</v>
      </c>
      <c r="H48" s="13" t="s">
        <v>6</v>
      </c>
      <c r="I48" s="14">
        <f>WORKDAY(NC[[#This Row],[DATA]],1,0)</f>
        <v>41078</v>
      </c>
      <c r="J48" s="58">
        <f>EOMONTH(NC[[#This Row],[DATA DE LIQUIDAÇÃO]],0)</f>
        <v>41090</v>
      </c>
      <c r="K4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8" s="15">
        <f>NC[QTDE]*NC[PREÇO]</f>
        <v>10</v>
      </c>
      <c r="M4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-10</v>
      </c>
      <c r="N48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4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4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48" s="15">
        <f>SETUP!$E$3*SUMPRODUCT(N(NC[DATA]=NC[[#This Row],[DATA]]),N(NC[ID]&lt;=NC[[#This Row],[ID]]))</f>
        <v>14.9</v>
      </c>
      <c r="R48" s="15">
        <f>TRUNC(NC[CORRETAGEM]*SETUP!$F$3,2)</f>
        <v>0.28999999999999998</v>
      </c>
      <c r="S48" s="15">
        <f>ROUND(NC[CORRETAGEM]*SETUP!$G$3,2)</f>
        <v>0.57999999999999996</v>
      </c>
      <c r="T48" s="15">
        <f>NC[VALOR LÍQUIDO DAS OPERAÇÕES]-NC[TAXA DE LIQUIDAÇÃO]-NC[EMOLUMENTOS]-NC[TAXA DE REGISTRO]-NC[CORRETAGEM]-NC[ISS]-IF(NC['[D/N']]="D",    0,    NC[OUTRAS BOVESPA])</f>
        <v>-25.769999999999996</v>
      </c>
      <c r="U48" s="15">
        <f>IF(AND(NC['[D/N']]="D",    NC[T]="CV"),    ROUND(NC[LÍQUIDO BASE]*0.01, 2),    0)</f>
        <v>0</v>
      </c>
      <c r="V48" s="15">
        <f>IF(NC[PREÇO] &gt; 0,    NC[LÍQUIDO BASE]-SUMPRODUCT(N(NC[DATA]=NC[[#This Row],[DATA]]),    NC[IRRF FONTE]),    0)</f>
        <v>-25.769999999999996</v>
      </c>
      <c r="W48" s="20">
        <f>NC[LÍQUIDO]-SUMPRODUCT(N(NC[DATA]=NC[[#This Row],[DATA]]),N(NC[ID]=(NC[[#This Row],[ID]]-1)),NC[LÍQUIDO])</f>
        <v>-25.769999999999996</v>
      </c>
      <c r="X48" s="15">
        <f>IF(NC[T] = "VC", ABS(NC[VALOR OP]) / NC[QTDE], NC[VALOR OP]/NC[QTDE])</f>
        <v>2.5769999999999994E-2</v>
      </c>
      <c r="Y48" s="15">
        <f>TRUNC(IF(OR(NC[T]="CV",NC[T]="VV"),     L48*SETUP!$H$3,     0),2)</f>
        <v>0</v>
      </c>
      <c r="Z4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8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2.5769999999999994E-2</v>
      </c>
      <c r="AB48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0.92298999999999998</v>
      </c>
      <c r="AC48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897.22</v>
      </c>
      <c r="AD48" s="15">
        <f>IF(NC[LUCRO TMP] &lt;&gt; 0, NC[LUCRO TMP] - SUMPRODUCT(N(NC[ATIVO]=NC[[#This Row],[ATIVO]]),N(NC['[D/N']]="N"),N(NC[ID]&lt;NC[[#This Row],[ID]]),N(NC[PAR]=NC[[#This Row],[PAR]]), NC[LUCRO TMP]), 0)</f>
        <v>897.22</v>
      </c>
      <c r="AE48" s="15">
        <f>IF(NC[U] = "U", SUMPRODUCT(N(NC[ID]&lt;=NC[[#This Row],[ID]]),N(NC[DATA BASE]=NC[[#This Row],[DATA BASE]]), N(NC['[D/N']] = "N"),    NC[LUCRO P/ OP]), 0)</f>
        <v>0</v>
      </c>
      <c r="AF48" s="15">
        <f>IF(NC[U] = "U",NC[LUCRO '[N']] + SUMPRODUCT(N(MONTH(NC[DATA BASE])&lt;MONTH(NC[[#This Row],[DATA BASE]]) ), NC[LUCRO '[N']]),0)</f>
        <v>0</v>
      </c>
      <c r="AG48" s="15">
        <f>IF(NC[U] = "U", SUMPRODUCT(N(NC[DATA BASE]=NC[[#This Row],[DATA BASE]]), N(NC['[D/N']] = "D"),    NC[LUCRO P/ OP]), 0)</f>
        <v>0</v>
      </c>
      <c r="AH48" s="20">
        <f>IF(NC[ TRIB. '[N']] &gt; 0,     ROUND(NC[ TRIB. '[N']]*0.15,    2),    0)</f>
        <v>0</v>
      </c>
      <c r="AI48" s="20">
        <f>IF(NC[LUCRO TRIB. DT] &gt; 0,     ROUND(NC[LUCRO TRIB. DT]*0.2,    2)  -  SUMPRODUCT(N(NC[DATA BASE]=NC[[#This Row],[DATA BASE]]),    NC[IRRF FONTE]),    0)</f>
        <v>0</v>
      </c>
      <c r="AJ48" s="19">
        <f>NC[IR '[N']] + NC[IR DEVIDO DT]</f>
        <v>0</v>
      </c>
      <c r="AK48" s="20">
        <f>IF(AND(NC[U] = "U",NC[IR DEVIDO] &gt; 0), NC[IR DEVIDO] + 8.9, 0)</f>
        <v>0</v>
      </c>
      <c r="AL48" s="20">
        <f>NC[LUCRO '[N']]  + NC[LUCRO TRIB. DT] - NC[RESGATE]</f>
        <v>0</v>
      </c>
    </row>
    <row r="49" spans="1:38" x14ac:dyDescent="0.2">
      <c r="A49" s="13">
        <v>48</v>
      </c>
      <c r="B49" s="13"/>
      <c r="C49" s="57" t="s">
        <v>112</v>
      </c>
      <c r="D49" s="13" t="s">
        <v>73</v>
      </c>
      <c r="E49" s="14">
        <v>41077</v>
      </c>
      <c r="F49" s="13">
        <v>200</v>
      </c>
      <c r="G49" s="15">
        <v>0.04</v>
      </c>
      <c r="H49" s="13" t="s">
        <v>6</v>
      </c>
      <c r="I49" s="14">
        <f>WORKDAY(NC[[#This Row],[DATA]],1,0)</f>
        <v>41078</v>
      </c>
      <c r="J49" s="58">
        <f>EOMONTH(NC[[#This Row],[DATA DE LIQUIDAÇÃO]],0)</f>
        <v>41090</v>
      </c>
      <c r="K4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49" s="15">
        <f>NC[QTDE]*NC[PREÇO]</f>
        <v>8</v>
      </c>
      <c r="M4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-8</v>
      </c>
      <c r="N49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4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4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49" s="15">
        <f>SETUP!$E$3*SUMPRODUCT(N(NC[DATA]=NC[[#This Row],[DATA]]),N(NC[ID]&lt;=NC[[#This Row],[ID]]))</f>
        <v>14.9</v>
      </c>
      <c r="R49" s="15">
        <f>TRUNC(NC[CORRETAGEM]*SETUP!$F$3,2)</f>
        <v>0.28999999999999998</v>
      </c>
      <c r="S49" s="15">
        <f>ROUND(NC[CORRETAGEM]*SETUP!$G$3,2)</f>
        <v>0.57999999999999996</v>
      </c>
      <c r="T49" s="15">
        <f>NC[VALOR LÍQUIDO DAS OPERAÇÕES]-NC[TAXA DE LIQUIDAÇÃO]-NC[EMOLUMENTOS]-NC[TAXA DE REGISTRO]-NC[CORRETAGEM]-NC[ISS]-IF(NC['[D/N']]="D",    0,    NC[OUTRAS BOVESPA])</f>
        <v>-23.769999999999996</v>
      </c>
      <c r="U49" s="15">
        <f>IF(AND(NC['[D/N']]="D",    NC[T]="CV"),    ROUND(NC[LÍQUIDO BASE]*0.01, 2),    0)</f>
        <v>0</v>
      </c>
      <c r="V49" s="15">
        <f>IF(NC[PREÇO] &gt; 0,    NC[LÍQUIDO BASE]-SUMPRODUCT(N(NC[DATA]=NC[[#This Row],[DATA]]),    NC[IRRF FONTE]),    0)</f>
        <v>-23.769999999999996</v>
      </c>
      <c r="W49" s="20">
        <f>NC[LÍQUIDO]-SUMPRODUCT(N(NC[DATA]=NC[[#This Row],[DATA]]),N(NC[ID]=(NC[[#This Row],[ID]]-1)),NC[LÍQUIDO])</f>
        <v>-23.769999999999996</v>
      </c>
      <c r="X49" s="15">
        <f>IF(NC[T] = "VC", ABS(NC[VALOR OP]) / NC[QTDE], NC[VALOR OP]/NC[QTDE])</f>
        <v>0.11884999999999998</v>
      </c>
      <c r="Y49" s="15">
        <f>TRUNC(IF(OR(NC[T]="CV",NC[T]="VV"),     L49*SETUP!$H$3,     0),2)</f>
        <v>0</v>
      </c>
      <c r="Z4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9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0.11884999999999998</v>
      </c>
      <c r="AB49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1.28925</v>
      </c>
      <c r="AC49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234.08</v>
      </c>
      <c r="AD49" s="15">
        <f>IF(NC[LUCRO TMP] &lt;&gt; 0, NC[LUCRO TMP] - SUMPRODUCT(N(NC[ATIVO]=NC[[#This Row],[ATIVO]]),N(NC['[D/N']]="N"),N(NC[ID]&lt;NC[[#This Row],[ID]]),N(NC[PAR]=NC[[#This Row],[PAR]]), NC[LUCRO TMP]), 0)</f>
        <v>234.08</v>
      </c>
      <c r="AE49" s="15">
        <f>IF(NC[U] = "U", SUMPRODUCT(N(NC[ID]&lt;=NC[[#This Row],[ID]]),N(NC[DATA BASE]=NC[[#This Row],[DATA BASE]]), N(NC['[D/N']] = "N"),    NC[LUCRO P/ OP]), 0)</f>
        <v>0</v>
      </c>
      <c r="AF49" s="15">
        <f>IF(NC[U] = "U",NC[LUCRO '[N']] + SUMPRODUCT(N(MONTH(NC[DATA BASE])&lt;MONTH(NC[[#This Row],[DATA BASE]]) ), NC[LUCRO '[N']]),0)</f>
        <v>0</v>
      </c>
      <c r="AG49" s="15">
        <f>IF(NC[U] = "U", SUMPRODUCT(N(NC[DATA BASE]=NC[[#This Row],[DATA BASE]]), N(NC['[D/N']] = "D"),    NC[LUCRO P/ OP]), 0)</f>
        <v>0</v>
      </c>
      <c r="AH49" s="20">
        <f>IF(NC[ TRIB. '[N']] &gt; 0,     ROUND(NC[ TRIB. '[N']]*0.15,    2),    0)</f>
        <v>0</v>
      </c>
      <c r="AI49" s="20">
        <f>IF(NC[LUCRO TRIB. DT] &gt; 0,     ROUND(NC[LUCRO TRIB. DT]*0.2,    2)  -  SUMPRODUCT(N(NC[DATA BASE]=NC[[#This Row],[DATA BASE]]),    NC[IRRF FONTE]),    0)</f>
        <v>0</v>
      </c>
      <c r="AJ49" s="19">
        <f>NC[IR '[N']] + NC[IR DEVIDO DT]</f>
        <v>0</v>
      </c>
      <c r="AK49" s="20">
        <f>IF(AND(NC[U] = "U",NC[IR DEVIDO] &gt; 0), NC[IR DEVIDO] + 8.9, 0)</f>
        <v>0</v>
      </c>
      <c r="AL49" s="20">
        <f>NC[LUCRO '[N']]  + NC[LUCRO TRIB. DT] - NC[RESGATE]</f>
        <v>0</v>
      </c>
    </row>
    <row r="50" spans="1:38" x14ac:dyDescent="0.2">
      <c r="A50" s="13">
        <v>49</v>
      </c>
      <c r="B50" s="13"/>
      <c r="C50" s="57" t="s">
        <v>121</v>
      </c>
      <c r="D50" s="13" t="s">
        <v>25</v>
      </c>
      <c r="E50" s="14">
        <v>41078</v>
      </c>
      <c r="F50" s="13">
        <v>1000</v>
      </c>
      <c r="G50" s="15">
        <v>0</v>
      </c>
      <c r="H50" s="13" t="s">
        <v>6</v>
      </c>
      <c r="I50" s="14">
        <f>WORKDAY(NC[[#This Row],[DATA]],1,0)</f>
        <v>41079</v>
      </c>
      <c r="J50" s="58">
        <f>EOMONTH(NC[[#This Row],[DATA DE LIQUIDAÇÃO]],0)</f>
        <v>41090</v>
      </c>
      <c r="K5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50" s="15">
        <f>NC[QTDE]*NC[PREÇO]</f>
        <v>0</v>
      </c>
      <c r="M5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50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5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5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50" s="15">
        <f>SETUP!$E$3*SUMPRODUCT(N(NC[DATA]=NC[[#This Row],[DATA]]),N(NC[ID]&lt;=NC[[#This Row],[ID]]))</f>
        <v>14.9</v>
      </c>
      <c r="R50" s="15">
        <f>TRUNC(NC[CORRETAGEM]*SETUP!$F$3,2)</f>
        <v>0.28999999999999998</v>
      </c>
      <c r="S50" s="15">
        <f>ROUND(NC[CORRETAGEM]*SETUP!$G$3,2)</f>
        <v>0.57999999999999996</v>
      </c>
      <c r="T50" s="15">
        <f>NC[VALOR LÍQUIDO DAS OPERAÇÕES]-NC[TAXA DE LIQUIDAÇÃO]-NC[EMOLUMENTOS]-NC[TAXA DE REGISTRO]-NC[CORRETAGEM]-NC[ISS]-IF(NC['[D/N']]="D",    0,    NC[OUTRAS BOVESPA])</f>
        <v>-15.77</v>
      </c>
      <c r="U50" s="15">
        <f>IF(AND(NC['[D/N']]="D",    NC[T]="CV"),    ROUND(NC[LÍQUIDO BASE]*0.01, 2),    0)</f>
        <v>0</v>
      </c>
      <c r="V50" s="15">
        <f>IF(NC[PREÇO] &gt; 0,    NC[LÍQUIDO BASE]-SUMPRODUCT(N(NC[DATA]=NC[[#This Row],[DATA]]),    NC[IRRF FONTE]),    0)</f>
        <v>0</v>
      </c>
      <c r="W50" s="20">
        <f>NC[LÍQUIDO]-SUMPRODUCT(N(NC[DATA]=NC[[#This Row],[DATA]]),N(NC[ID]=(NC[[#This Row],[ID]]-1)),NC[LÍQUIDO])</f>
        <v>0</v>
      </c>
      <c r="X50" s="15">
        <f>IF(NC[T] = "VC", ABS(NC[VALOR OP]) / NC[QTDE], NC[VALOR OP]/NC[QTDE])</f>
        <v>0</v>
      </c>
      <c r="Y50" s="15">
        <f>TRUNC(IF(OR(NC[T]="CV",NC[T]="VV"),     L50*SETUP!$H$3,     0),2)</f>
        <v>0</v>
      </c>
      <c r="Z5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50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0.46638999999999997</v>
      </c>
      <c r="AB50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50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-466.39</v>
      </c>
      <c r="AD50" s="15">
        <f>IF(NC[LUCRO TMP] &lt;&gt; 0, NC[LUCRO TMP] - SUMPRODUCT(N(NC[ATIVO]=NC[[#This Row],[ATIVO]]),N(NC['[D/N']]="N"),N(NC[ID]&lt;NC[[#This Row],[ID]]),N(NC[PAR]=NC[[#This Row],[PAR]]), NC[LUCRO TMP]), 0)</f>
        <v>-466.39</v>
      </c>
      <c r="AE50" s="15">
        <f>IF(NC[U] = "U", SUMPRODUCT(N(NC[ID]&lt;=NC[[#This Row],[ID]]),N(NC[DATA BASE]=NC[[#This Row],[DATA BASE]]), N(NC['[D/N']] = "N"),    NC[LUCRO P/ OP]), 0)</f>
        <v>0</v>
      </c>
      <c r="AF50" s="15">
        <f>IF(NC[U] = "U",NC[LUCRO '[N']] + SUMPRODUCT(N(MONTH(NC[DATA BASE])&lt;MONTH(NC[[#This Row],[DATA BASE]]) ), NC[LUCRO '[N']]),0)</f>
        <v>0</v>
      </c>
      <c r="AG50" s="15">
        <f>IF(NC[U] = "U", SUMPRODUCT(N(NC[DATA BASE]=NC[[#This Row],[DATA BASE]]), N(NC['[D/N']] = "D"),    NC[LUCRO P/ OP]), 0)</f>
        <v>0</v>
      </c>
      <c r="AH50" s="20">
        <f>IF(NC[ TRIB. '[N']] &gt; 0,     ROUND(NC[ TRIB. '[N']]*0.15,    2),    0)</f>
        <v>0</v>
      </c>
      <c r="AI50" s="20">
        <f>IF(NC[LUCRO TRIB. DT] &gt; 0,     ROUND(NC[LUCRO TRIB. DT]*0.2,    2)  -  SUMPRODUCT(N(NC[DATA BASE]=NC[[#This Row],[DATA BASE]]),    NC[IRRF FONTE]),    0)</f>
        <v>0</v>
      </c>
      <c r="AJ50" s="19">
        <f>NC[IR '[N']] + NC[IR DEVIDO DT]</f>
        <v>0</v>
      </c>
      <c r="AK50" s="20">
        <f>IF(AND(NC[U] = "U",NC[IR DEVIDO] &gt; 0), NC[IR DEVIDO] + 8.9, 0)</f>
        <v>0</v>
      </c>
      <c r="AL50" s="20">
        <f>NC[LUCRO '[N']]  + NC[LUCRO TRIB. DT] - NC[RESGATE]</f>
        <v>0</v>
      </c>
    </row>
    <row r="51" spans="1:38" x14ac:dyDescent="0.2">
      <c r="A51" s="13">
        <v>50</v>
      </c>
      <c r="B51" s="13" t="s">
        <v>53</v>
      </c>
      <c r="C51" s="57" t="s">
        <v>111</v>
      </c>
      <c r="D51" s="13" t="s">
        <v>25</v>
      </c>
      <c r="E51" s="14">
        <v>41078</v>
      </c>
      <c r="F51" s="13">
        <v>200</v>
      </c>
      <c r="G51" s="15">
        <v>0</v>
      </c>
      <c r="H51" s="13" t="s">
        <v>6</v>
      </c>
      <c r="I51" s="14">
        <f>WORKDAY(NC[[#This Row],[DATA]],1,0)</f>
        <v>41079</v>
      </c>
      <c r="J51" s="58">
        <f>EOMONTH(NC[[#This Row],[DATA DE LIQUIDAÇÃO]],0)</f>
        <v>41090</v>
      </c>
      <c r="K5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51" s="15">
        <f>NC[QTDE]*NC[PREÇO]</f>
        <v>0</v>
      </c>
      <c r="M5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51" s="15">
        <f>TRUNC(SUMPRODUCT(N(NC[DATA] = NC[[#This Row],[DATA]]), N(NC[ID] &lt;= NC[[#This Row],[ID]]), N(NC['[D/N']]="N"), NC[VALOR DAS OPERAÇÕES] * SETUP!$B$7) + SUMPRODUCT(N(NC[DATA] = NC[[#This Row],[DATA]]), N(NC[ID] &lt;= NC[[#This Row],[ID]]), N(NC['[D/N']] = "D"), NC[VALOR DAS OPERAÇÕES] * SETUP!$E$7), 2)</f>
        <v>0</v>
      </c>
      <c r="O5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</v>
      </c>
      <c r="P5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</v>
      </c>
      <c r="Q51" s="15">
        <f>SETUP!$E$3*SUMPRODUCT(N(NC[DATA]=NC[[#This Row],[DATA]]),N(NC[ID]&lt;=NC[[#This Row],[ID]]))</f>
        <v>29.8</v>
      </c>
      <c r="R51" s="15">
        <f>TRUNC(NC[CORRETAGEM]*SETUP!$F$3,2)</f>
        <v>0.59</v>
      </c>
      <c r="S51" s="15">
        <f>ROUND(NC[CORRETAGEM]*SETUP!$G$3,2)</f>
        <v>1.1599999999999999</v>
      </c>
      <c r="T51" s="15">
        <f>NC[VALOR LÍQUIDO DAS OPERAÇÕES]-NC[TAXA DE LIQUIDAÇÃO]-NC[EMOLUMENTOS]-NC[TAXA DE REGISTRO]-NC[CORRETAGEM]-NC[ISS]-IF(NC['[D/N']]="D",    0,    NC[OUTRAS BOVESPA])</f>
        <v>-31.55</v>
      </c>
      <c r="U51" s="15">
        <f>IF(AND(NC['[D/N']]="D",    NC[T]="CV"),    ROUND(NC[LÍQUIDO BASE]*0.01, 2),    0)</f>
        <v>0</v>
      </c>
      <c r="V51" s="15">
        <f>IF(NC[PREÇO] &gt; 0,    NC[LÍQUIDO BASE]-SUMPRODUCT(N(NC[DATA]=NC[[#This Row],[DATA]]),    NC[IRRF FONTE]),    0)</f>
        <v>0</v>
      </c>
      <c r="W51" s="20">
        <f>NC[LÍQUIDO]-SUMPRODUCT(N(NC[DATA]=NC[[#This Row],[DATA]]),N(NC[ID]=(NC[[#This Row],[ID]]-1)),NC[LÍQUIDO])</f>
        <v>0</v>
      </c>
      <c r="X51" s="15">
        <f>IF(NC[T] = "VC", ABS(NC[VALOR OP]) / NC[QTDE], NC[VALOR OP]/NC[QTDE])</f>
        <v>0</v>
      </c>
      <c r="Y51" s="15">
        <f>TRUNC(IF(OR(NC[T]="CV",NC[T]="VV"),     L51*SETUP!$H$3,     0),2)</f>
        <v>0</v>
      </c>
      <c r="Z5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51" s="16">
        <f>IF(NC['[D/N']]="D",      IF(OR(NC[T]="CC",NC[T]="CV"),     ABS(SUMPRODUCT(N(NC[ATIVO]=NC[[#This Row],[ATIVO]]),N(NC[T]="CC"),N(NC['[D/N']]="D"),N(NC[ID]&lt;=NC[[#This Row],[ID]]),N(NC[PAR]=NC[[#This Row],[PAR]]),NC[VALOR OP]))  /  SUMPRODUCT(N(NC[ATIVO]=NC[[#This Row],[ATIVO]]),N(NC[T]="CC"),N(NC['[D/N']]="D"),N(NC[ID]&lt;=NC[[#This Row],[ID]]),N(NC[PAR]=NC[[#This Row],[PAR]]),NC[QTDE]),     IF(NC[T]="VC",NC[MEDIO P/ OP],0)),     IF(OR(NC[T]="CC",NC[T]="CV"),     (ABS(SUMPRODUCT(N(NC[ATIVO]=NC[[#This Row],[ATIVO]]),N(NC[T]="CC"),N(NC['[D/N']]="N"),N(NC[ID]&lt;=NC[[#This Row],[ID]]),N(NC[PAR]=NC[[#This Row],[PAR]]),NC[VALOR OP])) - ABS(SUMPRODUCT(N(NC[ATIVO]=NC[[#This Row],[ATIVO]]),N(NC[T]="CV"),N(NC['[D/N']]="N"),N(NC[ID]&lt;NC[[#This Row],[ID]]),N(NC[PAR]=NC[[#This Row],[PAR]]),NC[VALOR OP])))  /  (SUMPRODUCT(N(NC[ATIVO]=NC[[#This Row],[ATIVO]]),N(NC[T]="CC"),N(NC['[D/N']]="N"),N(NC[ID]&lt;=NC[[#This Row],[ID]]),N(NC[PAR]=NC[[#This Row],[PAR]]),NC[QTDE]) - SUMPRODUCT(N(NC[ATIVO]=NC[[#This Row],[ATIVO]]),N(NC[T]="CV"),N(NC['[D/N']]="N"),N(NC[ID]&lt;NC[[#This Row],[ID]]),N(NC[PAR]=NC[[#This Row],[PAR]]),NC[QTDE])),     IF(NC[T]="VC",NC[MEDIO P/ OP],0)))</f>
        <v>0.76970000000000016</v>
      </c>
      <c r="AB51" s="16">
        <f>IF(NC['[D/N']]="D",     IF(OR(NC[T]="VV",NC[T]="VC"),     ABS(SUMPRODUCT(N(NC[ATIVO]=NC[[#This Row],[ATIVO]]),N(NC[T]="VV"),N(NC['[D/N']]="D"),N(NC[ID]&lt;=NC[[#This Row],[ID]]),N(NC[PAR]=NC[[#This Row],[PAR]]),NC[VALOR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OP]))  /  SUMPRODUCT(N(NC[ATIVO]=NC[[#This Row],[ATIVO]]),N(NC[T]="VV"),N(NC['[D/N']]="N"),N(NC[ID]&lt;=NC[[#This Row],[ID]]),N(NC[PAR]=NC[[#This Row],[PAR]]),NC[QTDE]),     IF(NC[T]="CV",NC[MEDIO P/ OP],0)))</f>
        <v>0</v>
      </c>
      <c r="AC51" s="38">
        <f xml:space="preserve">  IF(NC[PREÇO] &gt; 0,  IF(AND(NC[MED CP] &gt; 0, NC[MED VD] &lt;&gt; 0), (NC[MED VD] - NC[MED CP]) * NC[QTDE], 0),    IF(AND(NC[MED CP] &gt; 0, NC[MED VD] = 0), (NC[MED VD] - NC[MED CP]) * NC[QTDE], IF(AND(NC[MED CP] = 0, NC[MED VD] &gt; 0), (NC[MED VD] - NC[MED CP]) * NC[QTDE], 0))) + NC[IRRF FONTE]</f>
        <v>-153.94000000000003</v>
      </c>
      <c r="AD51" s="15">
        <f>IF(NC[LUCRO TMP] &lt;&gt; 0, NC[LUCRO TMP] - SUMPRODUCT(N(NC[ATIVO]=NC[[#This Row],[ATIVO]]),N(NC['[D/N']]="N"),N(NC[ID]&lt;NC[[#This Row],[ID]]),N(NC[PAR]=NC[[#This Row],[PAR]]), NC[LUCRO TMP]), 0)</f>
        <v>-153.94000000000003</v>
      </c>
      <c r="AE51" s="15">
        <f>IF(NC[U] = "U", SUMPRODUCT(N(NC[ID]&lt;=NC[[#This Row],[ID]]),N(NC[DATA BASE]=NC[[#This Row],[DATA BASE]]), N(NC['[D/N']] = "N"),    NC[LUCRO P/ OP]), 0)</f>
        <v>510.96999999999991</v>
      </c>
      <c r="AF51" s="15">
        <f>IF(NC[U] = "U",NC[LUCRO '[N']] + SUMPRODUCT(N(MONTH(NC[DATA BASE])&lt;MONTH(NC[[#This Row],[DATA BASE]]) ), NC[LUCRO '[N']]),0)</f>
        <v>-672.14999999999975</v>
      </c>
      <c r="AG51" s="15">
        <f>IF(NC[U] = "U", SUMPRODUCT(N(NC[DATA BASE]=NC[[#This Row],[DATA BASE]]), N(NC['[D/N']] = "D"),    NC[LUCRO P/ OP]), 0)</f>
        <v>0</v>
      </c>
      <c r="AH51" s="20">
        <f>IF(NC[ TRIB. '[N']] &gt; 0,     ROUND(NC[ TRIB. '[N']]*0.15,    2),    0)</f>
        <v>0</v>
      </c>
      <c r="AI51" s="20">
        <f>IF(NC[LUCRO TRIB. DT] &gt; 0,     ROUND(NC[LUCRO TRIB. DT]*0.2,    2)  -  SUMPRODUCT(N(NC[DATA BASE]=NC[[#This Row],[DATA BASE]]),    NC[IRRF FONTE]),    0)</f>
        <v>0</v>
      </c>
      <c r="AJ51" s="19">
        <f>NC[IR '[N']] + NC[IR DEVIDO DT]</f>
        <v>0</v>
      </c>
      <c r="AK51" s="20">
        <f>IF(AND(NC[U] = "U",NC[IR DEVIDO] &gt; 0), NC[IR DEVIDO] + 8.9, 0)</f>
        <v>0</v>
      </c>
      <c r="AL51" s="20">
        <f>NC[LUCRO '[N']]  + NC[LUCRO TRIB. DT] - NC[RESGATE]</f>
        <v>510.96999999999991</v>
      </c>
    </row>
    <row r="52" spans="1:38" x14ac:dyDescent="0.2">
      <c r="A52" s="66">
        <f>SUBTOTAL(104,NC[ID])</f>
        <v>50</v>
      </c>
      <c r="B52" s="66"/>
      <c r="C52" s="66"/>
      <c r="D52" s="66"/>
      <c r="E52" s="66"/>
      <c r="F52" s="66"/>
      <c r="G52" s="66">
        <f>NC[[#Totals],[ID]]*14.9</f>
        <v>745</v>
      </c>
      <c r="H52" s="66">
        <f>NC[[#Totals],[LUCRO P/ OP]]+NC[[#Totals],[PREÇO]]</f>
        <v>551.36000000000013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43"/>
      <c r="U52" s="66"/>
      <c r="V52" s="43"/>
      <c r="W52" s="43"/>
      <c r="X52" s="66"/>
      <c r="Y52" s="43">
        <f>SUBTOTAL(109,NC[IRRF])</f>
        <v>0.21000000000000002</v>
      </c>
      <c r="Z52" s="43"/>
      <c r="AA52" s="66"/>
      <c r="AB52" s="66"/>
      <c r="AC52" s="43"/>
      <c r="AD52" s="43">
        <f>SUBTOTAL(109,NC[LUCRO P/ OP])</f>
        <v>-193.63999999999984</v>
      </c>
      <c r="AE52" s="43"/>
      <c r="AF52" s="43"/>
      <c r="AG52" s="67"/>
      <c r="AH52" s="43"/>
      <c r="AI52" s="43"/>
      <c r="AJ52" s="68"/>
      <c r="AK52" s="68"/>
      <c r="AL52" s="69">
        <f>SUBTOTAL(109,NC[LUCRO LÍQUIDO])</f>
        <v>-293.45999999999992</v>
      </c>
    </row>
    <row r="53" spans="1:38" x14ac:dyDescent="0.2">
      <c r="AD5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J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5" sqref="D15"/>
    </sheetView>
  </sheetViews>
  <sheetFormatPr defaultColWidth="11.5703125" defaultRowHeight="11.25" x14ac:dyDescent="0.2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 x14ac:dyDescent="0.2">
      <c r="A1" s="24" t="s">
        <v>61</v>
      </c>
      <c r="B1" s="24" t="s">
        <v>68</v>
      </c>
      <c r="C1" s="26" t="s">
        <v>62</v>
      </c>
      <c r="D1" s="26" t="s">
        <v>63</v>
      </c>
      <c r="E1" s="26" t="s">
        <v>64</v>
      </c>
      <c r="F1" s="26" t="s">
        <v>69</v>
      </c>
      <c r="G1" s="26" t="s">
        <v>1</v>
      </c>
      <c r="H1" s="26" t="s">
        <v>66</v>
      </c>
      <c r="I1" s="26" t="s">
        <v>67</v>
      </c>
      <c r="J1" s="26" t="s">
        <v>90</v>
      </c>
    </row>
    <row r="2" spans="1:10" x14ac:dyDescent="0.2">
      <c r="A2" s="7" t="s">
        <v>123</v>
      </c>
      <c r="B2" s="25">
        <v>873.38</v>
      </c>
      <c r="C2" s="25">
        <v>36.090000000000003</v>
      </c>
      <c r="D2" s="25">
        <v>1.23</v>
      </c>
      <c r="E2" s="40">
        <v>36.1</v>
      </c>
      <c r="F2" s="28">
        <f>ROUNDDOWN(Tabela2[APLICAÇÃO]/Tabela2[PREÇO OPÇÃO], 0)</f>
        <v>710</v>
      </c>
      <c r="G2" s="28">
        <f>Tabela2[QTDE TMP] - MOD(Tabela2[QTDE TMP], 100)</f>
        <v>700</v>
      </c>
      <c r="H2" s="25">
        <f>Tabela2[EXERCÍCIO] + (Tabela2[PREÇO OPÇÃO] * 2)</f>
        <v>38.550000000000004</v>
      </c>
      <c r="I2" s="27">
        <f>Tabela2[TARGET 100%] / Tabela2[PREÇO AÇÃO] - 1</f>
        <v>6.7867036011080462E-2</v>
      </c>
      <c r="J2" s="25">
        <f>Tabela2[PREÇO OPÇÃO] * Tabela2[QTDE] - 30</f>
        <v>831</v>
      </c>
    </row>
    <row r="3" spans="1:10" x14ac:dyDescent="0.2">
      <c r="A3" s="7" t="s">
        <v>124</v>
      </c>
      <c r="B3" s="25">
        <v>873.38</v>
      </c>
      <c r="C3" s="25">
        <v>37.090000000000003</v>
      </c>
      <c r="D3" s="25">
        <v>0.76</v>
      </c>
      <c r="E3" s="40">
        <v>36.1</v>
      </c>
      <c r="F3" s="28">
        <f>ROUNDDOWN(Tabela2[APLICAÇÃO]/Tabela2[PREÇO OPÇÃO], 0)</f>
        <v>1149</v>
      </c>
      <c r="G3" s="28">
        <f>Tabela2[QTDE TMP] - MOD(Tabela2[QTDE TMP], 100)</f>
        <v>1100</v>
      </c>
      <c r="H3" s="25">
        <f>Tabela2[EXERCÍCIO] + (Tabela2[PREÇO OPÇÃO] * 2)</f>
        <v>38.610000000000007</v>
      </c>
      <c r="I3" s="27">
        <f>Tabela2[TARGET 100%] / Tabela2[PREÇO AÇÃO] - 1</f>
        <v>6.9529085872576335E-2</v>
      </c>
      <c r="J3" s="25">
        <f>Tabela2[PREÇO OPÇÃO] * Tabela2[QTDE] - 30</f>
        <v>806</v>
      </c>
    </row>
    <row r="4" spans="1:10" x14ac:dyDescent="0.2">
      <c r="A4" s="7" t="s">
        <v>124</v>
      </c>
      <c r="B4" s="25">
        <v>873.38</v>
      </c>
      <c r="C4" s="25">
        <v>35.090000000000003</v>
      </c>
      <c r="D4" s="25">
        <v>1.84</v>
      </c>
      <c r="E4" s="40">
        <v>36.1</v>
      </c>
      <c r="F4" s="28">
        <f>ROUNDDOWN(Tabela2[APLICAÇÃO]/Tabela2[PREÇO OPÇÃO], 0)</f>
        <v>474</v>
      </c>
      <c r="G4" s="28">
        <f>Tabela2[QTDE TMP] - MOD(Tabela2[QTDE TMP], 100)</f>
        <v>400</v>
      </c>
      <c r="H4" s="25">
        <f>Tabela2[EXERCÍCIO] + (Tabela2[PREÇO OPÇÃO] * 2)</f>
        <v>38.770000000000003</v>
      </c>
      <c r="I4" s="27">
        <f>Tabela2[TARGET 100%] / Tabela2[PREÇO AÇÃO] - 1</f>
        <v>7.3961218836565035E-2</v>
      </c>
      <c r="J4" s="25">
        <f>Tabela2[PREÇO OPÇÃO] * Tabela2[QTDE] - 30</f>
        <v>706</v>
      </c>
    </row>
    <row r="5" spans="1:10" x14ac:dyDescent="0.2">
      <c r="A5" s="41" t="s">
        <v>15</v>
      </c>
      <c r="B5" s="42"/>
      <c r="C5" s="42"/>
      <c r="D5" s="42"/>
      <c r="E5" s="42"/>
      <c r="F5" s="42"/>
      <c r="G5" s="42"/>
      <c r="H5" s="42"/>
      <c r="I5" s="42"/>
      <c r="J5" s="4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19" sqref="D19"/>
    </sheetView>
  </sheetViews>
  <sheetFormatPr defaultColWidth="11.5703125" defaultRowHeight="11.25" x14ac:dyDescent="0.2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9.85546875" style="7" bestFit="1" customWidth="1"/>
    <col min="9" max="9" width="15.5703125" style="7" bestFit="1" customWidth="1"/>
    <col min="10" max="10" width="15.42578125" style="7" bestFit="1" customWidth="1"/>
    <col min="11" max="11" width="7.7109375" style="7" hidden="1" customWidth="1"/>
    <col min="12" max="12" width="7.5703125" style="7" bestFit="1" customWidth="1"/>
    <col min="13" max="13" width="9.855468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 x14ac:dyDescent="0.2">
      <c r="A1" s="24" t="s">
        <v>61</v>
      </c>
      <c r="B1" s="24" t="s">
        <v>113</v>
      </c>
      <c r="C1" s="24" t="s">
        <v>64</v>
      </c>
      <c r="D1" s="26" t="s">
        <v>78</v>
      </c>
      <c r="E1" s="26" t="s">
        <v>79</v>
      </c>
      <c r="F1" s="26" t="s">
        <v>76</v>
      </c>
      <c r="G1" s="26" t="s">
        <v>77</v>
      </c>
      <c r="H1" s="26" t="s">
        <v>122</v>
      </c>
      <c r="I1" s="26" t="s">
        <v>80</v>
      </c>
      <c r="J1" s="26" t="s">
        <v>81</v>
      </c>
      <c r="K1" s="26" t="s">
        <v>69</v>
      </c>
      <c r="L1" s="26" t="s">
        <v>1</v>
      </c>
      <c r="M1" s="26" t="s">
        <v>87</v>
      </c>
      <c r="N1" s="26" t="s">
        <v>88</v>
      </c>
      <c r="O1" s="26" t="s">
        <v>83</v>
      </c>
      <c r="P1" s="26" t="s">
        <v>84</v>
      </c>
    </row>
    <row r="2" spans="1:16" x14ac:dyDescent="0.2">
      <c r="A2" s="7" t="s">
        <v>89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(Tabela24[QTDE] * Tabela24[PREÇO COMPRA]) + (Tabela24[QTDE] * Tabela24[PREÇO VENDA])</f>
        <v>268</v>
      </c>
      <c r="I2" s="25">
        <f>Tabela24[PREÇO VENDA]-Tabela24[PREÇO COMPRA]</f>
        <v>1.18</v>
      </c>
      <c r="J2" s="25">
        <f>(0.01 - Tabela24[PREÇO COMPRA]) + (Tabela24[PREÇO VENDA] - (Tabela24[EXERC. COMPRA]-Tabela24[EXERC. VENDA]+0.01))</f>
        <v>-0.81999999999999984</v>
      </c>
      <c r="K2" s="28">
        <f>ROUNDDOWN(Tabela24[RISCO]/ABS(Tabela24[PERDA P/ OPÇÃO]), 0)</f>
        <v>121</v>
      </c>
      <c r="L2" s="28">
        <f>Tabela24[QTDE TMP] - MOD(Tabela24[QTDE TMP], 100)</f>
        <v>100</v>
      </c>
      <c r="M2" s="25">
        <f>(Tabela24[QTDE]*Tabela24[LUCRO P/ OPÇÃO]) - 60</f>
        <v>58</v>
      </c>
      <c r="N2" s="25">
        <f>Tabela24[QTDE]*Tabela24[PERDA P/ OPÇÃO] + 60</f>
        <v>-21.999999999999986</v>
      </c>
      <c r="O2" s="27">
        <f>Tabela24[EXERC. VENDA]/Tabela24[PREÇO AÇÃO]-1</f>
        <v>2.3226135783563029E-2</v>
      </c>
      <c r="P2" s="39">
        <f>Tabela24[LUCRO*]/ABS(Tabela24[PERDA*])</f>
        <v>2.636363636363638</v>
      </c>
    </row>
    <row r="3" spans="1:16" x14ac:dyDescent="0.2">
      <c r="A3" s="7" t="s">
        <v>75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(Tabela24[QTDE] * Tabela24[PREÇO COMPRA]) + (Tabela24[QTDE] * Tabela24[PREÇO VENDA])</f>
        <v>182</v>
      </c>
      <c r="I3" s="25">
        <f>Tabela24[PREÇO VENDA]-Tabela24[PREÇO COMPRA]</f>
        <v>1.22</v>
      </c>
      <c r="J3" s="25">
        <f>(0.01 - Tabela24[PREÇO COMPRA]) + (Tabela24[PREÇO VENDA] - (Tabela24[EXERC. COMPRA]-Tabela24[EXERC. VENDA]+0.01))</f>
        <v>-0.7799999999999998</v>
      </c>
      <c r="K3" s="28">
        <f>ROUNDDOWN(Tabela24[RISCO]/ABS(Tabela24[PERDA P/ OPÇÃO]), 0)</f>
        <v>128</v>
      </c>
      <c r="L3" s="28">
        <f>Tabela24[QTDE TMP] - MOD(Tabela24[QTDE TMP], 100)</f>
        <v>100</v>
      </c>
      <c r="M3" s="25">
        <f>(Tabela24[QTDE]*Tabela24[LUCRO P/ OPÇÃO]) - 60</f>
        <v>62</v>
      </c>
      <c r="N3" s="25">
        <f>Tabela24[QTDE]*Tabela24[PERDA P/ OPÇÃO] + 60</f>
        <v>-17.999999999999986</v>
      </c>
      <c r="O3" s="27">
        <f>Tabela24[EXERC. VENDA]/Tabela24[PREÇO AÇÃO]-1</f>
        <v>-5.9292476332835187E-2</v>
      </c>
      <c r="P3" s="39">
        <f>Tabela24[LUCRO*]/ABS(Tabela24[PERDA*])</f>
        <v>3.4444444444444473</v>
      </c>
    </row>
    <row r="4" spans="1:16" x14ac:dyDescent="0.2">
      <c r="A4" s="7" t="s">
        <v>89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25">
        <f>(Tabela24[QTDE] * Tabela24[PREÇO COMPRA]) + (Tabela24[QTDE] * Tabela24[PREÇO VENDA])</f>
        <v>1368</v>
      </c>
      <c r="I4" s="40">
        <f>Tabela24[PREÇO VENDA]-Tabela24[PREÇO COMPRA]</f>
        <v>0.52</v>
      </c>
      <c r="J4" s="40">
        <f>(0.01 - Tabela24[PREÇO COMPRA]) + (Tabela24[PREÇO VENDA] - (Tabela24[EXERC. COMPRA]-Tabela24[EXERC. VENDA]+0.01))</f>
        <v>-0.48</v>
      </c>
      <c r="K4" s="28">
        <f>ROUNDDOWN(Tabela24[RISCO]/ABS(Tabela24[PERDA P/ OPÇÃO]), 0)</f>
        <v>937</v>
      </c>
      <c r="L4" s="28">
        <f>Tabela24[QTDE TMP] - MOD(Tabela24[QTDE TMP], 100)</f>
        <v>900</v>
      </c>
      <c r="M4" s="40">
        <f>(Tabela24[QTDE]*Tabela24[LUCRO P/ OPÇÃO]) - 60</f>
        <v>408</v>
      </c>
      <c r="N4" s="25">
        <f>Tabela24[QTDE]*Tabela24[PERDA P/ OPÇÃO] + 60</f>
        <v>-372</v>
      </c>
      <c r="O4" s="27">
        <f>Tabela24[EXERC. VENDA]/Tabela24[PREÇO AÇÃO]-1</f>
        <v>-2.3947368421052495E-2</v>
      </c>
      <c r="P4" s="39">
        <f>Tabela24[LUCRO*]/ABS(Tabela24[PERDA*])</f>
        <v>1.096774193548387</v>
      </c>
    </row>
    <row r="5" spans="1:16" x14ac:dyDescent="0.2">
      <c r="A5" s="51" t="s">
        <v>109</v>
      </c>
      <c r="B5" s="52">
        <v>90</v>
      </c>
      <c r="C5" s="52">
        <v>11.83</v>
      </c>
      <c r="D5" s="52">
        <v>11</v>
      </c>
      <c r="E5" s="52">
        <v>1.37</v>
      </c>
      <c r="F5" s="52">
        <v>12</v>
      </c>
      <c r="G5" s="52">
        <v>0.69</v>
      </c>
      <c r="H5" s="52">
        <f>(Tabela24[QTDE] * Tabela24[PREÇO COMPRA]) + (Tabela24[QTDE] * Tabela24[PREÇO VENDA])</f>
        <v>412</v>
      </c>
      <c r="I5" s="53">
        <f>Tabela24[PREÇO VENDA]-Tabela24[PREÇO COMPRA]</f>
        <v>0.68000000000000016</v>
      </c>
      <c r="J5" s="53">
        <f>(0.01 - Tabela24[PREÇO COMPRA]) + (Tabela24[PREÇO VENDA] - (Tabela24[EXERC. COMPRA]-Tabela24[EXERC. VENDA]+0.01))</f>
        <v>-0.31999999999999984</v>
      </c>
      <c r="K5" s="54">
        <f>ROUNDDOWN(Tabela24[RISCO]/ABS(Tabela24[PERDA P/ OPÇÃO]), 0)</f>
        <v>281</v>
      </c>
      <c r="L5" s="54">
        <f>Tabela24[QTDE TMP] - MOD(Tabela24[QTDE TMP], 100)</f>
        <v>200</v>
      </c>
      <c r="M5" s="53">
        <f>(Tabela24[QTDE]*Tabela24[LUCRO P/ OPÇÃO]) - 60</f>
        <v>76.000000000000028</v>
      </c>
      <c r="N5" s="52">
        <f>Tabela24[QTDE]*Tabela24[PERDA P/ OPÇÃO] + 60</f>
        <v>-3.9999999999999716</v>
      </c>
      <c r="O5" s="55">
        <f>Tabela24[EXERC. VENDA]/Tabela24[PREÇO AÇÃO]-1</f>
        <v>-7.0160608622147125E-2</v>
      </c>
      <c r="P5" s="56">
        <f>Tabela24[LUCRO*]/ABS(Tabela24[PERDA*])</f>
        <v>19.000000000000142</v>
      </c>
    </row>
    <row r="6" spans="1:16" x14ac:dyDescent="0.2">
      <c r="A6" s="7" t="s">
        <v>75</v>
      </c>
      <c r="B6" s="25">
        <v>300</v>
      </c>
      <c r="C6" s="25">
        <v>20.25</v>
      </c>
      <c r="D6" s="25">
        <v>18.829999999999998</v>
      </c>
      <c r="E6" s="25">
        <v>1.69</v>
      </c>
      <c r="F6" s="25">
        <v>20.71</v>
      </c>
      <c r="G6" s="25">
        <v>0.45</v>
      </c>
      <c r="H6" s="25">
        <f>(Tabela24[QTDE] * Tabela24[PREÇO COMPRA]) + (Tabela24[QTDE] * Tabela24[PREÇO VENDA])</f>
        <v>856</v>
      </c>
      <c r="I6" s="53">
        <f>Tabela24[PREÇO VENDA]-Tabela24[PREÇO COMPRA]</f>
        <v>1.24</v>
      </c>
      <c r="J6" s="53">
        <f>(0.01 - Tabela24[PREÇO COMPRA]) + (Tabela24[PREÇO VENDA] - (Tabela24[EXERC. COMPRA]-Tabela24[EXERC. VENDA]+0.01))</f>
        <v>-0.64000000000000257</v>
      </c>
      <c r="K6" s="54">
        <f>ROUNDDOWN(Tabela24[RISCO]/ABS(Tabela24[PERDA P/ OPÇÃO]), 0)</f>
        <v>468</v>
      </c>
      <c r="L6" s="54">
        <f>Tabela24[QTDE TMP] - MOD(Tabela24[QTDE TMP], 100)</f>
        <v>400</v>
      </c>
      <c r="M6" s="53">
        <f>(Tabela24[QTDE]*Tabela24[LUCRO P/ OPÇÃO]) - 60</f>
        <v>436</v>
      </c>
      <c r="N6" s="53">
        <f>Tabela24[QTDE]*Tabela24[PERDA P/ OPÇÃO] + 60</f>
        <v>-196.00000000000102</v>
      </c>
      <c r="O6" s="55">
        <f>Tabela24[EXERC. VENDA]/Tabela24[PREÇO AÇÃO]-1</f>
        <v>-7.0123456790123551E-2</v>
      </c>
      <c r="P6" s="56">
        <f>Tabela24[LUCRO*]/ABS(Tabela24[PERDA*])</f>
        <v>2.2244897959183558</v>
      </c>
    </row>
    <row r="7" spans="1:16" x14ac:dyDescent="0.2">
      <c r="A7" s="7" t="s">
        <v>75</v>
      </c>
      <c r="B7" s="25">
        <v>400</v>
      </c>
      <c r="C7" s="25">
        <v>20.25</v>
      </c>
      <c r="D7" s="25">
        <v>19.829999999999998</v>
      </c>
      <c r="E7" s="25">
        <v>0.94</v>
      </c>
      <c r="F7" s="25">
        <v>20.71</v>
      </c>
      <c r="G7" s="25">
        <v>0.45</v>
      </c>
      <c r="H7" s="25">
        <f>(Tabela24[QTDE] * Tabela24[PREÇO COMPRA]) + (Tabela24[QTDE] * Tabela24[PREÇO VENDA])</f>
        <v>1390</v>
      </c>
      <c r="I7" s="53">
        <f>Tabela24[PREÇO VENDA]-Tabela24[PREÇO COMPRA]</f>
        <v>0.48999999999999994</v>
      </c>
      <c r="J7" s="53">
        <f>(0.01 - Tabela24[PREÇO COMPRA]) + (Tabela24[PREÇO VENDA] - (Tabela24[EXERC. COMPRA]-Tabela24[EXERC. VENDA]+0.01))</f>
        <v>-0.39000000000000262</v>
      </c>
      <c r="K7" s="54">
        <f>ROUNDDOWN(Tabela24[RISCO]/ABS(Tabela24[PERDA P/ OPÇÃO]), 0)</f>
        <v>1025</v>
      </c>
      <c r="L7" s="54">
        <f>Tabela24[QTDE TMP] - MOD(Tabela24[QTDE TMP], 100)</f>
        <v>1000</v>
      </c>
      <c r="M7" s="53">
        <f>(Tabela24[QTDE]*Tabela24[LUCRO P/ OPÇÃO]) - 60</f>
        <v>429.99999999999994</v>
      </c>
      <c r="N7" s="53">
        <f>Tabela24[QTDE]*Tabela24[PERDA P/ OPÇÃO] + 60</f>
        <v>-330.00000000000261</v>
      </c>
      <c r="O7" s="55">
        <f>Tabela24[EXERC. VENDA]/Tabela24[PREÇO AÇÃO]-1</f>
        <v>-2.0740740740740837E-2</v>
      </c>
      <c r="P7" s="56">
        <f>Tabela24[LUCRO*]/ABS(Tabela24[PERDA*])</f>
        <v>1.3030303030302925</v>
      </c>
    </row>
    <row r="8" spans="1:16" x14ac:dyDescent="0.2">
      <c r="A8" s="41" t="s">
        <v>15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1"/>
      <c r="P8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2" sqref="B2"/>
    </sheetView>
  </sheetViews>
  <sheetFormatPr defaultColWidth="11.5703125" defaultRowHeight="11.25" x14ac:dyDescent="0.2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8" width="9.85546875" style="7" bestFit="1" customWidth="1"/>
    <col min="19" max="19" width="9.14062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 x14ac:dyDescent="0.2">
      <c r="A1" s="24" t="s">
        <v>61</v>
      </c>
      <c r="B1" s="24" t="s">
        <v>97</v>
      </c>
      <c r="C1" s="24" t="s">
        <v>98</v>
      </c>
      <c r="D1" s="26" t="s">
        <v>99</v>
      </c>
      <c r="E1" s="26" t="s">
        <v>100</v>
      </c>
      <c r="F1" s="26" t="s">
        <v>101</v>
      </c>
      <c r="G1" s="26" t="s">
        <v>102</v>
      </c>
      <c r="H1" s="26" t="s">
        <v>103</v>
      </c>
      <c r="I1" s="26" t="s">
        <v>104</v>
      </c>
      <c r="J1" s="26" t="s">
        <v>93</v>
      </c>
      <c r="K1" s="26" t="s">
        <v>94</v>
      </c>
      <c r="L1" s="26" t="s">
        <v>95</v>
      </c>
      <c r="M1" s="26" t="s">
        <v>108</v>
      </c>
      <c r="N1" s="26" t="s">
        <v>69</v>
      </c>
      <c r="O1" s="26" t="s">
        <v>1</v>
      </c>
      <c r="P1" s="26" t="s">
        <v>107</v>
      </c>
      <c r="Q1" s="26" t="s">
        <v>106</v>
      </c>
      <c r="R1" s="26" t="s">
        <v>105</v>
      </c>
      <c r="S1" s="26" t="s">
        <v>87</v>
      </c>
      <c r="T1" s="26" t="s">
        <v>88</v>
      </c>
      <c r="U1" s="26" t="s">
        <v>92</v>
      </c>
      <c r="V1" s="26" t="s">
        <v>84</v>
      </c>
    </row>
    <row r="2" spans="1:22" x14ac:dyDescent="0.2">
      <c r="A2" s="7" t="s">
        <v>89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((Tabela245[PR VD] - 0.01) * 2) + ((Tabela245[EX. VD] - Tabela245[EX. CP 1] + 0.01) - Tabela245[PR CP 1]) + (0.01 - Tabela245[PR CP 2])</f>
        <v>0.87000000000000011</v>
      </c>
      <c r="K2" s="25">
        <f>(0.01 - Tabela245[PR CP 1]) + ((Tabela245[PR VD] - 0.01) * 2) + (0.01 - Tabela245[PR CP 2])</f>
        <v>-0.12999999999999989</v>
      </c>
      <c r="L2" s="25">
        <f>((Tabela245[EX. CP 2] - Tabela245[EX. CP 1] + 0.01) - Tabela245[PR CP 1]) + ((Tabela245[PR VD] - (Tabela245[EX. CP 2] - Tabela245[EX. VD] + 0.01)) * 2) + (0.01 - Tabela245[PR CP 2])</f>
        <v>-0.13000000000000012</v>
      </c>
      <c r="M2" s="25">
        <f>IF(Tabela245[PERDA 1] &gt; Tabela245[PERDA 2], Tabela245[PERDA 2], Tabela245[PERDA 1])</f>
        <v>-0.12999999999999989</v>
      </c>
      <c r="N2" s="28">
        <f>ROUNDDOWN(Tabela245[BASE]/ABS(Tabela245[PERDA]), 0)</f>
        <v>769</v>
      </c>
      <c r="O2" s="28">
        <f>Tabela245[QTDE TMP] - MOD(Tabela245[QTDE TMP], 100)</f>
        <v>700</v>
      </c>
      <c r="P2" s="28">
        <f>Tabela245[[#This Row],[QTDE]]*2</f>
        <v>1400</v>
      </c>
      <c r="Q2" s="25">
        <f>-(Tabela245[QTDE]*Tabela245[PR CP 1] + Tabela245[QTDE]*Tabela245[PR CP 2])</f>
        <v>-1519</v>
      </c>
      <c r="R2" s="25">
        <f>Tabela245[QTDE]*Tabela245[PR VD] * 2</f>
        <v>1428</v>
      </c>
      <c r="S2" s="40">
        <f>(Tabela245[QTDE]*Tabela245[LUCRO UNI.] - 90)</f>
        <v>519.00000000000011</v>
      </c>
      <c r="T2" s="25">
        <f>Tabela245[QTDE]*Tabela245[PERDA] - 90</f>
        <v>-180.99999999999994</v>
      </c>
      <c r="U2" s="27">
        <f>Tabela245[EX. VD] / Tabela245[PR. AÇÃO] - 1</f>
        <v>-1.7483443708609214E-2</v>
      </c>
      <c r="V2" s="39">
        <f>Tabela245[LUCRO*]/ABS(Tabela245[PERDA*])</f>
        <v>2.8674033149171287</v>
      </c>
    </row>
    <row r="3" spans="1:22" x14ac:dyDescent="0.2">
      <c r="A3" s="7" t="s">
        <v>15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42"/>
      <c r="Q3" s="29"/>
      <c r="R3" s="29"/>
      <c r="S3" s="29"/>
      <c r="T3" s="29"/>
    </row>
    <row r="4" spans="1:22" x14ac:dyDescent="0.2">
      <c r="E4" s="23"/>
    </row>
    <row r="5" spans="1:22" x14ac:dyDescent="0.2">
      <c r="E5" s="23"/>
    </row>
    <row r="6" spans="1:22" x14ac:dyDescent="0.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26" sqref="F26"/>
    </sheetView>
  </sheetViews>
  <sheetFormatPr defaultColWidth="11.5703125" defaultRowHeight="11.25" x14ac:dyDescent="0.2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2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 x14ac:dyDescent="0.2">
      <c r="A1" s="24" t="s">
        <v>61</v>
      </c>
      <c r="B1" s="24" t="s">
        <v>113</v>
      </c>
      <c r="C1" s="24" t="s">
        <v>64</v>
      </c>
      <c r="D1" s="26" t="s">
        <v>116</v>
      </c>
      <c r="E1" s="26" t="s">
        <v>115</v>
      </c>
      <c r="F1" s="26" t="s">
        <v>114</v>
      </c>
      <c r="G1" s="59" t="s">
        <v>1</v>
      </c>
      <c r="H1" s="26" t="s">
        <v>81</v>
      </c>
      <c r="I1" s="26" t="s">
        <v>118</v>
      </c>
      <c r="J1" s="26" t="s">
        <v>119</v>
      </c>
      <c r="K1" s="26" t="s">
        <v>117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 x14ac:dyDescent="0.2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60">
        <v>800</v>
      </c>
      <c r="H2" s="25">
        <f>-Tabela246[RISCO]/Tabela246[QTDE]</f>
        <v>-0.375</v>
      </c>
      <c r="I2" s="25">
        <f>Tabela246[PR COMPRA] * Tabela246[QTDE]</f>
        <v>400</v>
      </c>
      <c r="J2" s="25">
        <f>Tabela246[PR VENDA]-Tabela246[PR COMPRA]</f>
        <v>0.625</v>
      </c>
      <c r="K2" s="25">
        <f>Tabela246[PERDA P/ OPÇÃO] + (Tabela246[EX. COMPRA] - Tabela246[EX. VENDA] + 0.01) - 0.01 + Tabela246[PR COMPRA]</f>
        <v>1.125</v>
      </c>
      <c r="L2" s="25">
        <f>(Tabela246[QTDE]*Tabela246[LUCRO UNI])</f>
        <v>500</v>
      </c>
      <c r="M2" s="25">
        <f>Tabela246[PERDA P/ OPÇÃO]*Tabela246[QTDE]</f>
        <v>-300</v>
      </c>
      <c r="N2" s="27">
        <f>Tabela246[EX. VENDA]/Tabela246[PREÇO AÇÃO]-1</f>
        <v>0.90205128205128227</v>
      </c>
      <c r="O2" s="39">
        <f>Tabela246[LUCRO*]/ABS(Tabela246[PERDA*])</f>
        <v>1.6666666666666667</v>
      </c>
    </row>
    <row r="3" spans="1:15" x14ac:dyDescent="0.2">
      <c r="A3" s="51" t="s">
        <v>75</v>
      </c>
      <c r="B3" s="52">
        <v>300</v>
      </c>
      <c r="C3" s="52">
        <v>20.25</v>
      </c>
      <c r="D3" s="52">
        <v>19.829999999999998</v>
      </c>
      <c r="E3" s="52">
        <v>20.71</v>
      </c>
      <c r="F3" s="52">
        <v>0.4</v>
      </c>
      <c r="G3" s="64">
        <v>1500</v>
      </c>
      <c r="H3" s="53">
        <f>-Tabela246[RISCO]/Tabela246[QTDE]</f>
        <v>-0.2</v>
      </c>
      <c r="I3" s="53">
        <f>Tabela246[PR COMPRA] * Tabela246[QTDE]</f>
        <v>600</v>
      </c>
      <c r="J3" s="65">
        <f>Tabela246[PR VENDA]-Tabela246[PR COMPRA]</f>
        <v>0.68000000000000271</v>
      </c>
      <c r="K3" s="53">
        <f>Tabela246[PERDA P/ OPÇÃO] + (Tabela246[EX. COMPRA] - Tabela246[EX. VENDA] + 0.01) - 0.01 + Tabela246[PR COMPRA]</f>
        <v>1.0800000000000027</v>
      </c>
      <c r="L3" s="53">
        <f>(Tabela246[QTDE]*Tabela246[LUCRO UNI])</f>
        <v>1020.0000000000041</v>
      </c>
      <c r="M3" s="53">
        <f>Tabela246[PERDA P/ OPÇÃO]*Tabela246[QTDE]</f>
        <v>-300</v>
      </c>
      <c r="N3" s="55">
        <f>Tabela246[EX. VENDA]/Tabela246[PREÇO AÇÃO]-1</f>
        <v>-2.0740740740740837E-2</v>
      </c>
      <c r="O3" s="56">
        <f>Tabela246[LUCRO*]/ABS(Tabela246[PERDA*])</f>
        <v>3.4000000000000137</v>
      </c>
    </row>
    <row r="4" spans="1:15" x14ac:dyDescent="0.2">
      <c r="A4" s="51" t="s">
        <v>75</v>
      </c>
      <c r="B4" s="52">
        <v>300</v>
      </c>
      <c r="C4" s="52">
        <v>20.25</v>
      </c>
      <c r="D4" s="52">
        <v>18.829999999999998</v>
      </c>
      <c r="E4" s="52">
        <v>20.71</v>
      </c>
      <c r="F4" s="52">
        <v>0.45</v>
      </c>
      <c r="G4" s="64">
        <v>500</v>
      </c>
      <c r="H4" s="53">
        <f>-Tabela246[RISCO]/Tabela246[QTDE]</f>
        <v>-0.6</v>
      </c>
      <c r="I4" s="53">
        <f>Tabela246[PR COMPRA] * Tabela246[QTDE]</f>
        <v>225</v>
      </c>
      <c r="J4" s="65">
        <f>Tabela246[PR VENDA]-Tabela246[PR COMPRA]</f>
        <v>1.2800000000000027</v>
      </c>
      <c r="K4" s="53">
        <f>Tabela246[PERDA P/ OPÇÃO] + (Tabela246[EX. COMPRA] - Tabela246[EX. VENDA] + 0.01) - 0.01 + Tabela246[PR COMPRA]</f>
        <v>1.7300000000000026</v>
      </c>
      <c r="L4" s="53">
        <f>(Tabela246[QTDE]*Tabela246[LUCRO UNI])</f>
        <v>640.00000000000136</v>
      </c>
      <c r="M4" s="53">
        <f>Tabela246[PERDA P/ OPÇÃO]*Tabela246[QTDE]</f>
        <v>-300</v>
      </c>
      <c r="N4" s="55">
        <f>Tabela246[EX. VENDA]/Tabela246[PREÇO AÇÃO]-1</f>
        <v>-7.0123456790123551E-2</v>
      </c>
      <c r="O4" s="56">
        <f>Tabela246[LUCRO*]/ABS(Tabela246[PERDA*])</f>
        <v>2.1333333333333377</v>
      </c>
    </row>
    <row r="5" spans="1:15" x14ac:dyDescent="0.2">
      <c r="A5" s="41" t="s">
        <v>15</v>
      </c>
      <c r="B5" s="42"/>
      <c r="C5" s="42"/>
      <c r="D5" s="42"/>
      <c r="E5" s="42"/>
      <c r="F5" s="42"/>
      <c r="G5" s="61"/>
      <c r="H5" s="42"/>
      <c r="I5" s="63"/>
      <c r="J5" s="42"/>
      <c r="K5" s="42"/>
      <c r="L5" s="42"/>
      <c r="M5" s="42"/>
      <c r="N5" s="41"/>
      <c r="O5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J2" sqref="J2"/>
    </sheetView>
  </sheetViews>
  <sheetFormatPr defaultColWidth="11.5703125" defaultRowHeight="11.25" x14ac:dyDescent="0.2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2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 x14ac:dyDescent="0.2">
      <c r="A1" s="24" t="s">
        <v>61</v>
      </c>
      <c r="B1" s="24" t="s">
        <v>113</v>
      </c>
      <c r="C1" s="24" t="s">
        <v>64</v>
      </c>
      <c r="D1" s="26" t="s">
        <v>116</v>
      </c>
      <c r="E1" s="26" t="s">
        <v>115</v>
      </c>
      <c r="F1" s="26" t="s">
        <v>117</v>
      </c>
      <c r="G1" s="26" t="s">
        <v>114</v>
      </c>
      <c r="H1" s="59" t="s">
        <v>1</v>
      </c>
      <c r="I1" s="26" t="s">
        <v>81</v>
      </c>
      <c r="J1" s="26" t="s">
        <v>122</v>
      </c>
      <c r="K1" s="26" t="s">
        <v>119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 x14ac:dyDescent="0.2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60">
        <v>800</v>
      </c>
      <c r="I2" s="25">
        <f>(Tabela2467[PR VENDA] - (Tabela2467[EX. COMPRA] - Tabela2467[EX. VENDA] + 0.01)) + (0.01 - (Tabela2467[PR COMPRA]))</f>
        <v>-0.5</v>
      </c>
      <c r="J2" s="25">
        <f>Tabela2467[PR COMPRA] * Tabela2467[QTDE]</f>
        <v>400</v>
      </c>
      <c r="K2" s="25">
        <f>Tabela2467[PR VENDA]-Tabela2467[PR COMPRA]</f>
        <v>0.5</v>
      </c>
      <c r="L2" s="25">
        <f>(Tabela2467[QTDE]*Tabela2467[LUCRO UNI])</f>
        <v>400</v>
      </c>
      <c r="M2" s="25">
        <f>Tabela2467[PERDA P/ OPÇÃO]*Tabela2467[QTDE]</f>
        <v>-400</v>
      </c>
      <c r="N2" s="27">
        <f>Tabela2467[EX. VENDA]/Tabela2467[PREÇO AÇÃO]-1</f>
        <v>0.90205128205128227</v>
      </c>
      <c r="O2" s="39">
        <f>Tabela2467[LUCRO*]/ABS(Tabela2467[PERDA*])</f>
        <v>1</v>
      </c>
    </row>
    <row r="3" spans="1:15" x14ac:dyDescent="0.2">
      <c r="A3" s="51" t="s">
        <v>75</v>
      </c>
      <c r="B3" s="52">
        <v>300</v>
      </c>
      <c r="C3" s="52">
        <v>20.25</v>
      </c>
      <c r="D3" s="52">
        <v>19.829999999999998</v>
      </c>
      <c r="E3" s="52">
        <v>20.71</v>
      </c>
      <c r="F3" s="52">
        <v>0.95</v>
      </c>
      <c r="G3" s="52">
        <v>0.4</v>
      </c>
      <c r="H3" s="64">
        <v>1000</v>
      </c>
      <c r="I3" s="53">
        <f>(Tabela2467[PR VENDA] - (Tabela2467[EX. COMPRA] - Tabela2467[EX. VENDA] + 0.01)) + (0.01 - (Tabela2467[PR COMPRA]))</f>
        <v>-0.33000000000000262</v>
      </c>
      <c r="J3" s="53">
        <f>Tabela2467[PR COMPRA] * Tabela2467[QTDE]</f>
        <v>400</v>
      </c>
      <c r="K3" s="65">
        <f>Tabela2467[PR VENDA]-Tabela2467[PR COMPRA]</f>
        <v>0.54999999999999993</v>
      </c>
      <c r="L3" s="53">
        <f>(Tabela2467[QTDE]*Tabela2467[LUCRO UNI])</f>
        <v>549.99999999999989</v>
      </c>
      <c r="M3" s="53">
        <f>Tabela2467[PERDA P/ OPÇÃO]*Tabela2467[QTDE]</f>
        <v>-330.00000000000261</v>
      </c>
      <c r="N3" s="55">
        <f>Tabela2467[EX. VENDA]/Tabela2467[PREÇO AÇÃO]-1</f>
        <v>-2.0740740740740837E-2</v>
      </c>
      <c r="O3" s="56">
        <f>Tabela2467[LUCRO*]/ABS(Tabela2467[PERDA*])</f>
        <v>1.6666666666666532</v>
      </c>
    </row>
    <row r="4" spans="1:15" x14ac:dyDescent="0.2">
      <c r="A4" s="51" t="s">
        <v>75</v>
      </c>
      <c r="B4" s="52">
        <v>300</v>
      </c>
      <c r="C4" s="52">
        <v>20.25</v>
      </c>
      <c r="D4" s="52">
        <v>18.829999999999998</v>
      </c>
      <c r="E4" s="52">
        <v>20.71</v>
      </c>
      <c r="F4" s="52">
        <v>1.66</v>
      </c>
      <c r="G4" s="52">
        <v>0.4</v>
      </c>
      <c r="H4" s="64">
        <v>500</v>
      </c>
      <c r="I4" s="53">
        <f>(Tabela2467[PR VENDA] - (Tabela2467[EX. COMPRA] - Tabela2467[EX. VENDA] + 0.01)) + (0.01 - (Tabela2467[PR COMPRA]))</f>
        <v>-0.62000000000000266</v>
      </c>
      <c r="J4" s="53">
        <f>Tabela2467[PR COMPRA] * Tabela2467[QTDE]</f>
        <v>200</v>
      </c>
      <c r="K4" s="65">
        <f>Tabela2467[PR VENDA]-Tabela2467[PR COMPRA]</f>
        <v>1.2599999999999998</v>
      </c>
      <c r="L4" s="53">
        <f>(Tabela2467[QTDE]*Tabela2467[LUCRO UNI])</f>
        <v>629.99999999999989</v>
      </c>
      <c r="M4" s="53">
        <f>Tabela2467[PERDA P/ OPÇÃO]*Tabela2467[QTDE]</f>
        <v>-310.00000000000131</v>
      </c>
      <c r="N4" s="55">
        <f>Tabela2467[EX. VENDA]/Tabela2467[PREÇO AÇÃO]-1</f>
        <v>-7.0123456790123551E-2</v>
      </c>
      <c r="O4" s="56">
        <f>Tabela2467[LUCRO*]/ABS(Tabela2467[PERDA*])</f>
        <v>2.0322580645161201</v>
      </c>
    </row>
    <row r="5" spans="1:15" x14ac:dyDescent="0.2">
      <c r="A5" s="51" t="s">
        <v>75</v>
      </c>
      <c r="B5" s="52">
        <v>300</v>
      </c>
      <c r="C5" s="52">
        <v>19.37</v>
      </c>
      <c r="D5" s="52">
        <v>17.829999999999998</v>
      </c>
      <c r="E5" s="52">
        <v>18.829999999999998</v>
      </c>
      <c r="F5" s="52">
        <v>1.96</v>
      </c>
      <c r="G5" s="52">
        <v>1.24</v>
      </c>
      <c r="H5" s="64">
        <v>1000</v>
      </c>
      <c r="I5" s="53">
        <f>(Tabela2467[PR VENDA] - (Tabela2467[EX. COMPRA] - Tabela2467[EX. VENDA] + 0.01)) + (0.01 - (Tabela2467[PR COMPRA]))</f>
        <v>-0.28000000000000003</v>
      </c>
      <c r="J5" s="53">
        <f>Tabela2467[PR COMPRA] * Tabela2467[QTDE]</f>
        <v>1240</v>
      </c>
      <c r="K5" s="65">
        <f>Tabela2467[PR VENDA]-Tabela2467[PR COMPRA]</f>
        <v>0.72</v>
      </c>
      <c r="L5" s="53">
        <f>(Tabela2467[QTDE]*Tabela2467[LUCRO UNI])</f>
        <v>720</v>
      </c>
      <c r="M5" s="53">
        <f>Tabela2467[PERDA P/ OPÇÃO]*Tabela2467[QTDE]</f>
        <v>-280</v>
      </c>
      <c r="N5" s="55">
        <f>Tabela2467[EX. VENDA]/Tabela2467[PREÇO AÇÃO]-1</f>
        <v>-7.9504388229220568E-2</v>
      </c>
      <c r="O5" s="56">
        <f>Tabela2467[LUCRO*]/ABS(Tabela2467[PERDA*])</f>
        <v>2.5714285714285716</v>
      </c>
    </row>
    <row r="6" spans="1:15" x14ac:dyDescent="0.2">
      <c r="A6" s="41" t="s">
        <v>15</v>
      </c>
      <c r="B6" s="42"/>
      <c r="C6" s="42"/>
      <c r="D6" s="42"/>
      <c r="E6" s="42"/>
      <c r="F6" s="42"/>
      <c r="G6" s="42"/>
      <c r="H6" s="61"/>
      <c r="I6" s="42"/>
      <c r="J6" s="63"/>
      <c r="K6" s="42"/>
      <c r="L6" s="42"/>
      <c r="M6" s="42"/>
      <c r="N6" s="41"/>
      <c r="O6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7"/>
  <sheetViews>
    <sheetView workbookViewId="0">
      <selection activeCell="C7" sqref="C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72" t="s">
        <v>7</v>
      </c>
      <c r="B1" s="72"/>
      <c r="C1" s="72" t="s">
        <v>8</v>
      </c>
      <c r="D1" s="72"/>
      <c r="E1" s="71" t="s">
        <v>9</v>
      </c>
      <c r="F1" s="71" t="s">
        <v>4</v>
      </c>
      <c r="G1" s="71" t="s">
        <v>10</v>
      </c>
      <c r="H1" s="71" t="s">
        <v>11</v>
      </c>
      <c r="I1" s="71" t="s">
        <v>23</v>
      </c>
    </row>
    <row r="2" spans="1:9" x14ac:dyDescent="0.2">
      <c r="A2" s="3" t="s">
        <v>12</v>
      </c>
      <c r="B2" s="3" t="s">
        <v>13</v>
      </c>
      <c r="C2" s="3" t="s">
        <v>12</v>
      </c>
      <c r="D2" s="3" t="s">
        <v>13</v>
      </c>
      <c r="E2" s="71"/>
      <c r="F2" s="71"/>
      <c r="G2" s="71"/>
      <c r="H2" s="71"/>
      <c r="I2" s="71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 x14ac:dyDescent="0.2">
      <c r="A4" s="70" t="s">
        <v>26</v>
      </c>
      <c r="B4" s="70"/>
      <c r="C4" s="70"/>
      <c r="D4" s="70"/>
      <c r="E4" s="70"/>
      <c r="F4" s="70"/>
    </row>
    <row r="5" spans="1:9" x14ac:dyDescent="0.2">
      <c r="A5" s="70" t="s">
        <v>7</v>
      </c>
      <c r="B5" s="70"/>
      <c r="C5" s="70"/>
      <c r="D5" s="70" t="s">
        <v>8</v>
      </c>
      <c r="E5" s="70"/>
      <c r="F5" s="70"/>
    </row>
    <row r="6" spans="1:9" x14ac:dyDescent="0.2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NOTAS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2012-06-06T00:48:41Z</dcterms:modified>
</cp:coreProperties>
</file>