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 activeTab="1"/>
  </bookViews>
  <sheets>
    <sheet name="WTSa" sheetId="1" r:id="rId1"/>
    <sheet name="WTS" sheetId="3" r:id="rId2"/>
    <sheet name="SETUP" sheetId="2" r:id="rId3"/>
  </sheets>
  <calcPr calcId="145621"/>
</workbook>
</file>

<file path=xl/calcChain.xml><?xml version="1.0" encoding="utf-8"?>
<calcChain xmlns="http://schemas.openxmlformats.org/spreadsheetml/2006/main">
  <c r="R2" i="3" l="1"/>
  <c r="R3" i="3"/>
  <c r="P2" i="3"/>
  <c r="P3" i="3"/>
  <c r="O2" i="3"/>
  <c r="O3" i="3"/>
  <c r="N3" i="3"/>
  <c r="M3" i="3"/>
  <c r="K3" i="3"/>
  <c r="L3" i="3" s="1"/>
  <c r="S3" i="3" s="1"/>
  <c r="J3" i="3"/>
  <c r="N2" i="3"/>
  <c r="M2" i="3"/>
  <c r="K2" i="3"/>
  <c r="L2" i="3" s="1"/>
  <c r="S2" i="3" s="1"/>
  <c r="J2" i="3"/>
  <c r="C3" i="2"/>
  <c r="C4" i="2"/>
  <c r="C5" i="2"/>
  <c r="C6" i="2"/>
  <c r="C7" i="2"/>
  <c r="C2" i="2"/>
  <c r="K6" i="1"/>
  <c r="L6" i="1"/>
  <c r="M6" i="1" s="1"/>
  <c r="N6" i="1"/>
  <c r="P6" i="1" s="1"/>
  <c r="Q6" i="1" s="1"/>
  <c r="O6" i="1"/>
  <c r="K5" i="1"/>
  <c r="L5" i="1"/>
  <c r="M5" i="1"/>
  <c r="N5" i="1"/>
  <c r="P5" i="1" s="1"/>
  <c r="Q5" i="1" s="1"/>
  <c r="O5" i="1"/>
  <c r="K4" i="1"/>
  <c r="L4" i="1"/>
  <c r="M4" i="1" s="1"/>
  <c r="N4" i="1"/>
  <c r="O4" i="1"/>
  <c r="P4" i="1"/>
  <c r="Q4" i="1" s="1"/>
  <c r="K2" i="1"/>
  <c r="K3" i="1"/>
  <c r="L3" i="1"/>
  <c r="M3" i="1"/>
  <c r="N3" i="1"/>
  <c r="P3" i="1" s="1"/>
  <c r="O3" i="1"/>
  <c r="L2" i="1"/>
  <c r="M2" i="1" s="1"/>
  <c r="O2" i="1"/>
  <c r="N2" i="1"/>
  <c r="P2" i="1" s="1"/>
  <c r="Q2" i="1" s="1"/>
  <c r="S2" i="1" s="1"/>
  <c r="AC3" i="3" l="1"/>
  <c r="Q3" i="3"/>
  <c r="Q2" i="3"/>
  <c r="S6" i="1"/>
  <c r="R6" i="1"/>
  <c r="T6" i="1" s="1"/>
  <c r="R5" i="1"/>
  <c r="T5" i="1" s="1"/>
  <c r="S5" i="1"/>
  <c r="R4" i="1"/>
  <c r="T4" i="1" s="1"/>
  <c r="AE4" i="1" s="1"/>
  <c r="S4" i="1"/>
  <c r="R2" i="1"/>
  <c r="T2" i="1" s="1"/>
  <c r="AE2" i="1" s="1"/>
  <c r="Q3" i="1"/>
  <c r="T3" i="3" l="1"/>
  <c r="V3" i="3" s="1"/>
  <c r="AC2" i="3"/>
  <c r="T2" i="3"/>
  <c r="V2" i="3" s="1"/>
  <c r="U5" i="1"/>
  <c r="V5" i="1" s="1"/>
  <c r="U6" i="1"/>
  <c r="V6" i="1" s="1"/>
  <c r="AE6" i="1"/>
  <c r="AE5" i="1"/>
  <c r="U4" i="1"/>
  <c r="V4" i="1" s="1"/>
  <c r="S3" i="1"/>
  <c r="U2" i="1"/>
  <c r="V2" i="1" s="1"/>
  <c r="R3" i="1"/>
  <c r="T3" i="1" s="1"/>
  <c r="AE3" i="1" s="1"/>
  <c r="W3" i="3" l="1"/>
  <c r="X3" i="3" s="1"/>
  <c r="Y3" i="3" s="1"/>
  <c r="U3" i="3"/>
  <c r="U2" i="3"/>
  <c r="W2" i="3"/>
  <c r="X2" i="3" s="1"/>
  <c r="Y2" i="3" s="1"/>
  <c r="Y4" i="1"/>
  <c r="Z4" i="1" s="1"/>
  <c r="AA4" i="1" s="1"/>
  <c r="W4" i="1"/>
  <c r="X4" i="1"/>
  <c r="W6" i="1"/>
  <c r="Y6" i="1"/>
  <c r="Z6" i="1" s="1"/>
  <c r="AA6" i="1" s="1"/>
  <c r="X6" i="1"/>
  <c r="Y5" i="1"/>
  <c r="Z5" i="1" s="1"/>
  <c r="AA5" i="1" s="1"/>
  <c r="W5" i="1"/>
  <c r="X5" i="1"/>
  <c r="W2" i="1"/>
  <c r="Y2" i="1"/>
  <c r="Z2" i="1" s="1"/>
  <c r="AA2" i="1" s="1"/>
  <c r="X2" i="1"/>
  <c r="U3" i="1"/>
  <c r="V3" i="1" s="1"/>
  <c r="Z2" i="3" l="1"/>
  <c r="AA2" i="3" s="1"/>
  <c r="AB2" i="3" s="1"/>
  <c r="Z3" i="3"/>
  <c r="AA3" i="3" s="1"/>
  <c r="AB3" i="3" s="1"/>
  <c r="AB5" i="1"/>
  <c r="AC5" i="1" s="1"/>
  <c r="AD5" i="1" s="1"/>
  <c r="AB6" i="1"/>
  <c r="AC6" i="1" s="1"/>
  <c r="AD6" i="1" s="1"/>
  <c r="AB4" i="1"/>
  <c r="AC4" i="1" s="1"/>
  <c r="AD4" i="1" s="1"/>
  <c r="AB2" i="1"/>
  <c r="AC2" i="1" s="1"/>
  <c r="AD2" i="1" s="1"/>
  <c r="W3" i="1"/>
  <c r="Y3" i="1"/>
  <c r="Z3" i="1" s="1"/>
  <c r="AA3" i="1" s="1"/>
  <c r="X3" i="1"/>
  <c r="AB3" i="1" l="1"/>
  <c r="AC3" i="1" s="1"/>
  <c r="AD3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<sst xmlns="http://schemas.openxmlformats.org/spreadsheetml/2006/main" count="69" uniqueCount="40">
  <si>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</si>
  <si>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</si>
  <si>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</si>
  <si>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</si>
  <si>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</si>
  <si>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</si>
  <si>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</si>
  <si>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</si>
  <si>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</si>
  <si>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</si>
  <si>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</si>
  <si>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</si>
  <si>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</si>
  <si>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</si>
  <si>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</si>
  <si>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</si>
  <si>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</si>
  <si>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</si>
  <si>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</si>
  <si>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</si>
  <si>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</si>
  <si>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</si>
  <si>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</si>
  <si>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</si>
  <si>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</si>
  <si>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</si>
  <si>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</si>
  <si>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</si>
  <si>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</si>
  <si>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</si>
  <si>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</si>
  <si>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</si>
  <si>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</si>
  <si>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</si>
  <si>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</si>
  <si>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</si>
  <si>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</si>
  <si>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</si>
  <si>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</si>
  <si>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BBAS3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</si>
</sst>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$ &quot;* #,##0.00_);_(&quot;R$ &quot;* \(#,##0.00\);_(&quot;R$ 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1" fontId="5" fillId="0" borderId="0" xfId="2" applyNumberFormat="1" applyFont="1" applyBorder="1"/>
    <xf numFmtId="164" fontId="5" fillId="0" borderId="0" xfId="1" applyNumberFormat="1" applyFont="1" applyBorder="1"/>
    <xf numFmtId="164" fontId="5" fillId="0" borderId="0" xfId="0" applyNumberFormat="1" applyFont="1" applyBorder="1"/>
    <xf numFmtId="1" fontId="5" fillId="0" borderId="0" xfId="0" applyNumberFormat="1" applyFont="1" applyBorder="1"/>
    <xf numFmtId="2" fontId="5" fillId="0" borderId="0" xfId="1" applyNumberFormat="1" applyFont="1" applyBorder="1"/>
    <xf numFmtId="0" fontId="5" fillId="0" borderId="0" xfId="0" applyFont="1"/>
    <xf numFmtId="0" fontId="5" fillId="0" borderId="0" xfId="0" applyFont="1" applyBorder="1"/>
  </cellXfs>
  <cellStyles count="3">
    <cellStyle name="Moeda" xfId="1" builtinId="4"/>
    <cellStyle name="Normal" xfId="0" builtinId="0"/>
    <cellStyle name="Porcentagem" xfId="2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AE6" totalsRowShown="0" headerRowDxfId="63" dataDxfId="62">
  <autoFilter ref="A1:AE6"/>
  <tableColumns count="31">
    <tableColumn id="31" name="ATIVO" dataDxfId="61"/>
    <tableColumn id="5" name="PATRIM." dataDxfId="60" dataCellStyle="Moeda"/>
    <tableColumn id="6" name="AGE" dataDxfId="59" dataCellStyle="Moeda"/>
    <tableColumn id="1" name="INICIO" dataDxfId="58" dataCellStyle="Moeda"/>
    <tableColumn id="2" name="FIM" dataDxfId="57" dataCellStyle="Moeda"/>
    <tableColumn id="9" name="% START" dataDxfId="56" dataCellStyle="Porcentagem"/>
    <tableColumn id="11" name="% STOP" dataDxfId="55" dataCellStyle="Porcentagem"/>
    <tableColumn id="10" name="% TGT" dataDxfId="54" dataCellStyle="Porcentagem"/>
    <tableColumn id="12" name="% VOL" dataDxfId="53" dataCellStyle="Porcentagem"/>
    <tableColumn id="13" name="% IN" dataDxfId="52" dataCellStyle="Porcentagem"/>
    <tableColumn id="19" name="PER" dataDxfId="51" dataCellStyle="Porcentagem">
      <calculatedColumnFormula>1</calculatedColumnFormula>
    </tableColumn>
    <tableColumn id="7" name="BASE RV" dataDxfId="50" dataCellStyle="Moeda">
      <calculatedColumnFormula>Tabela1[PATRIM.] * (1 - Tabela1[AGE] / 100)</calculatedColumnFormula>
    </tableColumn>
    <tableColumn id="8" name="RISCO" dataDxfId="49" dataCellStyle="Moeda">
      <calculatedColumnFormula>IF(Tabela1[BASE RV] &lt; SETUP!$A$2, Tabela1[BASE RV] * SETUP!$B$2, IF(Tabela1[BASE RV] &lt; SETUP!$A$3, Tabela1[BASE RV] * SETUP!$B$3, 0))</calculatedColumnFormula>
    </tableColumn>
    <tableColumn id="3" name="PERNA" dataDxfId="48" dataCellStyle="Moeda">
      <calculatedColumnFormula>IF(Tabela1[INICIO] &lt; Tabela1[FIM], Tabela1[FIM] - Tabela1[INICIO], Tabela1[INICIO] - Tabela1[FIM])</calculatedColumnFormula>
    </tableColumn>
    <tableColumn id="4" name="% PERNA" dataDxfId="47" dataCellStyle="Porcentagem">
      <calculatedColumnFormula>Tabela1[FIM] / Tabela1[INICIO] - 1</calculatedColumnFormula>
    </tableColumn>
    <tableColumn id="15" name="RETORNO" dataDxfId="46" dataCellStyle="Moeda">
      <calculatedColumnFormula>ABS(Tabela1[PERNA] * Tabela1[% IN] + IF(Tabela1[INICIO] &lt; Tabela1[FIM], - Tabela1[FIM], + Tabela1[FIM]))</calculatedColumnFormula>
    </tableColumn>
    <tableColumn id="16" name="START" dataDxfId="45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44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43">
      <calculatedColumnFormula>Tabela1[START] * IF(Tabela1[INICIO] &lt; Tabela1[FIM], (1 + Tabela1[% VOL] / 10 * 1.5 * Tabela1[PER]), (1 - Tabela1[% VOL] / 10 * 1.5 * Tabela1[PER]))</calculatedColumnFormula>
    </tableColumn>
    <tableColumn id="20" name="TGT" dataDxfId="42">
      <calculatedColumnFormula>TRUNC((Tabela1[STOP] + IF(Tabela1[INICIO] &lt; Tabela1[FIM], Tabela1[PERNA], - Tabela1[PERNA])) * IF(Tabela1[INICIO] &lt; Tabela1[FIM], (1 - ABS(Tabela1[% PERNA]) * Tabela1[% TGT] * 10), (1 + ABS(Tabela1[% PERNA]) * Tabela1[% TGT] * 10)), 2)</calculatedColumnFormula>
    </tableColumn>
    <tableColumn id="21" name="QTDE TMP" dataDxfId="41">
      <calculatedColumnFormula>ROUNDDOWN(Tabela1[RISCO] / (ABS(Tabela1[START] - Tabela1[STOP])), 0)</calculatedColumnFormula>
    </tableColumn>
    <tableColumn id="22" name="QTDE" dataDxfId="40">
      <calculatedColumnFormula>Tabela1[QTDE TMP] - MOD(Tabela1[QTDE TMP], 100)</calculatedColumnFormula>
    </tableColumn>
    <tableColumn id="23" name="VOLUME" dataDxfId="39">
      <calculatedColumnFormula>Tabela1[QTDE] * Tabela1[START]</calculatedColumnFormula>
    </tableColumn>
    <tableColumn id="24" name="PERDA" dataDxfId="38">
      <calculatedColumnFormula>ABS(Tabela1[START] - Tabela1[STOP]) * Tabela1[QTDE]</calculatedColumnFormula>
    </tableColumn>
    <tableColumn id="27" name="QTDE PAR TMP" dataDxfId="37" dataCellStyle="Moeda">
      <calculatedColumnFormula>Tabela1[QTDE] / 2</calculatedColumnFormula>
    </tableColumn>
    <tableColumn id="28" name="QTDE PAR" dataDxfId="36" dataCellStyle="Moeda">
      <calculatedColumnFormula>Tabela1[QTDE PAR TMP] + MOD(Tabela1[QTDE PAR TMP], 100)</calculatedColumnFormula>
    </tableColumn>
    <tableColumn id="25" name="LUCRO PAR" dataDxfId="35">
      <calculatedColumnFormula>ABS(Tabela1[PARCIAL] - Tabela1[START]) * Tabela1[QTDE PAR]</calculatedColumnFormula>
    </tableColumn>
    <tableColumn id="29" name="QTDE ALVO" dataDxfId="34" dataCellStyle="Moeda">
      <calculatedColumnFormula>Tabela1[QTDE] - Tabela1[QTDE PAR]</calculatedColumnFormula>
    </tableColumn>
    <tableColumn id="26" name="LUCRO ALVO" dataDxfId="33">
      <calculatedColumnFormula>ABS(Tabela1[TGT] - Tabela1[START]) * Tabela1[QTDE ALVO] + Tabela1[LUCRO PAR]</calculatedColumnFormula>
    </tableColumn>
    <tableColumn id="30" name="RISCO:1" dataDxfId="32" dataCellStyle="Moeda">
      <calculatedColumnFormula>Tabela1[LUCRO ALVO] / Tabela1[PERDA]</calculatedColumnFormula>
    </tableColumn>
    <tableColumn id="14" name="% 85" dataDxfId="31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3" totalsRowShown="0" headerRowDxfId="30" dataDxfId="29">
  <autoFilter ref="A1:AC3"/>
  <tableColumns count="29">
    <tableColumn id="31" name="ATIVO" dataDxfId="28"/>
    <tableColumn id="5" name="PATRIM." dataDxfId="27" dataCellStyle="Moeda"/>
    <tableColumn id="6" name="AGE" dataDxfId="26" dataCellStyle="Moeda"/>
    <tableColumn id="1" name="INICIO" dataDxfId="25" dataCellStyle="Moeda"/>
    <tableColumn id="2" name="MEIO" dataDxfId="24" dataCellStyle="Moeda"/>
    <tableColumn id="32" name="FIM" dataDxfId="6" dataCellStyle="Moeda"/>
    <tableColumn id="34" name="CDL H" dataDxfId="4" dataCellStyle="Moeda"/>
    <tableColumn id="33" name="CDL L" dataDxfId="5" dataCellStyle="Moeda"/>
    <tableColumn id="12" name="% VOL" dataDxfId="23" dataCellStyle="Porcentagem"/>
    <tableColumn id="19" name="PER" dataDxfId="22" dataCellStyle="Porcentagem">
      <calculatedColumnFormula>1</calculatedColumnFormula>
    </tableColumn>
    <tableColumn id="7" name="BASE RV" dataDxfId="21" dataCellStyle="Moeda">
      <calculatedColumnFormula>Tabela13[PATRIM.] * (1 - Tabela13[AGE] / 100)</calculatedColumnFormula>
    </tableColumn>
    <tableColumn id="8" name="RISCO" dataDxfId="20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19" dataCellStyle="Moeda">
      <calculatedColumnFormula>IF(Tabela13[INICIO] &lt; Tabela13[MEIO], Tabela13[MEIO] - Tabela13[INICIO], Tabela13[INICIO] - Tabela13[MEIO])</calculatedColumnFormula>
    </tableColumn>
    <tableColumn id="4" name="% PERNA" dataDxfId="18" dataCellStyle="Porcentagem">
      <calculatedColumnFormula>Tabela13[MEIO] / Tabela13[INICIO] - 1</calculatedColumnFormula>
    </tableColumn>
    <tableColumn id="16" name="START" dataDxfId="3" dataCellStyle="Moeda">
      <calculatedColumnFormula>IF(Tabela13[INICIO] &lt; Tabela13[MEIO], Tabela13[CDL H] + 0.02, Tabela13[CDL L] - 0.02)</calculatedColumnFormula>
    </tableColumn>
    <tableColumn id="17" name="STOP" dataDxfId="2">
      <calculatedColumnFormula>IF(Tabela13[INICIO] &lt; Tabela13[MEIO], Tabela13[CDL L] - 0.02, Tabela13[CDL H] + 0.02)</calculatedColumnFormula>
    </tableColumn>
    <tableColumn id="18" name="PARCIAL" dataDxfId="17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1">
      <calculatedColumnFormula>IF(Tabela13[INICIO] &lt; Tabela13[MEIO],  Tabela13[FIM] + (Tabela13[MEIO] - Tabela13[INICIO]), Tabela13[FIM] - (Tabela13[INICIO] - Tabela13[MEIO]))</calculatedColumnFormula>
    </tableColumn>
    <tableColumn id="21" name="QTDE TMP" dataDxfId="0">
      <calculatedColumnFormula>ROUNDDOWN(Tabela13[RISCO] / (ABS(Tabela13[CDL H] - Tabela13[CDL L])), 0)</calculatedColumnFormula>
    </tableColumn>
    <tableColumn id="22" name="QTDE" dataDxfId="16">
      <calculatedColumnFormula>Tabela13[QTDE TMP] - MOD(Tabela13[QTDE TMP], 100)</calculatedColumnFormula>
    </tableColumn>
    <tableColumn id="23" name="VOLUME" dataDxfId="15">
      <calculatedColumnFormula>Tabela13[QTDE] * Tabela13[START]</calculatedColumnFormula>
    </tableColumn>
    <tableColumn id="24" name="PERDA" dataDxfId="14">
      <calculatedColumnFormula>ABS(Tabela13[START] - Tabela13[STOP]) * Tabela13[QTDE]</calculatedColumnFormula>
    </tableColumn>
    <tableColumn id="27" name="QTDE PAR TMP" dataDxfId="13" dataCellStyle="Moeda">
      <calculatedColumnFormula>Tabela13[QTDE] / 2</calculatedColumnFormula>
    </tableColumn>
    <tableColumn id="28" name="QTDE PAR" dataDxfId="12" dataCellStyle="Moeda">
      <calculatedColumnFormula>Tabela13[QTDE PAR TMP] + MOD(Tabela13[QTDE PAR TMP], 100)</calculatedColumnFormula>
    </tableColumn>
    <tableColumn id="25" name="LUCRO PAR" dataDxfId="11">
      <calculatedColumnFormula>ABS(Tabela13[PARCIAL] - Tabela13[START]) * Tabela13[QTDE PAR]</calculatedColumnFormula>
    </tableColumn>
    <tableColumn id="29" name="QTDE ALVO" dataDxfId="10" dataCellStyle="Moeda">
      <calculatedColumnFormula>Tabela13[QTDE] - Tabela13[QTDE PAR]</calculatedColumnFormula>
    </tableColumn>
    <tableColumn id="26" name="LUCRO ALVO" dataDxfId="9">
      <calculatedColumnFormula>ABS(Tabela13[TGT] - Tabela13[START]) * Tabela13[QTDE ALVO] + Tabela13[LUCRO PAR]</calculatedColumnFormula>
    </tableColumn>
    <tableColumn id="30" name="RISCO:1" dataDxfId="8" dataCellStyle="Moeda">
      <calculatedColumnFormula>Tabela13[LUCRO ALVO] / Tabela13[PERDA]</calculatedColumnFormula>
    </tableColumn>
    <tableColumn id="14" name="% 85" dataDxfId="7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sqref="A1:XFD1048576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28515625" style="1" bestFit="1" customWidth="1"/>
    <col min="5" max="5" width="6.85546875" style="4" bestFit="1" customWidth="1"/>
    <col min="6" max="6" width="8.5703125" style="4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9.85546875" style="1" hidden="1" customWidth="1"/>
    <col min="12" max="12" width="9" style="1" hidden="1" customWidth="1"/>
    <col min="13" max="13" width="0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7.28515625" style="1" bestFit="1" customWidth="1"/>
    <col min="19" max="19" width="9.7109375" style="1" bestFit="1" customWidth="1"/>
    <col min="20" max="20" width="6.85546875" style="11" bestFit="1" customWidth="1"/>
    <col min="21" max="21" width="10" style="11" hidden="1" customWidth="1"/>
    <col min="22" max="22" width="6.7109375" style="1" bestFit="1" customWidth="1"/>
    <col min="23" max="23" width="9.85546875" style="1" bestFit="1" customWidth="1"/>
    <col min="24" max="24" width="7.7109375" style="11" bestFit="1" customWidth="1"/>
    <col min="25" max="25" width="11.5703125" style="1" hidden="1" customWidth="1"/>
    <col min="26" max="26" width="10.5703125" style="1" hidden="1" customWidth="1"/>
    <col min="27" max="27" width="10.5703125" style="11" bestFit="1" customWidth="1"/>
    <col min="28" max="28" width="10.7109375" style="1" hidden="1" customWidth="1"/>
    <col min="29" max="29" width="11.5703125" style="9" bestFit="1" customWidth="1"/>
    <col min="30" max="30" width="8.28515625" style="2" bestFit="1" customWidth="1"/>
    <col min="31" max="16384" width="9.140625" style="1"/>
  </cols>
  <sheetData>
    <row r="1" spans="1:31" x14ac:dyDescent="0.2">
      <c r="A1" s="23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4" t="s">
        <v>7</v>
      </c>
      <c r="G1" s="4" t="s">
        <v>8</v>
      </c>
      <c r="H1" s="4" t="s">
        <v>26</v>
      </c>
      <c r="I1" s="4" t="s">
        <v>35</v>
      </c>
      <c r="J1" s="3" t="s">
        <v>24</v>
      </c>
      <c r="K1" s="10" t="s">
        <v>23</v>
      </c>
      <c r="L1" s="1" t="s">
        <v>4</v>
      </c>
      <c r="M1" s="1" t="s">
        <v>5</v>
      </c>
      <c r="N1" s="1" t="s">
        <v>2</v>
      </c>
      <c r="O1" s="1" t="s">
        <v>3</v>
      </c>
      <c r="P1" s="1" t="s">
        <v>30</v>
      </c>
      <c r="Q1" s="2" t="s">
        <v>9</v>
      </c>
      <c r="R1" s="2" t="s">
        <v>10</v>
      </c>
      <c r="S1" s="2" t="s">
        <v>11</v>
      </c>
      <c r="T1" s="2" t="s">
        <v>12</v>
      </c>
      <c r="U1" s="6" t="s">
        <v>13</v>
      </c>
      <c r="V1" s="6" t="s">
        <v>14</v>
      </c>
      <c r="W1" s="6" t="s">
        <v>15</v>
      </c>
      <c r="X1" s="6" t="s">
        <v>16</v>
      </c>
      <c r="Y1" s="6" t="s">
        <v>19</v>
      </c>
      <c r="Z1" s="6" t="s">
        <v>20</v>
      </c>
      <c r="AA1" s="6" t="s">
        <v>17</v>
      </c>
      <c r="AB1" s="6" t="s">
        <v>21</v>
      </c>
      <c r="AC1" s="6" t="s">
        <v>18</v>
      </c>
      <c r="AD1" s="5" t="s">
        <v>22</v>
      </c>
      <c r="AE1" s="13" t="s">
        <v>25</v>
      </c>
    </row>
    <row r="2" spans="1:31" x14ac:dyDescent="0.2">
      <c r="A2" s="13" t="s">
        <v>28</v>
      </c>
      <c r="B2" s="2">
        <v>4800</v>
      </c>
      <c r="C2" s="6">
        <v>26</v>
      </c>
      <c r="D2" s="2">
        <v>5.17</v>
      </c>
      <c r="E2" s="2">
        <v>2.87</v>
      </c>
      <c r="F2" s="4">
        <v>2.5000000000000001E-3</v>
      </c>
      <c r="G2" s="4">
        <v>4.0000000000000001E-3</v>
      </c>
      <c r="H2" s="4">
        <v>1.5E-3</v>
      </c>
      <c r="I2" s="4">
        <v>0.97489999999999999</v>
      </c>
      <c r="J2" s="3">
        <v>0.5</v>
      </c>
      <c r="K2" s="10">
        <f>1</f>
        <v>1</v>
      </c>
      <c r="L2" s="2">
        <f>Tabela1[PATRIM.] * (1 - Tabela1[AGE] / 100)</f>
        <v>3552</v>
      </c>
      <c r="M2" s="2">
        <f>IF(Tabela1[BASE RV] &lt; SETUP!$A$2, Tabela1[BASE RV] * SETUP!$B$2, IF(Tabela1[BASE RV] &lt; SETUP!$A$3, Tabela1[BASE RV] * SETUP!$B$3, 0))</f>
        <v>71.040000000000006</v>
      </c>
      <c r="N2" s="2">
        <f>IF(Tabela1[INICIO] &lt; Tabela1[FIM], Tabela1[FIM] - Tabela1[INICIO], Tabela1[INICIO] - Tabela1[FIM])</f>
        <v>2.2999999999999998</v>
      </c>
      <c r="O2" s="4">
        <f>Tabela1[FIM] / Tabela1[INICIO] - 1</f>
        <v>-0.44487427466150864</v>
      </c>
      <c r="P2" s="2">
        <f>ABS(Tabela1[PERNA] * Tabela1[% IN] + IF(Tabela1[INICIO] &lt; Tabela1[FIM], - Tabela1[FIM], + Tabela1[FIM]))</f>
        <v>4.0199999999999996</v>
      </c>
      <c r="Q2" s="2">
        <f>TRUNC(Tabela1[RETORNO] * IF(Tabela1[INICIO] &lt; Tabela1[FIM], (1 - ABS(Tabela1[% PERNA]) * Tabela1[% START] * 10), (1 + ABS(Tabela1[% PERNA]) * Tabela1[% START] * 10)), 2)</f>
        <v>4.0599999999999996</v>
      </c>
      <c r="R2" s="2">
        <f>TRUNC(Tabela1[START] * IF(Tabela1[INICIO] &lt; Tabela1[FIM], (1 - ABS(Tabela1[% PERNA]) * Tabela1[% STOP] * 10), (1 + ABS(Tabela1[% PERNA]) * Tabela1[% STOP] * 10)), 2)</f>
        <v>4.13</v>
      </c>
      <c r="S2" s="2">
        <f>Tabela1[START] * IF(Tabela1[INICIO] &lt; Tabela1[FIM], (1 + Tabela1[% VOL] / 10 * 1.5 * Tabela1[PER]), (1 - Tabela1[% VOL] / 10 * 1.5 * Tabela1[PER]))</f>
        <v>3.4662858999999995</v>
      </c>
      <c r="T2" s="2">
        <f>TRUNC((Tabela1[STOP] + IF(Tabela1[INICIO] &lt; Tabela1[FIM], Tabela1[PERNA], - Tabela1[PERNA])) * IF(Tabela1[INICIO] &lt; Tabela1[FIM], (1 - ABS(Tabela1[% PERNA]) * Tabela1[% TGT] * 10), (1 + ABS(Tabela1[% PERNA]) * Tabela1[% TGT] * 10)), 2)</f>
        <v>1.84</v>
      </c>
      <c r="U2" s="6">
        <f>ROUNDDOWN(Tabela1[RISCO] / (ABS(Tabela1[START] - Tabela1[STOP])), 0)</f>
        <v>1014</v>
      </c>
      <c r="V2" s="6">
        <f>Tabela1[QTDE TMP] - MOD(Tabela1[QTDE TMP], 100)</f>
        <v>1000</v>
      </c>
      <c r="W2" s="12">
        <f>Tabela1[QTDE] * Tabela1[START]</f>
        <v>4059.9999999999995</v>
      </c>
      <c r="X2" s="12">
        <f>ABS(Tabela1[START] - Tabela1[STOP]) * Tabela1[QTDE]</f>
        <v>70.000000000000284</v>
      </c>
      <c r="Y2" s="6">
        <f>Tabela1[QTDE] / 2</f>
        <v>500</v>
      </c>
      <c r="Z2" s="6">
        <f>Tabela1[QTDE PAR TMP] + MOD(Tabela1[QTDE PAR TMP], 100)</f>
        <v>500</v>
      </c>
      <c r="AA2" s="12">
        <f>ABS(Tabela1[PARCIAL] - Tabela1[START]) * Tabela1[QTDE PAR]</f>
        <v>296.85705000000007</v>
      </c>
      <c r="AB2" s="6">
        <f>Tabela1[QTDE] - Tabela1[QTDE PAR]</f>
        <v>500</v>
      </c>
      <c r="AC2" s="12">
        <f>ABS(Tabela1[TGT] - Tabela1[START]) * Tabela1[QTDE ALVO] + Tabela1[LUCRO PAR]</f>
        <v>1406.8570499999998</v>
      </c>
      <c r="AD2" s="5">
        <f>Tabela1[LUCRO ALVO] / Tabela1[PERDA]</f>
        <v>20.097957857142774</v>
      </c>
      <c r="AE2" s="2">
        <f>IF(Tabela1[INICIO] &lt; Tabela1[FIM], Tabela1[START] + ABS(Tabela1[TGT] - Tabela1[START]) * 85%, Tabela1[START] - ABS(Tabela1[TGT] - Tabela1[START]) * 85%)</f>
        <v>2.173</v>
      </c>
    </row>
    <row r="3" spans="1:31" x14ac:dyDescent="0.2">
      <c r="A3" s="13" t="s">
        <v>28</v>
      </c>
      <c r="B3" s="2">
        <v>4800</v>
      </c>
      <c r="C3" s="6">
        <v>26</v>
      </c>
      <c r="D3" s="2">
        <v>5.17</v>
      </c>
      <c r="E3" s="2">
        <v>2.87</v>
      </c>
      <c r="F3" s="4">
        <v>2.5000000000000001E-3</v>
      </c>
      <c r="G3" s="4">
        <v>2E-3</v>
      </c>
      <c r="H3" s="4">
        <v>1.5E-3</v>
      </c>
      <c r="I3" s="4">
        <v>0.97489999999999999</v>
      </c>
      <c r="J3" s="3">
        <v>0.6</v>
      </c>
      <c r="K3" s="10">
        <f>1</f>
        <v>1</v>
      </c>
      <c r="L3" s="2">
        <f>Tabela1[PATRIM.] * (1 - Tabela1[AGE] / 100)</f>
        <v>3552</v>
      </c>
      <c r="M3" s="2">
        <f>IF(Tabela1[BASE RV] &lt; SETUP!$A$2, Tabela1[BASE RV] * SETUP!$B$2, IF(Tabela1[BASE RV] &lt; SETUP!$A$3, Tabela1[BASE RV] * SETUP!$B$3, 0))</f>
        <v>71.040000000000006</v>
      </c>
      <c r="N3" s="2">
        <f>IF(Tabela1[INICIO] &lt; Tabela1[FIM], Tabela1[FIM] - Tabela1[INICIO], Tabela1[INICIO] - Tabela1[FIM])</f>
        <v>2.2999999999999998</v>
      </c>
      <c r="O3" s="4">
        <f>Tabela1[FIM] / Tabela1[INICIO] - 1</f>
        <v>-0.44487427466150864</v>
      </c>
      <c r="P3" s="2">
        <f>ABS(Tabela1[PERNA] * Tabela1[% IN] + IF(Tabela1[INICIO] &lt; Tabela1[FIM], - Tabela1[FIM], + Tabela1[FIM]))</f>
        <v>4.25</v>
      </c>
      <c r="Q3" s="2">
        <f>TRUNC(Tabela1[RETORNO] * IF(Tabela1[INICIO] &lt; Tabela1[FIM], (1 - ABS(Tabela1[% PERNA]) * Tabela1[% START] * 10), (1 + ABS(Tabela1[% PERNA]) * Tabela1[% START] * 10)), 2)</f>
        <v>4.29</v>
      </c>
      <c r="R3" s="2">
        <f>TRUNC(Tabela1[START] * IF(Tabela1[INICIO] &lt; Tabela1[FIM], (1 - ABS(Tabela1[% PERNA]) * Tabela1[% STOP] * 10), (1 + ABS(Tabela1[% PERNA]) * Tabela1[% STOP] * 10)), 2)</f>
        <v>4.32</v>
      </c>
      <c r="S3" s="2">
        <f>Tabela1[START] * IF(Tabela1[INICIO] &lt; Tabela1[FIM], (1 + Tabela1[% VOL] / 10 * 1.5 * Tabela1[PER]), (1 - Tabela1[% VOL] / 10 * 1.5 * Tabela1[PER]))</f>
        <v>3.66265185</v>
      </c>
      <c r="T3" s="2">
        <f>TRUNC((Tabela1[STOP] + IF(Tabela1[INICIO] &lt; Tabela1[FIM], Tabela1[PERNA], - Tabela1[PERNA])) * IF(Tabela1[INICIO] &lt; Tabela1[FIM], (1 - ABS(Tabela1[% PERNA]) * Tabela1[% TGT] * 10), (1 + ABS(Tabela1[% PERNA]) * Tabela1[% TGT] * 10)), 2)</f>
        <v>2.0299999999999998</v>
      </c>
      <c r="U3" s="6">
        <f>ROUNDDOWN(Tabela1[RISCO] / (ABS(Tabela1[START] - Tabela1[STOP])), 0)</f>
        <v>2367</v>
      </c>
      <c r="V3" s="6">
        <f>Tabela1[QTDE TMP] - MOD(Tabela1[QTDE TMP], 100)</f>
        <v>2300</v>
      </c>
      <c r="W3" s="12">
        <f>Tabela1[QTDE] * Tabela1[START]</f>
        <v>9867</v>
      </c>
      <c r="X3" s="12">
        <f>ABS(Tabela1[START] - Tabela1[STOP]) * Tabela1[QTDE]</f>
        <v>69.000000000000568</v>
      </c>
      <c r="Y3" s="6">
        <f>Tabela1[QTDE] / 2</f>
        <v>1150</v>
      </c>
      <c r="Z3" s="6">
        <f>Tabela1[QTDE PAR TMP] + MOD(Tabela1[QTDE PAR TMP], 100)</f>
        <v>1200</v>
      </c>
      <c r="AA3" s="12">
        <f>ABS(Tabela1[PARCIAL] - Tabela1[START]) * Tabela1[QTDE PAR]</f>
        <v>752.81777999999997</v>
      </c>
      <c r="AB3" s="6">
        <f>Tabela1[QTDE] - Tabela1[QTDE PAR]</f>
        <v>1100</v>
      </c>
      <c r="AC3" s="12">
        <f>ABS(Tabela1[TGT] - Tabela1[START]) * Tabela1[QTDE ALVO] + Tabela1[LUCRO PAR]</f>
        <v>3238.8177800000003</v>
      </c>
      <c r="AD3" s="5">
        <f>Tabela1[LUCRO ALVO] / Tabela1[PERDA]</f>
        <v>46.939388115941647</v>
      </c>
      <c r="AE3" s="13">
        <f>IF(Tabela1[INICIO] &lt; Tabela1[FIM], Tabela1[START] + ABS(Tabela1[TGT] - Tabela1[START]) * 85%, Tabela1[START] - ABS(Tabela1[TGT] - Tabela1[START]) * 85%)</f>
        <v>2.3689999999999998</v>
      </c>
    </row>
    <row r="4" spans="1:31" x14ac:dyDescent="0.2">
      <c r="A4" s="14" t="s">
        <v>29</v>
      </c>
      <c r="B4" s="14">
        <v>5042.87</v>
      </c>
      <c r="C4" s="15">
        <v>26</v>
      </c>
      <c r="D4" s="14">
        <v>5.47</v>
      </c>
      <c r="E4" s="14">
        <v>3.39</v>
      </c>
      <c r="F4" s="16">
        <v>2.5000000000000001E-3</v>
      </c>
      <c r="G4" s="16">
        <v>2E-3</v>
      </c>
      <c r="H4" s="16">
        <v>1.5E-3</v>
      </c>
      <c r="I4" s="16">
        <v>0.79400000000000004</v>
      </c>
      <c r="J4" s="17">
        <v>0.33</v>
      </c>
      <c r="K4" s="18">
        <f>1</f>
        <v>1</v>
      </c>
      <c r="L4" s="14">
        <f>Tabela1[PATRIM.] * (1 - Tabela1[AGE] / 100)</f>
        <v>3731.7237999999998</v>
      </c>
      <c r="M4" s="14">
        <f>IF(Tabela1[BASE RV] &lt; SETUP!$A$2, Tabela1[BASE RV] * SETUP!$B$2, IF(Tabela1[BASE RV] &lt; SETUP!$A$3, Tabela1[BASE RV] * SETUP!$B$3, 0))</f>
        <v>74.634475999999992</v>
      </c>
      <c r="N4" s="14">
        <f>IF(Tabela1[INICIO] &lt; Tabela1[FIM], Tabela1[FIM] - Tabela1[INICIO], Tabela1[INICIO] - Tabela1[FIM])</f>
        <v>2.0799999999999996</v>
      </c>
      <c r="O4" s="16">
        <f>Tabela1[FIM] / Tabela1[INICIO] - 1</f>
        <v>-0.38025594149908593</v>
      </c>
      <c r="P4" s="19">
        <f>ABS(Tabela1[PERNA] * Tabela1[% IN] + IF(Tabela1[INICIO] &lt; Tabela1[FIM], - Tabela1[FIM], + Tabela1[FIM]))</f>
        <v>4.0763999999999996</v>
      </c>
      <c r="Q4" s="19">
        <f>TRUNC(Tabela1[RETORNO] * IF(Tabela1[INICIO] &lt; Tabela1[FIM], (1 - ABS(Tabela1[% PERNA]) * Tabela1[% START] * 10), (1 + ABS(Tabela1[% PERNA]) * Tabela1[% START] * 10)), 2)</f>
        <v>4.1100000000000003</v>
      </c>
      <c r="R4" s="20">
        <f>TRUNC(Tabela1[START] * IF(Tabela1[INICIO] &lt; Tabela1[FIM], (1 - ABS(Tabela1[% PERNA]) * Tabela1[% STOP] * 10), (1 + ABS(Tabela1[% PERNA]) * Tabela1[% STOP] * 10)), 2)</f>
        <v>4.1399999999999997</v>
      </c>
      <c r="S4" s="20">
        <f>Tabela1[START] * IF(Tabela1[INICIO] &lt; Tabela1[FIM], (1 + Tabela1[% VOL] / 10 * 1.5 * Tabela1[PER]), (1 - Tabela1[% VOL] / 10 * 1.5 * Tabela1[PER]))</f>
        <v>3.6204990000000001</v>
      </c>
      <c r="T4" s="20">
        <f>TRUNC((Tabela1[STOP] + IF(Tabela1[INICIO] &lt; Tabela1[FIM], Tabela1[PERNA], - Tabela1[PERNA])) * IF(Tabela1[INICIO] &lt; Tabela1[FIM], (1 - ABS(Tabela1[% PERNA]) * Tabela1[% TGT] * 10), (1 + ABS(Tabela1[% PERNA]) * Tabela1[% TGT] * 10)), 2)</f>
        <v>2.0699999999999998</v>
      </c>
      <c r="U4" s="21">
        <f>ROUNDDOWN(Tabela1[RISCO] / (ABS(Tabela1[START] - Tabela1[STOP])), 0)</f>
        <v>2487</v>
      </c>
      <c r="V4" s="21">
        <f>Tabela1[QTDE TMP] - MOD(Tabela1[QTDE TMP], 100)</f>
        <v>2400</v>
      </c>
      <c r="W4" s="20">
        <f>Tabela1[QTDE] * Tabela1[START]</f>
        <v>9864</v>
      </c>
      <c r="X4" s="20">
        <f>ABS(Tabela1[START] - Tabela1[STOP]) * Tabela1[QTDE]</f>
        <v>71.999999999998465</v>
      </c>
      <c r="Y4" s="15">
        <f>Tabela1[QTDE] / 2</f>
        <v>1200</v>
      </c>
      <c r="Z4" s="15">
        <f>Tabela1[QTDE PAR TMP] + MOD(Tabela1[QTDE PAR TMP], 100)</f>
        <v>1200</v>
      </c>
      <c r="AA4" s="20">
        <f>ABS(Tabela1[PARCIAL] - Tabela1[START]) * Tabela1[QTDE PAR]</f>
        <v>587.40120000000024</v>
      </c>
      <c r="AB4" s="15">
        <f>Tabela1[QTDE] - Tabela1[QTDE PAR]</f>
        <v>1200</v>
      </c>
      <c r="AC4" s="20">
        <f>ABS(Tabela1[TGT] - Tabela1[START]) * Tabela1[QTDE ALVO] + Tabela1[LUCRO PAR]</f>
        <v>3035.4012000000007</v>
      </c>
      <c r="AD4" s="22">
        <f>Tabela1[LUCRO ALVO] / Tabela1[PERDA]</f>
        <v>42.158350000000908</v>
      </c>
      <c r="AE4" s="19">
        <f>IF(Tabela1[INICIO] &lt; Tabela1[FIM], Tabela1[START] + ABS(Tabela1[TGT] - Tabela1[START]) * 85%, Tabela1[START] - ABS(Tabela1[TGT] - Tabela1[START]) * 85%)</f>
        <v>2.3759999999999999</v>
      </c>
    </row>
    <row r="5" spans="1:31" x14ac:dyDescent="0.2">
      <c r="A5" s="14" t="s">
        <v>31</v>
      </c>
      <c r="B5" s="14">
        <v>5042.87</v>
      </c>
      <c r="C5" s="15">
        <v>26</v>
      </c>
      <c r="D5" s="14">
        <v>8.6999999999999993</v>
      </c>
      <c r="E5" s="14">
        <v>5.07</v>
      </c>
      <c r="F5" s="16">
        <v>2.5000000000000001E-3</v>
      </c>
      <c r="G5" s="16">
        <v>2E-3</v>
      </c>
      <c r="H5" s="16">
        <v>1.5E-3</v>
      </c>
      <c r="I5" s="16">
        <v>0.74360000000000004</v>
      </c>
      <c r="J5" s="17">
        <v>0.33</v>
      </c>
      <c r="K5" s="18">
        <f>1</f>
        <v>1</v>
      </c>
      <c r="L5" s="14">
        <f>Tabela1[PATRIM.] * (1 - Tabela1[AGE] / 100)</f>
        <v>3731.7237999999998</v>
      </c>
      <c r="M5" s="14">
        <f>IF(Tabela1[BASE RV] &lt; SETUP!$A$2, Tabela1[BASE RV] * SETUP!$B$2, IF(Tabela1[BASE RV] &lt; SETUP!$A$3, Tabela1[BASE RV] * SETUP!$B$3, 0))</f>
        <v>74.634475999999992</v>
      </c>
      <c r="N5" s="14">
        <f>IF(Tabela1[INICIO] &lt; Tabela1[FIM], Tabela1[FIM] - Tabela1[INICIO], Tabela1[INICIO] - Tabela1[FIM])</f>
        <v>3.629999999999999</v>
      </c>
      <c r="O5" s="16">
        <f>Tabela1[FIM] / Tabela1[INICIO] - 1</f>
        <v>-0.41724137931034477</v>
      </c>
      <c r="P5" s="19">
        <f>ABS(Tabela1[PERNA] * Tabela1[% IN] + IF(Tabela1[INICIO] &lt; Tabela1[FIM], - Tabela1[FIM], + Tabela1[FIM]))</f>
        <v>6.2679</v>
      </c>
      <c r="Q5" s="19">
        <f>TRUNC(Tabela1[RETORNO] * IF(Tabela1[INICIO] &lt; Tabela1[FIM], (1 - ABS(Tabela1[% PERNA]) * Tabela1[% START] * 10), (1 + ABS(Tabela1[% PERNA]) * Tabela1[% START] * 10)), 2)</f>
        <v>6.33</v>
      </c>
      <c r="R5" s="20">
        <f>TRUNC(Tabela1[START] * IF(Tabela1[INICIO] &lt; Tabela1[FIM], (1 - ABS(Tabela1[% PERNA]) * Tabela1[% STOP] * 10), (1 + ABS(Tabela1[% PERNA]) * Tabela1[% STOP] * 10)), 2)</f>
        <v>6.38</v>
      </c>
      <c r="S5" s="20">
        <f>Tabela1[START] * IF(Tabela1[INICIO] &lt; Tabela1[FIM], (1 + Tabela1[% VOL] / 10 * 1.5 * Tabela1[PER]), (1 - Tabela1[% VOL] / 10 * 1.5 * Tabela1[PER]))</f>
        <v>5.6239518000000004</v>
      </c>
      <c r="T5" s="20">
        <f>TRUNC((Tabela1[STOP] + IF(Tabela1[INICIO] &lt; Tabela1[FIM], Tabela1[PERNA], - Tabela1[PERNA])) * IF(Tabela1[INICIO] &lt; Tabela1[FIM], (1 - ABS(Tabela1[% PERNA]) * Tabela1[% TGT] * 10), (1 + ABS(Tabela1[% PERNA]) * Tabela1[% TGT] * 10)), 2)</f>
        <v>2.76</v>
      </c>
      <c r="U5" s="21">
        <f>ROUNDDOWN(Tabela1[RISCO] / (ABS(Tabela1[START] - Tabela1[STOP])), 0)</f>
        <v>1492</v>
      </c>
      <c r="V5" s="21">
        <f>Tabela1[QTDE TMP] - MOD(Tabela1[QTDE TMP], 100)</f>
        <v>1400</v>
      </c>
      <c r="W5" s="20">
        <f>Tabela1[QTDE] * Tabela1[START]</f>
        <v>8862</v>
      </c>
      <c r="X5" s="20">
        <f>ABS(Tabela1[START] - Tabela1[STOP]) * Tabela1[QTDE]</f>
        <v>69.999999999999744</v>
      </c>
      <c r="Y5" s="15">
        <f>Tabela1[QTDE] / 2</f>
        <v>700</v>
      </c>
      <c r="Z5" s="15">
        <f>Tabela1[QTDE PAR TMP] + MOD(Tabela1[QTDE PAR TMP], 100)</f>
        <v>700</v>
      </c>
      <c r="AA5" s="20">
        <f>ABS(Tabela1[PARCIAL] - Tabela1[START]) * Tabela1[QTDE PAR]</f>
        <v>494.23373999999978</v>
      </c>
      <c r="AB5" s="15">
        <f>Tabela1[QTDE] - Tabela1[QTDE PAR]</f>
        <v>700</v>
      </c>
      <c r="AC5" s="20">
        <f>ABS(Tabela1[TGT] - Tabela1[START]) * Tabela1[QTDE ALVO] + Tabela1[LUCRO PAR]</f>
        <v>2993.2337399999997</v>
      </c>
      <c r="AD5" s="22">
        <f>Tabela1[LUCRO ALVO] / Tabela1[PERDA]</f>
        <v>42.760482000000152</v>
      </c>
      <c r="AE5" s="19">
        <f>IF(Tabela1[INICIO] &lt; Tabela1[FIM], Tabela1[START] + ABS(Tabela1[TGT] - Tabela1[START]) * 85%, Tabela1[START] - ABS(Tabela1[TGT] - Tabela1[START]) * 85%)</f>
        <v>3.2955000000000001</v>
      </c>
    </row>
    <row r="6" spans="1:31" x14ac:dyDescent="0.2">
      <c r="A6" s="24" t="s">
        <v>32</v>
      </c>
      <c r="B6" s="14">
        <v>5042.87</v>
      </c>
      <c r="C6" s="15">
        <v>26</v>
      </c>
      <c r="D6" s="14">
        <v>4.03</v>
      </c>
      <c r="E6" s="14">
        <v>2.5</v>
      </c>
      <c r="F6" s="16">
        <v>2.5000000000000001E-3</v>
      </c>
      <c r="G6" s="16">
        <v>3.0000000000000001E-3</v>
      </c>
      <c r="H6" s="16">
        <v>1.5E-3</v>
      </c>
      <c r="I6" s="16">
        <v>0.34399999999999997</v>
      </c>
      <c r="J6" s="17">
        <v>0.33</v>
      </c>
      <c r="K6" s="18">
        <f>1</f>
        <v>1</v>
      </c>
      <c r="L6" s="14">
        <f>Tabela1[PATRIM.] * (1 - Tabela1[AGE] / 100)</f>
        <v>3731.7237999999998</v>
      </c>
      <c r="M6" s="14">
        <f>IF(Tabela1[BASE RV] &lt; SETUP!$A$2, Tabela1[BASE RV] * SETUP!$B$2, IF(Tabela1[BASE RV] &lt; SETUP!$A$3, Tabela1[BASE RV] * SETUP!$B$3, 0))</f>
        <v>74.634475999999992</v>
      </c>
      <c r="N6" s="14">
        <f>IF(Tabela1[INICIO] &lt; Tabela1[FIM], Tabela1[FIM] - Tabela1[INICIO], Tabela1[INICIO] - Tabela1[FIM])</f>
        <v>1.5300000000000002</v>
      </c>
      <c r="O6" s="16">
        <f>Tabela1[FIM] / Tabela1[INICIO] - 1</f>
        <v>-0.3796526054590571</v>
      </c>
      <c r="P6" s="19">
        <f>ABS(Tabela1[PERNA] * Tabela1[% IN] + IF(Tabela1[INICIO] &lt; Tabela1[FIM], - Tabela1[FIM], + Tabela1[FIM]))</f>
        <v>3.0049000000000001</v>
      </c>
      <c r="Q6" s="19">
        <f>TRUNC(Tabela1[RETORNO] * IF(Tabela1[INICIO] &lt; Tabela1[FIM], (1 - ABS(Tabela1[% PERNA]) * Tabela1[% START] * 10), (1 + ABS(Tabela1[% PERNA]) * Tabela1[% START] * 10)), 2)</f>
        <v>3.03</v>
      </c>
      <c r="R6" s="20">
        <f>TRUNC(Tabela1[START] * IF(Tabela1[INICIO] &lt; Tabela1[FIM], (1 - ABS(Tabela1[% PERNA]) * Tabela1[% STOP] * 10), (1 + ABS(Tabela1[% PERNA]) * Tabela1[% STOP] * 10)), 2)</f>
        <v>3.06</v>
      </c>
      <c r="S6" s="20">
        <f>Tabela1[START] * IF(Tabela1[INICIO] &lt; Tabela1[FIM], (1 + Tabela1[% VOL] / 10 * 1.5 * Tabela1[PER]), (1 - Tabela1[% VOL] / 10 * 1.5 * Tabela1[PER]))</f>
        <v>2.8736519999999999</v>
      </c>
      <c r="T6" s="20">
        <f>TRUNC((Tabela1[STOP] + IF(Tabela1[INICIO] &lt; Tabela1[FIM], Tabela1[PERNA], - Tabela1[PERNA])) * IF(Tabela1[INICIO] &lt; Tabela1[FIM], (1 - ABS(Tabela1[% PERNA]) * Tabela1[% TGT] * 10), (1 + ABS(Tabela1[% PERNA]) * Tabela1[% TGT] * 10)), 2)</f>
        <v>1.53</v>
      </c>
      <c r="U6" s="21">
        <f>ROUNDDOWN(Tabela1[RISCO] / (ABS(Tabela1[START] - Tabela1[STOP])), 0)</f>
        <v>2487</v>
      </c>
      <c r="V6" s="21">
        <f>Tabela1[QTDE TMP] - MOD(Tabela1[QTDE TMP], 100)</f>
        <v>2400</v>
      </c>
      <c r="W6" s="20">
        <f>Tabela1[QTDE] * Tabela1[START]</f>
        <v>7271.9999999999991</v>
      </c>
      <c r="X6" s="20">
        <f>ABS(Tabela1[START] - Tabela1[STOP]) * Tabela1[QTDE]</f>
        <v>72.000000000000597</v>
      </c>
      <c r="Y6" s="15">
        <f>Tabela1[QTDE] / 2</f>
        <v>1200</v>
      </c>
      <c r="Z6" s="15">
        <f>Tabela1[QTDE PAR TMP] + MOD(Tabela1[QTDE PAR TMP], 100)</f>
        <v>1200</v>
      </c>
      <c r="AA6" s="20">
        <f>ABS(Tabela1[PARCIAL] - Tabela1[START]) * Tabela1[QTDE PAR]</f>
        <v>187.61759999999992</v>
      </c>
      <c r="AB6" s="15">
        <f>Tabela1[QTDE] - Tabela1[QTDE PAR]</f>
        <v>1200</v>
      </c>
      <c r="AC6" s="20">
        <f>ABS(Tabela1[TGT] - Tabela1[START]) * Tabela1[QTDE ALVO] + Tabela1[LUCRO PAR]</f>
        <v>1987.6175999999996</v>
      </c>
      <c r="AD6" s="22">
        <f>Tabela1[LUCRO ALVO] / Tabela1[PERDA]</f>
        <v>27.605799999999764</v>
      </c>
      <c r="AE6" s="19">
        <f>IF(Tabela1[INICIO] &lt; Tabela1[FIM], Tabela1[START] + ABS(Tabela1[TGT] - Tabela1[START]) * 85%, Tabela1[START] - ABS(Tabela1[TGT] - Tabela1[START]) * 85%)</f>
        <v>1.7550000000000001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4" sqref="E4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23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x14ac:dyDescent="0.2">
      <c r="A2" s="2" t="s">
        <v>31</v>
      </c>
      <c r="B2" s="2">
        <v>5173.08</v>
      </c>
      <c r="C2" s="6">
        <v>26</v>
      </c>
      <c r="D2" s="2">
        <v>8.6999999999999993</v>
      </c>
      <c r="E2" s="2">
        <v>5.07</v>
      </c>
      <c r="F2" s="2">
        <v>6.24</v>
      </c>
      <c r="G2" s="2">
        <v>5.09</v>
      </c>
      <c r="H2" s="2">
        <v>4.87</v>
      </c>
      <c r="I2" s="4">
        <v>0.97489999999999999</v>
      </c>
      <c r="J2" s="10">
        <f>1</f>
        <v>1</v>
      </c>
      <c r="K2" s="2">
        <f>Tabela13[PATRIM.] * (1 - Tabela13[AGE] / 100)</f>
        <v>3828.0791999999997</v>
      </c>
      <c r="L2" s="2">
        <f>IF(Tabela13[BASE RV] &lt; SETUP!$A$2, Tabela13[BASE RV] * SETUP!$B$2, IF(Tabela13[BASE RV] &lt; SETUP!$A$3, Tabela13[BASE RV] * SETUP!$B$3, 0))</f>
        <v>76.561583999999996</v>
      </c>
      <c r="M2" s="2">
        <f>IF(Tabela13[INICIO] &lt; Tabela13[MEIO], Tabela13[MEIO] - Tabela13[INICIO], Tabela13[INICIO] - Tabela13[MEIO])</f>
        <v>3.629999999999999</v>
      </c>
      <c r="N2" s="4">
        <f>Tabela13[MEIO] / Tabela13[INICIO] - 1</f>
        <v>-0.41724137931034477</v>
      </c>
      <c r="O2" s="2">
        <f>IF(Tabela13[INICIO] &lt; Tabela13[MEIO], Tabela13[CDL H] + 0.02, Tabela13[CDL L] - 0.02)</f>
        <v>4.8500000000000005</v>
      </c>
      <c r="P2" s="2">
        <f>IF(Tabela13[INICIO] &lt; Tabela13[MEIO], Tabela13[CDL L] - 0.02, Tabela13[CDL H] + 0.02)</f>
        <v>5.1099999999999994</v>
      </c>
      <c r="Q2" s="2">
        <f>Tabela13[START] * IF(Tabela13[INICIO] &lt; Tabela13[MEIO], (1 + Tabela13[% VOL] / 10 * 1.5 * Tabela13[PER]), (1 - Tabela13[% VOL] / 10 * 1.5 * Tabela13[PER]))</f>
        <v>4.1407602500000005</v>
      </c>
      <c r="R2" s="2">
        <f>IF(Tabela13[INICIO] &lt; Tabela13[MEIO],  Tabela13[FIM] + (Tabela13[MEIO] - Tabela13[INICIO]), Tabela13[FIM] - (Tabela13[INICIO] - Tabela13[MEIO]))</f>
        <v>2.6100000000000012</v>
      </c>
      <c r="S2" s="6">
        <f>ROUNDDOWN(Tabela13[RISCO] / (ABS(Tabela13[CDL H] - Tabela13[CDL L])), 0)</f>
        <v>348</v>
      </c>
      <c r="T2" s="6">
        <f>Tabela13[QTDE TMP] - MOD(Tabela13[QTDE TMP], 100)</f>
        <v>300</v>
      </c>
      <c r="U2" s="12">
        <f>Tabela13[QTDE] * Tabela13[START]</f>
        <v>1455.0000000000002</v>
      </c>
      <c r="V2" s="12">
        <f>ABS(Tabela13[START] - Tabela13[STOP]) * Tabela13[QTDE]</f>
        <v>77.999999999999673</v>
      </c>
      <c r="W2" s="6">
        <f>Tabela13[QTDE] / 2</f>
        <v>150</v>
      </c>
      <c r="X2" s="6">
        <f>Tabela13[QTDE PAR TMP] + MOD(Tabela13[QTDE PAR TMP], 100)</f>
        <v>200</v>
      </c>
      <c r="Y2" s="12">
        <f>ABS(Tabela13[PARCIAL] - Tabela13[START]) * Tabela13[QTDE PAR]</f>
        <v>141.84795000000003</v>
      </c>
      <c r="Z2" s="6">
        <f>Tabela13[QTDE] - Tabela13[QTDE PAR]</f>
        <v>100</v>
      </c>
      <c r="AA2" s="12">
        <f>ABS(Tabela13[TGT] - Tabela13[START]) * Tabela13[QTDE ALVO] + Tabela13[LUCRO PAR]</f>
        <v>365.84794999999997</v>
      </c>
      <c r="AB2" s="5">
        <f>Tabela13[LUCRO ALVO] / Tabela13[PERDA]</f>
        <v>4.6903583333333527</v>
      </c>
      <c r="AC2" s="2">
        <f>IF(Tabela13[INICIO] &lt; Tabela13[MEIO], Tabela13[START] + ABS(Tabela13[TGT] - Tabela13[START]) * 85%, Tabela13[START] - ABS(Tabela13[TGT] - Tabela13[START]) * 85%)</f>
        <v>2.9460000000000011</v>
      </c>
    </row>
    <row r="3" spans="1:29" x14ac:dyDescent="0.2">
      <c r="A3" s="2" t="s">
        <v>39</v>
      </c>
      <c r="B3" s="2">
        <v>5173.08</v>
      </c>
      <c r="C3" s="6">
        <v>26</v>
      </c>
      <c r="D3" s="2">
        <v>29.37</v>
      </c>
      <c r="E3" s="2">
        <v>22.56</v>
      </c>
      <c r="F3" s="2">
        <v>22.56</v>
      </c>
      <c r="G3" s="2">
        <v>19.53</v>
      </c>
      <c r="H3" s="2">
        <v>19.28</v>
      </c>
      <c r="I3" s="4">
        <v>0.42199999999999999</v>
      </c>
      <c r="J3" s="10">
        <f>1</f>
        <v>1</v>
      </c>
      <c r="K3" s="2">
        <f>Tabela13[PATRIM.] * (1 - Tabela13[AGE] / 100)</f>
        <v>3828.0791999999997</v>
      </c>
      <c r="L3" s="2">
        <f>IF(Tabela13[BASE RV] &lt; SETUP!$A$2, Tabela13[BASE RV] * SETUP!$B$2, IF(Tabela13[BASE RV] &lt; SETUP!$A$3, Tabela13[BASE RV] * SETUP!$B$3, 0))</f>
        <v>76.561583999999996</v>
      </c>
      <c r="M3" s="2">
        <f>IF(Tabela13[INICIO] &lt; Tabela13[MEIO], Tabela13[MEIO] - Tabela13[INICIO], Tabela13[INICIO] - Tabela13[MEIO])</f>
        <v>6.8100000000000023</v>
      </c>
      <c r="N3" s="4">
        <f>Tabela13[MEIO] / Tabela13[INICIO] - 1</f>
        <v>-0.23186925434116457</v>
      </c>
      <c r="O3" s="2">
        <f>IF(Tabela13[INICIO] &lt; Tabela13[MEIO], Tabela13[CDL H] + 0.02, Tabela13[CDL L] - 0.02)</f>
        <v>19.260000000000002</v>
      </c>
      <c r="P3" s="2">
        <f>IF(Tabela13[INICIO] &lt; Tabela13[MEIO], Tabela13[CDL L] - 0.02, Tabela13[CDL H] + 0.02)</f>
        <v>19.55</v>
      </c>
      <c r="Q3" s="2">
        <f>Tabela13[START] * IF(Tabela13[INICIO] &lt; Tabela13[MEIO], (1 + Tabela13[% VOL] / 10 * 1.5 * Tabela13[PER]), (1 - Tabela13[% VOL] / 10 * 1.5 * Tabela13[PER]))</f>
        <v>18.040842000000001</v>
      </c>
      <c r="R3" s="2">
        <f>IF(Tabela13[INICIO] &lt; Tabela13[MEIO],  Tabela13[FIM] + (Tabela13[MEIO] - Tabela13[INICIO]), Tabela13[FIM] - (Tabela13[INICIO] - Tabela13[MEIO]))</f>
        <v>15.749999999999996</v>
      </c>
      <c r="S3" s="6">
        <f>ROUNDDOWN(Tabela13[RISCO] / (ABS(Tabela13[CDL H] - Tabela13[CDL L])), 0)</f>
        <v>306</v>
      </c>
      <c r="T3" s="6">
        <f>Tabela13[QTDE TMP] - MOD(Tabela13[QTDE TMP], 100)</f>
        <v>300</v>
      </c>
      <c r="U3" s="12">
        <f>Tabela13[QTDE] * Tabela13[START]</f>
        <v>5778.0000000000009</v>
      </c>
      <c r="V3" s="12">
        <f>ABS(Tabela13[START] - Tabela13[STOP]) * Tabela13[QTDE]</f>
        <v>86.999999999999744</v>
      </c>
      <c r="W3" s="6">
        <f>Tabela13[QTDE] / 2</f>
        <v>150</v>
      </c>
      <c r="X3" s="6">
        <f>Tabela13[QTDE PAR TMP] + MOD(Tabela13[QTDE PAR TMP], 100)</f>
        <v>200</v>
      </c>
      <c r="Y3" s="12">
        <f>ABS(Tabela13[PARCIAL] - Tabela13[START]) * Tabela13[QTDE PAR]</f>
        <v>243.83160000000004</v>
      </c>
      <c r="Z3" s="6">
        <f>Tabela13[QTDE] - Tabela13[QTDE PAR]</f>
        <v>100</v>
      </c>
      <c r="AA3" s="12">
        <f>ABS(Tabela13[TGT] - Tabela13[START]) * Tabela13[QTDE ALVO] + Tabela13[LUCRO PAR]</f>
        <v>594.83160000000055</v>
      </c>
      <c r="AB3" s="5">
        <f>Tabela13[LUCRO ALVO] / Tabela13[PERDA]</f>
        <v>6.8371448275862337</v>
      </c>
      <c r="AC3" s="13">
        <f>IF(Tabela13[INICIO] &lt; Tabela13[MEIO], Tabela13[START] + ABS(Tabela13[TGT] - Tabela13[START]) * 85%, Tabela13[START] - ABS(Tabela13[TGT] - Tabela13[START]) * 85%)</f>
        <v>16.276499999999999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7" sqref="D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 x14ac:dyDescent="0.2">
      <c r="A1" s="7" t="s">
        <v>5</v>
      </c>
      <c r="B1" s="8" t="s">
        <v>6</v>
      </c>
    </row>
    <row r="2" spans="1:3" x14ac:dyDescent="0.2">
      <c r="A2" s="2">
        <v>10000</v>
      </c>
      <c r="B2" s="4">
        <v>0.02</v>
      </c>
      <c r="C2" s="2">
        <f>A2*B2</f>
        <v>200</v>
      </c>
    </row>
    <row r="3" spans="1:3" x14ac:dyDescent="0.2">
      <c r="A3" s="2">
        <v>20000</v>
      </c>
      <c r="B3" s="4">
        <v>1.4999999999999999E-2</v>
      </c>
      <c r="C3" s="2">
        <f t="shared" ref="C3:C7" si="0">A3*B3</f>
        <v>300</v>
      </c>
    </row>
    <row r="4" spans="1:3" x14ac:dyDescent="0.2">
      <c r="A4" s="2">
        <v>50000</v>
      </c>
      <c r="B4" s="4">
        <v>0.01</v>
      </c>
      <c r="C4" s="2">
        <f t="shared" si="0"/>
        <v>500</v>
      </c>
    </row>
    <row r="5" spans="1:3" x14ac:dyDescent="0.2">
      <c r="A5" s="2">
        <v>100000</v>
      </c>
      <c r="B5" s="4">
        <v>7.4999999999999997E-3</v>
      </c>
      <c r="C5" s="2">
        <f t="shared" si="0"/>
        <v>750</v>
      </c>
    </row>
    <row r="6" spans="1:3" x14ac:dyDescent="0.2">
      <c r="A6" s="2">
        <v>500000</v>
      </c>
      <c r="B6" s="4">
        <v>5.0000000000000001E-3</v>
      </c>
      <c r="C6" s="2">
        <f t="shared" si="0"/>
        <v>2500</v>
      </c>
    </row>
    <row r="7" spans="1:3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WTSa</vt:lpstr>
      <vt:lpstr>WTS</vt:lpstr>
      <vt:lpstr>SETUP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2012-06-06T00:31:05Z</dcterms:modified>
</cp:coreProperties>
</file>