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2030" windowHeight="5415" tabRatio="648" activeTab="1"/>
  </bookViews>
  <sheets>
    <sheet name="NOTAS" sheetId="1" r:id="rId1"/>
    <sheet name="IR" sheetId="8" r:id="rId2"/>
    <sheet name="VOLAT-TENDENCIA" sheetId="3" r:id="rId3"/>
    <sheet name="TRAVA BAIXA" sheetId="4" r:id="rId4"/>
    <sheet name="BORBOLETA" sheetId="5" r:id="rId5"/>
    <sheet name="TRAVA BAIXA NEW" sheetId="6" r:id="rId6"/>
    <sheet name="Plan1" sheetId="7" r:id="rId7"/>
    <sheet name="SETUP" sheetId="2" r:id="rId8"/>
  </sheets>
  <calcPr calcId="124519"/>
</workbook>
</file>

<file path=xl/calcChain.xml><?xml version="1.0" encoding="utf-8"?>
<calcChain xmlns="http://schemas.openxmlformats.org/spreadsheetml/2006/main">
  <c r="M2" i="8"/>
  <c r="M3"/>
  <c r="M4"/>
  <c r="M5"/>
  <c r="J5"/>
  <c r="X2" i="1" l="1"/>
  <c r="X3"/>
  <c r="X4"/>
  <c r="X6"/>
  <c r="X7"/>
  <c r="X8"/>
  <c r="X9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6"/>
  <c r="X57"/>
  <c r="X58"/>
  <c r="X59"/>
  <c r="S54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N56"/>
  <c r="N57"/>
  <c r="N58"/>
  <c r="N59"/>
  <c r="K57"/>
  <c r="L57"/>
  <c r="U57"/>
  <c r="V57"/>
  <c r="AB57"/>
  <c r="AC57"/>
  <c r="K55"/>
  <c r="L55"/>
  <c r="U55"/>
  <c r="V55"/>
  <c r="AB55"/>
  <c r="AC55"/>
  <c r="AH55"/>
  <c r="AI55"/>
  <c r="AJ55"/>
  <c r="AJ2" l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L5" l="1"/>
  <c r="L4"/>
  <c r="L3"/>
  <c r="L2"/>
  <c r="M6" l="1"/>
  <c r="K56" i="1" l="1"/>
  <c r="L56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I10" i="4"/>
  <c r="J10"/>
  <c r="K10"/>
  <c r="L10"/>
  <c r="H10" s="1"/>
  <c r="M10"/>
  <c r="N10"/>
  <c r="O10"/>
  <c r="P10"/>
  <c r="I9" l="1"/>
  <c r="J9"/>
  <c r="K9"/>
  <c r="L9"/>
  <c r="M9"/>
  <c r="O9"/>
  <c r="H9" l="1"/>
  <c r="N9"/>
  <c r="P9" s="1"/>
  <c r="K51" i="1"/>
  <c r="L51"/>
  <c r="U51"/>
  <c r="V51"/>
  <c r="AB51"/>
  <c r="AC51"/>
  <c r="AH51"/>
  <c r="AI51"/>
  <c r="K48"/>
  <c r="L48"/>
  <c r="U48"/>
  <c r="V48"/>
  <c r="AB48"/>
  <c r="AC48"/>
  <c r="AE48"/>
  <c r="I8" i="4" l="1"/>
  <c r="J8"/>
  <c r="K8"/>
  <c r="L8"/>
  <c r="M8"/>
  <c r="O8"/>
  <c r="J3" i="5"/>
  <c r="K3"/>
  <c r="L3"/>
  <c r="M3"/>
  <c r="N3"/>
  <c r="O3"/>
  <c r="Q3" s="1"/>
  <c r="P3"/>
  <c r="R3"/>
  <c r="S3"/>
  <c r="T3"/>
  <c r="U3"/>
  <c r="V3"/>
  <c r="H8" i="4" l="1"/>
  <c r="N8"/>
  <c r="P8" s="1"/>
  <c r="I5" i="7"/>
  <c r="J5"/>
  <c r="K5"/>
  <c r="L5"/>
  <c r="O5" s="1"/>
  <c r="M5"/>
  <c r="N5"/>
  <c r="K50" i="1" l="1"/>
  <c r="L50"/>
  <c r="V50"/>
  <c r="AB50"/>
  <c r="AC50"/>
  <c r="K58"/>
  <c r="L58" s="1"/>
  <c r="V58"/>
  <c r="U58"/>
  <c r="AB58"/>
  <c r="AC58"/>
  <c r="K47"/>
  <c r="L47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I7" i="4"/>
  <c r="J7"/>
  <c r="K7"/>
  <c r="L7" s="1"/>
  <c r="N7" s="1"/>
  <c r="O7"/>
  <c r="I6"/>
  <c r="J6"/>
  <c r="K6" s="1"/>
  <c r="L6" s="1"/>
  <c r="N6" s="1"/>
  <c r="O6"/>
  <c r="H4" i="6"/>
  <c r="M4" s="1"/>
  <c r="I4"/>
  <c r="N4"/>
  <c r="M7" i="4" l="1"/>
  <c r="M6"/>
  <c r="U50" i="1"/>
  <c r="K4" i="6"/>
  <c r="J4" s="1"/>
  <c r="L4" s="1"/>
  <c r="V47" i="1"/>
  <c r="H6" i="4"/>
  <c r="H7"/>
  <c r="L2" i="7"/>
  <c r="O2" s="1"/>
  <c r="L3"/>
  <c r="O3" s="1"/>
  <c r="L4"/>
  <c r="O4" s="1"/>
  <c r="O4" i="6"/>
  <c r="P7" i="4" l="1"/>
  <c r="P6"/>
  <c r="H3" i="6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K49" i="1" l="1"/>
  <c r="L49"/>
  <c r="U49"/>
  <c r="V49"/>
  <c r="AB49"/>
  <c r="AC49"/>
  <c r="K59"/>
  <c r="L59" s="1"/>
  <c r="AB59"/>
  <c r="V59"/>
  <c r="U59"/>
  <c r="AC59"/>
  <c r="K39"/>
  <c r="L39"/>
  <c r="U39"/>
  <c r="AB39"/>
  <c r="AC39"/>
  <c r="AD39"/>
  <c r="K38"/>
  <c r="L38"/>
  <c r="U38"/>
  <c r="V38"/>
  <c r="AB38"/>
  <c r="AC38"/>
  <c r="AE38"/>
  <c r="AH38"/>
  <c r="AI38"/>
  <c r="V39" l="1"/>
  <c r="I5" i="4"/>
  <c r="J5"/>
  <c r="K5"/>
  <c r="L5" s="1"/>
  <c r="N5" s="1"/>
  <c r="O5"/>
  <c r="K45" i="1"/>
  <c r="L45"/>
  <c r="U45"/>
  <c r="V45"/>
  <c r="AB45"/>
  <c r="AC45"/>
  <c r="K41"/>
  <c r="L41" s="1"/>
  <c r="V41"/>
  <c r="U41"/>
  <c r="AB41"/>
  <c r="AC41"/>
  <c r="K37"/>
  <c r="L37"/>
  <c r="U37"/>
  <c r="AB37"/>
  <c r="AC37"/>
  <c r="AE37"/>
  <c r="K36"/>
  <c r="L36"/>
  <c r="AB36"/>
  <c r="U36"/>
  <c r="V36"/>
  <c r="AC36"/>
  <c r="AD36"/>
  <c r="AH36"/>
  <c r="AI36"/>
  <c r="H5" i="4" l="1"/>
  <c r="M5"/>
  <c r="V37" i="1"/>
  <c r="I4" i="4"/>
  <c r="J4"/>
  <c r="K4" s="1"/>
  <c r="L4" s="1"/>
  <c r="N4" s="1"/>
  <c r="O4"/>
  <c r="H4" l="1"/>
  <c r="M4"/>
  <c r="P5"/>
  <c r="J2" i="5"/>
  <c r="K2"/>
  <c r="L2"/>
  <c r="U2"/>
  <c r="I2" i="4"/>
  <c r="I3"/>
  <c r="O2"/>
  <c r="O3"/>
  <c r="J2"/>
  <c r="J3"/>
  <c r="P4" l="1"/>
  <c r="M2" i="5"/>
  <c r="N2" s="1"/>
  <c r="O2" s="1"/>
  <c r="Q2" s="1"/>
  <c r="F4" i="3"/>
  <c r="G4" s="1"/>
  <c r="J4" s="1"/>
  <c r="H4"/>
  <c r="I4" s="1"/>
  <c r="F3"/>
  <c r="G3" s="1"/>
  <c r="H3"/>
  <c r="I3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P2" i="5" l="1"/>
  <c r="R2"/>
  <c r="S2"/>
  <c r="T2"/>
  <c r="J3" i="3"/>
  <c r="V2" i="5" l="1"/>
  <c r="K3" i="4"/>
  <c r="L3" s="1"/>
  <c r="N3" s="1"/>
  <c r="H3" l="1"/>
  <c r="M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N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H2" i="4" l="1"/>
  <c r="M2"/>
  <c r="AB42" i="1"/>
  <c r="V32"/>
  <c r="V31"/>
  <c r="V29"/>
  <c r="V30"/>
  <c r="V28"/>
  <c r="V35"/>
  <c r="V42"/>
  <c r="F2" i="3"/>
  <c r="G2" s="1"/>
  <c r="H2"/>
  <c r="I2" s="1"/>
  <c r="J2" l="1"/>
  <c r="P2" i="4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A60"/>
  <c r="G60" s="1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55" l="1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Q23"/>
  <c r="R23"/>
  <c r="O23"/>
  <c r="W23" s="1"/>
  <c r="Q22"/>
  <c r="R22"/>
  <c r="O22"/>
  <c r="W22" s="1"/>
  <c r="M21"/>
  <c r="M22"/>
  <c r="Q21"/>
  <c r="R21"/>
  <c r="O21"/>
  <c r="W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6" l="1"/>
  <c r="W8"/>
  <c r="W7"/>
  <c r="W10"/>
  <c r="X10" s="1"/>
  <c r="W9"/>
  <c r="W12"/>
  <c r="W11"/>
  <c r="W15"/>
  <c r="W14"/>
  <c r="W13"/>
  <c r="W16"/>
  <c r="W17"/>
  <c r="W18"/>
  <c r="W19"/>
  <c r="W20"/>
  <c r="W25"/>
  <c r="W27"/>
  <c r="W26"/>
  <c r="W28"/>
  <c r="W29"/>
  <c r="W30"/>
  <c r="W35"/>
  <c r="W42"/>
  <c r="W31"/>
  <c r="W32"/>
  <c r="W33"/>
  <c r="W34"/>
  <c r="W44"/>
  <c r="W40"/>
  <c r="W43"/>
  <c r="W36"/>
  <c r="W37"/>
  <c r="W41"/>
  <c r="W45"/>
  <c r="W38"/>
  <c r="W39"/>
  <c r="W59"/>
  <c r="W49"/>
  <c r="W46"/>
  <c r="W47"/>
  <c r="W58"/>
  <c r="W50"/>
  <c r="W48"/>
  <c r="W51"/>
  <c r="W52"/>
  <c r="W53"/>
  <c r="W54"/>
  <c r="W56"/>
  <c r="W55"/>
  <c r="X55" s="1"/>
  <c r="W57"/>
  <c r="AI18"/>
  <c r="M4"/>
  <c r="M3"/>
  <c r="M2"/>
  <c r="O4" l="1"/>
  <c r="W4" s="1"/>
  <c r="O3"/>
  <c r="W3" s="1"/>
  <c r="O2"/>
  <c r="W2" s="1"/>
  <c r="AJ58" l="1"/>
  <c r="AJ57"/>
  <c r="Y57"/>
  <c r="Y55"/>
  <c r="AJ54"/>
  <c r="AJ20"/>
  <c r="AJ30"/>
  <c r="AJ47"/>
  <c r="AJ59"/>
  <c r="AJ56"/>
  <c r="Y54"/>
  <c r="Y56"/>
  <c r="Y52"/>
  <c r="Y53"/>
  <c r="Y51"/>
  <c r="Y48"/>
  <c r="Y50"/>
  <c r="Y58"/>
  <c r="Y47"/>
  <c r="Y46"/>
  <c r="Y49"/>
  <c r="Y59"/>
  <c r="Y39"/>
  <c r="Y38"/>
  <c r="Y45"/>
  <c r="Y41"/>
  <c r="Y36"/>
  <c r="Y37"/>
  <c r="Y43"/>
  <c r="Y44"/>
  <c r="Y40"/>
  <c r="Y34"/>
  <c r="Y33"/>
  <c r="Y32"/>
  <c r="Y31"/>
  <c r="Y8"/>
  <c r="Y16"/>
  <c r="Y29"/>
  <c r="Y12"/>
  <c r="Y24"/>
  <c r="Y7"/>
  <c r="Y20"/>
  <c r="Y23"/>
  <c r="Y15"/>
  <c r="Y11"/>
  <c r="Y6"/>
  <c r="Y26"/>
  <c r="Y22"/>
  <c r="Y18"/>
  <c r="Y14"/>
  <c r="Y9"/>
  <c r="Y10"/>
  <c r="Y28"/>
  <c r="Y19"/>
  <c r="Y3"/>
  <c r="Y30"/>
  <c r="Y25"/>
  <c r="Y21"/>
  <c r="Y17"/>
  <c r="Y13"/>
  <c r="Y5"/>
  <c r="Y42"/>
  <c r="Y35"/>
  <c r="Y4"/>
  <c r="AB60"/>
  <c r="Y2" l="1"/>
  <c r="Z55" l="1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E56" l="1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F52" s="1"/>
  <c r="AG52" s="1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F45" s="1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41" l="1"/>
  <c r="AF35"/>
  <c r="AF40"/>
  <c r="AG40" s="1"/>
  <c r="AI26"/>
  <c r="AH26"/>
  <c r="AH25"/>
  <c r="AI17"/>
  <c r="AI16"/>
  <c r="AI15"/>
  <c r="AG5" l="1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7"/>
  <c r="AI47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G60"/>
  <c r="J60" s="1"/>
  <c r="AI30"/>
  <c r="AH30"/>
  <c r="AH20"/>
  <c r="AI20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<sst xmlns="http://schemas.openxmlformats.org/spreadsheetml/2006/main" count="352" uniqueCount="135">
  <si>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</si>
  <si>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</si>
  <si>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</si>
  <si>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</si>
  <si>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</si>
  <si>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</si>
  <si>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</si>
  <si>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</si>
  <si>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</si>
  <si>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</si>
  <si>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</si>
  <si>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</si>
  <si>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</si>
  <si>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</si>
  <si>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</si>
  <si>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</si>
  <si>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</si>
  <si>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</si>
  <si>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</si>
  <si>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</si>
  <si>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</si>
  <si>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</si>
  <si>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</si>
  <si>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</si>
  <si>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</si>
  <si>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</si>
  <si>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</si>
  <si>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</si>
  <si>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</si>
  <si>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</si>
  <si>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</si>
  <si>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</si>
  <si>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</si>
  <si>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</si>
  <si>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</si>
  <si>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</si>
  <si>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</si>
  <si>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</si>
  <si>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</si>
  <si>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</si>
  <si>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</si>
  <si>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</si>
  <si>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</si>
  <si>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</si>
  <si>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</si>
  <si>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</si>
  <si>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</si>
  <si>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</si>
  <si>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</si>
  <si>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</si>
  <si>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</si>
  <si>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</si>
  <si>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</si>
  <si>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</si>
  <si>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</si>
  <si>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</si>
  <si>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</si>
  <si>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</si>
  <si>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</si>
  <si>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</si>
  <si>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</si>
  <si>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</si>
  <si>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</si>
  <si>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</si>
  <si>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</si>
  <si>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</si>
  <si>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</si>
  <si>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</si>
  <si>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</si>
  <si>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</si>
  <si>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</si>
  <si>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</si>
  <si>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</si>
  <si>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</si>
  <si>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</si>
  <si>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</si>
  <si>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</si>
  <si>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</si>
  <si>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</si>
  <si>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</si>
  <si>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</si>
  <si>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</si>
  <si>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</si>
  <si>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</si>
  <si>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</si>
  <si>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</si>
  <si>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</si>
  <si>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</si>
  <si>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</si>
  <si>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</si>
  <si>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</si>
  <si>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</si>
  <si>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</si>
  <si>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</si>
  <si>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</si>
  <si>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</si>
  <si>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</si>
  <si>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</si>
  <si>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</si>
  <si>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T. VD</t>
  </si>
  <si>
    <t>TOT.  CP</t>
  </si>
  <si>
    <t>QTDE VD</t>
  </si>
  <si>
    <t>PERDA</t>
  </si>
  <si>
    <t>OGXP3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</si>
  <si>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</si>
  <si>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</si>
  <si>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</si>
  <si>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</si>
  <si>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</si>
  <si>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</si>
  <si>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</si>
  <si>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</si>
  <si>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</si>
  <si>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</si>
  <si>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</si>
  <si>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</si>
  <si>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</si>
  <si>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VALEF37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</si>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</sst>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0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71" fontId="8" fillId="0" borderId="0" xfId="0" applyNumberFormat="1" applyFont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10" fillId="0" borderId="0" xfId="0" applyFont="1"/>
    <xf numFmtId="0" fontId="10" fillId="0" borderId="0" xfId="0" applyNumberFormat="1" applyFont="1"/>
    <xf numFmtId="164" fontId="10" fillId="0" borderId="0" xfId="1" applyNumberFormat="1" applyFont="1" applyBorder="1"/>
    <xf numFmtId="0" fontId="10" fillId="0" borderId="0" xfId="1" applyNumberFormat="1" applyFont="1" applyBorder="1"/>
    <xf numFmtId="10" fontId="10" fillId="0" borderId="0" xfId="2" applyNumberFormat="1" applyFont="1" applyBorder="1"/>
    <xf numFmtId="170" fontId="10" fillId="0" borderId="0" xfId="2" applyNumberFormat="1" applyFont="1" applyBorder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71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71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2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NC" displayName="NC" ref="A1:AJ60" totalsRowCount="1" headerRowDxfId="16" dataDxfId="15" totalsRowDxfId="14">
  <autoFilter ref="A1:AJ59">
    <filterColumn colId="7"/>
    <filterColumn colId="8"/>
    <filterColumn colId="18"/>
    <filterColumn colId="35"/>
  </autoFilter>
  <sortState ref="A2:AH59">
    <sortCondition ref="E1:E59"/>
  </sortState>
  <tableColumns count="36">
    <tableColumn id="19" name="ID" totalsRowFunction="max" dataDxfId="87" totalsRowDxfId="88"/>
    <tableColumn id="36" name="U" dataDxfId="85" totalsRowDxfId="86"/>
    <tableColumn id="2" name="ATIVO" dataDxfId="83" totalsRowDxfId="84"/>
    <tableColumn id="3" name="T" dataDxfId="81" totalsRowDxfId="82"/>
    <tableColumn id="4" name="DATA" dataDxfId="79" totalsRowDxfId="80"/>
    <tableColumn id="5" name="QTDE" dataDxfId="77" totalsRowDxfId="78"/>
    <tableColumn id="6" name="PREÇO" totalsRowFunction="custom" dataDxfId="75" totalsRowDxfId="76">
      <totalsRowFormula>NC[[#Totals],[ID]]*14.9</totalsRowFormula>
    </tableColumn>
    <tableColumn id="37" name="PARCIAL" dataDxfId="73" totalsRowDxfId="74"/>
    <tableColumn id="40" name="AJUSTE" dataDxfId="71" totalsRowDxfId="72" dataCellStyle="Moeda"/>
    <tableColumn id="7" name="[D/N]" totalsRowFunction="custom" dataDxfId="69" totalsRowDxfId="70">
      <totalsRowFormula>NC[[#Totals],[LUCRO P/ OP]]+NC[[#Totals],[PREÇO]]</totalsRowFormula>
    </tableColumn>
    <tableColumn id="34" name="DATA DE LIQUIDAÇÃO" dataDxfId="67" totalsRowDxfId="68">
      <calculatedColumnFormula>WORKDAY(NC[[#This Row],[DATA]],1,0)</calculatedColumnFormula>
    </tableColumn>
    <tableColumn id="31" name="DATA BASE" dataDxfId="65" totalsRowDxfId="66">
      <calculatedColumnFormula>EOMONTH(NC[[#This Row],[DATA DE LIQUIDAÇÃO]],0)</calculatedColumnFormula>
    </tableColumn>
    <tableColumn id="21" name="PAR" dataDxfId="63" totalsRowDxfId="64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61" totalsRowDxfId="62">
      <calculatedColumnFormula>[QTDE]*[PREÇO]</calculatedColumnFormula>
    </tableColumn>
    <tableColumn id="9" name="VALOR LÍQUIDO DAS OPERAÇÕES" dataDxfId="59" totalsRowDxfId="60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57" totalsRowDxfId="58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55" totalsRowDxfId="56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53" totalsRowDxfId="54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51" totalsRowDxfId="52">
      <calculatedColumnFormula>SETUP!$E$3 * IF([PARCIAL] &gt; 0, [QTDE] / [PARCIAL], 1)</calculatedColumnFormula>
    </tableColumn>
    <tableColumn id="12" name="CORRETAGEM" dataDxfId="49" totalsRowDxfId="50">
      <calculatedColumnFormula>SUMPRODUCT(N([DATA]=NC[[#This Row],[DATA]]),N([ID]&lt;=NC[[#This Row],[ID]]), [CORR])</calculatedColumnFormula>
    </tableColumn>
    <tableColumn id="13" name="ISS" dataDxfId="47" totalsRowDxfId="48">
      <calculatedColumnFormula>TRUNC([CORRETAGEM]*SETUP!$F$3,2)</calculatedColumnFormula>
    </tableColumn>
    <tableColumn id="15" name="OUTRAS BOVESPA" dataDxfId="45" totalsRowDxfId="46">
      <calculatedColumnFormula>ROUND([CORRETAGEM]*SETUP!$G$3,2)</calculatedColumnFormula>
    </tableColumn>
    <tableColumn id="16" name="LÍQUIDO BASE" dataDxfId="43" totalsRowDxfId="44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41" totalsRowDxfId="42">
      <calculatedColumnFormula>IF(AND(['[D/N']]="D",    [T]="CV"),    TRUNC([LÍQUIDO BASE]*0.01, 2),    0)</calculatedColumnFormula>
    </tableColumn>
    <tableColumn id="35" name="LÍQUIDO" dataDxfId="39" totalsRowDxfId="40">
      <calculatedColumnFormula>IF([PREÇO] &gt; 0,    [LÍQUIDO BASE]-SUMPRODUCT(N([DATA]=NC[[#This Row],[DATA]]),    [IRRF FONTE]),    0)</calculatedColumnFormula>
    </tableColumn>
    <tableColumn id="17" name="VALOR OP" dataDxfId="37" totalsRowDxfId="38" dataCellStyle="Moeda">
      <calculatedColumnFormula>[LÍQUIDO]-SUMPRODUCT(N([DATA]=NC[[#This Row],[DATA]]),N([ID]=(NC[[#This Row],[ID]]-1)),[LÍQUIDO])</calculatedColumnFormula>
    </tableColumn>
    <tableColumn id="18" name="MEDIO P/ OP" dataDxfId="35" totalsRowDxfId="36">
      <calculatedColumnFormula>IF([T] = "VC", ABS([VALOR OP]) / [QTDE], [VALOR OP]/[QTDE])</calculatedColumnFormula>
    </tableColumn>
    <tableColumn id="20" name="IRRF" totalsRowFunction="sum" dataDxfId="33" totalsRowDxfId="34">
      <calculatedColumnFormula>TRUNC(IF(OR([T]="CV",[T]="VV"),     N2*SETUP!$H$3,     0),2)</calculatedColumnFormula>
    </tableColumn>
    <tableColumn id="24" name="SALDO" dataDxfId="31" totalsRowDxfId="32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9" totalsRowDxfId="30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7" totalsRowDxfId="28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5" totalsRowDxfId="26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3" totalsRowDxfId="24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1" totalsRowDxfId="22">
      <calculatedColumnFormula>IF([U] = "U", SUMPRODUCT(N([ID]&lt;=NC[[#This Row],[ID]]),N([DATA BASE]=NC[[#This Row],[DATA BASE]]), N(['[D/N']] = "N"),    [LUCRO P/ OP]), 0)</calculatedColumnFormula>
    </tableColumn>
    <tableColumn id="39" name="LUCRO [D]" dataDxfId="19" totalsRowDxfId="20">
      <calculatedColumnFormula>IF([U] = "U", SUMPRODUCT(N([DATA BASE]=NC[[#This Row],[DATA BASE]]), N(['[D/N']] = "D"),    [LUCRO P/ OP]), 0)</calculatedColumnFormula>
    </tableColumn>
    <tableColumn id="30" name="IRRF DT" dataDxfId="17" totalsRowDxfId="18">
      <calculatedColumnFormula>IF([U] = "U", SUMPRODUCT(N([DATA BASE]=NC[[#This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ela7" displayName="Tabela7" ref="A1:M6" totalsRowCount="1" headerRowDxfId="98" dataDxfId="99">
  <autoFilter ref="A1:M5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</autoFilter>
  <tableColumns count="13">
    <tableColumn id="1" name="DATA" totalsRowLabel="Total" dataDxfId="102" totalsRowDxfId="13"/>
    <tableColumn id="2" name="LUCRO [N]" dataDxfId="101" totalsRowDxfId="12" dataCellStyle="Moeda"/>
    <tableColumn id="3" name="DEDUÇÃO [N]" dataDxfId="100" totalsRowDxfId="11" dataCellStyle="Moeda"/>
    <tableColumn id="8" name="IRRF [N]" dataDxfId="94" totalsRowDxfId="10" dataCellStyle="Moeda"/>
    <tableColumn id="4" name="LUCRO [D]" dataDxfId="97" totalsRowDxfId="9" dataCellStyle="Moeda"/>
    <tableColumn id="5" name="DEDUÇÃO [D]" dataDxfId="96" totalsRowDxfId="8" dataCellStyle="Moeda"/>
    <tableColumn id="9" name="IRRF [D]" dataDxfId="93" totalsRowDxfId="7" dataCellStyle="Moeda"/>
    <tableColumn id="6" name="ACC [N]" dataDxfId="95" totalsRowDxfId="6" dataCellStyle="Moeda">
      <calculatedColumnFormula>IF([LUCRO '[N']] + [DEDUÇÃO '[N']] &gt; 0, 0, [LUCRO '[N']] + [DEDUÇÃO '[N']])</calculatedColumnFormula>
    </tableColumn>
    <tableColumn id="12" name="ACC [D]" dataDxfId="90" totalsRowDxfId="5" dataCellStyle="Moeda">
      <calculatedColumnFormula>IF([LUCRO '[D']] + [DEDUÇÃO '[D']] &gt; 0, 0, [LUCRO '[D']] + [DEDUÇÃO '[D']])</calculatedColumnFormula>
    </tableColumn>
    <tableColumn id="7" name="IR DEVIDO [N]" dataDxfId="91" totalsRowDxfId="4" dataCellStyle="Moeda">
      <calculatedColumnFormula>IF([ACC '[N']] = 0, ROUND(([LUCRO '[N']] + [DEDUÇÃO '[N']]) * 15%, 2) - [IRRF '[N']], 0)</calculatedColumnFormula>
    </tableColumn>
    <tableColumn id="10" name="IR DEVIDO [D]" dataDxfId="89" totalsRowDxfId="3" dataCellStyle="Moeda">
      <calculatedColumnFormula>IF([ACC '[D']] = 0, ROUND(([LUCRO '[D']] + [DEDUÇÃO '[D']]) * 20%, 2) - [IRRF '[D']], 0)</calculatedColumnFormula>
    </tableColumn>
    <tableColumn id="11" name="IR DEVIDO" dataDxfId="92" totalsRowDxfId="2" dataCellStyle="Moeda">
      <calculatedColumnFormula>[IR DEVIDO '[N']] + [IR DEVIDO '[D']]</calculatedColumnFormula>
    </tableColumn>
    <tableColumn id="13" name="LUCRO TOTAL" totalsRowFunction="sum" dataDxfId="0" totalsRowDxfId="1" dataCellStyle="Moeda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1:J5" totalsRowCount="1" headerRowDxfId="267" dataDxfId="266">
  <autoFilter ref="A1:J4"/>
  <tableColumns count="10">
    <tableColumn id="1" name="PAPEL" totalsRowLabel="Total" dataDxfId="265" totalsRowDxfId="264"/>
    <tableColumn id="10" name="APLICAÇÃO" dataDxfId="263" totalsRowDxfId="262" dataCellStyle="Moeda"/>
    <tableColumn id="2" name="EXERCÍCIO" dataDxfId="261" totalsRowDxfId="260" dataCellStyle="Moeda"/>
    <tableColumn id="3" name="PREÇO OPÇÃO" dataDxfId="259" totalsRowDxfId="258" dataCellStyle="Moeda"/>
    <tableColumn id="4" name="PREÇO AÇÃO" dataDxfId="257" totalsRowDxfId="256" dataCellStyle="Moeda">
      <calculatedColumnFormula>35.7</calculatedColumnFormula>
    </tableColumn>
    <tableColumn id="11" name="QTDE TMP" dataDxfId="255" totalsRowDxfId="254" dataCellStyle="Moeda">
      <calculatedColumnFormula>ROUNDDOWN([APLICAÇÃO]/[PREÇO OPÇÃO], 0)</calculatedColumnFormula>
    </tableColumn>
    <tableColumn id="14" name="QTDE" dataDxfId="253" totalsRowDxfId="252" dataCellStyle="Moeda">
      <calculatedColumnFormula>[QTDE TMP] - MOD([QTDE TMP], 100)</calculatedColumnFormula>
    </tableColumn>
    <tableColumn id="5" name="TARGET 100%" dataDxfId="251" totalsRowDxfId="250" dataCellStyle="Moeda">
      <calculatedColumnFormula>[EXERCÍCIO] + ([PREÇO OPÇÃO] * 2)</calculatedColumnFormula>
    </tableColumn>
    <tableColumn id="6" name="ALTA 100%" dataDxfId="249" totalsRowDxfId="248" dataCellStyle="Porcentagem">
      <calculatedColumnFormula>[TARGET 100%] / [PREÇO AÇÃO] - 1</calculatedColumnFormula>
    </tableColumn>
    <tableColumn id="12" name="LUCRO* 100%" dataDxfId="247" totalsRowDxfId="246" dataCellStyle="Moeda">
      <calculatedColumnFormula>[PREÇO OPÇÃO] * [QTDE] - 30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A1:P11" totalsRowCount="1" headerRowDxfId="245" dataDxfId="244">
  <autoFilter ref="A1:P10"/>
  <tableColumns count="16">
    <tableColumn id="1" name="PAPEL" totalsRowLabel="Total" dataDxfId="243" totalsRowDxfId="242"/>
    <tableColumn id="10" name="RISCO" dataDxfId="241" totalsRowDxfId="240" dataCellStyle="Moeda"/>
    <tableColumn id="20" name="PREÇO AÇÃO" dataDxfId="239" totalsRowDxfId="238" dataCellStyle="Moeda"/>
    <tableColumn id="7" name="EXERC. VENDA" dataDxfId="237" totalsRowDxfId="236" dataCellStyle="Moeda"/>
    <tableColumn id="8" name="PREÇO VENDA" dataDxfId="235" totalsRowDxfId="234" dataCellStyle="Moeda"/>
    <tableColumn id="2" name="EXERC. COMPRA" dataDxfId="233" totalsRowDxfId="232" dataCellStyle="Moeda"/>
    <tableColumn id="3" name="PREÇO COMPRA" dataDxfId="231" totalsRowDxfId="230" dataCellStyle="Moeda"/>
    <tableColumn id="4" name="VOLUME" dataDxfId="229" totalsRowDxfId="228" dataCellStyle="Moeda">
      <calculatedColumnFormula>([QTDE] * [PREÇO COMPRA]) + ([QTDE] * [PREÇO VENDA])</calculatedColumnFormula>
    </tableColumn>
    <tableColumn id="18" name="LUCRO P/ OPÇÃO" dataDxfId="227" totalsRowDxfId="226" dataCellStyle="Moeda">
      <calculatedColumnFormula>[PREÇO VENDA]-[PREÇO COMPRA]</calculatedColumnFormula>
    </tableColumn>
    <tableColumn id="19" name="PERDA P/ OPÇÃO" dataDxfId="225" totalsRowDxfId="224" dataCellStyle="Moeda">
      <calculatedColumnFormula>(0.01 - [PREÇO COMPRA]) + ([PREÇO VENDA] - ([EXERC. COMPRA]-[EXERC. VENDA]+0.01))</calculatedColumnFormula>
    </tableColumn>
    <tableColumn id="11" name="QTDE TMP" dataDxfId="223" totalsRowDxfId="222" dataCellStyle="Moeda">
      <calculatedColumnFormula>ROUNDDOWN([RISCO]/ABS([PERDA P/ OPÇÃO]), 0)</calculatedColumnFormula>
    </tableColumn>
    <tableColumn id="14" name="QTDE" dataDxfId="221" totalsRowDxfId="220" dataCellStyle="Moeda">
      <calculatedColumnFormula>[QTDE TMP] - MOD([QTDE TMP], 100)</calculatedColumnFormula>
    </tableColumn>
    <tableColumn id="5" name="LUCRO*" dataDxfId="219" totalsRowDxfId="218" dataCellStyle="Moeda">
      <calculatedColumnFormula>([QTDE]*[LUCRO P/ OPÇÃO]) - 60</calculatedColumnFormula>
    </tableColumn>
    <tableColumn id="6" name="PERDA*" dataDxfId="217" totalsRowDxfId="216" dataCellStyle="Moeda">
      <calculatedColumnFormula>[QTDE]*[PERDA P/ OPÇÃO] - 60</calculatedColumnFormula>
    </tableColumn>
    <tableColumn id="21" name="% QUEDA" dataDxfId="215" totalsRowDxfId="214" dataCellStyle="Porcentagem">
      <calculatedColumnFormula>[EXERC. VENDA]/[PREÇO AÇÃO]-1</calculatedColumnFormula>
    </tableColumn>
    <tableColumn id="22" name="RISCO : 1" dataDxfId="213" totalsRowDxfId="212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ela245" displayName="Tabela245" ref="A1:V4" totalsRowCount="1" headerRowDxfId="211" dataDxfId="210">
  <autoFilter ref="A1:V3"/>
  <tableColumns count="22">
    <tableColumn id="1" name="PAPEL" totalsRowLabel="Total" dataDxfId="209" totalsRowDxfId="208"/>
    <tableColumn id="10" name="BASE" dataDxfId="207" totalsRowDxfId="206" dataCellStyle="Moeda"/>
    <tableColumn id="20" name="PR. AÇÃO" dataDxfId="205" totalsRowDxfId="204" dataCellStyle="Moeda"/>
    <tableColumn id="2" name="EX. CP 1" dataDxfId="203" totalsRowDxfId="202" dataCellStyle="Moeda"/>
    <tableColumn id="3" name="PR CP 1" dataDxfId="201" totalsRowDxfId="200" dataCellStyle="Moeda"/>
    <tableColumn id="12" name="EX. VD" dataDxfId="199" totalsRowDxfId="198" dataCellStyle="Moeda"/>
    <tableColumn id="13" name="PR VD" dataDxfId="197" totalsRowDxfId="196" dataCellStyle="Moeda"/>
    <tableColumn id="8" name="EX. CP 2" dataDxfId="195" totalsRowDxfId="194" dataCellStyle="Moeda"/>
    <tableColumn id="7" name="PR CP 2" dataDxfId="193" totalsRowDxfId="192" dataCellStyle="Moeda"/>
    <tableColumn id="18" name="LUCRO UNI." dataDxfId="191" totalsRowDxfId="190" dataCellStyle="Moeda">
      <calculatedColumnFormula>(([PR VD] - 0.01) * 2) + (([EX. VD] - [EX. CP 1] + 0.01) - [PR CP 1]) + (0.01 - [PR CP 2])</calculatedColumnFormula>
    </tableColumn>
    <tableColumn id="19" name="PERDA 1" dataDxfId="189" totalsRowDxfId="188" dataCellStyle="Moeda">
      <calculatedColumnFormula>(0.01 - [PR CP 1]) + (([PR VD] - 0.01) * 2) + (0.01 - [PR CP 2])</calculatedColumnFormula>
    </tableColumn>
    <tableColumn id="15" name="PERDA 2" dataDxfId="187" totalsRowDxfId="186" dataCellStyle="Moeda">
      <calculatedColumnFormula>(([EX. CP 2] - [EX. CP 1] + 0.01) - [PR CP 1]) + (([PR VD] - ([EX. CP 2] - [EX. VD] + 0.01)) * 2) + (0.01 - [PR CP 2])</calculatedColumnFormula>
    </tableColumn>
    <tableColumn id="16" name="PERDA" dataDxfId="185" totalsRowDxfId="184" dataCellStyle="Moeda">
      <calculatedColumnFormula>IF([PERDA 1] &gt; [PERDA 2], [PERDA 2], [PERDA 1])</calculatedColumnFormula>
    </tableColumn>
    <tableColumn id="11" name="QTDE TMP" dataDxfId="183" totalsRowDxfId="182" dataCellStyle="Moeda">
      <calculatedColumnFormula>ROUNDDOWN([BASE]/ABS([PERDA]), 0)</calculatedColumnFormula>
    </tableColumn>
    <tableColumn id="14" name="QTDE" dataDxfId="181" totalsRowDxfId="180" dataCellStyle="Moeda">
      <calculatedColumnFormula>[QTDE TMP] - MOD([QTDE TMP], 100)</calculatedColumnFormula>
    </tableColumn>
    <tableColumn id="4" name="QTDE VD" dataDxfId="179" totalsRowDxfId="178" dataCellStyle="Moeda">
      <calculatedColumnFormula>Tabela245[[#This Row],[QTDE]]*2</calculatedColumnFormula>
    </tableColumn>
    <tableColumn id="17" name="TOT.  CP" dataDxfId="177" totalsRowDxfId="176" dataCellStyle="Moeda">
      <calculatedColumnFormula>([QTDE]*[PR CP 1] + [QTDE]*[PR CP 2])</calculatedColumnFormula>
    </tableColumn>
    <tableColumn id="9" name="T. VD" dataDxfId="175" totalsRowDxfId="174" dataCellStyle="Moeda">
      <calculatedColumnFormula>[QTDE]*[PR VD] * 2</calculatedColumnFormula>
    </tableColumn>
    <tableColumn id="5" name="LUCRO*" dataDxfId="173" totalsRowDxfId="172" dataCellStyle="Moeda">
      <calculatedColumnFormula>([QTDE]*[LUCRO UNI.] - 90)</calculatedColumnFormula>
    </tableColumn>
    <tableColumn id="6" name="PERDA*" dataDxfId="171" totalsRowDxfId="170" dataCellStyle="Moeda">
      <calculatedColumnFormula>[QTDE]*[PERDA] - 90</calculatedColumnFormula>
    </tableColumn>
    <tableColumn id="21" name="% VAR" dataDxfId="169" totalsRowDxfId="168" dataCellStyle="Porcentagem">
      <calculatedColumnFormula>[EX. VD] / [PR. AÇÃO] - 1</calculatedColumnFormula>
    </tableColumn>
    <tableColumn id="22" name="RISCO : 1" dataDxfId="167" totalsRowDxfId="166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5" totalsRowCount="1" headerRowDxfId="165" dataDxfId="164">
  <autoFilter ref="A1:O4"/>
  <tableColumns count="15">
    <tableColumn id="1" name="PAPEL" totalsRowLabel="Total" dataDxfId="163" totalsRowDxfId="162"/>
    <tableColumn id="10" name="RISCO" dataDxfId="161" totalsRowDxfId="160" dataCellStyle="Moeda"/>
    <tableColumn id="20" name="PREÇO AÇÃO" dataDxfId="159" totalsRowDxfId="158" dataCellStyle="Moeda"/>
    <tableColumn id="7" name="EX. VENDA" dataDxfId="157" totalsRowDxfId="156" dataCellStyle="Moeda"/>
    <tableColumn id="2" name="EX. COMPRA" dataDxfId="155" totalsRowDxfId="154" dataCellStyle="Moeda"/>
    <tableColumn id="3" name="PR COMPRA" dataDxfId="153" totalsRowDxfId="152" dataCellStyle="Moeda"/>
    <tableColumn id="16" name="QTDE" dataDxfId="151" totalsRowDxfId="150" dataCellStyle="Moeda"/>
    <tableColumn id="13" name="PERDA P/ OPÇÃO" dataDxfId="149" totalsRowDxfId="148" dataCellStyle="Moeda">
      <calculatedColumnFormula>-[RISCO]/[QTDE]</calculatedColumnFormula>
    </tableColumn>
    <tableColumn id="14" name="CUSTO CP" dataDxfId="147" totalsRowDxfId="146" dataCellStyle="Moeda">
      <calculatedColumnFormula>[PR COMPRA] * [QTDE]</calculatedColumnFormula>
    </tableColumn>
    <tableColumn id="15" name="LUCRO UNI" dataDxfId="145" totalsRowDxfId="144">
      <calculatedColumnFormula>[PR VENDA]-[PR COMPRA]</calculatedColumnFormula>
    </tableColumn>
    <tableColumn id="8" name="PR VENDA" dataDxfId="143" totalsRowDxfId="142" dataCellStyle="Moeda">
      <calculatedColumnFormula>[PERDA P/ OPÇÃO] + ([EX. COMPRA] - [EX. VENDA] + 0.01) - 0.01 + [PR COMPRA]</calculatedColumnFormula>
    </tableColumn>
    <tableColumn id="5" name="LUCRO*" dataDxfId="141" totalsRowDxfId="140" dataCellStyle="Moeda">
      <calculatedColumnFormula>([QTDE]*[LUCRO UNI])</calculatedColumnFormula>
    </tableColumn>
    <tableColumn id="6" name="PERDA*" dataDxfId="139" totalsRowDxfId="138" dataCellStyle="Moeda">
      <calculatedColumnFormula>[PERDA P/ OPÇÃO]*[QTDE]</calculatedColumnFormula>
    </tableColumn>
    <tableColumn id="21" name="% QUEDA" dataDxfId="137" totalsRowDxfId="136" dataCellStyle="Porcentagem">
      <calculatedColumnFormula>[EX. VENDA]/[PREÇO AÇÃO]-1</calculatedColumnFormula>
    </tableColumn>
    <tableColumn id="22" name="RISCO : 1" dataDxfId="135" totalsRowDxfId="134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467" displayName="Tabela2467" ref="A1:O6" totalsRowCount="1" headerRowDxfId="133" dataDxfId="132">
  <autoFilter ref="A1:O5"/>
  <tableColumns count="15">
    <tableColumn id="1" name="PAPEL" totalsRowLabel="Total" dataDxfId="131" totalsRowDxfId="130"/>
    <tableColumn id="10" name="RISCO" dataDxfId="129" totalsRowDxfId="128" dataCellStyle="Moeda"/>
    <tableColumn id="20" name="PREÇO AÇÃO" dataDxfId="127" totalsRowDxfId="126" dataCellStyle="Moeda"/>
    <tableColumn id="7" name="EX. VENDA" dataDxfId="125" totalsRowDxfId="124" dataCellStyle="Moeda"/>
    <tableColumn id="2" name="EX. COMPRA" dataDxfId="123" totalsRowDxfId="122" dataCellStyle="Moeda"/>
    <tableColumn id="9" name="PR VENDA" totalsRowDxfId="121"/>
    <tableColumn id="3" name="PR COMPRA" dataDxfId="120" totalsRowDxfId="119" dataCellStyle="Moeda"/>
    <tableColumn id="16" name="QTDE" dataDxfId="118" totalsRowDxfId="117" dataCellStyle="Moeda"/>
    <tableColumn id="13" name="PERDA P/ OPÇÃO" dataDxfId="116" totalsRowDxfId="115" dataCellStyle="Moeda">
      <calculatedColumnFormula>([PR VENDA] - ([EX. COMPRA] - [EX. VENDA] + 0.01)) + (0.01 - ([PR COMPRA]))</calculatedColumnFormula>
    </tableColumn>
    <tableColumn id="14" name="VOLUME" dataDxfId="114" totalsRowDxfId="113" dataCellStyle="Moeda">
      <calculatedColumnFormula>[PR COMPRA] * [QTDE]</calculatedColumnFormula>
    </tableColumn>
    <tableColumn id="15" name="LUCRO UNI" dataDxfId="112" totalsRowDxfId="111">
      <calculatedColumnFormula>[PR VENDA]-[PR COMPRA]</calculatedColumnFormula>
    </tableColumn>
    <tableColumn id="5" name="LUCRO*" dataDxfId="110" totalsRowDxfId="109" dataCellStyle="Moeda">
      <calculatedColumnFormula>([QTDE]*[LUCRO UNI])</calculatedColumnFormula>
    </tableColumn>
    <tableColumn id="6" name="PERDA*" dataDxfId="108" totalsRowDxfId="107" dataCellStyle="Moeda">
      <calculatedColumnFormula>[PERDA P/ OPÇÃO]*[QTDE]</calculatedColumnFormula>
    </tableColumn>
    <tableColumn id="21" name="% QUEDA" dataDxfId="106" totalsRowDxfId="105" dataCellStyle="Porcentagem">
      <calculatedColumnFormula>[EX. VENDA]/[PREÇO AÇÃO]-1</calculatedColumnFormula>
    </tableColumn>
    <tableColumn id="22" name="RISCO : 1" dataDxfId="104" totalsRowDxfId="103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J61"/>
  <sheetViews>
    <sheetView workbookViewId="0">
      <pane xSplit="10" ySplit="1" topLeftCell="K29" activePane="bottomRight" state="frozen"/>
      <selection pane="topRight" activeCell="K1" sqref="K1"/>
      <selection pane="bottomLeft" activeCell="A2" sqref="A2"/>
      <selection pane="bottomRight" activeCell="AK59" sqref="AK59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6" width="6.85546875" style="7" bestFit="1" customWidth="1"/>
    <col min="7" max="7" width="8.5703125" style="7" bestFit="1" customWidth="1"/>
    <col min="8" max="8" width="8.85546875" style="61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9.855468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16384" width="11.5703125" style="7"/>
  </cols>
  <sheetData>
    <row r="1" spans="1:36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90" t="s">
        <v>134</v>
      </c>
      <c r="I1" s="36" t="s">
        <v>133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132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104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122</v>
      </c>
      <c r="AJ1" s="10" t="s">
        <v>131</v>
      </c>
    </row>
    <row r="2" spans="1:36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91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</row>
    <row r="3" spans="1:36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91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</row>
    <row r="4" spans="1:36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91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</row>
    <row r="5" spans="1:36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91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</row>
    <row r="6" spans="1:36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91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</row>
    <row r="7" spans="1:36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91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</row>
    <row r="8" spans="1:36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91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</row>
    <row r="9" spans="1:36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91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</row>
    <row r="10" spans="1:36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91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</row>
    <row r="11" spans="1:36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91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</row>
    <row r="12" spans="1:36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91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</row>
    <row r="13" spans="1:36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91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</row>
    <row r="14" spans="1:36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91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</row>
    <row r="15" spans="1:36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91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</row>
    <row r="16" spans="1:36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91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</row>
    <row r="17" spans="1:36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91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</row>
    <row r="18" spans="1:36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91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</row>
    <row r="19" spans="1:36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91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</row>
    <row r="20" spans="1:36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91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</row>
    <row r="21" spans="1:36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91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</row>
    <row r="22" spans="1:36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91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</row>
    <row r="23" spans="1:36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91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</row>
    <row r="24" spans="1:36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91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</row>
    <row r="25" spans="1:36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91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</row>
    <row r="26" spans="1:36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91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</row>
    <row r="27" spans="1:36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91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</row>
    <row r="28" spans="1:36" ht="11.25" customHeight="1">
      <c r="A28" s="13">
        <v>27</v>
      </c>
      <c r="B28" s="30"/>
      <c r="C28" s="56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92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</row>
    <row r="29" spans="1:36" ht="11.25" customHeight="1">
      <c r="A29" s="13">
        <v>28</v>
      </c>
      <c r="B29" s="30"/>
      <c r="C29" s="56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92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</row>
    <row r="30" spans="1:36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92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</row>
    <row r="31" spans="1:36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91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</row>
    <row r="32" spans="1:36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91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</row>
    <row r="33" spans="1:36">
      <c r="A33" s="13">
        <v>32</v>
      </c>
      <c r="B33" s="13"/>
      <c r="C33" s="56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91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</row>
    <row r="34" spans="1:36">
      <c r="A34" s="13">
        <v>33</v>
      </c>
      <c r="B34" s="13"/>
      <c r="C34" s="56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91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</row>
    <row r="35" spans="1:36">
      <c r="A35" s="13">
        <v>34</v>
      </c>
      <c r="B35" s="13"/>
      <c r="C35" s="56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92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</row>
    <row r="36" spans="1:36">
      <c r="A36" s="13">
        <v>35</v>
      </c>
      <c r="B36" s="43"/>
      <c r="C36" s="56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89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</row>
    <row r="37" spans="1:36">
      <c r="A37" s="13">
        <v>36</v>
      </c>
      <c r="B37" s="43"/>
      <c r="C37" s="56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89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</row>
    <row r="38" spans="1:36">
      <c r="A38" s="13">
        <v>37</v>
      </c>
      <c r="B38" s="13"/>
      <c r="C38" s="56" t="s">
        <v>105</v>
      </c>
      <c r="D38" s="13" t="s">
        <v>24</v>
      </c>
      <c r="E38" s="14">
        <v>41045</v>
      </c>
      <c r="F38" s="13">
        <v>200</v>
      </c>
      <c r="G38" s="15">
        <v>0.69</v>
      </c>
      <c r="H38" s="91"/>
      <c r="I38" s="19"/>
      <c r="J38" s="13" t="s">
        <v>6</v>
      </c>
      <c r="K38" s="14">
        <f>WORKDAY(NC[[#This Row],[DATA]],1,0)</f>
        <v>41046</v>
      </c>
      <c r="L38" s="57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</row>
    <row r="39" spans="1:36">
      <c r="A39" s="13">
        <v>38</v>
      </c>
      <c r="B39" s="13"/>
      <c r="C39" s="56" t="s">
        <v>106</v>
      </c>
      <c r="D39" s="13" t="s">
        <v>66</v>
      </c>
      <c r="E39" s="14">
        <v>41045</v>
      </c>
      <c r="F39" s="13">
        <v>200</v>
      </c>
      <c r="G39" s="15">
        <v>1.37</v>
      </c>
      <c r="H39" s="91"/>
      <c r="I39" s="19"/>
      <c r="J39" s="13" t="s">
        <v>6</v>
      </c>
      <c r="K39" s="14">
        <f>WORKDAY(NC[[#This Row],[DATA]],1,0)</f>
        <v>41046</v>
      </c>
      <c r="L39" s="57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</row>
    <row r="40" spans="1:36">
      <c r="A40" s="13">
        <v>39</v>
      </c>
      <c r="B40" s="13"/>
      <c r="C40" s="56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91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</row>
    <row r="41" spans="1:36">
      <c r="A41" s="13">
        <v>40</v>
      </c>
      <c r="B41" s="43"/>
      <c r="C41" s="56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89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</row>
    <row r="42" spans="1:36">
      <c r="A42" s="13">
        <v>41</v>
      </c>
      <c r="B42" s="30"/>
      <c r="C42" s="56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92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</row>
    <row r="43" spans="1:36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91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</row>
    <row r="44" spans="1:36">
      <c r="A44" s="13">
        <v>43</v>
      </c>
      <c r="B44" s="13"/>
      <c r="C44" s="56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92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</row>
    <row r="45" spans="1:36">
      <c r="A45" s="13">
        <v>44</v>
      </c>
      <c r="B45" s="43"/>
      <c r="C45" s="56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89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</row>
    <row r="46" spans="1:36">
      <c r="A46" s="13">
        <v>45</v>
      </c>
      <c r="B46" s="13"/>
      <c r="C46" s="56" t="s">
        <v>114</v>
      </c>
      <c r="D46" s="43" t="s">
        <v>66</v>
      </c>
      <c r="E46" s="44">
        <v>41051</v>
      </c>
      <c r="F46" s="43">
        <v>1000</v>
      </c>
      <c r="G46" s="42">
        <v>0.94</v>
      </c>
      <c r="H46" s="89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</row>
    <row r="47" spans="1:36">
      <c r="A47" s="13">
        <v>46</v>
      </c>
      <c r="B47" s="13" t="s">
        <v>49</v>
      </c>
      <c r="C47" s="56" t="s">
        <v>115</v>
      </c>
      <c r="D47" s="13" t="s">
        <v>24</v>
      </c>
      <c r="E47" s="14">
        <v>41051</v>
      </c>
      <c r="F47" s="13">
        <v>1000</v>
      </c>
      <c r="G47" s="15">
        <v>0.45</v>
      </c>
      <c r="H47" s="91"/>
      <c r="I47" s="19"/>
      <c r="J47" s="13" t="s">
        <v>6</v>
      </c>
      <c r="K47" s="14">
        <f>WORKDAY(NC[[#This Row],[DATA]],1,0)</f>
        <v>41052</v>
      </c>
      <c r="L47" s="57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</row>
    <row r="48" spans="1:36">
      <c r="A48" s="13">
        <v>47</v>
      </c>
      <c r="B48" s="43"/>
      <c r="C48" s="43" t="s">
        <v>118</v>
      </c>
      <c r="D48" s="43" t="s">
        <v>24</v>
      </c>
      <c r="E48" s="44">
        <v>41068</v>
      </c>
      <c r="F48" s="43">
        <v>1600</v>
      </c>
      <c r="G48" s="42">
        <v>0.78</v>
      </c>
      <c r="H48" s="89"/>
      <c r="I48" s="49"/>
      <c r="J48" s="43" t="s">
        <v>6</v>
      </c>
      <c r="K48" s="44">
        <f>WORKDAY(NC[[#This Row],[DATA]],1,0)</f>
        <v>41071</v>
      </c>
      <c r="L48" s="65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</row>
    <row r="49" spans="1:36">
      <c r="A49" s="13">
        <v>48</v>
      </c>
      <c r="B49" s="13"/>
      <c r="C49" s="56" t="s">
        <v>106</v>
      </c>
      <c r="D49" s="13" t="s">
        <v>67</v>
      </c>
      <c r="E49" s="14">
        <v>41073</v>
      </c>
      <c r="F49" s="13">
        <v>200</v>
      </c>
      <c r="G49" s="15">
        <v>0.01</v>
      </c>
      <c r="H49" s="91"/>
      <c r="I49" s="19"/>
      <c r="J49" s="13" t="s">
        <v>6</v>
      </c>
      <c r="K49" s="14">
        <f>WORKDAY(NC[[#This Row],[DATA]],1,0)</f>
        <v>41074</v>
      </c>
      <c r="L49" s="57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</row>
    <row r="50" spans="1:36">
      <c r="A50" s="13">
        <v>49</v>
      </c>
      <c r="B50" s="13"/>
      <c r="C50" s="56" t="s">
        <v>114</v>
      </c>
      <c r="D50" s="13" t="s">
        <v>67</v>
      </c>
      <c r="E50" s="14">
        <v>41074</v>
      </c>
      <c r="F50" s="13">
        <v>1000</v>
      </c>
      <c r="G50" s="15">
        <v>0.01</v>
      </c>
      <c r="H50" s="91"/>
      <c r="I50" s="19"/>
      <c r="J50" s="13" t="s">
        <v>6</v>
      </c>
      <c r="K50" s="14">
        <f>WORKDAY(NC[[#This Row],[DATA]],1,0)</f>
        <v>41075</v>
      </c>
      <c r="L50" s="57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</row>
    <row r="51" spans="1:36">
      <c r="A51" s="13">
        <v>50</v>
      </c>
      <c r="B51" s="43"/>
      <c r="C51" s="43" t="s">
        <v>118</v>
      </c>
      <c r="D51" s="43" t="s">
        <v>25</v>
      </c>
      <c r="E51" s="44">
        <v>41075</v>
      </c>
      <c r="F51" s="43">
        <v>1600</v>
      </c>
      <c r="G51" s="42">
        <v>1.29</v>
      </c>
      <c r="H51" s="91"/>
      <c r="I51" s="19"/>
      <c r="J51" s="43" t="s">
        <v>6</v>
      </c>
      <c r="K51" s="44">
        <f>WORKDAY(NC[[#This Row],[DATA]],1,0)</f>
        <v>41078</v>
      </c>
      <c r="L51" s="65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</row>
    <row r="52" spans="1:36">
      <c r="A52" s="13">
        <v>51</v>
      </c>
      <c r="B52" s="43"/>
      <c r="C52" s="56" t="s">
        <v>119</v>
      </c>
      <c r="D52" s="13" t="s">
        <v>66</v>
      </c>
      <c r="E52" s="44">
        <v>41075</v>
      </c>
      <c r="F52" s="43">
        <v>1100</v>
      </c>
      <c r="G52" s="42">
        <v>1.41</v>
      </c>
      <c r="H52" s="89"/>
      <c r="I52" s="49"/>
      <c r="J52" s="43" t="s">
        <v>6</v>
      </c>
      <c r="K52" s="76">
        <f>WORKDAY(NC[[#This Row],[DATA]],1,0)</f>
        <v>41078</v>
      </c>
      <c r="L52" s="78">
        <f>EOMONTH(NC[[#This Row],[DATA DE LIQUIDAÇÃO]],0)</f>
        <v>41090</v>
      </c>
      <c r="M52" s="7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2" s="77">
        <f>[QTDE]*[PREÇO]</f>
        <v>1551</v>
      </c>
      <c r="O52" s="7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7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7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7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77">
        <f>SETUP!$E$3 * IF([PARCIAL] &gt; 0, [QTDE] / [PARCIAL], 1)</f>
        <v>14.9</v>
      </c>
      <c r="T52" s="77">
        <f>SUMPRODUCT(N([DATA]=NC[[#This Row],[DATA]]),N([ID]&lt;=NC[[#This Row],[ID]]), [CORR])</f>
        <v>29.8</v>
      </c>
      <c r="U52" s="77">
        <f>TRUNC([CORRETAGEM]*SETUP!$F$3,2)</f>
        <v>0.59</v>
      </c>
      <c r="V52" s="77">
        <f>ROUND([CORRETAGEM]*SETUP!$G$3,2)</f>
        <v>1.1599999999999999</v>
      </c>
      <c r="W52" s="77">
        <f>[VALOR LÍQUIDO DAS OPERAÇÕES]-[TAXA DE LIQUIDAÇÃO]-[EMOLUMENTOS]-[TAXA DE REGISTRO]-[CORRETAGEM]-[ISS]-IF(['[D/N']]="D",    0,    [OUTRAS BOVESPA]) - [AJUSTE]</f>
        <v>3578.62</v>
      </c>
      <c r="X52" s="77">
        <f>IF(AND(['[D/N']]="D",    [T]="CV"),    TRUNC([LÍQUIDO BASE]*0.01, 2),    0)</f>
        <v>0</v>
      </c>
      <c r="Y52" s="15">
        <f>IF([PREÇO] &gt; 0,    [LÍQUIDO BASE]-SUMPRODUCT(N([DATA]=NC[[#This Row],[DATA]]),    [IRRF FONTE]),    0)</f>
        <v>3578.62</v>
      </c>
      <c r="Z52" s="79">
        <f>[LÍQUIDO]-SUMPRODUCT(N([DATA]=NC[[#This Row],[DATA]]),N([ID]=(NC[[#This Row],[ID]]-1)),[LÍQUIDO])</f>
        <v>1533.1399999999999</v>
      </c>
      <c r="AA52" s="77">
        <f>IF([T] = "VC", ABS([VALOR OP]) / [QTDE], [VALOR OP]/[QTDE])</f>
        <v>1.3937636363636363</v>
      </c>
      <c r="AB52" s="77">
        <f>TRUNC(IF(OR([T]="CV",[T]="VV"),     N52*SETUP!$H$3,     0),2)</f>
        <v>7.0000000000000007E-2</v>
      </c>
      <c r="AC52" s="7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8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8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8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77">
        <f>IF([LUCRO TMP] &lt;&gt; 0, [LUCRO TMP] - SUMPRODUCT(N([ATIVO]=NC[[#This Row],[ATIVO]]),N(['[D/N']]="N"),N([ID]&lt;NC[[#This Row],[ID]]),N([PAR]=NC[[#This Row],[PAR]]), [LUCRO TMP]), 0)</f>
        <v>0</v>
      </c>
      <c r="AH52" s="77">
        <f>IF([U] = "U", SUMPRODUCT(N([ID]&lt;=NC[[#This Row],[ID]]),N([DATA BASE]=NC[[#This Row],[DATA BASE]]), N(['[D/N']] = "N"),    [LUCRO P/ OP]), 0)</f>
        <v>0</v>
      </c>
      <c r="AI52" s="7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</row>
    <row r="53" spans="1:36">
      <c r="A53" s="13">
        <v>52</v>
      </c>
      <c r="B53" s="43"/>
      <c r="C53" s="56" t="s">
        <v>120</v>
      </c>
      <c r="D53" s="13" t="s">
        <v>24</v>
      </c>
      <c r="E53" s="44">
        <v>41075</v>
      </c>
      <c r="F53" s="43">
        <v>1100</v>
      </c>
      <c r="G53" s="42">
        <v>0.88</v>
      </c>
      <c r="H53" s="89"/>
      <c r="I53" s="49"/>
      <c r="J53" s="43" t="s">
        <v>6</v>
      </c>
      <c r="K53" s="76">
        <f>WORKDAY(NC[[#This Row],[DATA]],1,0)</f>
        <v>41078</v>
      </c>
      <c r="L53" s="78">
        <f>EOMONTH(NC[[#This Row],[DATA DE LIQUIDAÇÃO]],0)</f>
        <v>41090</v>
      </c>
      <c r="M53" s="7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3" s="77">
        <f>[QTDE]*[PREÇO]</f>
        <v>968</v>
      </c>
      <c r="O53" s="7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7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7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7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77">
        <f>SETUP!$E$3 * IF([PARCIAL] &gt; 0, [QTDE] / [PARCIAL], 1)</f>
        <v>14.9</v>
      </c>
      <c r="T53" s="77">
        <f>SUMPRODUCT(N([DATA]=NC[[#This Row],[DATA]]),N([ID]&lt;=NC[[#This Row],[ID]]), [CORR])</f>
        <v>44.7</v>
      </c>
      <c r="U53" s="77">
        <f>TRUNC([CORRETAGEM]*SETUP!$F$3,2)</f>
        <v>0.89</v>
      </c>
      <c r="V53" s="77">
        <f>ROUND([CORRETAGEM]*SETUP!$G$3,2)</f>
        <v>1.74</v>
      </c>
      <c r="W53" s="77">
        <f>[VALOR LÍQUIDO DAS OPERAÇÕES]-[TAXA DE LIQUIDAÇÃO]-[EMOLUMENTOS]-[TAXA DE REGISTRO]-[CORRETAGEM]-[ISS]-IF(['[D/N']]="D",    0,    [OUTRAS BOVESPA]) - [AJUSTE]</f>
        <v>2593.5400000000004</v>
      </c>
      <c r="X53" s="77">
        <f>IF(AND(['[D/N']]="D",    [T]="CV"),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79">
        <f>[LÍQUIDO]-SUMPRODUCT(N([DATA]=NC[[#This Row],[DATA]]),N([ID]=(NC[[#This Row],[ID]]-1)),[LÍQUIDO])</f>
        <v>-985.07999999999947</v>
      </c>
      <c r="AA53" s="77">
        <f>IF([T] = "VC", ABS([VALOR OP]) / [QTDE], [VALOR OP]/[QTDE])</f>
        <v>-0.89552727272727228</v>
      </c>
      <c r="AB53" s="77">
        <f>TRUNC(IF(OR([T]="CV",[T]="VV"),     N53*SETUP!$H$3,     0),2)</f>
        <v>0</v>
      </c>
      <c r="AC53" s="7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8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8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8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77">
        <f>IF([LUCRO TMP] &lt;&gt; 0, [LUCRO TMP] - SUMPRODUCT(N([ATIVO]=NC[[#This Row],[ATIVO]]),N(['[D/N']]="N"),N([ID]&lt;NC[[#This Row],[ID]]),N([PAR]=NC[[#This Row],[PAR]]), [LUCRO TMP]), 0)</f>
        <v>0</v>
      </c>
      <c r="AH53" s="77">
        <f>IF([U] = "U", SUMPRODUCT(N([ID]&lt;=NC[[#This Row],[ID]]),N([DATA BASE]=NC[[#This Row],[DATA BASE]]), N(['[D/N']] = "N"),    [LUCRO P/ OP]), 0)</f>
        <v>0</v>
      </c>
      <c r="AI53" s="7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</row>
    <row r="54" spans="1:36">
      <c r="A54" s="13">
        <v>53</v>
      </c>
      <c r="B54" s="13"/>
      <c r="C54" s="56" t="s">
        <v>119</v>
      </c>
      <c r="D54" s="13" t="s">
        <v>24</v>
      </c>
      <c r="E54" s="44">
        <v>41078</v>
      </c>
      <c r="F54" s="43">
        <v>500</v>
      </c>
      <c r="G54" s="42">
        <v>1.89</v>
      </c>
      <c r="H54" s="89">
        <v>1600</v>
      </c>
      <c r="I54" s="49"/>
      <c r="J54" s="13" t="s">
        <v>14</v>
      </c>
      <c r="K54" s="76">
        <f>WORKDAY(NC[[#This Row],[DATA]],1,0)</f>
        <v>41079</v>
      </c>
      <c r="L54" s="78">
        <f>EOMONTH(NC[[#This Row],[DATA DE LIQUIDAÇÃO]],0)</f>
        <v>41090</v>
      </c>
      <c r="M54" s="7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77">
        <f>[QTDE]*[PREÇO]</f>
        <v>945</v>
      </c>
      <c r="O54" s="7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7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7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7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77">
        <f>SETUP!$E$3 * IF([PARCIAL] &gt; 0, [QTDE] / [PARCIAL], 1)</f>
        <v>4.65625</v>
      </c>
      <c r="T54" s="77">
        <f>SUMPRODUCT(N([DATA]=NC[[#This Row],[DATA]]),N([ID]&lt;=NC[[#This Row],[ID]]), [CORR])</f>
        <v>4.65625</v>
      </c>
      <c r="U54" s="77">
        <f>TRUNC([CORRETAGEM]*SETUP!$F$3,2)</f>
        <v>0.09</v>
      </c>
      <c r="V54" s="77">
        <f>ROUND([CORRETAGEM]*SETUP!$G$3,2)</f>
        <v>0.18</v>
      </c>
      <c r="W54" s="77">
        <f>[VALOR LÍQUIDO DAS OPERAÇÕES]-[TAXA DE LIQUIDAÇÃO]-[EMOLUMENTOS]-[TAXA DE REGISTRO]-[CORRETAGEM]-[ISS]-IF(['[D/N']]="D",    0,    [OUTRAS BOVESPA]) - [AJUSTE]</f>
        <v>-950.16624999999999</v>
      </c>
      <c r="X54" s="77">
        <f>IF(AND(['[D/N']]="D",    [T]="CV"),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79">
        <f>[LÍQUIDO]-SUMPRODUCT(N([DATA]=NC[[#This Row],[DATA]]),N([ID]=(NC[[#This Row],[ID]]-1)),[LÍQUIDO])</f>
        <v>-950.74625000000003</v>
      </c>
      <c r="AA54" s="77">
        <f>IF([T] = "VC", ABS([VALOR OP]) / [QTDE], [VALOR OP]/[QTDE])</f>
        <v>-1.9014925</v>
      </c>
      <c r="AB54" s="77">
        <f>TRUNC(IF(OR([T]="CV",[T]="VV"),     N54*SETUP!$H$3,     0),2)</f>
        <v>0</v>
      </c>
      <c r="AC54" s="7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8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8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8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77">
        <f>IF([LUCRO TMP] &lt;&gt; 0, [LUCRO TMP] - SUMPRODUCT(N([ATIVO]=NC[[#This Row],[ATIVO]]),N(['[D/N']]="N"),N([ID]&lt;NC[[#This Row],[ID]]),N([PAR]=NC[[#This Row],[PAR]]), [LUCRO TMP]), 0)</f>
        <v>0</v>
      </c>
      <c r="AH54" s="77">
        <f>IF([U] = "U", SUMPRODUCT(N([ID]&lt;=NC[[#This Row],[ID]]),N([DATA BASE]=NC[[#This Row],[DATA BASE]]), N(['[D/N']] = "N"),    [LUCRO P/ OP]), 0)</f>
        <v>0</v>
      </c>
      <c r="AI54" s="7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</row>
    <row r="55" spans="1:36">
      <c r="A55" s="13">
        <v>54</v>
      </c>
      <c r="B55" s="13"/>
      <c r="C55" s="56" t="s">
        <v>119</v>
      </c>
      <c r="D55" s="13" t="s">
        <v>25</v>
      </c>
      <c r="E55" s="44">
        <v>41078</v>
      </c>
      <c r="F55" s="13">
        <v>500</v>
      </c>
      <c r="G55" s="15">
        <v>2.0499999999999998</v>
      </c>
      <c r="H55" s="91"/>
      <c r="I55" s="19">
        <v>0.56000000000000005</v>
      </c>
      <c r="J55" s="13" t="s">
        <v>14</v>
      </c>
      <c r="K55" s="14">
        <f>WORKDAY(NC[[#This Row],[DATA]],1,0)</f>
        <v>41079</v>
      </c>
      <c r="L55" s="88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</row>
    <row r="56" spans="1:36">
      <c r="A56" s="13">
        <v>55</v>
      </c>
      <c r="B56" s="13"/>
      <c r="C56" s="56" t="s">
        <v>119</v>
      </c>
      <c r="D56" s="13" t="s">
        <v>67</v>
      </c>
      <c r="E56" s="44">
        <v>41078</v>
      </c>
      <c r="F56" s="43">
        <v>1100</v>
      </c>
      <c r="G56" s="42">
        <v>1.89</v>
      </c>
      <c r="H56" s="91">
        <v>1600</v>
      </c>
      <c r="I56" s="19"/>
      <c r="J56" s="43" t="s">
        <v>6</v>
      </c>
      <c r="K56" s="76">
        <f>WORKDAY(NC[[#This Row],[DATA]],1,0)</f>
        <v>41079</v>
      </c>
      <c r="L56" s="78">
        <f>EOMONTH(NC[[#This Row],[DATA DE LIQUIDAÇÃO]],0)</f>
        <v>41090</v>
      </c>
      <c r="M56" s="7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6" s="77">
        <f>[QTDE]*[PREÇO]</f>
        <v>2079</v>
      </c>
      <c r="O56" s="7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7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7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7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77">
        <f>SETUP!$E$3 * IF([PARCIAL] &gt; 0, [QTDE] / [PARCIAL], 1)</f>
        <v>10.24375</v>
      </c>
      <c r="T56" s="77">
        <f>SUMPRODUCT(N([DATA]=NC[[#This Row],[DATA]]),N([ID]&lt;=NC[[#This Row],[ID]]), [CORR])</f>
        <v>29.799999999999997</v>
      </c>
      <c r="U56" s="77">
        <f>TRUNC([CORRETAGEM]*SETUP!$F$3,2)</f>
        <v>0.59</v>
      </c>
      <c r="V56" s="77">
        <f>ROUND([CORRETAGEM]*SETUP!$G$3,2)</f>
        <v>1.1599999999999999</v>
      </c>
      <c r="W56" s="77">
        <f>[VALOR LÍQUIDO DAS OPERAÇÕES]-[TAXA DE LIQUIDAÇÃO]-[EMOLUMENTOS]-[TAXA DE REGISTRO]-[CORRETAGEM]-[ISS]-IF(['[D/N']]="D",    0,    [OUTRAS BOVESPA]) - [AJUSTE]</f>
        <v>-2034.21</v>
      </c>
      <c r="X56" s="77">
        <f>IF(AND(['[D/N']]="D",    [T]="CV"),    TRUNC([LÍQUIDO BASE]*0.01, 2),    0)</f>
        <v>0</v>
      </c>
      <c r="Y56" s="15">
        <f>IF([PREÇO] &gt; 0,    [LÍQUIDO BASE]-SUMPRODUCT(N([DATA]=NC[[#This Row],[DATA]]),    [IRRF FONTE]),    0)</f>
        <v>-2034.79</v>
      </c>
      <c r="Z56" s="79">
        <f>[LÍQUIDO]-SUMPRODUCT(N([DATA]=NC[[#This Row],[DATA]]),N([ID]=(NC[[#This Row],[ID]]-1)),[LÍQUIDO])</f>
        <v>-2092.8337499999998</v>
      </c>
      <c r="AA56" s="77">
        <f>IF([T] = "VC", ABS([VALOR OP]) / [QTDE], [VALOR OP]/[QTDE])</f>
        <v>1.9025761363636362</v>
      </c>
      <c r="AB56" s="77">
        <f>TRUNC(IF(OR([T]="CV",[T]="VV"),     N56*SETUP!$H$3,     0),2)</f>
        <v>0</v>
      </c>
      <c r="AC56" s="7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8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8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8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77">
        <f>IF([LUCRO TMP] &lt;&gt; 0, [LUCRO TMP] - SUMPRODUCT(N([ATIVO]=NC[[#This Row],[ATIVO]]),N(['[D/N']]="N"),N([ID]&lt;NC[[#This Row],[ID]]),N([PAR]=NC[[#This Row],[PAR]]), [LUCRO TMP]), 0)</f>
        <v>-559.69374999999991</v>
      </c>
      <c r="AH56" s="77">
        <f>IF([U] = "U", SUMPRODUCT(N([ID]&lt;=NC[[#This Row],[ID]]),N([DATA BASE]=NC[[#This Row],[DATA BASE]]), N(['[D/N']] = "N"),    [LUCRO P/ OP]), 0)</f>
        <v>0</v>
      </c>
      <c r="AI56" s="7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</row>
    <row r="57" spans="1:36">
      <c r="A57" s="13">
        <v>56</v>
      </c>
      <c r="B57" s="13"/>
      <c r="C57" s="56" t="s">
        <v>120</v>
      </c>
      <c r="D57" s="13" t="s">
        <v>25</v>
      </c>
      <c r="E57" s="44">
        <v>41078</v>
      </c>
      <c r="F57" s="43">
        <v>1100</v>
      </c>
      <c r="G57" s="42">
        <v>1.45</v>
      </c>
      <c r="H57" s="89"/>
      <c r="I57" s="49"/>
      <c r="J57" s="43" t="s">
        <v>6</v>
      </c>
      <c r="K57" s="14">
        <f>WORKDAY(NC[[#This Row],[DATA]],1,0)</f>
        <v>41079</v>
      </c>
      <c r="L57" s="88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</row>
    <row r="58" spans="1:36">
      <c r="A58" s="13">
        <v>57</v>
      </c>
      <c r="B58" s="13"/>
      <c r="C58" s="56" t="s">
        <v>115</v>
      </c>
      <c r="D58" s="13" t="s">
        <v>25</v>
      </c>
      <c r="E58" s="14">
        <v>41079</v>
      </c>
      <c r="F58" s="13">
        <v>1000</v>
      </c>
      <c r="G58" s="15">
        <v>0</v>
      </c>
      <c r="H58" s="91"/>
      <c r="I58" s="19"/>
      <c r="J58" s="13" t="s">
        <v>6</v>
      </c>
      <c r="K58" s="14">
        <f>WORKDAY(NC[[#This Row],[DATA]],1,0)</f>
        <v>41080</v>
      </c>
      <c r="L58" s="57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</row>
    <row r="59" spans="1:36">
      <c r="A59" s="13">
        <v>58</v>
      </c>
      <c r="B59" s="13" t="s">
        <v>49</v>
      </c>
      <c r="C59" s="56" t="s">
        <v>105</v>
      </c>
      <c r="D59" s="13" t="s">
        <v>25</v>
      </c>
      <c r="E59" s="14">
        <v>41079</v>
      </c>
      <c r="F59" s="13">
        <v>200</v>
      </c>
      <c r="G59" s="15">
        <v>0</v>
      </c>
      <c r="H59" s="91"/>
      <c r="I59" s="19"/>
      <c r="J59" s="13" t="s">
        <v>6</v>
      </c>
      <c r="K59" s="14">
        <f>WORKDAY(NC[[#This Row],[DATA]],1,0)</f>
        <v>41080</v>
      </c>
      <c r="L59" s="57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1329.3362500000007</v>
      </c>
      <c r="AI59" s="15">
        <f>IF([U] = "U", SUMPRODUCT(N([DATA BASE]=NC[[#This Row],[DATA BASE]]), N(['[D/N']] = "D"),    [LUCRO P/ OP]), 0)</f>
        <v>58.623750000000058</v>
      </c>
      <c r="AJ59" s="15">
        <f>IF([U] = "U", SUMPRODUCT(N([DATA BASE]=NC[[#This Row],[DATA BASE]]), N(['[D/N']] = "D"),    [IRRF FONTE]), 0)</f>
        <v>0.57999999999999996</v>
      </c>
    </row>
    <row r="60" spans="1:36">
      <c r="A60" s="66">
        <f>SUBTOTAL(104,[ID])</f>
        <v>58</v>
      </c>
      <c r="B60" s="66"/>
      <c r="C60" s="66"/>
      <c r="D60" s="66"/>
      <c r="E60" s="66"/>
      <c r="F60" s="66"/>
      <c r="G60" s="66">
        <f>NC[[#Totals],[ID]]*14.9</f>
        <v>864.2</v>
      </c>
      <c r="H60" s="91"/>
      <c r="I60" s="19"/>
      <c r="J60" s="66">
        <f>NC[[#Totals],[LUCRO P/ OP]]+NC[[#Totals],[PREÇO]]</f>
        <v>1547.5500000000006</v>
      </c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15"/>
      <c r="X60" s="66"/>
      <c r="Y60" s="15"/>
      <c r="Z60" s="15"/>
      <c r="AA60" s="66"/>
      <c r="AB60" s="15">
        <f>SUBTOTAL(109,[IRRF])</f>
        <v>0.5</v>
      </c>
      <c r="AC60" s="15"/>
      <c r="AD60" s="66"/>
      <c r="AE60" s="66"/>
      <c r="AF60" s="15"/>
      <c r="AG60" s="15">
        <f>SUBTOTAL(109,[LUCRO P/ OP])</f>
        <v>683.3500000000007</v>
      </c>
      <c r="AH60" s="15"/>
      <c r="AI60" s="67"/>
      <c r="AJ60" s="68"/>
    </row>
    <row r="61" spans="1:36">
      <c r="AE61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L19" sqref="L19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9.85546875" style="7" bestFit="1" customWidth="1"/>
    <col min="13" max="13" width="12" style="7" bestFit="1" customWidth="1"/>
    <col min="14" max="16384" width="9.140625" style="7"/>
  </cols>
  <sheetData>
    <row r="1" spans="1:15">
      <c r="A1" s="7" t="s">
        <v>16</v>
      </c>
      <c r="B1" s="7" t="s">
        <v>53</v>
      </c>
      <c r="C1" s="7" t="s">
        <v>121</v>
      </c>
      <c r="D1" s="7" t="s">
        <v>125</v>
      </c>
      <c r="E1" s="7" t="s">
        <v>122</v>
      </c>
      <c r="F1" s="7" t="s">
        <v>123</v>
      </c>
      <c r="G1" s="7" t="s">
        <v>126</v>
      </c>
      <c r="H1" s="7" t="s">
        <v>124</v>
      </c>
      <c r="I1" s="7" t="s">
        <v>129</v>
      </c>
      <c r="J1" s="7" t="s">
        <v>127</v>
      </c>
      <c r="K1" s="7" t="s">
        <v>128</v>
      </c>
      <c r="L1" s="7" t="s">
        <v>48</v>
      </c>
      <c r="M1" s="7" t="s">
        <v>130</v>
      </c>
    </row>
    <row r="2" spans="1:15">
      <c r="A2" s="85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 DEVIDO '[N']] + [IR DEVIDO '[D']]</f>
        <v>90.92</v>
      </c>
      <c r="M2" s="39">
        <f>[LUCRO '[N']] + [LUCRO '[D']] - [IR DEVIDO] - [IRRF '[N']] - [IRRF '[D']]</f>
        <v>-273.99999999999994</v>
      </c>
    </row>
    <row r="3" spans="1:15">
      <c r="A3" s="85">
        <v>41000</v>
      </c>
      <c r="B3" s="86">
        <v>-958.08</v>
      </c>
      <c r="C3" s="86">
        <v>0</v>
      </c>
      <c r="D3" s="86">
        <v>0</v>
      </c>
      <c r="E3" s="86">
        <v>0</v>
      </c>
      <c r="F3" s="86">
        <v>0</v>
      </c>
      <c r="G3" s="86">
        <v>0</v>
      </c>
      <c r="H3" s="86">
        <f>IF([LUCRO '[N']] + [DEDUÇÃO '[N']] &gt; 0, 0, [LUCRO '[N']] + [DEDUÇÃO '[N']])</f>
        <v>-958.08</v>
      </c>
      <c r="I3" s="86">
        <f>IF([LUCRO '[D']] + [DEDUÇÃO '[D']] &gt; 0, 0, [LUCRO '[D']] + [DEDUÇÃO '[D']])</f>
        <v>0</v>
      </c>
      <c r="J3" s="86">
        <f>IF([ACC '[N']] = 0, ROUND(([LUCRO '[N']] + [DEDUÇÃO '[N']]) * 15%, 2) - [IRRF '[N']], 0)</f>
        <v>0</v>
      </c>
      <c r="K3" s="86">
        <f>IF([ACC '[D']] = 0, ROUND(([LUCRO '[D']] + [DEDUÇÃO '[D']]) * 20%, 2) - [IRRF '[D']], 0)</f>
        <v>0</v>
      </c>
      <c r="L3" s="86">
        <f>[IR DEVIDO '[N']] + [IR DEVIDO '[D']]</f>
        <v>0</v>
      </c>
      <c r="M3" s="39">
        <f>[LUCRO '[N']] + [LUCRO '[D']] - [IR DEVIDO] - [IRRF '[N']] - [IRRF '[D']]</f>
        <v>-958.08</v>
      </c>
    </row>
    <row r="4" spans="1:15">
      <c r="A4" s="85">
        <v>41030</v>
      </c>
      <c r="B4" s="86">
        <v>431.77</v>
      </c>
      <c r="C4" s="86">
        <v>-1614.89</v>
      </c>
      <c r="D4" s="86">
        <v>0</v>
      </c>
      <c r="E4" s="86">
        <v>0</v>
      </c>
      <c r="F4" s="86">
        <v>0</v>
      </c>
      <c r="G4" s="86">
        <v>0</v>
      </c>
      <c r="H4" s="86">
        <f>IF([LUCRO '[N']] + [DEDUÇÃO '[N']] &gt; 0, 0, [LUCRO '[N']] + [DEDUÇÃO '[N']])</f>
        <v>-1183.1200000000001</v>
      </c>
      <c r="I4" s="86">
        <f>IF([LUCRO '[D']] + [DEDUÇÃO '[D']] &gt; 0, 0, [LUCRO '[D']] + [DEDUÇÃO '[D']])</f>
        <v>0</v>
      </c>
      <c r="J4" s="86">
        <f>IF([ACC '[N']] = 0, ROUND(([LUCRO '[N']] + [DEDUÇÃO '[N']]) * 15%, 2) - [IRRF '[N']], 0)</f>
        <v>0</v>
      </c>
      <c r="K4" s="86">
        <f>IF([ACC '[D']] = 0, ROUND(([LUCRO '[D']] + [DEDUÇÃO '[D']]) * 20%, 2) - [IRRF '[D']], 0)</f>
        <v>0</v>
      </c>
      <c r="L4" s="86">
        <f>[IR DEVIDO '[N']] + [IR DEVIDO '[D']]</f>
        <v>0</v>
      </c>
      <c r="M4" s="39">
        <f>[LUCRO '[N']] + [LUCRO '[D']] - [IR DEVIDO] - [IRRF '[N']] - [IRRF '[D']]</f>
        <v>431.77</v>
      </c>
    </row>
    <row r="5" spans="1:15">
      <c r="A5" s="85">
        <v>41061</v>
      </c>
      <c r="B5" s="86">
        <v>1329.34</v>
      </c>
      <c r="C5" s="86">
        <v>-1183.1199999999999</v>
      </c>
      <c r="D5" s="86">
        <v>0.13</v>
      </c>
      <c r="E5" s="86">
        <v>58.62</v>
      </c>
      <c r="F5" s="86">
        <v>0</v>
      </c>
      <c r="G5" s="86">
        <v>0.57999999999999996</v>
      </c>
      <c r="H5" s="86">
        <f>IF([LUCRO '[N']] + [DEDUÇÃO '[N']] &gt; 0, 0, [LUCRO '[N']] + [DEDUÇÃO '[N']])</f>
        <v>0</v>
      </c>
      <c r="I5" s="86">
        <f>IF([LUCRO '[D']] + [DEDUÇÃO '[D']] &gt; 0, 0, [LUCRO '[D']] + [DEDUÇÃO '[D']])</f>
        <v>0</v>
      </c>
      <c r="J5" s="86">
        <f>IF([ACC '[N']] = 0, ROUND(([LUCRO '[N']] + [DEDUÇÃO '[N']]) * 15%, 2) - [IRRF '[N']], 0)</f>
        <v>21.8</v>
      </c>
      <c r="K5" s="86">
        <f>IF([ACC '[D']] = 0, ROUND(([LUCRO '[D']] + [DEDUÇÃO '[D']]) * 20%, 2) - [IRRF '[D']], 0)</f>
        <v>11.14</v>
      </c>
      <c r="L5" s="86">
        <f>[IR DEVIDO '[N']] + [IR DEVIDO '[D']]</f>
        <v>32.94</v>
      </c>
      <c r="M5" s="39">
        <f>[LUCRO '[N']] + [LUCRO '[D']] - [IR DEVIDO] - [IRRF '[N']] - [IRRF '[D']]</f>
        <v>1354.3099999999997</v>
      </c>
    </row>
    <row r="6" spans="1:15">
      <c r="A6" s="7" t="s">
        <v>15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23">
        <f>SUBTOTAL(109,[LUCRO TOTAL])</f>
        <v>553.99999999999977</v>
      </c>
    </row>
    <row r="10" spans="1:15">
      <c r="N10" s="93"/>
      <c r="O10" s="93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1:J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4" sqref="D4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5703125" style="7" bestFit="1" customWidth="1"/>
    <col min="10" max="10" width="13.28515625" style="7" bestFit="1" customWidth="1"/>
    <col min="11" max="16384" width="11.5703125" style="7"/>
  </cols>
  <sheetData>
    <row r="1" spans="1:10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</row>
    <row r="2" spans="1:10">
      <c r="A2" s="7" t="s">
        <v>117</v>
      </c>
      <c r="B2" s="25">
        <v>1273.3800000000001</v>
      </c>
      <c r="C2" s="25">
        <v>36.090000000000003</v>
      </c>
      <c r="D2" s="25">
        <v>1.23</v>
      </c>
      <c r="E2" s="39">
        <v>36.1</v>
      </c>
      <c r="F2" s="28">
        <f>ROUNDDOWN([APLICAÇÃO]/[PREÇO OPÇÃO], 0)</f>
        <v>1035</v>
      </c>
      <c r="G2" s="28">
        <f>[QTDE TMP] - MOD([QTDE TMP], 100)</f>
        <v>1000</v>
      </c>
      <c r="H2" s="25">
        <f>[EXERCÍCIO] + ([PREÇO OPÇÃO] * 2)</f>
        <v>38.550000000000004</v>
      </c>
      <c r="I2" s="27">
        <f>[TARGET 100%] / [PREÇO AÇÃO] - 1</f>
        <v>6.7867036011080462E-2</v>
      </c>
      <c r="J2" s="25">
        <f>[PREÇO OPÇÃO] * [QTDE] - 30</f>
        <v>1200</v>
      </c>
    </row>
    <row r="3" spans="1:10">
      <c r="A3" s="7" t="s">
        <v>118</v>
      </c>
      <c r="B3" s="25">
        <v>1273.3800000000001</v>
      </c>
      <c r="C3" s="25">
        <v>37.090000000000003</v>
      </c>
      <c r="D3" s="25">
        <v>0.79</v>
      </c>
      <c r="E3" s="39">
        <v>37.33</v>
      </c>
      <c r="F3" s="28">
        <f>ROUNDDOWN([APLICAÇÃO]/[PREÇO OPÇÃO], 0)</f>
        <v>1611</v>
      </c>
      <c r="G3" s="28">
        <f>[QTDE TMP] - MOD([QTDE TMP], 100)</f>
        <v>1600</v>
      </c>
      <c r="H3" s="25">
        <f>[EXERCÍCIO] + ([PREÇO OPÇÃO] * 2)</f>
        <v>38.67</v>
      </c>
      <c r="I3" s="27">
        <f>[TARGET 100%] / [PREÇO AÇÃO] - 1</f>
        <v>3.5896062148406127E-2</v>
      </c>
      <c r="J3" s="25">
        <f>[PREÇO OPÇÃO] * [QTDE] - 30</f>
        <v>1234</v>
      </c>
    </row>
    <row r="4" spans="1:10">
      <c r="A4" s="7" t="s">
        <v>118</v>
      </c>
      <c r="B4" s="25">
        <v>1273.3800000000001</v>
      </c>
      <c r="C4" s="25">
        <v>38.090000000000003</v>
      </c>
      <c r="D4" s="25">
        <v>0.47</v>
      </c>
      <c r="E4" s="39">
        <v>37.229999999999997</v>
      </c>
      <c r="F4" s="28">
        <f>ROUNDDOWN([APLICAÇÃO]/[PREÇO OPÇÃO], 0)</f>
        <v>2709</v>
      </c>
      <c r="G4" s="28">
        <f>[QTDE TMP] - MOD([QTDE TMP], 100)</f>
        <v>2700</v>
      </c>
      <c r="H4" s="25">
        <f>[EXERCÍCIO] + ([PREÇO OPÇÃO] * 2)</f>
        <v>39.03</v>
      </c>
      <c r="I4" s="27">
        <f>[TARGET 100%] / [PREÇO AÇÃO] - 1</f>
        <v>4.8348106365834198E-2</v>
      </c>
      <c r="J4" s="25">
        <f>[PREÇO OPÇÃO] * [QTDE] - 30</f>
        <v>1239</v>
      </c>
    </row>
    <row r="5" spans="1:10">
      <c r="A5" s="40" t="s">
        <v>15</v>
      </c>
      <c r="B5" s="41"/>
      <c r="C5" s="41"/>
      <c r="D5" s="41"/>
      <c r="E5" s="41"/>
      <c r="F5" s="41"/>
      <c r="G5" s="41"/>
      <c r="H5" s="41"/>
      <c r="I5" s="41"/>
      <c r="J5" s="4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G11" sqref="G11"/>
    </sheetView>
  </sheetViews>
  <sheetFormatPr defaultColWidth="11.5703125" defaultRowHeight="11.25"/>
  <cols>
    <col min="1" max="1" width="7.42578125" style="7" bestFit="1" customWidth="1"/>
    <col min="2" max="2" width="8.570312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9.85546875" style="7" bestFit="1" customWidth="1"/>
    <col min="9" max="9" width="15.5703125" style="7" bestFit="1" customWidth="1"/>
    <col min="10" max="10" width="15.42578125" style="7" bestFit="1" customWidth="1"/>
    <col min="11" max="11" width="7.7109375" style="7" hidden="1" customWidth="1"/>
    <col min="12" max="12" width="7.5703125" style="7" bestFit="1" customWidth="1"/>
    <col min="13" max="13" width="9.855468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107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116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 - 60</f>
        <v>58</v>
      </c>
      <c r="N2" s="25">
        <f>[QTDE]*[PERDA P/ OPÇÃO] - 60</f>
        <v>-142</v>
      </c>
      <c r="O2" s="27">
        <f>[EXERC. VENDA]/[PREÇO AÇÃO]-1</f>
        <v>2.3226135783563029E-2</v>
      </c>
      <c r="P2" s="38">
        <f>[LUCRO*]/ABS([PERDA*])</f>
        <v>0.40845070422535212</v>
      </c>
    </row>
    <row r="3" spans="1:16">
      <c r="A3" s="7" t="s">
        <v>69</v>
      </c>
      <c r="B3" s="25">
        <v>100</v>
      </c>
      <c r="C3" s="25">
        <v>20.07</v>
      </c>
      <c r="D3" s="25">
        <v>18.88</v>
      </c>
      <c r="E3" s="25">
        <v>1.52</v>
      </c>
      <c r="F3" s="25">
        <v>20.88</v>
      </c>
      <c r="G3" s="25">
        <v>0.3</v>
      </c>
      <c r="H3" s="25">
        <f>([QTDE] * [PREÇO COMPRA]) + ([QTDE] * [PREÇO VENDA])</f>
        <v>182</v>
      </c>
      <c r="I3" s="25">
        <f>[PREÇO VENDA]-[PREÇO COMPRA]</f>
        <v>1.22</v>
      </c>
      <c r="J3" s="25">
        <f>(0.01 - [PREÇO COMPRA]) + ([PREÇO VENDA] - ([EXERC. COMPRA]-[EXERC. VENDA]+0.01))</f>
        <v>-0.7799999999999998</v>
      </c>
      <c r="K3" s="28">
        <f>ROUNDDOWN([RISCO]/ABS([PERDA P/ OPÇÃO]), 0)</f>
        <v>128</v>
      </c>
      <c r="L3" s="28">
        <f>[QTDE TMP] - MOD([QTDE TMP], 100)</f>
        <v>100</v>
      </c>
      <c r="M3" s="25">
        <f>([QTDE]*[LUCRO P/ OPÇÃO]) - 60</f>
        <v>62</v>
      </c>
      <c r="N3" s="25">
        <f>[QTDE]*[PERDA P/ OPÇÃO] - 60</f>
        <v>-138</v>
      </c>
      <c r="O3" s="27">
        <f>[EXERC. VENDA]/[PREÇO AÇÃO]-1</f>
        <v>-5.9292476332835187E-2</v>
      </c>
      <c r="P3" s="38">
        <f>[LUCRO*]/ABS([PERDA*])</f>
        <v>0.44927536231884058</v>
      </c>
    </row>
    <row r="4" spans="1:16">
      <c r="A4" s="7" t="s">
        <v>83</v>
      </c>
      <c r="B4" s="25">
        <v>450</v>
      </c>
      <c r="C4" s="25">
        <v>38</v>
      </c>
      <c r="D4" s="25">
        <v>37.090000000000003</v>
      </c>
      <c r="E4" s="25">
        <v>1.02</v>
      </c>
      <c r="F4" s="25">
        <v>38.090000000000003</v>
      </c>
      <c r="G4" s="25">
        <v>0.5</v>
      </c>
      <c r="H4" s="25">
        <f>([QTDE] * [PREÇO COMPRA]) + ([QTDE] * [PREÇO VENDA])</f>
        <v>1368</v>
      </c>
      <c r="I4" s="39">
        <f>[PREÇO VENDA]-[PREÇO COMPRA]</f>
        <v>0.52</v>
      </c>
      <c r="J4" s="39">
        <f>(0.01 - [PREÇO COMPRA]) + ([PREÇO VENDA] - ([EXERC. COMPRA]-[EXERC. VENDA]+0.01))</f>
        <v>-0.48</v>
      </c>
      <c r="K4" s="28">
        <f>ROUNDDOWN([RISCO]/ABS([PERDA P/ OPÇÃO]), 0)</f>
        <v>937</v>
      </c>
      <c r="L4" s="28">
        <f>[QTDE TMP] - MOD([QTDE TMP], 100)</f>
        <v>900</v>
      </c>
      <c r="M4" s="39">
        <f>([QTDE]*[LUCRO P/ OPÇÃO]) - 60</f>
        <v>408</v>
      </c>
      <c r="N4" s="25">
        <f>[QTDE]*[PERDA P/ OPÇÃO] - 60</f>
        <v>-492</v>
      </c>
      <c r="O4" s="27">
        <f>[EXERC. VENDA]/[PREÇO AÇÃO]-1</f>
        <v>-2.3947368421052495E-2</v>
      </c>
      <c r="P4" s="38">
        <f>[LUCRO*]/ABS([PERDA*])</f>
        <v>0.82926829268292679</v>
      </c>
    </row>
    <row r="5" spans="1:16">
      <c r="A5" s="50" t="s">
        <v>103</v>
      </c>
      <c r="B5" s="51">
        <v>90</v>
      </c>
      <c r="C5" s="51">
        <v>11.83</v>
      </c>
      <c r="D5" s="51">
        <v>11</v>
      </c>
      <c r="E5" s="51">
        <v>1.37</v>
      </c>
      <c r="F5" s="51">
        <v>12</v>
      </c>
      <c r="G5" s="51">
        <v>0.69</v>
      </c>
      <c r="H5" s="51">
        <f>([QTDE] * [PREÇO COMPRA]) + ([QTDE] * [PREÇO VENDA])</f>
        <v>412</v>
      </c>
      <c r="I5" s="52">
        <f>[PREÇO VENDA]-[PREÇO COMPRA]</f>
        <v>0.68000000000000016</v>
      </c>
      <c r="J5" s="52">
        <f>(0.01 - [PREÇO COMPRA]) + ([PREÇO VENDA] - ([EXERC. COMPRA]-[EXERC. VENDA]+0.01))</f>
        <v>-0.31999999999999984</v>
      </c>
      <c r="K5" s="53">
        <f>ROUNDDOWN([RISCO]/ABS([PERDA P/ OPÇÃO]), 0)</f>
        <v>281</v>
      </c>
      <c r="L5" s="53">
        <f>[QTDE TMP] - MOD([QTDE TMP], 100)</f>
        <v>200</v>
      </c>
      <c r="M5" s="52">
        <f>([QTDE]*[LUCRO P/ OPÇÃO]) - 60</f>
        <v>76.000000000000028</v>
      </c>
      <c r="N5" s="51">
        <f>[QTDE]*[PERDA P/ OPÇÃO] - 60</f>
        <v>-123.99999999999997</v>
      </c>
      <c r="O5" s="54">
        <f>[EXERC. VENDA]/[PREÇO AÇÃO]-1</f>
        <v>-7.0160608622147125E-2</v>
      </c>
      <c r="P5" s="55">
        <f>[LUCRO*]/ABS([PERDA*])</f>
        <v>0.61290322580645196</v>
      </c>
    </row>
    <row r="6" spans="1:16">
      <c r="A6" s="7" t="s">
        <v>69</v>
      </c>
      <c r="B6" s="25">
        <v>300</v>
      </c>
      <c r="C6" s="25">
        <v>20.25</v>
      </c>
      <c r="D6" s="25">
        <v>18.829999999999998</v>
      </c>
      <c r="E6" s="25">
        <v>1.69</v>
      </c>
      <c r="F6" s="25">
        <v>20.71</v>
      </c>
      <c r="G6" s="25">
        <v>0.45</v>
      </c>
      <c r="H6" s="25">
        <f>([QTDE] * [PREÇO COMPRA]) + ([QTDE] * [PREÇO VENDA])</f>
        <v>856</v>
      </c>
      <c r="I6" s="52">
        <f>[PREÇO VENDA]-[PREÇO COMPRA]</f>
        <v>1.24</v>
      </c>
      <c r="J6" s="52">
        <f>(0.01 - [PREÇO COMPRA]) + ([PREÇO VENDA] - ([EXERC. COMPRA]-[EXERC. VENDA]+0.01))</f>
        <v>-0.64000000000000257</v>
      </c>
      <c r="K6" s="53">
        <f>ROUNDDOWN([RISCO]/ABS([PERDA P/ OPÇÃO]), 0)</f>
        <v>468</v>
      </c>
      <c r="L6" s="53">
        <f>[QTDE TMP] - MOD([QTDE TMP], 100)</f>
        <v>400</v>
      </c>
      <c r="M6" s="52">
        <f>([QTDE]*[LUCRO P/ OPÇÃO]) - 60</f>
        <v>436</v>
      </c>
      <c r="N6" s="52">
        <f>[QTDE]*[PERDA P/ OPÇÃO] - 60</f>
        <v>-316.00000000000102</v>
      </c>
      <c r="O6" s="54">
        <f>[EXERC. VENDA]/[PREÇO AÇÃO]-1</f>
        <v>-7.0123456790123551E-2</v>
      </c>
      <c r="P6" s="55">
        <f>[LUCRO*]/ABS([PERDA*])</f>
        <v>1.3797468354430336</v>
      </c>
    </row>
    <row r="7" spans="1:16">
      <c r="A7" s="7" t="s">
        <v>69</v>
      </c>
      <c r="B7" s="25">
        <v>400</v>
      </c>
      <c r="C7" s="25">
        <v>20.25</v>
      </c>
      <c r="D7" s="25">
        <v>19.829999999999998</v>
      </c>
      <c r="E7" s="25">
        <v>0.94</v>
      </c>
      <c r="F7" s="25">
        <v>20.71</v>
      </c>
      <c r="G7" s="25">
        <v>0.45</v>
      </c>
      <c r="H7" s="25">
        <f>([QTDE] * [PREÇO COMPRA]) + ([QTDE] * [PREÇO VENDA])</f>
        <v>1390</v>
      </c>
      <c r="I7" s="52">
        <f>[PREÇO VENDA]-[PREÇO COMPRA]</f>
        <v>0.48999999999999994</v>
      </c>
      <c r="J7" s="52">
        <f>(0.01 - [PREÇO COMPRA]) + ([PREÇO VENDA] - ([EXERC. COMPRA]-[EXERC. VENDA]+0.01))</f>
        <v>-0.39000000000000262</v>
      </c>
      <c r="K7" s="53">
        <f>ROUNDDOWN([RISCO]/ABS([PERDA P/ OPÇÃO]), 0)</f>
        <v>1025</v>
      </c>
      <c r="L7" s="53">
        <f>[QTDE TMP] - MOD([QTDE TMP], 100)</f>
        <v>1000</v>
      </c>
      <c r="M7" s="52">
        <f>([QTDE]*[LUCRO P/ OPÇÃO]) - 60</f>
        <v>429.99999999999994</v>
      </c>
      <c r="N7" s="52">
        <f>[QTDE]*[PERDA P/ OPÇÃO] - 60</f>
        <v>-450.00000000000261</v>
      </c>
      <c r="O7" s="54">
        <f>[EXERC. VENDA]/[PREÇO AÇÃO]-1</f>
        <v>-2.0740740740740837E-2</v>
      </c>
      <c r="P7" s="55">
        <f>[LUCRO*]/ABS([PERDA*])</f>
        <v>0.95555555555554983</v>
      </c>
    </row>
    <row r="8" spans="1:16">
      <c r="A8" s="7" t="s">
        <v>69</v>
      </c>
      <c r="B8" s="25">
        <v>200</v>
      </c>
      <c r="C8" s="25">
        <v>18.7</v>
      </c>
      <c r="D8" s="25">
        <v>16.829999999999998</v>
      </c>
      <c r="E8" s="25">
        <v>1.91</v>
      </c>
      <c r="F8" s="25">
        <v>17.829999999999998</v>
      </c>
      <c r="G8" s="25">
        <v>1.07</v>
      </c>
      <c r="H8" s="52">
        <f>([QTDE] * [PREÇO COMPRA]) + ([QTDE] * [PREÇO VENDA])</f>
        <v>3576</v>
      </c>
      <c r="I8" s="52">
        <f>[PREÇO VENDA]-[PREÇO COMPRA]</f>
        <v>0.83999999999999986</v>
      </c>
      <c r="J8" s="52">
        <f>(0.01 - [PREÇO COMPRA]) + ([PREÇO VENDA] - ([EXERC. COMPRA]-[EXERC. VENDA]+0.01))</f>
        <v>-0.16000000000000014</v>
      </c>
      <c r="K8" s="53">
        <f>ROUNDDOWN([RISCO]/ABS([PERDA P/ OPÇÃO]), 0)</f>
        <v>1250</v>
      </c>
      <c r="L8" s="53">
        <f>[QTDE TMP] - MOD([QTDE TMP], 100)</f>
        <v>1200</v>
      </c>
      <c r="M8" s="52">
        <f>([QTDE]*[LUCRO P/ OPÇÃO]) - 60</f>
        <v>947.99999999999977</v>
      </c>
      <c r="N8" s="52">
        <f>[QTDE]*[PERDA P/ OPÇÃO] - 60</f>
        <v>-252.00000000000017</v>
      </c>
      <c r="O8" s="54">
        <f>[EXERC. VENDA]/[PREÇO AÇÃO]-1</f>
        <v>-0.10000000000000009</v>
      </c>
      <c r="P8" s="55">
        <f>[LUCRO*]/ABS([PERDA*])</f>
        <v>3.7619047619047583</v>
      </c>
    </row>
    <row r="9" spans="1:16">
      <c r="A9" s="7" t="s">
        <v>69</v>
      </c>
      <c r="B9" s="25">
        <v>400</v>
      </c>
      <c r="C9" s="25">
        <v>17.89</v>
      </c>
      <c r="D9" s="25">
        <v>16</v>
      </c>
      <c r="E9" s="25">
        <v>2.16</v>
      </c>
      <c r="F9" s="25">
        <v>17</v>
      </c>
      <c r="G9" s="25">
        <v>1.42</v>
      </c>
      <c r="H9" s="52">
        <f>([QTDE] * [PREÇO COMPRA]) + ([QTDE] * [PREÇO VENDA])</f>
        <v>5370</v>
      </c>
      <c r="I9" s="52">
        <f>[PREÇO VENDA]-[PREÇO COMPRA]</f>
        <v>0.74000000000000021</v>
      </c>
      <c r="J9" s="52">
        <f>(0.01 - [PREÇO COMPRA]) + ([PREÇO VENDA] - ([EXERC. COMPRA]-[EXERC. VENDA]+0.01))</f>
        <v>-0.25999999999999979</v>
      </c>
      <c r="K9" s="53">
        <f>ROUNDDOWN([RISCO]/ABS([PERDA P/ OPÇÃO]), 0)</f>
        <v>1538</v>
      </c>
      <c r="L9" s="53">
        <f>[QTDE TMP] - MOD([QTDE TMP], 100)</f>
        <v>1500</v>
      </c>
      <c r="M9" s="52">
        <f>([QTDE]*[LUCRO P/ OPÇÃO]) - 60</f>
        <v>1050.0000000000002</v>
      </c>
      <c r="N9" s="52">
        <f>[QTDE]*[PERDA P/ OPÇÃO] - 60</f>
        <v>-449.99999999999966</v>
      </c>
      <c r="O9" s="54">
        <f>[EXERC. VENDA]/[PREÇO AÇÃO]-1</f>
        <v>-0.10564561207378431</v>
      </c>
      <c r="P9" s="55">
        <f>[LUCRO*]/ABS([PERDA*])</f>
        <v>2.3333333333333357</v>
      </c>
    </row>
    <row r="10" spans="1:16">
      <c r="A10" s="7" t="s">
        <v>69</v>
      </c>
      <c r="B10" s="25">
        <v>350</v>
      </c>
      <c r="C10" s="25">
        <v>17.89</v>
      </c>
      <c r="D10" s="25">
        <v>17</v>
      </c>
      <c r="E10" s="25">
        <v>1.41</v>
      </c>
      <c r="F10" s="25">
        <v>17.829999999999998</v>
      </c>
      <c r="G10" s="25">
        <v>0.87</v>
      </c>
      <c r="H10" s="71">
        <f>([QTDE] * [PREÇO COMPRA]) + ([QTDE] * [PREÇO VENDA])</f>
        <v>2736</v>
      </c>
      <c r="I10" s="71">
        <f>[PREÇO VENDA]-[PREÇO COMPRA]</f>
        <v>0.53999999999999992</v>
      </c>
      <c r="J10" s="71">
        <f>(0.01 - [PREÇO COMPRA]) + ([PREÇO VENDA] - ([EXERC. COMPRA]-[EXERC. VENDA]+0.01))</f>
        <v>-0.28999999999999837</v>
      </c>
      <c r="K10" s="72">
        <f>ROUNDDOWN([RISCO]/ABS([PERDA P/ OPÇÃO]), 0)</f>
        <v>1206</v>
      </c>
      <c r="L10" s="72">
        <f>[QTDE TMP] - MOD([QTDE TMP], 100)</f>
        <v>1200</v>
      </c>
      <c r="M10" s="71">
        <f>([QTDE]*[LUCRO P/ OPÇÃO]) - 60</f>
        <v>587.99999999999989</v>
      </c>
      <c r="N10" s="71">
        <f>[QTDE]*[PERDA P/ OPÇÃO] - 60</f>
        <v>-407.99999999999807</v>
      </c>
      <c r="O10" s="73">
        <f>[EXERC. VENDA]/[PREÇO AÇÃO]-1</f>
        <v>-4.9748462828395734E-2</v>
      </c>
      <c r="P10" s="74">
        <f>[LUCRO*]/ABS([PERDA*])</f>
        <v>1.4411764705882419</v>
      </c>
    </row>
    <row r="11" spans="1:16">
      <c r="A11" s="69" t="s">
        <v>15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69"/>
      <c r="P11" s="6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C4" sqref="C4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9.5703125" style="25" bestFit="1" customWidth="1"/>
    <col min="4" max="4" width="9.28515625" style="25" bestFit="1" customWidth="1"/>
    <col min="5" max="5" width="9.85546875" style="7" bestFit="1" customWidth="1"/>
    <col min="6" max="6" width="8.42578125" style="7" bestFit="1" customWidth="1"/>
    <col min="7" max="7" width="8.140625" style="7" bestFit="1" customWidth="1"/>
    <col min="8" max="8" width="9.28515625" style="7" bestFit="1" customWidth="1"/>
    <col min="9" max="9" width="9" style="7" bestFit="1" customWidth="1"/>
    <col min="10" max="10" width="11.5703125" style="7" bestFit="1" customWidth="1"/>
    <col min="11" max="12" width="9.7109375" style="7" hidden="1" customWidth="1"/>
    <col min="13" max="13" width="8.42578125" style="7" bestFit="1" customWidth="1"/>
    <col min="14" max="14" width="11" style="7" hidden="1" customWidth="1"/>
    <col min="15" max="15" width="7.7109375" style="7" bestFit="1" customWidth="1"/>
    <col min="16" max="19" width="9.85546875" style="7" bestFit="1" customWidth="1"/>
    <col min="20" max="20" width="8.42578125" style="7" bestFit="1" customWidth="1"/>
    <col min="21" max="22" width="9.7109375" style="7" bestFit="1" customWidth="1"/>
    <col min="23" max="16384" width="11.5703125" style="7"/>
  </cols>
  <sheetData>
    <row r="1" spans="1:22">
      <c r="A1" s="24" t="s">
        <v>55</v>
      </c>
      <c r="B1" s="24" t="s">
        <v>91</v>
      </c>
      <c r="C1" s="24" t="s">
        <v>92</v>
      </c>
      <c r="D1" s="26" t="s">
        <v>93</v>
      </c>
      <c r="E1" s="26" t="s">
        <v>94</v>
      </c>
      <c r="F1" s="26" t="s">
        <v>95</v>
      </c>
      <c r="G1" s="26" t="s">
        <v>96</v>
      </c>
      <c r="H1" s="26" t="s">
        <v>97</v>
      </c>
      <c r="I1" s="26" t="s">
        <v>98</v>
      </c>
      <c r="J1" s="26" t="s">
        <v>87</v>
      </c>
      <c r="K1" s="26" t="s">
        <v>88</v>
      </c>
      <c r="L1" s="26" t="s">
        <v>89</v>
      </c>
      <c r="M1" s="26" t="s">
        <v>102</v>
      </c>
      <c r="N1" s="26" t="s">
        <v>63</v>
      </c>
      <c r="O1" s="26" t="s">
        <v>1</v>
      </c>
      <c r="P1" s="26" t="s">
        <v>101</v>
      </c>
      <c r="Q1" s="26" t="s">
        <v>100</v>
      </c>
      <c r="R1" s="26" t="s">
        <v>99</v>
      </c>
      <c r="S1" s="26" t="s">
        <v>81</v>
      </c>
      <c r="T1" s="26" t="s">
        <v>82</v>
      </c>
      <c r="U1" s="26" t="s">
        <v>86</v>
      </c>
      <c r="V1" s="26" t="s">
        <v>78</v>
      </c>
    </row>
    <row r="2" spans="1:22">
      <c r="A2" s="7" t="s">
        <v>83</v>
      </c>
      <c r="B2" s="25">
        <v>100</v>
      </c>
      <c r="C2" s="25">
        <v>37.75</v>
      </c>
      <c r="D2" s="25">
        <v>36.090000000000003</v>
      </c>
      <c r="E2" s="25">
        <v>1.67</v>
      </c>
      <c r="F2" s="25">
        <v>37.090000000000003</v>
      </c>
      <c r="G2" s="25">
        <v>1.02</v>
      </c>
      <c r="H2" s="25">
        <v>38.090000000000003</v>
      </c>
      <c r="I2" s="25">
        <v>0.5</v>
      </c>
      <c r="J2" s="25">
        <f>(([PR VD] - 0.01) * 2) + (([EX. VD] - [EX. CP 1] + 0.01) - [PR CP 1]) + (0.01 - [PR CP 2])</f>
        <v>0.87000000000000011</v>
      </c>
      <c r="K2" s="25">
        <f>(0.01 - [PR CP 1]) + (([PR VD] - 0.01) * 2) + (0.01 - [PR CP 2])</f>
        <v>-0.12999999999999989</v>
      </c>
      <c r="L2" s="25">
        <f>(([EX. CP 2] - [EX. CP 1] + 0.01) - [PR CP 1]) + (([PR VD] - ([EX. CP 2] - [EX. VD] + 0.01)) * 2) + (0.01 - [PR CP 2])</f>
        <v>-0.13000000000000012</v>
      </c>
      <c r="M2" s="25">
        <f>IF([PERDA 1] &gt; [PERDA 2], [PERDA 2], [PERDA 1])</f>
        <v>-0.12999999999999989</v>
      </c>
      <c r="N2" s="28">
        <f>ROUNDDOWN([BASE]/ABS([PERDA]), 0)</f>
        <v>769</v>
      </c>
      <c r="O2" s="28">
        <f>[QTDE TMP] - MOD([QTDE TMP], 100)</f>
        <v>700</v>
      </c>
      <c r="P2" s="28">
        <f>Tabela245[[#This Row],[QTDE]]*2</f>
        <v>1400</v>
      </c>
      <c r="Q2" s="25">
        <f>([QTDE]*[PR CP 1] + [QTDE]*[PR CP 2])</f>
        <v>1519</v>
      </c>
      <c r="R2" s="25">
        <f>[QTDE]*[PR VD] * 2</f>
        <v>1428</v>
      </c>
      <c r="S2" s="39">
        <f>([QTDE]*[LUCRO UNI.] - 90)</f>
        <v>519.00000000000011</v>
      </c>
      <c r="T2" s="25">
        <f>[QTDE]*[PERDA] - 90</f>
        <v>-180.99999999999994</v>
      </c>
      <c r="U2" s="27">
        <f>[EX. VD] / [PR. AÇÃO] - 1</f>
        <v>-1.7483443708609214E-2</v>
      </c>
      <c r="V2" s="38">
        <f>[LUCRO*]/ABS([PERDA*])</f>
        <v>2.8674033149171287</v>
      </c>
    </row>
    <row r="3" spans="1:22">
      <c r="A3" s="7" t="s">
        <v>83</v>
      </c>
      <c r="B3" s="25">
        <v>100</v>
      </c>
      <c r="C3" s="25">
        <v>37.08</v>
      </c>
      <c r="D3" s="25">
        <v>35.090000000000003</v>
      </c>
      <c r="E3" s="25">
        <v>2.13</v>
      </c>
      <c r="F3" s="25">
        <v>36.090000000000003</v>
      </c>
      <c r="G3" s="25">
        <v>1.32</v>
      </c>
      <c r="H3" s="25">
        <v>37.090000000000003</v>
      </c>
      <c r="I3" s="25">
        <v>0.68</v>
      </c>
      <c r="J3" s="51">
        <f>(([PR VD] - 0.01) * 2) + (([EX. VD] - [EX. CP 1] + 0.01) - [PR CP 1]) + (0.01 - [PR CP 2])</f>
        <v>0.83000000000000018</v>
      </c>
      <c r="K3" s="51">
        <f>(0.01 - [PR CP 1]) + (([PR VD] - 0.01) * 2) + (0.01 - [PR CP 2])</f>
        <v>-0.17000000000000004</v>
      </c>
      <c r="L3" s="51">
        <f>(([EX. CP 2] - [EX. CP 1] + 0.01) - [PR CP 1]) + (([PR VD] - ([EX. CP 2] - [EX. VD] + 0.01)) * 2) + (0.01 - [PR CP 2])</f>
        <v>-0.17000000000000004</v>
      </c>
      <c r="M3" s="51">
        <f>IF([PERDA 1] &gt; [PERDA 2], [PERDA 2], [PERDA 1])</f>
        <v>-0.17000000000000004</v>
      </c>
      <c r="N3" s="53">
        <f>ROUNDDOWN([BASE]/ABS([PERDA]), 0)</f>
        <v>588</v>
      </c>
      <c r="O3" s="53">
        <f>[QTDE TMP] - MOD([QTDE TMP], 100)</f>
        <v>500</v>
      </c>
      <c r="P3" s="53">
        <f>Tabela245[[#This Row],[QTDE]]*2</f>
        <v>1000</v>
      </c>
      <c r="Q3" s="52">
        <f>([QTDE]*[PR CP 1] + [QTDE]*[PR CP 2])</f>
        <v>1405</v>
      </c>
      <c r="R3" s="52">
        <f>[QTDE]*[PR VD] * 2</f>
        <v>1320</v>
      </c>
      <c r="S3" s="52">
        <f>([QTDE]*[LUCRO UNI.] - 90)</f>
        <v>325.00000000000011</v>
      </c>
      <c r="T3" s="51">
        <f>[QTDE]*[PERDA] - 90</f>
        <v>-175</v>
      </c>
      <c r="U3" s="54">
        <f>[EX. VD] / [PR. AÇÃO] - 1</f>
        <v>-2.6699029126213469E-2</v>
      </c>
      <c r="V3" s="55">
        <f>[LUCRO*]/ABS([PERDA*])</f>
        <v>1.8571428571428579</v>
      </c>
    </row>
    <row r="4" spans="1:22">
      <c r="A4" s="40" t="s">
        <v>15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0"/>
      <c r="V4" s="40"/>
    </row>
    <row r="5" spans="1:22">
      <c r="E5" s="23"/>
    </row>
    <row r="6" spans="1:22">
      <c r="E6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26" sqref="F26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1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107</v>
      </c>
      <c r="C1" s="24" t="s">
        <v>58</v>
      </c>
      <c r="D1" s="26" t="s">
        <v>110</v>
      </c>
      <c r="E1" s="26" t="s">
        <v>109</v>
      </c>
      <c r="F1" s="26" t="s">
        <v>108</v>
      </c>
      <c r="G1" s="58" t="s">
        <v>1</v>
      </c>
      <c r="H1" s="26" t="s">
        <v>75</v>
      </c>
      <c r="I1" s="26" t="s">
        <v>112</v>
      </c>
      <c r="J1" s="26" t="s">
        <v>113</v>
      </c>
      <c r="K1" s="26" t="s">
        <v>111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9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3">
        <v>1500</v>
      </c>
      <c r="H3" s="52">
        <f>-[RISCO]/[QTDE]</f>
        <v>-0.2</v>
      </c>
      <c r="I3" s="52">
        <f>[PR COMPRA] * [QTDE]</f>
        <v>600</v>
      </c>
      <c r="J3" s="64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4">
        <f>[EX. VENDA]/[PREÇO AÇÃO]-1</f>
        <v>-2.0740740740740837E-2</v>
      </c>
      <c r="O3" s="55">
        <f>[LUCRO*]/ABS([PERDA*])</f>
        <v>3.4000000000000137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3">
        <v>500</v>
      </c>
      <c r="H4" s="52">
        <f>-[RISCO]/[QTDE]</f>
        <v>-0.6</v>
      </c>
      <c r="I4" s="52">
        <f>[PR COMPRA] * [QTDE]</f>
        <v>225</v>
      </c>
      <c r="J4" s="64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4">
        <f>[EX. VENDA]/[PREÇO AÇÃO]-1</f>
        <v>-7.0123456790123551E-2</v>
      </c>
      <c r="O4" s="55">
        <f>[LUCRO*]/ABS([PERDA*])</f>
        <v>2.1333333333333377</v>
      </c>
    </row>
    <row r="5" spans="1:15">
      <c r="A5" s="40" t="s">
        <v>15</v>
      </c>
      <c r="B5" s="41"/>
      <c r="C5" s="41"/>
      <c r="D5" s="41"/>
      <c r="E5" s="41"/>
      <c r="F5" s="41"/>
      <c r="G5" s="60"/>
      <c r="H5" s="41"/>
      <c r="I5" s="62"/>
      <c r="J5" s="41"/>
      <c r="K5" s="41"/>
      <c r="L5" s="41"/>
      <c r="M5" s="41"/>
      <c r="N5" s="40"/>
      <c r="O5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J2" sqref="J2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1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107</v>
      </c>
      <c r="C1" s="24" t="s">
        <v>58</v>
      </c>
      <c r="D1" s="26" t="s">
        <v>110</v>
      </c>
      <c r="E1" s="26" t="s">
        <v>109</v>
      </c>
      <c r="F1" s="26" t="s">
        <v>111</v>
      </c>
      <c r="G1" s="26" t="s">
        <v>108</v>
      </c>
      <c r="H1" s="58" t="s">
        <v>1</v>
      </c>
      <c r="I1" s="26" t="s">
        <v>75</v>
      </c>
      <c r="J1" s="26" t="s">
        <v>116</v>
      </c>
      <c r="K1" s="26" t="s">
        <v>113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9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3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4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4">
        <f>[EX. VENDA]/[PREÇO AÇÃO]-1</f>
        <v>-2.0740740740740837E-2</v>
      </c>
      <c r="O3" s="55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3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4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4">
        <f>[EX. VENDA]/[PREÇO AÇÃO]-1</f>
        <v>-7.0123456790123551E-2</v>
      </c>
      <c r="O4" s="55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3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4">
        <f>[PR VENDA]-[PR COMPRA]</f>
        <v>0.72</v>
      </c>
      <c r="L5" s="52">
        <f>([QTDE]*[LUCRO UNI])</f>
        <v>720</v>
      </c>
      <c r="M5" s="52">
        <f>[PERDA P/ OPÇÃO]*[QTDE]</f>
        <v>-280</v>
      </c>
      <c r="N5" s="54">
        <f>[EX. VENDA]/[PREÇO AÇÃO]-1</f>
        <v>-7.9504388229220568E-2</v>
      </c>
      <c r="O5" s="55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60"/>
      <c r="I6" s="41"/>
      <c r="J6" s="62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activeCell="E16" sqref="E16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84" t="s">
        <v>7</v>
      </c>
      <c r="B1" s="84"/>
      <c r="C1" s="84" t="s">
        <v>8</v>
      </c>
      <c r="D1" s="84"/>
      <c r="E1" s="83" t="s">
        <v>9</v>
      </c>
      <c r="F1" s="83" t="s">
        <v>4</v>
      </c>
      <c r="G1" s="83" t="s">
        <v>10</v>
      </c>
      <c r="H1" s="83" t="s">
        <v>11</v>
      </c>
      <c r="I1" s="83" t="s">
        <v>23</v>
      </c>
    </row>
    <row r="2" spans="1:9">
      <c r="A2" s="3" t="s">
        <v>12</v>
      </c>
      <c r="B2" s="3" t="s">
        <v>13</v>
      </c>
      <c r="C2" s="3" t="s">
        <v>12</v>
      </c>
      <c r="D2" s="3" t="s">
        <v>13</v>
      </c>
      <c r="E2" s="83"/>
      <c r="F2" s="83"/>
      <c r="G2" s="83"/>
      <c r="H2" s="83"/>
      <c r="I2" s="83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82" t="s">
        <v>26</v>
      </c>
      <c r="B4" s="82"/>
      <c r="C4" s="82"/>
      <c r="D4" s="82"/>
      <c r="E4" s="82"/>
      <c r="F4" s="82"/>
    </row>
    <row r="5" spans="1:9">
      <c r="A5" s="82" t="s">
        <v>7</v>
      </c>
      <c r="B5" s="82"/>
      <c r="C5" s="82"/>
      <c r="D5" s="82" t="s">
        <v>8</v>
      </c>
      <c r="E5" s="82"/>
      <c r="F5" s="82"/>
    </row>
    <row r="6" spans="1:9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NOTAS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2012-06-18T16:59:57Z</dcterms:modified>
</cp:coreProperties>
</file>